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ap7021/Projects/Backman05/deseq/B_vs_A/"/>
    </mc:Choice>
  </mc:AlternateContent>
  <xr:revisionPtr revIDLastSave="0" documentId="8_{4DB1239C-21C1-C741-B376-C94A90BB1C64}" xr6:coauthVersionLast="36" xr6:coauthVersionMax="36" xr10:uidLastSave="{00000000-0000-0000-0000-000000000000}"/>
  <bookViews>
    <workbookView xWindow="-51180" yWindow="-7340" windowWidth="51200" windowHeight="28340"/>
  </bookViews>
  <sheets>
    <sheet name="B_vs_A_Differential_Expression_" sheetId="1" r:id="rId1"/>
  </sheets>
  <calcPr calcId="181029"/>
</workbook>
</file>

<file path=xl/calcChain.xml><?xml version="1.0" encoding="utf-8"?>
<calcChain xmlns="http://schemas.openxmlformats.org/spreadsheetml/2006/main">
  <c r="B3" i="1" l="1"/>
  <c r="E3" i="1"/>
  <c r="B4" i="1"/>
  <c r="E4" i="1"/>
  <c r="B5" i="1"/>
  <c r="E5" i="1"/>
  <c r="B6" i="1"/>
  <c r="E6" i="1"/>
  <c r="B7" i="1"/>
  <c r="E7" i="1"/>
  <c r="B8" i="1"/>
  <c r="E8" i="1"/>
  <c r="B9" i="1"/>
  <c r="E9" i="1"/>
  <c r="B10" i="1"/>
  <c r="E10" i="1"/>
  <c r="B11" i="1"/>
  <c r="E11" i="1"/>
  <c r="B12" i="1"/>
  <c r="E12" i="1"/>
  <c r="B13" i="1"/>
  <c r="E13" i="1"/>
  <c r="B14" i="1"/>
  <c r="E14" i="1"/>
  <c r="B15" i="1"/>
  <c r="E15" i="1"/>
  <c r="B16" i="1"/>
  <c r="E16" i="1"/>
  <c r="B17" i="1"/>
  <c r="E17" i="1"/>
  <c r="B18" i="1"/>
  <c r="E18" i="1"/>
  <c r="B19" i="1"/>
  <c r="E19" i="1"/>
  <c r="B20" i="1"/>
  <c r="E20" i="1"/>
  <c r="B21" i="1"/>
  <c r="E21" i="1"/>
  <c r="B22" i="1"/>
  <c r="E22" i="1"/>
  <c r="B23" i="1"/>
  <c r="E23" i="1"/>
  <c r="B24" i="1"/>
  <c r="E24" i="1"/>
  <c r="B25" i="1"/>
  <c r="E25" i="1"/>
  <c r="B26" i="1"/>
  <c r="E26" i="1"/>
  <c r="B27" i="1"/>
  <c r="E27" i="1"/>
  <c r="B28" i="1"/>
  <c r="E28" i="1"/>
  <c r="B29" i="1"/>
  <c r="E29" i="1"/>
  <c r="B30" i="1"/>
  <c r="E30" i="1"/>
  <c r="B31" i="1"/>
  <c r="E31" i="1"/>
  <c r="B32" i="1"/>
  <c r="E32" i="1"/>
  <c r="B33" i="1"/>
  <c r="E33" i="1"/>
  <c r="B34" i="1"/>
  <c r="E34" i="1"/>
  <c r="B35" i="1"/>
  <c r="E35" i="1"/>
  <c r="B36" i="1"/>
  <c r="E36" i="1"/>
  <c r="B37" i="1"/>
  <c r="E37" i="1"/>
  <c r="B38" i="1"/>
  <c r="E38" i="1"/>
  <c r="B39" i="1"/>
  <c r="E39" i="1"/>
  <c r="B40" i="1"/>
  <c r="E40" i="1"/>
  <c r="B41" i="1"/>
  <c r="E41" i="1"/>
  <c r="B42" i="1"/>
  <c r="E42" i="1"/>
  <c r="B43" i="1"/>
  <c r="E43" i="1"/>
  <c r="B44" i="1"/>
  <c r="E44" i="1"/>
  <c r="B45" i="1"/>
  <c r="E45" i="1"/>
  <c r="B46" i="1"/>
  <c r="E46" i="1"/>
  <c r="B47" i="1"/>
  <c r="E47" i="1"/>
  <c r="B48" i="1"/>
  <c r="E48" i="1"/>
  <c r="B49" i="1"/>
  <c r="E49" i="1"/>
  <c r="B50" i="1"/>
  <c r="E50" i="1"/>
  <c r="B51" i="1"/>
  <c r="E51" i="1"/>
  <c r="B52" i="1"/>
  <c r="E52" i="1"/>
  <c r="B53" i="1"/>
  <c r="E53" i="1"/>
  <c r="B54" i="1"/>
  <c r="E54" i="1"/>
  <c r="B55" i="1"/>
  <c r="E55" i="1"/>
  <c r="B56" i="1"/>
  <c r="E56" i="1"/>
  <c r="B57" i="1"/>
  <c r="E57" i="1"/>
  <c r="B58" i="1"/>
  <c r="E58" i="1"/>
  <c r="B59" i="1"/>
  <c r="E59" i="1"/>
  <c r="B60" i="1"/>
  <c r="E60" i="1"/>
  <c r="B61" i="1"/>
  <c r="E61" i="1"/>
  <c r="B62" i="1"/>
  <c r="E62" i="1"/>
  <c r="B63" i="1"/>
  <c r="E63" i="1"/>
  <c r="B64" i="1"/>
  <c r="E64" i="1"/>
  <c r="B65" i="1"/>
  <c r="E65" i="1"/>
  <c r="B66" i="1"/>
  <c r="E66" i="1"/>
  <c r="B67" i="1"/>
  <c r="E67" i="1"/>
  <c r="B68" i="1"/>
  <c r="E68" i="1"/>
  <c r="B69" i="1"/>
  <c r="E69" i="1"/>
  <c r="B70" i="1"/>
  <c r="E70" i="1"/>
  <c r="B71" i="1"/>
  <c r="E71" i="1"/>
  <c r="B72" i="1"/>
  <c r="E72" i="1"/>
  <c r="B73" i="1"/>
  <c r="E73" i="1"/>
  <c r="B74" i="1"/>
  <c r="E74" i="1"/>
  <c r="B75" i="1"/>
  <c r="E75" i="1"/>
  <c r="B76" i="1"/>
  <c r="E76" i="1"/>
  <c r="B77" i="1"/>
  <c r="E77" i="1"/>
  <c r="B78" i="1"/>
  <c r="E78" i="1"/>
  <c r="B79" i="1"/>
  <c r="E79" i="1"/>
  <c r="B80" i="1"/>
  <c r="E80" i="1"/>
  <c r="B81" i="1"/>
  <c r="E81" i="1"/>
  <c r="B82" i="1"/>
  <c r="E82" i="1"/>
  <c r="B83" i="1"/>
  <c r="E83" i="1"/>
  <c r="B84" i="1"/>
  <c r="E84" i="1"/>
  <c r="B85" i="1"/>
  <c r="E85" i="1"/>
  <c r="B86" i="1"/>
  <c r="E86" i="1"/>
  <c r="B87" i="1"/>
  <c r="E87" i="1"/>
  <c r="B88" i="1"/>
  <c r="E88" i="1"/>
  <c r="B89" i="1"/>
  <c r="E89" i="1"/>
  <c r="B90" i="1"/>
  <c r="E90" i="1"/>
  <c r="B91" i="1"/>
  <c r="E91" i="1"/>
  <c r="B92" i="1"/>
  <c r="E92" i="1"/>
  <c r="B93" i="1"/>
  <c r="E93" i="1"/>
  <c r="B94" i="1"/>
  <c r="E94" i="1"/>
  <c r="B95" i="1"/>
  <c r="E95" i="1"/>
  <c r="B96" i="1"/>
  <c r="E96" i="1"/>
  <c r="B97" i="1"/>
  <c r="E97" i="1"/>
  <c r="B98" i="1"/>
  <c r="E98" i="1"/>
  <c r="B99" i="1"/>
  <c r="E99" i="1"/>
  <c r="B100" i="1"/>
  <c r="E100" i="1"/>
  <c r="B101" i="1"/>
  <c r="E101" i="1"/>
  <c r="B102" i="1"/>
  <c r="E102" i="1"/>
  <c r="B103" i="1"/>
  <c r="E103" i="1"/>
  <c r="B104" i="1"/>
  <c r="E104" i="1"/>
  <c r="B105" i="1"/>
  <c r="E105" i="1"/>
  <c r="B106" i="1"/>
  <c r="E106" i="1"/>
  <c r="B107" i="1"/>
  <c r="E107" i="1"/>
  <c r="B108" i="1"/>
  <c r="E108" i="1"/>
  <c r="B109" i="1"/>
  <c r="E109" i="1"/>
  <c r="B110" i="1"/>
  <c r="E110" i="1"/>
  <c r="B111" i="1"/>
  <c r="E111" i="1"/>
  <c r="B112" i="1"/>
  <c r="E112" i="1"/>
  <c r="B113" i="1"/>
  <c r="E113" i="1"/>
  <c r="B114" i="1"/>
  <c r="E114" i="1"/>
  <c r="B115" i="1"/>
  <c r="E115" i="1"/>
  <c r="B116" i="1"/>
  <c r="E116" i="1"/>
  <c r="B117" i="1"/>
  <c r="E117" i="1"/>
  <c r="B118" i="1"/>
  <c r="E118" i="1"/>
  <c r="B119" i="1"/>
  <c r="E119" i="1"/>
  <c r="B120" i="1"/>
  <c r="E120" i="1"/>
  <c r="B121" i="1"/>
  <c r="E121" i="1"/>
  <c r="B122" i="1"/>
  <c r="E122" i="1"/>
  <c r="B123" i="1"/>
  <c r="E123" i="1"/>
  <c r="B124" i="1"/>
  <c r="E124" i="1"/>
  <c r="B125" i="1"/>
  <c r="E125" i="1"/>
  <c r="B126" i="1"/>
  <c r="E126" i="1"/>
  <c r="B127" i="1"/>
  <c r="E127" i="1"/>
  <c r="B128" i="1"/>
  <c r="E128" i="1"/>
  <c r="B129" i="1"/>
  <c r="E129" i="1"/>
  <c r="B130" i="1"/>
  <c r="E130" i="1"/>
  <c r="B131" i="1"/>
  <c r="E131" i="1"/>
  <c r="B132" i="1"/>
  <c r="E132" i="1"/>
  <c r="B133" i="1"/>
  <c r="E133" i="1"/>
  <c r="B134" i="1"/>
  <c r="E134" i="1"/>
  <c r="B135" i="1"/>
  <c r="E135" i="1"/>
  <c r="B136" i="1"/>
  <c r="E136" i="1"/>
  <c r="B137" i="1"/>
  <c r="E137" i="1"/>
  <c r="B138" i="1"/>
  <c r="E138" i="1"/>
  <c r="B139" i="1"/>
  <c r="E139" i="1"/>
  <c r="B140" i="1"/>
  <c r="E140" i="1"/>
  <c r="B141" i="1"/>
  <c r="E141" i="1"/>
  <c r="B142" i="1"/>
  <c r="E142" i="1"/>
  <c r="B143" i="1"/>
  <c r="E143" i="1"/>
  <c r="B144" i="1"/>
  <c r="E144" i="1"/>
  <c r="B145" i="1"/>
  <c r="E145" i="1"/>
  <c r="B146" i="1"/>
  <c r="E146" i="1"/>
  <c r="B147" i="1"/>
  <c r="E147" i="1"/>
  <c r="B148" i="1"/>
  <c r="E148" i="1"/>
  <c r="B149" i="1"/>
  <c r="E149" i="1"/>
  <c r="B150" i="1"/>
  <c r="E150" i="1"/>
  <c r="B151" i="1"/>
  <c r="E151" i="1"/>
  <c r="B152" i="1"/>
  <c r="E152" i="1"/>
  <c r="B153" i="1"/>
  <c r="E153" i="1"/>
  <c r="B154" i="1"/>
  <c r="E154" i="1"/>
  <c r="B155" i="1"/>
  <c r="E155" i="1"/>
  <c r="B156" i="1"/>
  <c r="E156" i="1"/>
  <c r="B157" i="1"/>
  <c r="E157" i="1"/>
  <c r="B158" i="1"/>
  <c r="E158" i="1"/>
  <c r="B159" i="1"/>
  <c r="E159" i="1"/>
  <c r="B160" i="1"/>
  <c r="E160" i="1"/>
  <c r="B161" i="1"/>
  <c r="E161" i="1"/>
  <c r="B162" i="1"/>
  <c r="E162" i="1"/>
  <c r="B163" i="1"/>
  <c r="E163" i="1"/>
  <c r="B164" i="1"/>
  <c r="E164" i="1"/>
  <c r="B165" i="1"/>
  <c r="E165" i="1"/>
  <c r="B166" i="1"/>
  <c r="E166" i="1"/>
  <c r="B167" i="1"/>
  <c r="E167" i="1"/>
  <c r="B168" i="1"/>
  <c r="E168" i="1"/>
  <c r="B169" i="1"/>
  <c r="E169" i="1"/>
  <c r="B170" i="1"/>
  <c r="E170" i="1"/>
  <c r="B171" i="1"/>
  <c r="E171" i="1"/>
  <c r="B172" i="1"/>
  <c r="E172" i="1"/>
  <c r="B173" i="1"/>
  <c r="E173" i="1"/>
  <c r="B174" i="1"/>
  <c r="E174" i="1"/>
  <c r="B175" i="1"/>
  <c r="E175" i="1"/>
  <c r="B176" i="1"/>
  <c r="E176" i="1"/>
  <c r="B177" i="1"/>
  <c r="E177" i="1"/>
  <c r="B178" i="1"/>
  <c r="E178" i="1"/>
  <c r="B179" i="1"/>
  <c r="E179" i="1"/>
  <c r="B180" i="1"/>
  <c r="E180" i="1"/>
  <c r="B181" i="1"/>
  <c r="E181" i="1"/>
  <c r="B182" i="1"/>
  <c r="E182" i="1"/>
  <c r="B183" i="1"/>
  <c r="E183" i="1"/>
  <c r="B184" i="1"/>
  <c r="E184" i="1"/>
  <c r="B185" i="1"/>
  <c r="E185" i="1"/>
  <c r="B186" i="1"/>
  <c r="E186" i="1"/>
  <c r="B187" i="1"/>
  <c r="E187" i="1"/>
  <c r="B188" i="1"/>
  <c r="E188" i="1"/>
  <c r="B189" i="1"/>
  <c r="E189" i="1"/>
  <c r="B190" i="1"/>
  <c r="E190" i="1"/>
  <c r="B191" i="1"/>
  <c r="E191" i="1"/>
  <c r="B192" i="1"/>
  <c r="E192" i="1"/>
  <c r="B193" i="1"/>
  <c r="E193" i="1"/>
  <c r="B194" i="1"/>
  <c r="E194" i="1"/>
  <c r="B195" i="1"/>
  <c r="E195" i="1"/>
  <c r="B196" i="1"/>
  <c r="E196" i="1"/>
  <c r="B197" i="1"/>
  <c r="E197" i="1"/>
  <c r="B198" i="1"/>
  <c r="E198" i="1"/>
  <c r="B199" i="1"/>
  <c r="E199" i="1"/>
  <c r="B200" i="1"/>
  <c r="E200" i="1"/>
  <c r="B201" i="1"/>
  <c r="E201" i="1"/>
  <c r="B202" i="1"/>
  <c r="E202" i="1"/>
  <c r="B203" i="1"/>
  <c r="E203" i="1"/>
  <c r="B204" i="1"/>
  <c r="E204" i="1"/>
  <c r="B205" i="1"/>
  <c r="E205" i="1"/>
  <c r="B206" i="1"/>
  <c r="E206" i="1"/>
  <c r="B207" i="1"/>
  <c r="E207" i="1"/>
  <c r="B208" i="1"/>
  <c r="E208" i="1"/>
  <c r="B209" i="1"/>
  <c r="E209" i="1"/>
  <c r="B210" i="1"/>
  <c r="E210" i="1"/>
  <c r="B211" i="1"/>
  <c r="E211" i="1"/>
  <c r="B212" i="1"/>
  <c r="E212" i="1"/>
  <c r="B213" i="1"/>
  <c r="E213" i="1"/>
  <c r="B214" i="1"/>
  <c r="E214" i="1"/>
  <c r="B215" i="1"/>
  <c r="E215" i="1"/>
  <c r="B216" i="1"/>
  <c r="E216" i="1"/>
  <c r="B217" i="1"/>
  <c r="E217" i="1"/>
  <c r="B218" i="1"/>
  <c r="E218" i="1"/>
  <c r="B219" i="1"/>
  <c r="E219" i="1"/>
  <c r="B220" i="1"/>
  <c r="E220" i="1"/>
  <c r="B221" i="1"/>
  <c r="E221" i="1"/>
  <c r="B222" i="1"/>
  <c r="E222" i="1"/>
  <c r="B223" i="1"/>
  <c r="E223" i="1"/>
  <c r="B224" i="1"/>
  <c r="E224" i="1"/>
  <c r="B225" i="1"/>
  <c r="E225" i="1"/>
  <c r="B226" i="1"/>
  <c r="E226" i="1"/>
  <c r="B227" i="1"/>
  <c r="E227" i="1"/>
  <c r="B228" i="1"/>
  <c r="E228" i="1"/>
  <c r="B229" i="1"/>
  <c r="E229" i="1"/>
  <c r="B230" i="1"/>
  <c r="E230" i="1"/>
  <c r="B231" i="1"/>
  <c r="E231" i="1"/>
  <c r="B232" i="1"/>
  <c r="E232" i="1"/>
  <c r="B233" i="1"/>
  <c r="E233" i="1"/>
  <c r="B234" i="1"/>
  <c r="E234" i="1"/>
  <c r="B235" i="1"/>
  <c r="E235" i="1"/>
  <c r="B236" i="1"/>
  <c r="E236" i="1"/>
  <c r="B237" i="1"/>
  <c r="E237" i="1"/>
  <c r="B238" i="1"/>
  <c r="E238" i="1"/>
  <c r="B239" i="1"/>
  <c r="E239" i="1"/>
  <c r="B240" i="1"/>
  <c r="E240" i="1"/>
  <c r="B241" i="1"/>
  <c r="E241" i="1"/>
  <c r="B242" i="1"/>
  <c r="E242" i="1"/>
  <c r="B243" i="1"/>
  <c r="E243" i="1"/>
  <c r="B244" i="1"/>
  <c r="E244" i="1"/>
  <c r="B245" i="1"/>
  <c r="E245" i="1"/>
  <c r="B246" i="1"/>
  <c r="E246" i="1"/>
  <c r="B247" i="1"/>
  <c r="E247" i="1"/>
  <c r="B248" i="1"/>
  <c r="E248" i="1"/>
  <c r="B249" i="1"/>
  <c r="E249" i="1"/>
  <c r="B250" i="1"/>
  <c r="E250" i="1"/>
  <c r="B251" i="1"/>
  <c r="E251" i="1"/>
  <c r="B252" i="1"/>
  <c r="E252" i="1"/>
  <c r="B253" i="1"/>
  <c r="E253" i="1"/>
  <c r="B254" i="1"/>
  <c r="E254" i="1"/>
  <c r="B255" i="1"/>
  <c r="E255" i="1"/>
  <c r="B256" i="1"/>
  <c r="E256" i="1"/>
  <c r="B257" i="1"/>
  <c r="E257" i="1"/>
  <c r="B258" i="1"/>
  <c r="E258" i="1"/>
  <c r="B259" i="1"/>
  <c r="E259" i="1"/>
  <c r="B260" i="1"/>
  <c r="E260" i="1"/>
  <c r="B261" i="1"/>
  <c r="E261" i="1"/>
  <c r="B262" i="1"/>
  <c r="E262" i="1"/>
  <c r="B263" i="1"/>
  <c r="E263" i="1"/>
  <c r="B264" i="1"/>
  <c r="E264" i="1"/>
  <c r="B265" i="1"/>
  <c r="E265" i="1"/>
  <c r="B266" i="1"/>
  <c r="E266" i="1"/>
  <c r="B267" i="1"/>
  <c r="E267" i="1"/>
  <c r="B268" i="1"/>
  <c r="E268" i="1"/>
  <c r="B269" i="1"/>
  <c r="E269" i="1"/>
  <c r="B270" i="1"/>
  <c r="E270" i="1"/>
  <c r="B271" i="1"/>
  <c r="E271" i="1"/>
  <c r="B272" i="1"/>
  <c r="E272" i="1"/>
  <c r="B273" i="1"/>
  <c r="E273" i="1"/>
  <c r="B274" i="1"/>
  <c r="E274" i="1"/>
  <c r="B275" i="1"/>
  <c r="E275" i="1"/>
  <c r="B276" i="1"/>
  <c r="E276" i="1"/>
  <c r="B277" i="1"/>
  <c r="E277" i="1"/>
  <c r="B278" i="1"/>
  <c r="E278" i="1"/>
  <c r="B279" i="1"/>
  <c r="E279" i="1"/>
  <c r="B280" i="1"/>
  <c r="E280" i="1"/>
  <c r="B281" i="1"/>
  <c r="E281" i="1"/>
  <c r="B282" i="1"/>
  <c r="E282" i="1"/>
  <c r="B283" i="1"/>
  <c r="E283" i="1"/>
  <c r="B284" i="1"/>
  <c r="E284" i="1"/>
  <c r="B285" i="1"/>
  <c r="E285" i="1"/>
  <c r="B286" i="1"/>
  <c r="E286" i="1"/>
  <c r="B287" i="1"/>
  <c r="E287" i="1"/>
  <c r="B288" i="1"/>
  <c r="E288" i="1"/>
  <c r="B289" i="1"/>
  <c r="E289" i="1"/>
  <c r="B290" i="1"/>
  <c r="E290" i="1"/>
  <c r="B291" i="1"/>
  <c r="E291" i="1"/>
  <c r="B292" i="1"/>
  <c r="E292" i="1"/>
  <c r="B293" i="1"/>
  <c r="E293" i="1"/>
  <c r="B294" i="1"/>
  <c r="E294" i="1"/>
  <c r="B295" i="1"/>
  <c r="E295" i="1"/>
  <c r="B296" i="1"/>
  <c r="E296" i="1"/>
  <c r="B297" i="1"/>
  <c r="E297" i="1"/>
  <c r="B298" i="1"/>
  <c r="E298" i="1"/>
  <c r="B299" i="1"/>
  <c r="E299" i="1"/>
  <c r="B300" i="1"/>
  <c r="E300" i="1"/>
  <c r="B301" i="1"/>
  <c r="E301" i="1"/>
  <c r="B302" i="1"/>
  <c r="E302" i="1"/>
  <c r="B303" i="1"/>
  <c r="E303" i="1"/>
  <c r="B304" i="1"/>
  <c r="E304" i="1"/>
  <c r="B305" i="1"/>
  <c r="E305" i="1"/>
  <c r="B306" i="1"/>
  <c r="E306" i="1"/>
  <c r="B307" i="1"/>
  <c r="E307" i="1"/>
  <c r="B308" i="1"/>
  <c r="E308" i="1"/>
  <c r="B309" i="1"/>
  <c r="E309" i="1"/>
  <c r="B310" i="1"/>
  <c r="E310" i="1"/>
  <c r="B311" i="1"/>
  <c r="E311" i="1"/>
  <c r="B312" i="1"/>
  <c r="E312" i="1"/>
  <c r="B313" i="1"/>
  <c r="E313" i="1"/>
  <c r="B314" i="1"/>
  <c r="E314" i="1"/>
  <c r="B315" i="1"/>
  <c r="E315" i="1"/>
  <c r="B316" i="1"/>
  <c r="E316" i="1"/>
  <c r="B317" i="1"/>
  <c r="E317" i="1"/>
  <c r="B318" i="1"/>
  <c r="E318" i="1"/>
  <c r="B319" i="1"/>
  <c r="E319" i="1"/>
  <c r="B320" i="1"/>
  <c r="E320" i="1"/>
  <c r="B321" i="1"/>
  <c r="E321" i="1"/>
  <c r="B322" i="1"/>
  <c r="E322" i="1"/>
  <c r="B323" i="1"/>
  <c r="E323" i="1"/>
  <c r="B324" i="1"/>
  <c r="E324" i="1"/>
  <c r="B325" i="1"/>
  <c r="E325" i="1"/>
  <c r="B326" i="1"/>
  <c r="E326" i="1"/>
  <c r="B327" i="1"/>
  <c r="E327" i="1"/>
  <c r="B328" i="1"/>
  <c r="E328" i="1"/>
  <c r="B329" i="1"/>
  <c r="E329" i="1"/>
  <c r="B330" i="1"/>
  <c r="E330" i="1"/>
  <c r="B331" i="1"/>
  <c r="E331" i="1"/>
  <c r="B332" i="1"/>
  <c r="E332" i="1"/>
  <c r="B333" i="1"/>
  <c r="E333" i="1"/>
  <c r="B334" i="1"/>
  <c r="E334" i="1"/>
  <c r="B335" i="1"/>
  <c r="E335" i="1"/>
  <c r="B336" i="1"/>
  <c r="E336" i="1"/>
  <c r="B337" i="1"/>
  <c r="E337" i="1"/>
  <c r="B338" i="1"/>
  <c r="E338" i="1"/>
  <c r="B339" i="1"/>
  <c r="E339" i="1"/>
  <c r="B340" i="1"/>
  <c r="E340" i="1"/>
  <c r="B341" i="1"/>
  <c r="E341" i="1"/>
  <c r="B342" i="1"/>
  <c r="E342" i="1"/>
  <c r="B343" i="1"/>
  <c r="E343" i="1"/>
  <c r="B344" i="1"/>
  <c r="E344" i="1"/>
  <c r="B345" i="1"/>
  <c r="E345" i="1"/>
  <c r="B346" i="1"/>
  <c r="E346" i="1"/>
  <c r="B347" i="1"/>
  <c r="E347" i="1"/>
  <c r="B348" i="1"/>
  <c r="E348" i="1"/>
  <c r="B349" i="1"/>
  <c r="E349" i="1"/>
  <c r="B350" i="1"/>
  <c r="E350" i="1"/>
  <c r="B351" i="1"/>
  <c r="E351" i="1"/>
  <c r="B352" i="1"/>
  <c r="E352" i="1"/>
  <c r="B353" i="1"/>
  <c r="E353" i="1"/>
  <c r="B354" i="1"/>
  <c r="E354" i="1"/>
  <c r="B355" i="1"/>
  <c r="E355" i="1"/>
  <c r="B356" i="1"/>
  <c r="E356" i="1"/>
  <c r="B357" i="1"/>
  <c r="E357" i="1"/>
  <c r="B358" i="1"/>
  <c r="E358" i="1"/>
  <c r="B359" i="1"/>
  <c r="E359" i="1"/>
  <c r="B360" i="1"/>
  <c r="E360" i="1"/>
  <c r="B361" i="1"/>
  <c r="E361" i="1"/>
  <c r="B362" i="1"/>
  <c r="E362" i="1"/>
  <c r="B363" i="1"/>
  <c r="E363" i="1"/>
  <c r="B364" i="1"/>
  <c r="E364" i="1"/>
  <c r="B365" i="1"/>
  <c r="E365" i="1"/>
  <c r="B366" i="1"/>
  <c r="E366" i="1"/>
  <c r="B367" i="1"/>
  <c r="E367" i="1"/>
  <c r="B368" i="1"/>
  <c r="E368" i="1"/>
  <c r="B369" i="1"/>
  <c r="E369" i="1"/>
  <c r="B370" i="1"/>
  <c r="E370" i="1"/>
  <c r="B371" i="1"/>
  <c r="E371" i="1"/>
  <c r="B372" i="1"/>
  <c r="E372" i="1"/>
  <c r="B373" i="1"/>
  <c r="E373" i="1"/>
  <c r="B374" i="1"/>
  <c r="E374" i="1"/>
  <c r="B375" i="1"/>
  <c r="E375" i="1"/>
  <c r="B376" i="1"/>
  <c r="E376" i="1"/>
  <c r="B377" i="1"/>
  <c r="E377" i="1"/>
  <c r="B378" i="1"/>
  <c r="E378" i="1"/>
  <c r="B379" i="1"/>
  <c r="E379" i="1"/>
  <c r="B380" i="1"/>
  <c r="E380" i="1"/>
  <c r="B381" i="1"/>
  <c r="E381" i="1"/>
  <c r="B382" i="1"/>
  <c r="E382" i="1"/>
  <c r="B383" i="1"/>
  <c r="E383" i="1"/>
  <c r="B384" i="1"/>
  <c r="E384" i="1"/>
  <c r="B385" i="1"/>
  <c r="E385" i="1"/>
  <c r="B386" i="1"/>
  <c r="E386" i="1"/>
  <c r="B387" i="1"/>
  <c r="E387" i="1"/>
  <c r="B388" i="1"/>
  <c r="E388" i="1"/>
  <c r="B389" i="1"/>
  <c r="E389" i="1"/>
  <c r="B390" i="1"/>
  <c r="E390" i="1"/>
  <c r="B391" i="1"/>
  <c r="E391" i="1"/>
  <c r="B392" i="1"/>
  <c r="E392" i="1"/>
  <c r="B393" i="1"/>
  <c r="E393" i="1"/>
  <c r="B394" i="1"/>
  <c r="E394" i="1"/>
  <c r="B395" i="1"/>
  <c r="E395" i="1"/>
  <c r="B396" i="1"/>
  <c r="E396" i="1"/>
  <c r="B397" i="1"/>
  <c r="E397" i="1"/>
  <c r="B398" i="1"/>
  <c r="E398" i="1"/>
  <c r="B399" i="1"/>
  <c r="E399" i="1"/>
  <c r="B400" i="1"/>
  <c r="E400" i="1"/>
  <c r="B401" i="1"/>
  <c r="E401" i="1"/>
  <c r="B402" i="1"/>
  <c r="E402" i="1"/>
  <c r="B403" i="1"/>
  <c r="E403" i="1"/>
  <c r="B404" i="1"/>
  <c r="E404" i="1"/>
  <c r="B405" i="1"/>
  <c r="E405" i="1"/>
  <c r="B406" i="1"/>
  <c r="E406" i="1"/>
  <c r="B407" i="1"/>
  <c r="E407" i="1"/>
  <c r="B408" i="1"/>
  <c r="E408" i="1"/>
  <c r="B409" i="1"/>
  <c r="E409" i="1"/>
  <c r="B410" i="1"/>
  <c r="E410" i="1"/>
  <c r="B411" i="1"/>
  <c r="E411" i="1"/>
  <c r="B412" i="1"/>
  <c r="E412" i="1"/>
  <c r="B413" i="1"/>
  <c r="E413" i="1"/>
  <c r="B414" i="1"/>
  <c r="E414" i="1"/>
  <c r="B415" i="1"/>
  <c r="E415" i="1"/>
  <c r="B416" i="1"/>
  <c r="E416" i="1"/>
  <c r="B417" i="1"/>
  <c r="E417" i="1"/>
  <c r="B418" i="1"/>
  <c r="E418" i="1"/>
  <c r="B419" i="1"/>
  <c r="E419" i="1"/>
  <c r="B420" i="1"/>
  <c r="E420" i="1"/>
  <c r="B421" i="1"/>
  <c r="E421" i="1"/>
  <c r="B422" i="1"/>
  <c r="E422" i="1"/>
  <c r="B423" i="1"/>
  <c r="E423" i="1"/>
  <c r="B424" i="1"/>
  <c r="E424" i="1"/>
  <c r="B425" i="1"/>
  <c r="E425" i="1"/>
  <c r="B426" i="1"/>
  <c r="E426" i="1"/>
  <c r="B427" i="1"/>
  <c r="E427" i="1"/>
  <c r="B428" i="1"/>
  <c r="E428" i="1"/>
  <c r="B429" i="1"/>
  <c r="E429" i="1"/>
  <c r="B430" i="1"/>
  <c r="E430" i="1"/>
  <c r="B431" i="1"/>
  <c r="E431" i="1"/>
  <c r="B432" i="1"/>
  <c r="E432" i="1"/>
  <c r="B433" i="1"/>
  <c r="E433" i="1"/>
  <c r="B434" i="1"/>
  <c r="E434" i="1"/>
  <c r="B435" i="1"/>
  <c r="E435" i="1"/>
  <c r="B436" i="1"/>
  <c r="E436" i="1"/>
  <c r="B437" i="1"/>
  <c r="E437" i="1"/>
  <c r="B438" i="1"/>
  <c r="E438" i="1"/>
  <c r="B439" i="1"/>
  <c r="E439" i="1"/>
  <c r="B440" i="1"/>
  <c r="E440" i="1"/>
  <c r="B441" i="1"/>
  <c r="E441" i="1"/>
  <c r="B442" i="1"/>
  <c r="E442" i="1"/>
  <c r="B443" i="1"/>
  <c r="E443" i="1"/>
  <c r="B444" i="1"/>
  <c r="E444" i="1"/>
  <c r="B445" i="1"/>
  <c r="E445" i="1"/>
  <c r="B446" i="1"/>
  <c r="E446" i="1"/>
  <c r="B447" i="1"/>
  <c r="E447" i="1"/>
  <c r="B448" i="1"/>
  <c r="E448" i="1"/>
  <c r="B449" i="1"/>
  <c r="E449" i="1"/>
  <c r="B450" i="1"/>
  <c r="E450" i="1"/>
  <c r="B451" i="1"/>
  <c r="E451" i="1"/>
  <c r="B452" i="1"/>
  <c r="E452" i="1"/>
  <c r="B453" i="1"/>
  <c r="E453" i="1"/>
  <c r="B454" i="1"/>
  <c r="E454" i="1"/>
  <c r="B455" i="1"/>
  <c r="E455" i="1"/>
  <c r="B456" i="1"/>
  <c r="E456" i="1"/>
  <c r="B457" i="1"/>
  <c r="E457" i="1"/>
  <c r="B458" i="1"/>
  <c r="E458" i="1"/>
  <c r="B459" i="1"/>
  <c r="E459" i="1"/>
  <c r="B460" i="1"/>
  <c r="E460" i="1"/>
  <c r="B461" i="1"/>
  <c r="E461" i="1"/>
  <c r="B462" i="1"/>
  <c r="E462" i="1"/>
  <c r="B463" i="1"/>
  <c r="E463" i="1"/>
  <c r="B464" i="1"/>
  <c r="E464" i="1"/>
  <c r="B465" i="1"/>
  <c r="E465" i="1"/>
  <c r="B466" i="1"/>
  <c r="E466" i="1"/>
  <c r="B467" i="1"/>
  <c r="E467" i="1"/>
  <c r="B468" i="1"/>
  <c r="E468" i="1"/>
  <c r="B469" i="1"/>
  <c r="E469" i="1"/>
  <c r="B470" i="1"/>
  <c r="E470" i="1"/>
  <c r="B471" i="1"/>
  <c r="E471" i="1"/>
  <c r="B472" i="1"/>
  <c r="E472" i="1"/>
  <c r="B473" i="1"/>
  <c r="E473" i="1"/>
  <c r="B474" i="1"/>
  <c r="E474" i="1"/>
  <c r="B475" i="1"/>
  <c r="E475" i="1"/>
  <c r="B476" i="1"/>
  <c r="E476" i="1"/>
  <c r="B477" i="1"/>
  <c r="E477" i="1"/>
  <c r="B478" i="1"/>
  <c r="E478" i="1"/>
  <c r="B479" i="1"/>
  <c r="E479" i="1"/>
  <c r="B480" i="1"/>
  <c r="E480" i="1"/>
  <c r="B481" i="1"/>
  <c r="E481" i="1"/>
  <c r="B482" i="1"/>
  <c r="E482" i="1"/>
  <c r="B483" i="1"/>
  <c r="E483" i="1"/>
  <c r="B484" i="1"/>
  <c r="E484" i="1"/>
  <c r="B485" i="1"/>
  <c r="E485" i="1"/>
  <c r="B486" i="1"/>
  <c r="E486" i="1"/>
  <c r="B487" i="1"/>
  <c r="E487" i="1"/>
  <c r="B488" i="1"/>
  <c r="E488" i="1"/>
  <c r="B489" i="1"/>
  <c r="E489" i="1"/>
  <c r="B490" i="1"/>
  <c r="E490" i="1"/>
  <c r="B491" i="1"/>
  <c r="E491" i="1"/>
  <c r="B492" i="1"/>
  <c r="E492" i="1"/>
  <c r="B493" i="1"/>
  <c r="E493" i="1"/>
  <c r="B494" i="1"/>
  <c r="E494" i="1"/>
  <c r="B495" i="1"/>
  <c r="E495" i="1"/>
  <c r="B496" i="1"/>
  <c r="E496" i="1"/>
  <c r="B497" i="1"/>
  <c r="E497" i="1"/>
  <c r="B498" i="1"/>
  <c r="E498" i="1"/>
  <c r="B499" i="1"/>
  <c r="E499" i="1"/>
  <c r="B500" i="1"/>
  <c r="E500" i="1"/>
  <c r="B501" i="1"/>
  <c r="E501" i="1"/>
  <c r="B502" i="1"/>
  <c r="E502" i="1"/>
  <c r="B503" i="1"/>
  <c r="E503" i="1"/>
  <c r="B504" i="1"/>
  <c r="E504" i="1"/>
  <c r="B505" i="1"/>
  <c r="E505" i="1"/>
  <c r="B506" i="1"/>
  <c r="E506" i="1"/>
  <c r="B507" i="1"/>
  <c r="E507" i="1"/>
  <c r="B508" i="1"/>
  <c r="E508" i="1"/>
  <c r="B509" i="1"/>
  <c r="E509" i="1"/>
  <c r="B510" i="1"/>
  <c r="E510" i="1"/>
  <c r="B511" i="1"/>
  <c r="E511" i="1"/>
  <c r="B512" i="1"/>
  <c r="E512" i="1"/>
  <c r="B513" i="1"/>
  <c r="E513" i="1"/>
  <c r="B514" i="1"/>
  <c r="E514" i="1"/>
  <c r="B515" i="1"/>
  <c r="E515" i="1"/>
  <c r="B516" i="1"/>
  <c r="E516" i="1"/>
  <c r="B517" i="1"/>
  <c r="E517" i="1"/>
  <c r="B518" i="1"/>
  <c r="E518" i="1"/>
  <c r="B519" i="1"/>
  <c r="E519" i="1"/>
  <c r="B520" i="1"/>
  <c r="E520" i="1"/>
  <c r="B521" i="1"/>
  <c r="E521" i="1"/>
  <c r="B522" i="1"/>
  <c r="E522" i="1"/>
  <c r="B523" i="1"/>
  <c r="E523" i="1"/>
  <c r="B524" i="1"/>
  <c r="E524" i="1"/>
  <c r="B525" i="1"/>
  <c r="E525" i="1"/>
  <c r="B526" i="1"/>
  <c r="E526" i="1"/>
  <c r="B527" i="1"/>
  <c r="E527" i="1"/>
  <c r="B528" i="1"/>
  <c r="E528" i="1"/>
  <c r="B529" i="1"/>
  <c r="E529" i="1"/>
  <c r="B530" i="1"/>
  <c r="E530" i="1"/>
  <c r="B531" i="1"/>
  <c r="E531" i="1"/>
  <c r="B532" i="1"/>
  <c r="E532" i="1"/>
  <c r="B533" i="1"/>
  <c r="E533" i="1"/>
  <c r="B534" i="1"/>
  <c r="E534" i="1"/>
  <c r="B535" i="1"/>
  <c r="E535" i="1"/>
  <c r="B536" i="1"/>
  <c r="E536" i="1"/>
  <c r="B537" i="1"/>
  <c r="E537" i="1"/>
  <c r="B538" i="1"/>
  <c r="E538" i="1"/>
  <c r="B539" i="1"/>
  <c r="E539" i="1"/>
  <c r="B540" i="1"/>
  <c r="E540" i="1"/>
  <c r="B541" i="1"/>
  <c r="E541" i="1"/>
  <c r="B542" i="1"/>
  <c r="E542" i="1"/>
  <c r="B543" i="1"/>
  <c r="E543" i="1"/>
  <c r="B544" i="1"/>
  <c r="E544" i="1"/>
  <c r="B545" i="1"/>
  <c r="E545" i="1"/>
  <c r="B546" i="1"/>
  <c r="E546" i="1"/>
  <c r="B547" i="1"/>
  <c r="E547" i="1"/>
  <c r="B548" i="1"/>
  <c r="E548" i="1"/>
  <c r="B549" i="1"/>
  <c r="E549" i="1"/>
  <c r="B550" i="1"/>
  <c r="E550" i="1"/>
  <c r="B551" i="1"/>
  <c r="E551" i="1"/>
  <c r="B552" i="1"/>
  <c r="E552" i="1"/>
  <c r="B553" i="1"/>
  <c r="E553" i="1"/>
  <c r="B554" i="1"/>
  <c r="E554" i="1"/>
  <c r="B555" i="1"/>
  <c r="E555" i="1"/>
  <c r="B556" i="1"/>
  <c r="E556" i="1"/>
  <c r="B557" i="1"/>
  <c r="E557" i="1"/>
  <c r="B558" i="1"/>
  <c r="E558" i="1"/>
  <c r="B559" i="1"/>
  <c r="E559" i="1"/>
  <c r="B560" i="1"/>
  <c r="E560" i="1"/>
  <c r="B561" i="1"/>
  <c r="E561" i="1"/>
  <c r="B562" i="1"/>
  <c r="E562" i="1"/>
  <c r="B563" i="1"/>
  <c r="E563" i="1"/>
  <c r="B564" i="1"/>
  <c r="E564" i="1"/>
  <c r="B565" i="1"/>
  <c r="E565" i="1"/>
  <c r="B566" i="1"/>
  <c r="E566" i="1"/>
  <c r="B567" i="1"/>
  <c r="E567" i="1"/>
  <c r="B568" i="1"/>
  <c r="E568" i="1"/>
  <c r="B569" i="1"/>
  <c r="E569" i="1"/>
  <c r="B570" i="1"/>
  <c r="E570" i="1"/>
  <c r="B571" i="1"/>
  <c r="E571" i="1"/>
  <c r="B572" i="1"/>
  <c r="E572" i="1"/>
  <c r="B573" i="1"/>
  <c r="E573" i="1"/>
  <c r="B574" i="1"/>
  <c r="E574" i="1"/>
  <c r="B575" i="1"/>
  <c r="E575" i="1"/>
  <c r="B576" i="1"/>
  <c r="E576" i="1"/>
  <c r="B577" i="1"/>
  <c r="E577" i="1"/>
  <c r="B578" i="1"/>
  <c r="E578" i="1"/>
  <c r="B579" i="1"/>
  <c r="E579" i="1"/>
  <c r="B580" i="1"/>
  <c r="E580" i="1"/>
  <c r="B581" i="1"/>
  <c r="E581" i="1"/>
  <c r="B582" i="1"/>
  <c r="E582" i="1"/>
  <c r="B583" i="1"/>
  <c r="E583" i="1"/>
  <c r="B584" i="1"/>
  <c r="E584" i="1"/>
  <c r="B585" i="1"/>
  <c r="E585" i="1"/>
  <c r="B586" i="1"/>
  <c r="E586" i="1"/>
  <c r="B587" i="1"/>
  <c r="E587" i="1"/>
  <c r="B588" i="1"/>
  <c r="E588" i="1"/>
  <c r="B589" i="1"/>
  <c r="E589" i="1"/>
  <c r="B590" i="1"/>
  <c r="E590" i="1"/>
  <c r="B591" i="1"/>
  <c r="E591" i="1"/>
  <c r="B592" i="1"/>
  <c r="E592" i="1"/>
  <c r="B593" i="1"/>
  <c r="E593" i="1"/>
  <c r="B594" i="1"/>
  <c r="E594" i="1"/>
  <c r="B595" i="1"/>
  <c r="E595" i="1"/>
  <c r="B596" i="1"/>
  <c r="E596" i="1"/>
  <c r="B597" i="1"/>
  <c r="E597" i="1"/>
  <c r="B598" i="1"/>
  <c r="E598" i="1"/>
  <c r="B599" i="1"/>
  <c r="E599" i="1"/>
  <c r="B600" i="1"/>
  <c r="E600" i="1"/>
  <c r="B601" i="1"/>
  <c r="E601" i="1"/>
  <c r="B602" i="1"/>
  <c r="E602" i="1"/>
  <c r="B603" i="1"/>
  <c r="E603" i="1"/>
  <c r="B604" i="1"/>
  <c r="E604" i="1"/>
  <c r="B605" i="1"/>
  <c r="E605" i="1"/>
  <c r="B606" i="1"/>
  <c r="E606" i="1"/>
  <c r="B607" i="1"/>
  <c r="E607" i="1"/>
  <c r="B608" i="1"/>
  <c r="E608" i="1"/>
  <c r="B609" i="1"/>
  <c r="E609" i="1"/>
  <c r="B610" i="1"/>
  <c r="E610" i="1"/>
  <c r="B611" i="1"/>
  <c r="E611" i="1"/>
  <c r="B612" i="1"/>
  <c r="E612" i="1"/>
  <c r="B613" i="1"/>
  <c r="E613" i="1"/>
  <c r="B614" i="1"/>
  <c r="E614" i="1"/>
  <c r="B615" i="1"/>
  <c r="E615" i="1"/>
  <c r="B616" i="1"/>
  <c r="E616" i="1"/>
  <c r="B617" i="1"/>
  <c r="E617" i="1"/>
  <c r="B618" i="1"/>
  <c r="E618" i="1"/>
  <c r="B619" i="1"/>
  <c r="E619" i="1"/>
  <c r="B620" i="1"/>
  <c r="E620" i="1"/>
  <c r="B621" i="1"/>
  <c r="E621" i="1"/>
  <c r="B622" i="1"/>
  <c r="E622" i="1"/>
  <c r="B623" i="1"/>
  <c r="E623" i="1"/>
  <c r="B624" i="1"/>
  <c r="E624" i="1"/>
  <c r="B625" i="1"/>
  <c r="E625" i="1"/>
  <c r="B626" i="1"/>
  <c r="E626" i="1"/>
  <c r="B627" i="1"/>
  <c r="E627" i="1"/>
  <c r="B628" i="1"/>
  <c r="E628" i="1"/>
  <c r="B629" i="1"/>
  <c r="E629" i="1"/>
  <c r="B630" i="1"/>
  <c r="E630" i="1"/>
  <c r="B631" i="1"/>
  <c r="E631" i="1"/>
  <c r="B632" i="1"/>
  <c r="E632" i="1"/>
  <c r="B633" i="1"/>
  <c r="E633" i="1"/>
  <c r="B634" i="1"/>
  <c r="E634" i="1"/>
  <c r="B635" i="1"/>
  <c r="E635" i="1"/>
  <c r="B636" i="1"/>
  <c r="E636" i="1"/>
  <c r="B637" i="1"/>
  <c r="E637" i="1"/>
  <c r="B638" i="1"/>
  <c r="E638" i="1"/>
  <c r="B639" i="1"/>
  <c r="E639" i="1"/>
  <c r="B640" i="1"/>
  <c r="E640" i="1"/>
  <c r="B641" i="1"/>
  <c r="E641" i="1"/>
  <c r="B642" i="1"/>
  <c r="E642" i="1"/>
  <c r="B643" i="1"/>
  <c r="E643" i="1"/>
  <c r="B644" i="1"/>
  <c r="E644" i="1"/>
  <c r="B645" i="1"/>
  <c r="E645" i="1"/>
  <c r="B646" i="1"/>
  <c r="E646" i="1"/>
  <c r="B647" i="1"/>
  <c r="E647" i="1"/>
  <c r="B648" i="1"/>
  <c r="E648" i="1"/>
  <c r="B649" i="1"/>
  <c r="E649" i="1"/>
  <c r="B650" i="1"/>
  <c r="E650" i="1"/>
  <c r="B651" i="1"/>
  <c r="E651" i="1"/>
  <c r="B652" i="1"/>
  <c r="E652" i="1"/>
  <c r="B653" i="1"/>
  <c r="E653" i="1"/>
  <c r="B654" i="1"/>
  <c r="E654" i="1"/>
  <c r="B655" i="1"/>
  <c r="E655" i="1"/>
  <c r="B656" i="1"/>
  <c r="E656" i="1"/>
  <c r="B657" i="1"/>
  <c r="E657" i="1"/>
  <c r="B658" i="1"/>
  <c r="E658" i="1"/>
  <c r="B659" i="1"/>
  <c r="E659" i="1"/>
  <c r="B660" i="1"/>
  <c r="E660" i="1"/>
  <c r="B661" i="1"/>
  <c r="E661" i="1"/>
  <c r="B662" i="1"/>
  <c r="E662" i="1"/>
  <c r="B663" i="1"/>
  <c r="E663" i="1"/>
  <c r="B664" i="1"/>
  <c r="E664" i="1"/>
  <c r="B665" i="1"/>
  <c r="E665" i="1"/>
  <c r="B666" i="1"/>
  <c r="E666" i="1"/>
  <c r="B667" i="1"/>
  <c r="E667" i="1"/>
  <c r="B668" i="1"/>
  <c r="E668" i="1"/>
  <c r="B669" i="1"/>
  <c r="E669" i="1"/>
  <c r="B670" i="1"/>
  <c r="E670" i="1"/>
  <c r="B671" i="1"/>
  <c r="E671" i="1"/>
  <c r="B672" i="1"/>
  <c r="E672" i="1"/>
  <c r="B673" i="1"/>
  <c r="E673" i="1"/>
  <c r="B674" i="1"/>
  <c r="E674" i="1"/>
  <c r="B675" i="1"/>
  <c r="E675" i="1"/>
  <c r="B676" i="1"/>
  <c r="E676" i="1"/>
  <c r="B677" i="1"/>
  <c r="E677" i="1"/>
  <c r="B678" i="1"/>
  <c r="E678" i="1"/>
  <c r="B679" i="1"/>
  <c r="E679" i="1"/>
  <c r="B680" i="1"/>
  <c r="E680" i="1"/>
  <c r="B681" i="1"/>
  <c r="E681" i="1"/>
  <c r="B682" i="1"/>
  <c r="E682" i="1"/>
  <c r="B683" i="1"/>
  <c r="E683" i="1"/>
  <c r="B684" i="1"/>
  <c r="E684" i="1"/>
  <c r="B685" i="1"/>
  <c r="E685" i="1"/>
  <c r="B686" i="1"/>
  <c r="E686" i="1"/>
  <c r="B687" i="1"/>
  <c r="E687" i="1"/>
  <c r="B688" i="1"/>
  <c r="E688" i="1"/>
  <c r="B689" i="1"/>
  <c r="E689" i="1"/>
  <c r="B690" i="1"/>
  <c r="E690" i="1"/>
  <c r="B691" i="1"/>
  <c r="E691" i="1"/>
  <c r="B692" i="1"/>
  <c r="E692" i="1"/>
  <c r="B693" i="1"/>
  <c r="E693" i="1"/>
  <c r="B694" i="1"/>
  <c r="E694" i="1"/>
  <c r="B695" i="1"/>
  <c r="E695" i="1"/>
  <c r="B696" i="1"/>
  <c r="E696" i="1"/>
  <c r="B697" i="1"/>
  <c r="E697" i="1"/>
  <c r="B698" i="1"/>
  <c r="E698" i="1"/>
  <c r="B699" i="1"/>
  <c r="E699" i="1"/>
  <c r="B700" i="1"/>
  <c r="E700" i="1"/>
  <c r="B701" i="1"/>
  <c r="E701" i="1"/>
  <c r="B702" i="1"/>
  <c r="E702" i="1"/>
  <c r="B703" i="1"/>
  <c r="E703" i="1"/>
  <c r="B704" i="1"/>
  <c r="E704" i="1"/>
  <c r="B705" i="1"/>
  <c r="E705" i="1"/>
  <c r="B706" i="1"/>
  <c r="E706" i="1"/>
  <c r="B707" i="1"/>
  <c r="E707" i="1"/>
  <c r="B708" i="1"/>
  <c r="E708" i="1"/>
  <c r="B709" i="1"/>
  <c r="E709" i="1"/>
  <c r="B710" i="1"/>
  <c r="E710" i="1"/>
  <c r="B711" i="1"/>
  <c r="E711" i="1"/>
  <c r="B712" i="1"/>
  <c r="E712" i="1"/>
  <c r="B713" i="1"/>
  <c r="E713" i="1"/>
  <c r="B714" i="1"/>
  <c r="E714" i="1"/>
  <c r="B715" i="1"/>
  <c r="E715" i="1"/>
  <c r="B716" i="1"/>
  <c r="E716" i="1"/>
  <c r="B717" i="1"/>
  <c r="E717" i="1"/>
  <c r="B718" i="1"/>
  <c r="E718" i="1"/>
  <c r="B719" i="1"/>
  <c r="E719" i="1"/>
  <c r="B720" i="1"/>
  <c r="E720" i="1"/>
  <c r="B721" i="1"/>
  <c r="E721" i="1"/>
  <c r="B722" i="1"/>
  <c r="E722" i="1"/>
  <c r="B723" i="1"/>
  <c r="E723" i="1"/>
  <c r="B724" i="1"/>
  <c r="E724" i="1"/>
  <c r="B725" i="1"/>
  <c r="E725" i="1"/>
  <c r="B726" i="1"/>
  <c r="E726" i="1"/>
  <c r="B727" i="1"/>
  <c r="E727" i="1"/>
  <c r="B728" i="1"/>
  <c r="E728" i="1"/>
  <c r="B729" i="1"/>
  <c r="E729" i="1"/>
  <c r="B730" i="1"/>
  <c r="E730" i="1"/>
  <c r="B731" i="1"/>
  <c r="E731" i="1"/>
  <c r="B732" i="1"/>
  <c r="E732" i="1"/>
  <c r="B733" i="1"/>
  <c r="E733" i="1"/>
  <c r="B734" i="1"/>
  <c r="E734" i="1"/>
  <c r="B735" i="1"/>
  <c r="E735" i="1"/>
  <c r="B736" i="1"/>
  <c r="E736" i="1"/>
  <c r="B737" i="1"/>
  <c r="E737" i="1"/>
  <c r="B738" i="1"/>
  <c r="E738" i="1"/>
  <c r="B739" i="1"/>
  <c r="E739" i="1"/>
  <c r="B740" i="1"/>
  <c r="E740" i="1"/>
  <c r="B741" i="1"/>
  <c r="E741" i="1"/>
  <c r="B742" i="1"/>
  <c r="E742" i="1"/>
  <c r="B743" i="1"/>
  <c r="E743" i="1"/>
  <c r="B744" i="1"/>
  <c r="E744" i="1"/>
  <c r="B745" i="1"/>
  <c r="E745" i="1"/>
  <c r="B746" i="1"/>
  <c r="E746" i="1"/>
  <c r="B747" i="1"/>
  <c r="E747" i="1"/>
  <c r="B748" i="1"/>
  <c r="E748" i="1"/>
  <c r="B749" i="1"/>
  <c r="E749" i="1"/>
  <c r="B750" i="1"/>
  <c r="E750" i="1"/>
  <c r="B751" i="1"/>
  <c r="E751" i="1"/>
  <c r="B752" i="1"/>
  <c r="E752" i="1"/>
  <c r="B753" i="1"/>
  <c r="E753" i="1"/>
  <c r="B754" i="1"/>
  <c r="E754" i="1"/>
  <c r="B755" i="1"/>
  <c r="E755" i="1"/>
  <c r="B756" i="1"/>
  <c r="E756" i="1"/>
  <c r="B757" i="1"/>
  <c r="E757" i="1"/>
  <c r="B758" i="1"/>
  <c r="E758" i="1"/>
  <c r="B759" i="1"/>
  <c r="E759" i="1"/>
  <c r="B760" i="1"/>
  <c r="E760" i="1"/>
  <c r="B761" i="1"/>
  <c r="E761" i="1"/>
  <c r="B762" i="1"/>
  <c r="E762" i="1"/>
  <c r="B763" i="1"/>
  <c r="E763" i="1"/>
  <c r="B764" i="1"/>
  <c r="E764" i="1"/>
  <c r="B765" i="1"/>
  <c r="E765" i="1"/>
  <c r="B766" i="1"/>
  <c r="E766" i="1"/>
  <c r="B767" i="1"/>
  <c r="E767" i="1"/>
  <c r="B768" i="1"/>
  <c r="E768" i="1"/>
  <c r="B769" i="1"/>
  <c r="E769" i="1"/>
  <c r="B770" i="1"/>
  <c r="E770" i="1"/>
  <c r="B771" i="1"/>
  <c r="E771" i="1"/>
  <c r="B772" i="1"/>
  <c r="E772" i="1"/>
  <c r="B773" i="1"/>
  <c r="E773" i="1"/>
  <c r="B774" i="1"/>
  <c r="B775" i="1"/>
  <c r="E775" i="1"/>
  <c r="B776" i="1"/>
  <c r="E776" i="1"/>
  <c r="B777" i="1"/>
  <c r="E777" i="1"/>
  <c r="B778" i="1"/>
  <c r="E778" i="1"/>
  <c r="B779" i="1"/>
  <c r="E779" i="1"/>
  <c r="B780" i="1"/>
  <c r="E780" i="1"/>
  <c r="B781" i="1"/>
  <c r="E781" i="1"/>
  <c r="B782" i="1"/>
  <c r="E782" i="1"/>
  <c r="B783" i="1"/>
  <c r="E783" i="1"/>
  <c r="B784" i="1"/>
  <c r="E784" i="1"/>
  <c r="B785" i="1"/>
  <c r="E785" i="1"/>
  <c r="B786" i="1"/>
  <c r="E786" i="1"/>
  <c r="B787" i="1"/>
  <c r="E787" i="1"/>
  <c r="B788" i="1"/>
  <c r="E788" i="1"/>
  <c r="B789" i="1"/>
  <c r="E789" i="1"/>
  <c r="B790" i="1"/>
  <c r="E790" i="1"/>
  <c r="B791" i="1"/>
  <c r="E791" i="1"/>
  <c r="B792" i="1"/>
  <c r="E792" i="1"/>
  <c r="B793" i="1"/>
  <c r="E793" i="1"/>
  <c r="B794" i="1"/>
  <c r="E794" i="1"/>
  <c r="B795" i="1"/>
  <c r="E795" i="1"/>
  <c r="B796" i="1"/>
  <c r="E796" i="1"/>
  <c r="B797" i="1"/>
  <c r="E797" i="1"/>
  <c r="B798" i="1"/>
  <c r="E798" i="1"/>
  <c r="B799" i="1"/>
  <c r="E799" i="1"/>
  <c r="B800" i="1"/>
  <c r="E800" i="1"/>
  <c r="B801" i="1"/>
  <c r="E801" i="1"/>
  <c r="B802" i="1"/>
  <c r="E802" i="1"/>
  <c r="B803" i="1"/>
  <c r="E803" i="1"/>
  <c r="B804" i="1"/>
  <c r="E804" i="1"/>
  <c r="B805" i="1"/>
  <c r="E805" i="1"/>
  <c r="B806" i="1"/>
  <c r="E806" i="1"/>
  <c r="B807" i="1"/>
  <c r="E807" i="1"/>
  <c r="B808" i="1"/>
  <c r="E808" i="1"/>
  <c r="B809" i="1"/>
  <c r="E809" i="1"/>
  <c r="B810" i="1"/>
  <c r="E810" i="1"/>
  <c r="B811" i="1"/>
  <c r="E811" i="1"/>
  <c r="B812" i="1"/>
  <c r="E812" i="1"/>
  <c r="B813" i="1"/>
  <c r="E813" i="1"/>
  <c r="B814" i="1"/>
  <c r="E814" i="1"/>
  <c r="B815" i="1"/>
  <c r="E815" i="1"/>
  <c r="B816" i="1"/>
  <c r="E816" i="1"/>
  <c r="B817" i="1"/>
  <c r="E817" i="1"/>
  <c r="B818" i="1"/>
  <c r="E818" i="1"/>
  <c r="B819" i="1"/>
  <c r="E819" i="1"/>
  <c r="B820" i="1"/>
  <c r="E820" i="1"/>
  <c r="B821" i="1"/>
  <c r="E821" i="1"/>
  <c r="B822" i="1"/>
  <c r="E822" i="1"/>
  <c r="B823" i="1"/>
  <c r="E823" i="1"/>
  <c r="B824" i="1"/>
  <c r="E824" i="1"/>
  <c r="B825" i="1"/>
  <c r="E825" i="1"/>
  <c r="B826" i="1"/>
  <c r="E826" i="1"/>
  <c r="B827" i="1"/>
  <c r="E827" i="1"/>
  <c r="B828" i="1"/>
  <c r="E828" i="1"/>
  <c r="B829" i="1"/>
  <c r="E829" i="1"/>
  <c r="B830" i="1"/>
  <c r="E830" i="1"/>
  <c r="B831" i="1"/>
  <c r="E831" i="1"/>
  <c r="B832" i="1"/>
  <c r="E832" i="1"/>
  <c r="B833" i="1"/>
  <c r="E833" i="1"/>
  <c r="B834" i="1"/>
  <c r="E834" i="1"/>
  <c r="B835" i="1"/>
  <c r="E835" i="1"/>
  <c r="B836" i="1"/>
  <c r="E836" i="1"/>
  <c r="B837" i="1"/>
  <c r="E837" i="1"/>
  <c r="B838" i="1"/>
  <c r="E838" i="1"/>
  <c r="B839" i="1"/>
  <c r="E839" i="1"/>
  <c r="B840" i="1"/>
  <c r="E840" i="1"/>
  <c r="B841" i="1"/>
  <c r="E841" i="1"/>
  <c r="B842" i="1"/>
  <c r="E842" i="1"/>
  <c r="B843" i="1"/>
  <c r="E843" i="1"/>
  <c r="B844" i="1"/>
  <c r="E844" i="1"/>
  <c r="B845" i="1"/>
  <c r="E845" i="1"/>
  <c r="B846" i="1"/>
  <c r="E846" i="1"/>
  <c r="B847" i="1"/>
  <c r="E847" i="1"/>
  <c r="B848" i="1"/>
  <c r="E848" i="1"/>
  <c r="B849" i="1"/>
  <c r="E849" i="1"/>
  <c r="B850" i="1"/>
  <c r="E850" i="1"/>
  <c r="B851" i="1"/>
  <c r="E851" i="1"/>
  <c r="B852" i="1"/>
  <c r="E852" i="1"/>
  <c r="B853" i="1"/>
  <c r="E853" i="1"/>
  <c r="B854" i="1"/>
  <c r="E854" i="1"/>
  <c r="B855" i="1"/>
  <c r="E855" i="1"/>
  <c r="B856" i="1"/>
  <c r="E856" i="1"/>
  <c r="B857" i="1"/>
  <c r="E857" i="1"/>
  <c r="B858" i="1"/>
  <c r="E858" i="1"/>
  <c r="B859" i="1"/>
  <c r="E859" i="1"/>
  <c r="B860" i="1"/>
  <c r="E860" i="1"/>
  <c r="B861" i="1"/>
  <c r="E861" i="1"/>
  <c r="B862" i="1"/>
  <c r="E862" i="1"/>
  <c r="B863" i="1"/>
  <c r="E863" i="1"/>
  <c r="B864" i="1"/>
  <c r="E864" i="1"/>
  <c r="B865" i="1"/>
  <c r="E865" i="1"/>
  <c r="B866" i="1"/>
  <c r="E866" i="1"/>
  <c r="B867" i="1"/>
  <c r="E867" i="1"/>
  <c r="B868" i="1"/>
  <c r="E868" i="1"/>
  <c r="B869" i="1"/>
  <c r="E869" i="1"/>
  <c r="B870" i="1"/>
  <c r="E870" i="1"/>
  <c r="B871" i="1"/>
  <c r="E871" i="1"/>
  <c r="B872" i="1"/>
  <c r="E872" i="1"/>
  <c r="B873" i="1"/>
  <c r="E873" i="1"/>
  <c r="B874" i="1"/>
  <c r="E874" i="1"/>
  <c r="B875" i="1"/>
  <c r="E875" i="1"/>
  <c r="B876" i="1"/>
  <c r="E876" i="1"/>
  <c r="B877" i="1"/>
  <c r="E877" i="1"/>
  <c r="B878" i="1"/>
  <c r="E878" i="1"/>
  <c r="B879" i="1"/>
  <c r="E879" i="1"/>
  <c r="B880" i="1"/>
  <c r="E880" i="1"/>
  <c r="B881" i="1"/>
  <c r="E881" i="1"/>
  <c r="B882" i="1"/>
  <c r="E882" i="1"/>
  <c r="B883" i="1"/>
  <c r="E883" i="1"/>
  <c r="B884" i="1"/>
  <c r="E884" i="1"/>
  <c r="B885" i="1"/>
  <c r="E885" i="1"/>
  <c r="B886" i="1"/>
  <c r="E886" i="1"/>
  <c r="B887" i="1"/>
  <c r="E887" i="1"/>
  <c r="B888" i="1"/>
  <c r="E888" i="1"/>
  <c r="B889" i="1"/>
  <c r="E889" i="1"/>
  <c r="B890" i="1"/>
  <c r="E890" i="1"/>
  <c r="B891" i="1"/>
  <c r="E891" i="1"/>
  <c r="B892" i="1"/>
  <c r="E892" i="1"/>
  <c r="B893" i="1"/>
  <c r="E893" i="1"/>
  <c r="B894" i="1"/>
  <c r="E894" i="1"/>
  <c r="B895" i="1"/>
  <c r="E895" i="1"/>
  <c r="B896" i="1"/>
  <c r="E896" i="1"/>
  <c r="B897" i="1"/>
  <c r="E897" i="1"/>
  <c r="B898" i="1"/>
  <c r="E898" i="1"/>
  <c r="B899" i="1"/>
  <c r="E899" i="1"/>
  <c r="B900" i="1"/>
  <c r="E900" i="1"/>
  <c r="B901" i="1"/>
  <c r="E901" i="1"/>
  <c r="B902" i="1"/>
  <c r="E902" i="1"/>
  <c r="B903" i="1"/>
  <c r="E903" i="1"/>
  <c r="B904" i="1"/>
  <c r="E904" i="1"/>
  <c r="B905" i="1"/>
  <c r="E905" i="1"/>
  <c r="B906" i="1"/>
  <c r="E906" i="1"/>
  <c r="B907" i="1"/>
  <c r="E907" i="1"/>
  <c r="B908" i="1"/>
  <c r="E908" i="1"/>
  <c r="B909" i="1"/>
  <c r="E909" i="1"/>
  <c r="B910" i="1"/>
  <c r="E910" i="1"/>
  <c r="B911" i="1"/>
  <c r="E911" i="1"/>
  <c r="B912" i="1"/>
  <c r="E912" i="1"/>
  <c r="B913" i="1"/>
  <c r="E913" i="1"/>
  <c r="B914" i="1"/>
  <c r="E914" i="1"/>
  <c r="B915" i="1"/>
  <c r="E915" i="1"/>
  <c r="B916" i="1"/>
  <c r="E916" i="1"/>
  <c r="B917" i="1"/>
  <c r="E917" i="1"/>
  <c r="B918" i="1"/>
  <c r="E918" i="1"/>
  <c r="B919" i="1"/>
  <c r="E919" i="1"/>
  <c r="B920" i="1"/>
  <c r="E920" i="1"/>
  <c r="B921" i="1"/>
  <c r="E921" i="1"/>
  <c r="B922" i="1"/>
  <c r="E922" i="1"/>
  <c r="B923" i="1"/>
  <c r="E923" i="1"/>
  <c r="B924" i="1"/>
  <c r="E924" i="1"/>
  <c r="B925" i="1"/>
  <c r="E925" i="1"/>
  <c r="B926" i="1"/>
  <c r="E926" i="1"/>
  <c r="B927" i="1"/>
  <c r="E927" i="1"/>
  <c r="B928" i="1"/>
  <c r="E928" i="1"/>
  <c r="B929" i="1"/>
  <c r="E929" i="1"/>
  <c r="B930" i="1"/>
  <c r="E930" i="1"/>
  <c r="B931" i="1"/>
  <c r="E931" i="1"/>
  <c r="B932" i="1"/>
  <c r="E932" i="1"/>
  <c r="B933" i="1"/>
  <c r="E933" i="1"/>
  <c r="B934" i="1"/>
  <c r="E934" i="1"/>
  <c r="B935" i="1"/>
  <c r="E935" i="1"/>
  <c r="B936" i="1"/>
  <c r="E936" i="1"/>
  <c r="B937" i="1"/>
  <c r="E937" i="1"/>
  <c r="B938" i="1"/>
  <c r="E938" i="1"/>
  <c r="B939" i="1"/>
  <c r="E939" i="1"/>
  <c r="B940" i="1"/>
  <c r="E940" i="1"/>
  <c r="B941" i="1"/>
  <c r="E941" i="1"/>
  <c r="B942" i="1"/>
  <c r="E942" i="1"/>
  <c r="B943" i="1"/>
  <c r="E943" i="1"/>
  <c r="B944" i="1"/>
  <c r="E944" i="1"/>
  <c r="B945" i="1"/>
  <c r="E945" i="1"/>
  <c r="B946" i="1"/>
  <c r="E946" i="1"/>
  <c r="B947" i="1"/>
  <c r="E947" i="1"/>
  <c r="B948" i="1"/>
  <c r="E948" i="1"/>
  <c r="B949" i="1"/>
  <c r="E949" i="1"/>
  <c r="B950" i="1"/>
  <c r="E950" i="1"/>
  <c r="B951" i="1"/>
  <c r="E951" i="1"/>
  <c r="B952" i="1"/>
  <c r="E952" i="1"/>
  <c r="B953" i="1"/>
  <c r="E953" i="1"/>
  <c r="B954" i="1"/>
  <c r="E954" i="1"/>
  <c r="B955" i="1"/>
  <c r="E955" i="1"/>
  <c r="B956" i="1"/>
  <c r="E956" i="1"/>
  <c r="B957" i="1"/>
  <c r="E957" i="1"/>
  <c r="B958" i="1"/>
  <c r="E958" i="1"/>
  <c r="B959" i="1"/>
  <c r="E959" i="1"/>
  <c r="B960" i="1"/>
  <c r="E960" i="1"/>
  <c r="B961" i="1"/>
  <c r="E961" i="1"/>
  <c r="B962" i="1"/>
  <c r="E962" i="1"/>
  <c r="B963" i="1"/>
  <c r="E963" i="1"/>
  <c r="B964" i="1"/>
  <c r="E964" i="1"/>
  <c r="B965" i="1"/>
  <c r="E965" i="1"/>
  <c r="B966" i="1"/>
  <c r="E966" i="1"/>
  <c r="B967" i="1"/>
  <c r="E967" i="1"/>
  <c r="B968" i="1"/>
  <c r="E968" i="1"/>
  <c r="B969" i="1"/>
  <c r="E969" i="1"/>
  <c r="B970" i="1"/>
  <c r="E970" i="1"/>
  <c r="B971" i="1"/>
  <c r="E971" i="1"/>
  <c r="B972" i="1"/>
  <c r="E972" i="1"/>
  <c r="B973" i="1"/>
  <c r="E973" i="1"/>
  <c r="B974" i="1"/>
  <c r="E974" i="1"/>
  <c r="B975" i="1"/>
  <c r="E975" i="1"/>
  <c r="B976" i="1"/>
  <c r="E976" i="1"/>
  <c r="B977" i="1"/>
  <c r="E977" i="1"/>
  <c r="B978" i="1"/>
  <c r="E978" i="1"/>
  <c r="B979" i="1"/>
  <c r="E979" i="1"/>
  <c r="B980" i="1"/>
  <c r="E980" i="1"/>
  <c r="B981" i="1"/>
  <c r="E981" i="1"/>
  <c r="B982" i="1"/>
  <c r="E982" i="1"/>
  <c r="B983" i="1"/>
  <c r="E983" i="1"/>
  <c r="B984" i="1"/>
  <c r="E984" i="1"/>
  <c r="B985" i="1"/>
  <c r="E985" i="1"/>
  <c r="B986" i="1"/>
  <c r="E986" i="1"/>
  <c r="B987" i="1"/>
  <c r="E987" i="1"/>
  <c r="B988" i="1"/>
  <c r="E988" i="1"/>
  <c r="B989" i="1"/>
  <c r="E989" i="1"/>
  <c r="B990" i="1"/>
  <c r="E990" i="1"/>
  <c r="B991" i="1"/>
  <c r="E991" i="1"/>
  <c r="B992" i="1"/>
  <c r="E992" i="1"/>
  <c r="B993" i="1"/>
  <c r="E993" i="1"/>
  <c r="B994" i="1"/>
  <c r="E994" i="1"/>
  <c r="B995" i="1"/>
  <c r="E995" i="1"/>
  <c r="B996" i="1"/>
  <c r="E996" i="1"/>
  <c r="B997" i="1"/>
  <c r="E997" i="1"/>
  <c r="B998" i="1"/>
  <c r="E998" i="1"/>
  <c r="B999" i="1"/>
  <c r="E999" i="1"/>
  <c r="B1000" i="1"/>
  <c r="E1000" i="1"/>
  <c r="B1001" i="1"/>
  <c r="E1001" i="1"/>
  <c r="B1002" i="1"/>
  <c r="E1002" i="1"/>
  <c r="B1003" i="1"/>
  <c r="E1003" i="1"/>
  <c r="B1004" i="1"/>
  <c r="E1004" i="1"/>
  <c r="B1005" i="1"/>
  <c r="E1005" i="1"/>
  <c r="B1006" i="1"/>
  <c r="E1006" i="1"/>
  <c r="B1007" i="1"/>
  <c r="E1007" i="1"/>
  <c r="B1008" i="1"/>
  <c r="E1008" i="1"/>
  <c r="B1009" i="1"/>
  <c r="E1009" i="1"/>
  <c r="B1010" i="1"/>
  <c r="E1010" i="1"/>
  <c r="B1011" i="1"/>
  <c r="E1011" i="1"/>
  <c r="B1012" i="1"/>
  <c r="E1012" i="1"/>
  <c r="B1013" i="1"/>
  <c r="E1013" i="1"/>
  <c r="B1014" i="1"/>
  <c r="E1014" i="1"/>
  <c r="B1015" i="1"/>
  <c r="E1015" i="1"/>
  <c r="B1016" i="1"/>
  <c r="E1016" i="1"/>
  <c r="B1017" i="1"/>
  <c r="E1017" i="1"/>
  <c r="B1018" i="1"/>
  <c r="E1018" i="1"/>
  <c r="B1019" i="1"/>
  <c r="E1019" i="1"/>
  <c r="B1020" i="1"/>
  <c r="E1020" i="1"/>
  <c r="B1021" i="1"/>
  <c r="E1021" i="1"/>
  <c r="B1022" i="1"/>
  <c r="E1022" i="1"/>
  <c r="B1023" i="1"/>
  <c r="E1023" i="1"/>
  <c r="B1024" i="1"/>
  <c r="E1024" i="1"/>
  <c r="B1025" i="1"/>
  <c r="E1025" i="1"/>
  <c r="B1026" i="1"/>
  <c r="E1026" i="1"/>
  <c r="B1027" i="1"/>
  <c r="E1027" i="1"/>
  <c r="B1028" i="1"/>
  <c r="E1028" i="1"/>
  <c r="B1029" i="1"/>
  <c r="E1029" i="1"/>
  <c r="B1030" i="1"/>
  <c r="E1030" i="1"/>
  <c r="B1031" i="1"/>
  <c r="E1031" i="1"/>
  <c r="B1032" i="1"/>
  <c r="E1032" i="1"/>
  <c r="B1033" i="1"/>
  <c r="E1033" i="1"/>
  <c r="B1034" i="1"/>
  <c r="E1034" i="1"/>
  <c r="B1035" i="1"/>
  <c r="E1035" i="1"/>
  <c r="B1036" i="1"/>
  <c r="E1036" i="1"/>
  <c r="B1037" i="1"/>
  <c r="E1037" i="1"/>
  <c r="B1038" i="1"/>
  <c r="E1038" i="1"/>
  <c r="B1039" i="1"/>
  <c r="E1039" i="1"/>
  <c r="B1040" i="1"/>
  <c r="E1040" i="1"/>
  <c r="B1041" i="1"/>
  <c r="E1041" i="1"/>
  <c r="B1042" i="1"/>
  <c r="E1042" i="1"/>
  <c r="B1043" i="1"/>
  <c r="E1043" i="1"/>
  <c r="B1044" i="1"/>
  <c r="E1044" i="1"/>
  <c r="B1045" i="1"/>
  <c r="E1045" i="1"/>
  <c r="B1046" i="1"/>
  <c r="E1046" i="1"/>
  <c r="B1047" i="1"/>
  <c r="E1047" i="1"/>
  <c r="B1048" i="1"/>
  <c r="E1048" i="1"/>
  <c r="B1049" i="1"/>
  <c r="E1049" i="1"/>
  <c r="B1050" i="1"/>
  <c r="E1050" i="1"/>
  <c r="B1051" i="1"/>
  <c r="E1051" i="1"/>
  <c r="B1052" i="1"/>
  <c r="E1052" i="1"/>
  <c r="B1053" i="1"/>
  <c r="E1053" i="1"/>
  <c r="B1054" i="1"/>
  <c r="E1054" i="1"/>
  <c r="B1055" i="1"/>
  <c r="E1055" i="1"/>
  <c r="B1056" i="1"/>
  <c r="E1056" i="1"/>
  <c r="B1057" i="1"/>
  <c r="E1057" i="1"/>
  <c r="B1058" i="1"/>
  <c r="E1058" i="1"/>
  <c r="B1059" i="1"/>
  <c r="E1059" i="1"/>
  <c r="B1060" i="1"/>
  <c r="E1060" i="1"/>
  <c r="B1061" i="1"/>
  <c r="E1061" i="1"/>
  <c r="B1062" i="1"/>
  <c r="E1062" i="1"/>
  <c r="B1063" i="1"/>
  <c r="E1063" i="1"/>
  <c r="B1064" i="1"/>
  <c r="E1064" i="1"/>
  <c r="B1065" i="1"/>
  <c r="E1065" i="1"/>
  <c r="B1066" i="1"/>
  <c r="E1066" i="1"/>
  <c r="B1067" i="1"/>
  <c r="E1067" i="1"/>
  <c r="B1068" i="1"/>
  <c r="E1068" i="1"/>
  <c r="B1069" i="1"/>
  <c r="E1069" i="1"/>
  <c r="B1070" i="1"/>
  <c r="E1070" i="1"/>
  <c r="B1071" i="1"/>
  <c r="E1071" i="1"/>
  <c r="B1072" i="1"/>
  <c r="E1072" i="1"/>
  <c r="B1073" i="1"/>
  <c r="E1073" i="1"/>
  <c r="B1074" i="1"/>
  <c r="E1074" i="1"/>
  <c r="B1075" i="1"/>
  <c r="E1075" i="1"/>
  <c r="B1076" i="1"/>
  <c r="E1076" i="1"/>
  <c r="B1077" i="1"/>
  <c r="E1077" i="1"/>
  <c r="B1078" i="1"/>
  <c r="E1078" i="1"/>
  <c r="B1079" i="1"/>
  <c r="E1079" i="1"/>
  <c r="B1080" i="1"/>
  <c r="E1080" i="1"/>
  <c r="B1081" i="1"/>
  <c r="E1081" i="1"/>
  <c r="B1082" i="1"/>
  <c r="E1082" i="1"/>
  <c r="B1083" i="1"/>
  <c r="E1083" i="1"/>
  <c r="B1084" i="1"/>
  <c r="E1084" i="1"/>
  <c r="B1085" i="1"/>
  <c r="E1085" i="1"/>
  <c r="B1086" i="1"/>
  <c r="E1086" i="1"/>
  <c r="B1087" i="1"/>
  <c r="E1087" i="1"/>
  <c r="B1088" i="1"/>
  <c r="E1088" i="1"/>
  <c r="B1089" i="1"/>
  <c r="E1089" i="1"/>
  <c r="B1090" i="1"/>
  <c r="E1090" i="1"/>
  <c r="B1091" i="1"/>
  <c r="E1091" i="1"/>
  <c r="B1092" i="1"/>
  <c r="E1092" i="1"/>
  <c r="B1093" i="1"/>
  <c r="E1093" i="1"/>
  <c r="B1094" i="1"/>
  <c r="E1094" i="1"/>
  <c r="B1095" i="1"/>
  <c r="E1095" i="1"/>
  <c r="B1096" i="1"/>
  <c r="E1096" i="1"/>
  <c r="B1097" i="1"/>
  <c r="E1097" i="1"/>
  <c r="B1098" i="1"/>
  <c r="E1098" i="1"/>
  <c r="B1099" i="1"/>
  <c r="E1099" i="1"/>
  <c r="B1100" i="1"/>
  <c r="E1100" i="1"/>
  <c r="B1101" i="1"/>
  <c r="E1101" i="1"/>
  <c r="B1102" i="1"/>
  <c r="E1102" i="1"/>
  <c r="B1103" i="1"/>
  <c r="E1103" i="1"/>
  <c r="B1104" i="1"/>
  <c r="E1104" i="1"/>
  <c r="B1105" i="1"/>
  <c r="E1105" i="1"/>
  <c r="B1106" i="1"/>
  <c r="E1106" i="1"/>
  <c r="B1107" i="1"/>
  <c r="E1107" i="1"/>
  <c r="B1108" i="1"/>
  <c r="E1108" i="1"/>
  <c r="B1109" i="1"/>
  <c r="E1109" i="1"/>
  <c r="B1110" i="1"/>
  <c r="E1110" i="1"/>
  <c r="B1111" i="1"/>
  <c r="E1111" i="1"/>
  <c r="B1112" i="1"/>
  <c r="E1112" i="1"/>
  <c r="B1113" i="1"/>
  <c r="E1113" i="1"/>
  <c r="B1114" i="1"/>
  <c r="E1114" i="1"/>
  <c r="B1115" i="1"/>
  <c r="E1115" i="1"/>
  <c r="B1116" i="1"/>
  <c r="E1116" i="1"/>
  <c r="B1117" i="1"/>
  <c r="E1117" i="1"/>
  <c r="B1118" i="1"/>
  <c r="E1118" i="1"/>
  <c r="B1119" i="1"/>
  <c r="E1119" i="1"/>
  <c r="B1120" i="1"/>
  <c r="E1120" i="1"/>
  <c r="B1121" i="1"/>
  <c r="E1121" i="1"/>
  <c r="B1122" i="1"/>
  <c r="E1122" i="1"/>
  <c r="B1123" i="1"/>
  <c r="E1123" i="1"/>
  <c r="B1124" i="1"/>
  <c r="E1124" i="1"/>
  <c r="B1125" i="1"/>
  <c r="E1125" i="1"/>
  <c r="B1126" i="1"/>
  <c r="E1126" i="1"/>
  <c r="B1127" i="1"/>
  <c r="E1127" i="1"/>
  <c r="B1128" i="1"/>
  <c r="E1128" i="1"/>
  <c r="B1129" i="1"/>
  <c r="E1129" i="1"/>
  <c r="B1130" i="1"/>
  <c r="E1130" i="1"/>
  <c r="B1131" i="1"/>
  <c r="E1131" i="1"/>
  <c r="B1132" i="1"/>
  <c r="E1132" i="1"/>
  <c r="B1133" i="1"/>
  <c r="E1133" i="1"/>
  <c r="B1134" i="1"/>
  <c r="E1134" i="1"/>
  <c r="B1135" i="1"/>
  <c r="E1135" i="1"/>
  <c r="B1136" i="1"/>
  <c r="E1136" i="1"/>
  <c r="B1137" i="1"/>
  <c r="E1137" i="1"/>
  <c r="B1138" i="1"/>
  <c r="E1138" i="1"/>
  <c r="B1139" i="1"/>
  <c r="E1139" i="1"/>
  <c r="B1140" i="1"/>
  <c r="E1140" i="1"/>
  <c r="B1141" i="1"/>
  <c r="E1141" i="1"/>
  <c r="B1142" i="1"/>
  <c r="E1142" i="1"/>
  <c r="B1143" i="1"/>
  <c r="E1143" i="1"/>
  <c r="B1144" i="1"/>
  <c r="E1144" i="1"/>
  <c r="B1145" i="1"/>
  <c r="E1145" i="1"/>
  <c r="B1146" i="1"/>
  <c r="E1146" i="1"/>
  <c r="B1147" i="1"/>
  <c r="E1147" i="1"/>
  <c r="B1148" i="1"/>
  <c r="E1148" i="1"/>
  <c r="B1149" i="1"/>
  <c r="E1149" i="1"/>
  <c r="B1150" i="1"/>
  <c r="E1150" i="1"/>
  <c r="B1151" i="1"/>
  <c r="E1151" i="1"/>
  <c r="B1152" i="1"/>
  <c r="E1152" i="1"/>
  <c r="B1153" i="1"/>
  <c r="E1153" i="1"/>
  <c r="B1154" i="1"/>
  <c r="E1154" i="1"/>
  <c r="B1155" i="1"/>
  <c r="E1155" i="1"/>
  <c r="B1156" i="1"/>
  <c r="E1156" i="1"/>
  <c r="B1157" i="1"/>
  <c r="E1157" i="1"/>
  <c r="B1158" i="1"/>
  <c r="E1158" i="1"/>
  <c r="B1159" i="1"/>
  <c r="E1159" i="1"/>
  <c r="B1160" i="1"/>
  <c r="E1160" i="1"/>
  <c r="B1161" i="1"/>
  <c r="E1161" i="1"/>
  <c r="B1162" i="1"/>
  <c r="E1162" i="1"/>
  <c r="B1163" i="1"/>
  <c r="E1163" i="1"/>
  <c r="B1164" i="1"/>
  <c r="E1164" i="1"/>
  <c r="B1165" i="1"/>
  <c r="E1165" i="1"/>
  <c r="B1166" i="1"/>
  <c r="E1166" i="1"/>
  <c r="B1167" i="1"/>
  <c r="E1167" i="1"/>
  <c r="B1168" i="1"/>
  <c r="E1168" i="1"/>
  <c r="B1169" i="1"/>
  <c r="E1169" i="1"/>
  <c r="B1170" i="1"/>
  <c r="E1170" i="1"/>
  <c r="B1171" i="1"/>
  <c r="E1171" i="1"/>
  <c r="B1172" i="1"/>
  <c r="E1172" i="1"/>
  <c r="B1173" i="1"/>
  <c r="E1173" i="1"/>
  <c r="B1174" i="1"/>
  <c r="E1174" i="1"/>
  <c r="B1175" i="1"/>
  <c r="E1175" i="1"/>
  <c r="B1176" i="1"/>
  <c r="E1176" i="1"/>
  <c r="B1177" i="1"/>
  <c r="E1177" i="1"/>
  <c r="B1178" i="1"/>
  <c r="E1178" i="1"/>
  <c r="B1179" i="1"/>
  <c r="E1179" i="1"/>
  <c r="B1180" i="1"/>
  <c r="E1180" i="1"/>
  <c r="B1181" i="1"/>
  <c r="E1181" i="1"/>
  <c r="B1182" i="1"/>
  <c r="E1182" i="1"/>
  <c r="B1183" i="1"/>
  <c r="E1183" i="1"/>
</calcChain>
</file>

<file path=xl/sharedStrings.xml><?xml version="1.0" encoding="utf-8"?>
<sst xmlns="http://schemas.openxmlformats.org/spreadsheetml/2006/main" count="5926" uniqueCount="2352">
  <si>
    <t>Ensembl ID</t>
  </si>
  <si>
    <t>Gene Symbol</t>
  </si>
  <si>
    <t>Entrez ID</t>
  </si>
  <si>
    <t>Description</t>
  </si>
  <si>
    <t>Location</t>
  </si>
  <si>
    <t>Strand</t>
  </si>
  <si>
    <t>Log2 Fold Change</t>
  </si>
  <si>
    <t>LFC Standard Error</t>
  </si>
  <si>
    <t>Wald Statistic</t>
  </si>
  <si>
    <t>p Value</t>
  </si>
  <si>
    <t>FDR Adj p Value</t>
  </si>
  <si>
    <t>Significant</t>
  </si>
  <si>
    <t>Status</t>
  </si>
  <si>
    <t>Base Mean</t>
  </si>
  <si>
    <t>B</t>
  </si>
  <si>
    <t>A</t>
  </si>
  <si>
    <t>flat_Stem_GF_VA_3</t>
  </si>
  <si>
    <t>flat_Stem_GF_VA_4</t>
  </si>
  <si>
    <t>pillar_Stem_GP_VA_1</t>
  </si>
  <si>
    <t>pillar_Stem_GP_VA_2</t>
  </si>
  <si>
    <t>ENSG00000205426</t>
  </si>
  <si>
    <t>keratin 81</t>
  </si>
  <si>
    <t>-</t>
  </si>
  <si>
    <t>Yes</t>
  </si>
  <si>
    <t>OK</t>
  </si>
  <si>
    <t>ENSG00000107984</t>
  </si>
  <si>
    <t>dickkopf WNT signaling pathway inhibitor 1</t>
  </si>
  <si>
    <t>+</t>
  </si>
  <si>
    <t>ENSG00000169213</t>
  </si>
  <si>
    <t>RAB3B, member RAS oncogene family</t>
  </si>
  <si>
    <t>ENSG00000011426</t>
  </si>
  <si>
    <t>anillin actin binding protein</t>
  </si>
  <si>
    <t>ENSG00000131747</t>
  </si>
  <si>
    <t>topoisomerase (DNA) II alpha</t>
  </si>
  <si>
    <t>ENSG00000198796</t>
  </si>
  <si>
    <t>alpha kinase 2</t>
  </si>
  <si>
    <t>ENSG00000113361</t>
  </si>
  <si>
    <t>cadherin 6</t>
  </si>
  <si>
    <t>ENSG00000117724</t>
  </si>
  <si>
    <t>centromere protein F</t>
  </si>
  <si>
    <t>ENSG00000018408</t>
  </si>
  <si>
    <t>WW domain containing transcription regulator 1</t>
  </si>
  <si>
    <t>ENSG00000111206</t>
  </si>
  <si>
    <t>forkhead box M1</t>
  </si>
  <si>
    <t>ENSG00000117632</t>
  </si>
  <si>
    <t>stathmin 1</t>
  </si>
  <si>
    <t>microRNA 3917</t>
  </si>
  <si>
    <t>ENSG00000088325</t>
  </si>
  <si>
    <t>TPX2, microtubule nucleation factor</t>
  </si>
  <si>
    <t>ENSG00000113721</t>
  </si>
  <si>
    <t>platelet derived growth factor receptor beta</t>
  </si>
  <si>
    <t>ENSG00000137804</t>
  </si>
  <si>
    <t>nucleolar and spindle associated protein 1</t>
  </si>
  <si>
    <t>ENSG00000134057</t>
  </si>
  <si>
    <t>cyclin B1</t>
  </si>
  <si>
    <t>ENSG00000066279</t>
  </si>
  <si>
    <t>abnormal spindle microtubule assembly</t>
  </si>
  <si>
    <t>ENSG00000258947</t>
  </si>
  <si>
    <t>tubulin beta 3 class III</t>
  </si>
  <si>
    <t>ENSG00000148773</t>
  </si>
  <si>
    <t>marker of proliferation Ki-67</t>
  </si>
  <si>
    <t>ENSG00000115129</t>
  </si>
  <si>
    <t>tumor protein p53 inducible protein 3</t>
  </si>
  <si>
    <t>ENSG00000198901</t>
  </si>
  <si>
    <t>protein regulator of cytokinesis 1</t>
  </si>
  <si>
    <t>ENSG00000185070</t>
  </si>
  <si>
    <t>fibronectin leucine rich transmembrane protein 2</t>
  </si>
  <si>
    <t>ENSG00000145358</t>
  </si>
  <si>
    <t>DNA damage inducible transcript 4 like</t>
  </si>
  <si>
    <t>ENSG00000170312</t>
  </si>
  <si>
    <t>cyclin dependent kinase 1</t>
  </si>
  <si>
    <t>ENSG00000119927</t>
  </si>
  <si>
    <t>glycerol-3-phosphate acyltransferase, mitochondrial</t>
  </si>
  <si>
    <t>ENSG00000115884</t>
  </si>
  <si>
    <t>syndecan 1</t>
  </si>
  <si>
    <t>ENSG00000172061</t>
  </si>
  <si>
    <t>leucine rich repeat containing 15</t>
  </si>
  <si>
    <t>ENSG00000171241</t>
  </si>
  <si>
    <t>SHC binding and spindle associated 1</t>
  </si>
  <si>
    <t>ENSG00000068489</t>
  </si>
  <si>
    <t>proline rich 11</t>
  </si>
  <si>
    <t>ENSG00000139734</t>
  </si>
  <si>
    <t>diaphanous related formin 3</t>
  </si>
  <si>
    <t>ENSG00000146918</t>
  </si>
  <si>
    <t>non-SMC condensin II complex subunit G2</t>
  </si>
  <si>
    <t>ENSG00000184254</t>
  </si>
  <si>
    <t>aldehyde dehydrogenase 1 family member A3</t>
  </si>
  <si>
    <t>ENSG00000103257</t>
  </si>
  <si>
    <t>solute carrier family 7 member 5</t>
  </si>
  <si>
    <t>ENSG00000091986</t>
  </si>
  <si>
    <t>coiled-coil domain containing 80</t>
  </si>
  <si>
    <t>ENSG00000125148</t>
  </si>
  <si>
    <t>metallothionein 2A</t>
  </si>
  <si>
    <t>ENSG00000140526</t>
  </si>
  <si>
    <t>abhydrolase domain containing 2</t>
  </si>
  <si>
    <t>ENSG00000137807</t>
  </si>
  <si>
    <t>kinesin family member 23</t>
  </si>
  <si>
    <t>ENSG00000168528</t>
  </si>
  <si>
    <t>serine incorporator 2</t>
  </si>
  <si>
    <t>ENSG00000135679</t>
  </si>
  <si>
    <t>MDM2 proto-oncogene</t>
  </si>
  <si>
    <t>ENSG00000169679</t>
  </si>
  <si>
    <t>BUB1 mitotic checkpoint serine/threonine kinase</t>
  </si>
  <si>
    <t>ENSG00000183287</t>
  </si>
  <si>
    <t>collagen and calcium binding EGF domains 1</t>
  </si>
  <si>
    <t>ENSG00000183671</t>
  </si>
  <si>
    <t>G protein-coupled receptor 1</t>
  </si>
  <si>
    <t>ENSG00000076382</t>
  </si>
  <si>
    <t>sperm associated antigen 5</t>
  </si>
  <si>
    <t>ENSG00000136542</t>
  </si>
  <si>
    <t>polypeptide N-acetylgalactosaminyltransferase 5</t>
  </si>
  <si>
    <t>ENSG00000136108</t>
  </si>
  <si>
    <t>cytoskeleton associated protein 2</t>
  </si>
  <si>
    <t>ENSG00000104419</t>
  </si>
  <si>
    <t>N-myc downstream regulated 1</t>
  </si>
  <si>
    <t>ENSG00000168078</t>
  </si>
  <si>
    <t>PDZ binding kinase</t>
  </si>
  <si>
    <t>ENSG00000166851</t>
  </si>
  <si>
    <t>polo like kinase 1</t>
  </si>
  <si>
    <t>ENSG00000137309</t>
  </si>
  <si>
    <t>high mobility group AT-hook 1</t>
  </si>
  <si>
    <t>ENSG00000126787</t>
  </si>
  <si>
    <t>DLG associated protein 5</t>
  </si>
  <si>
    <t>ENSG00000164032</t>
  </si>
  <si>
    <t>H2A histone family member Z</t>
  </si>
  <si>
    <t>ENSG00000154122</t>
  </si>
  <si>
    <t>ANKH inorganic pyrophosphate transport regulator</t>
  </si>
  <si>
    <t>ENSG00000176170</t>
  </si>
  <si>
    <t>sphingosine kinase 1</t>
  </si>
  <si>
    <t>ENSG00000169826</t>
  </si>
  <si>
    <t>chondroitin sulfate N-acetylgalactosaminyltransferase 2</t>
  </si>
  <si>
    <t>ENSG00000135048</t>
  </si>
  <si>
    <t>transmembrane protein 2</t>
  </si>
  <si>
    <t>ENSG00000122966</t>
  </si>
  <si>
    <t>citron rho-interacting serine/threonine kinase</t>
  </si>
  <si>
    <t>microRNA 1178</t>
  </si>
  <si>
    <t>ENSG00000175063</t>
  </si>
  <si>
    <t>ubiquitin conjugating enzyme E2 C</t>
  </si>
  <si>
    <t>ENSG00000117399</t>
  </si>
  <si>
    <t>cell division cycle 20</t>
  </si>
  <si>
    <t>ENSG00000168003</t>
  </si>
  <si>
    <t>solute carrier family 3 member 2</t>
  </si>
  <si>
    <t>ENSG00000109805</t>
  </si>
  <si>
    <t>non-SMC condensin I complex subunit G</t>
  </si>
  <si>
    <t>ENSG00000060982</t>
  </si>
  <si>
    <t>branched chain amino acid transaminase 1</t>
  </si>
  <si>
    <t>ENSG00000075223</t>
  </si>
  <si>
    <t>semaphorin 3C</t>
  </si>
  <si>
    <t>ENSG00000145632</t>
  </si>
  <si>
    <t>polo like kinase 2</t>
  </si>
  <si>
    <t>ENSG00000138160</t>
  </si>
  <si>
    <t>kinesin family member 11</t>
  </si>
  <si>
    <t>ENSG00000183856</t>
  </si>
  <si>
    <t>IQ motif containing GTPase activating protein 3</t>
  </si>
  <si>
    <t>ENSG00000095383</t>
  </si>
  <si>
    <t>TBC1 domain family member 2</t>
  </si>
  <si>
    <t>ENSG00000131459</t>
  </si>
  <si>
    <t>glutamine-fructose-6-phosphate transaminase 2</t>
  </si>
  <si>
    <t>ENSG00000154096</t>
  </si>
  <si>
    <t>Thy-1 cell surface antigen</t>
  </si>
  <si>
    <t>ENSG00000182481</t>
  </si>
  <si>
    <t>karyopherin subunit alpha 2</t>
  </si>
  <si>
    <t>ENSG00000065357</t>
  </si>
  <si>
    <t>diacylglycerol kinase alpha</t>
  </si>
  <si>
    <t>ENSG00000123496</t>
  </si>
  <si>
    <t>interleukin 13 receptor subunit alpha 2</t>
  </si>
  <si>
    <t>ENSG00000091409</t>
  </si>
  <si>
    <t>integrin subunit alpha 6</t>
  </si>
  <si>
    <t>ENSG00000161011</t>
  </si>
  <si>
    <t>sequestosome 1</t>
  </si>
  <si>
    <t>ENSG00000173559</t>
  </si>
  <si>
    <t>nucleic acid binding protein 1</t>
  </si>
  <si>
    <t>ENSG00000072571</t>
  </si>
  <si>
    <t>hyaluronan mediated motility receptor</t>
  </si>
  <si>
    <t>ENSG00000147872</t>
  </si>
  <si>
    <t>perilipin 2</t>
  </si>
  <si>
    <t>ENSG00000122707</t>
  </si>
  <si>
    <t>reversion inducing cysteine rich protein with kazal motifs</t>
  </si>
  <si>
    <t>ENSG00000138778</t>
  </si>
  <si>
    <t>centromere protein E</t>
  </si>
  <si>
    <t>ENSG00000122952</t>
  </si>
  <si>
    <t>ZW10 interacting kinetochore protein</t>
  </si>
  <si>
    <t>ENSG00000249992</t>
  </si>
  <si>
    <t>transmembrane protein 158 (gene/pseudogene)</t>
  </si>
  <si>
    <t>ENSG00000169607</t>
  </si>
  <si>
    <t>cytoskeleton associated protein 2 like</t>
  </si>
  <si>
    <t>ENSG00000154734</t>
  </si>
  <si>
    <t>ADAM metallopeptidase with thrombospondin type 1 motif 1</t>
  </si>
  <si>
    <t>ENSG00000137812</t>
  </si>
  <si>
    <t>kinetochore scaffold 1</t>
  </si>
  <si>
    <t>ENSG00000123416</t>
  </si>
  <si>
    <t>tubulin alpha 1b</t>
  </si>
  <si>
    <t>ENSG00000138641</t>
  </si>
  <si>
    <t>HECT and RLD domain containing E3 ubiquitin protein ligase 3</t>
  </si>
  <si>
    <t>uncharacterized LOC101929134</t>
  </si>
  <si>
    <t>ENSG00000013810</t>
  </si>
  <si>
    <t>transforming acidic coiled-coil containing protein 3</t>
  </si>
  <si>
    <t>ENSG00000164611</t>
  </si>
  <si>
    <t>pituitary tumor-transforming 1</t>
  </si>
  <si>
    <t>ENSG00000152127</t>
  </si>
  <si>
    <t>mannosyl (alpha-1,6-)-glycoprotein beta-1,6-N-acetyl-glucosaminyltransferase</t>
  </si>
  <si>
    <t>ENSG00000137868</t>
  </si>
  <si>
    <t>stimulated by retinoic acid 6</t>
  </si>
  <si>
    <t>ENSG00000129009</t>
  </si>
  <si>
    <t>immunoglobulin superfamily containing leucine rich repeat</t>
  </si>
  <si>
    <t>ENSG00000119326</t>
  </si>
  <si>
    <t>catenin alpha like 1</t>
  </si>
  <si>
    <t>ENSG00000145681</t>
  </si>
  <si>
    <t>hyaluronan and proteoglycan link protein 1</t>
  </si>
  <si>
    <t>ENSG00000033178</t>
  </si>
  <si>
    <t>ubiquitin like modifier activating enzyme 6</t>
  </si>
  <si>
    <t>ENSG00000167325</t>
  </si>
  <si>
    <t>ribonucleotide reductase catalytic subunit M1</t>
  </si>
  <si>
    <t>ENSG00000136235</t>
  </si>
  <si>
    <t>glycoprotein nmb</t>
  </si>
  <si>
    <t>ENSG00000137310</t>
  </si>
  <si>
    <t>transcription factor 19</t>
  </si>
  <si>
    <t>ENSG00000157168</t>
  </si>
  <si>
    <t>neuregulin 1</t>
  </si>
  <si>
    <t>ENSG00000135723</t>
  </si>
  <si>
    <t>formin homology 2 domain containing 1</t>
  </si>
  <si>
    <t>ENSG00000112984</t>
  </si>
  <si>
    <t>kinesin family member 20A</t>
  </si>
  <si>
    <t>ENSG00000131389</t>
  </si>
  <si>
    <t>solute carrier family 6 member 6</t>
  </si>
  <si>
    <t>ENSG00000177706</t>
  </si>
  <si>
    <t>FAM20C, golgi associated secretory pathway kinase</t>
  </si>
  <si>
    <t>ENSG00000117984</t>
  </si>
  <si>
    <t>cathepsin D</t>
  </si>
  <si>
    <t>ENSG00000259207</t>
  </si>
  <si>
    <t>integrin subunit beta 3</t>
  </si>
  <si>
    <t>ENSG00000171848</t>
  </si>
  <si>
    <t>ribonucleotide reductase regulatory subunit M2</t>
  </si>
  <si>
    <t>ENSG00000160014</t>
  </si>
  <si>
    <t>calmodulin 3</t>
  </si>
  <si>
    <t>calmodulin 2</t>
  </si>
  <si>
    <t>ENSG00000157456</t>
  </si>
  <si>
    <t>cyclin B2</t>
  </si>
  <si>
    <t>ENSG00000173376</t>
  </si>
  <si>
    <t>neuron derived neurotrophic factor</t>
  </si>
  <si>
    <t>ENSG00000100439</t>
  </si>
  <si>
    <t>abhydrolase domain containing 4</t>
  </si>
  <si>
    <t>ENSG00000167772</t>
  </si>
  <si>
    <t>angiopoietin like 4</t>
  </si>
  <si>
    <t>ENSG00000136824</t>
  </si>
  <si>
    <t>structural maintenance of chromosomes 2</t>
  </si>
  <si>
    <t>ENSG00000106537</t>
  </si>
  <si>
    <t>tetraspanin 13</t>
  </si>
  <si>
    <t>ENSG00000090889</t>
  </si>
  <si>
    <t>kinesin family member 4A</t>
  </si>
  <si>
    <t>ENSG00000105509</t>
  </si>
  <si>
    <t>hyaluronan synthase 1</t>
  </si>
  <si>
    <t>ENSG00000138180</t>
  </si>
  <si>
    <t>centrosomal protein 55</t>
  </si>
  <si>
    <t>ENSG00000010292</t>
  </si>
  <si>
    <t>non-SMC condensin I complex subunit D2</t>
  </si>
  <si>
    <t>ENSG00000131386</t>
  </si>
  <si>
    <t>polypeptide N-acetylgalactosaminyltransferase 15</t>
  </si>
  <si>
    <t>ENSG00000024526</t>
  </si>
  <si>
    <t>DEP domain containing 1</t>
  </si>
  <si>
    <t>ENSG00000198826</t>
  </si>
  <si>
    <t>Rho GTPase activating protein 11A</t>
  </si>
  <si>
    <t>ENSG00000164949</t>
  </si>
  <si>
    <t>GTP binding protein overexpressed in skeletal muscle</t>
  </si>
  <si>
    <t>ENSG00000164292</t>
  </si>
  <si>
    <t>Rho related BTB domain containing 3</t>
  </si>
  <si>
    <t>ENSG00000100234</t>
  </si>
  <si>
    <t>TIMP metallopeptidase inhibitor 3</t>
  </si>
  <si>
    <t>ENSG00000115758</t>
  </si>
  <si>
    <t>ornithine decarboxylase 1</t>
  </si>
  <si>
    <t>ENSG00000113070</t>
  </si>
  <si>
    <t>heparin binding EGF like growth factor</t>
  </si>
  <si>
    <t>ENSG00000168077</t>
  </si>
  <si>
    <t>scavenger receptor class A member 3</t>
  </si>
  <si>
    <t>ENSG00000006652</t>
  </si>
  <si>
    <t>interferon related developmental regulator 1</t>
  </si>
  <si>
    <t>ENSG00000167779</t>
  </si>
  <si>
    <t>insulin like growth factor binding protein 6</t>
  </si>
  <si>
    <t>ENSG00000173706</t>
  </si>
  <si>
    <t>heart development protein with EGF like domains 1</t>
  </si>
  <si>
    <t>ENSG00000168461</t>
  </si>
  <si>
    <t>RAB31, member RAS oncogene family</t>
  </si>
  <si>
    <t>ENSG00000138182</t>
  </si>
  <si>
    <t>kinesin family member 20B</t>
  </si>
  <si>
    <t>ENSG00000087586</t>
  </si>
  <si>
    <t>aurora kinase A</t>
  </si>
  <si>
    <t>ENSG00000271303</t>
  </si>
  <si>
    <t>sulfiredoxin 1</t>
  </si>
  <si>
    <t>ENSG00000095752</t>
  </si>
  <si>
    <t>interleukin 11</t>
  </si>
  <si>
    <t>ENSG00000001461</t>
  </si>
  <si>
    <t>NIPA like domain containing 3</t>
  </si>
  <si>
    <t>ENSG00000197746</t>
  </si>
  <si>
    <t>prosaposin</t>
  </si>
  <si>
    <t>ENSG00000142627</t>
  </si>
  <si>
    <t>EPH receptor A2</t>
  </si>
  <si>
    <t>ENSG00000170961</t>
  </si>
  <si>
    <t>hyaluronan synthase 2</t>
  </si>
  <si>
    <t>ENSG00000134686</t>
  </si>
  <si>
    <t>microRNA 3605</t>
  </si>
  <si>
    <t>polyhomeotic homolog 2</t>
  </si>
  <si>
    <t>ENSG00000196230</t>
  </si>
  <si>
    <t>tubulin beta class I</t>
  </si>
  <si>
    <t>ENSG00000161513</t>
  </si>
  <si>
    <t>ferredoxin reductase</t>
  </si>
  <si>
    <t>ENSG00000182752</t>
  </si>
  <si>
    <t>pappalysin 1</t>
  </si>
  <si>
    <t>ENSG00000112742</t>
  </si>
  <si>
    <t>TTK protein kinase</t>
  </si>
  <si>
    <t>ENSG00000145934</t>
  </si>
  <si>
    <t>teneurin transmembrane protein 2</t>
  </si>
  <si>
    <t>ENSG00000164176</t>
  </si>
  <si>
    <t>EGF like repeats and discoidin domains 3</t>
  </si>
  <si>
    <t>ENSG00000136928</t>
  </si>
  <si>
    <t>gamma-aminobutyric acid type B receptor subunit 2</t>
  </si>
  <si>
    <t>ENSG00000106070</t>
  </si>
  <si>
    <t>growth factor receptor bound protein 10</t>
  </si>
  <si>
    <t>ENSG00000135074</t>
  </si>
  <si>
    <t>ADAM metallopeptidase domain 19</t>
  </si>
  <si>
    <t>ENSG00000176903</t>
  </si>
  <si>
    <t>paraneoplastic Ma antigen 1</t>
  </si>
  <si>
    <t>ENSG00000197696</t>
  </si>
  <si>
    <t>neuromedin B</t>
  </si>
  <si>
    <t>ENSG00000115318</t>
  </si>
  <si>
    <t>lysyl oxidase like 3</t>
  </si>
  <si>
    <t>ENSG00000075218</t>
  </si>
  <si>
    <t>G2 and S-phase expressed 1</t>
  </si>
  <si>
    <t>ENSG00000019186</t>
  </si>
  <si>
    <t>cytochrome P450 family 24 subfamily A member 1</t>
  </si>
  <si>
    <t>ENSG00000113810</t>
  </si>
  <si>
    <t>structural maintenance of chromosomes 4</t>
  </si>
  <si>
    <t>ENSG00000136068</t>
  </si>
  <si>
    <t>filamin B</t>
  </si>
  <si>
    <t>ENSG00000182541</t>
  </si>
  <si>
    <t>LIM domain kinase 2</t>
  </si>
  <si>
    <t>ENSG00000131737</t>
  </si>
  <si>
    <t>keratin 34</t>
  </si>
  <si>
    <t>ENSG00000132646</t>
  </si>
  <si>
    <t>proliferating cell nuclear antigen</t>
  </si>
  <si>
    <t>ENSG00000116584</t>
  </si>
  <si>
    <t>Rho/Rac guanine nucleotide exchange factor 2</t>
  </si>
  <si>
    <t>ENSG00000184575</t>
  </si>
  <si>
    <t>exportin for tRNA</t>
  </si>
  <si>
    <t>ENSG00000143217</t>
  </si>
  <si>
    <t>nectin cell adhesion molecule 4</t>
  </si>
  <si>
    <t>ENSG00000167552</t>
  </si>
  <si>
    <t>tubulin alpha 1a</t>
  </si>
  <si>
    <t>ENSG00000165304</t>
  </si>
  <si>
    <t>maternal embryonic leucine zipper kinase</t>
  </si>
  <si>
    <t>ENSG00000003137</t>
  </si>
  <si>
    <t>cytochrome P450 family 26 subfamily B member 1</t>
  </si>
  <si>
    <t>ENSG00000164109</t>
  </si>
  <si>
    <t>MAD2 mitotic arrest deficient-like 1 (yeast)</t>
  </si>
  <si>
    <t>ENSG00000162496</t>
  </si>
  <si>
    <t>dehydrogenase/reductase 3</t>
  </si>
  <si>
    <t>ENSG00000140525</t>
  </si>
  <si>
    <t>Fanconi anemia complementation group I</t>
  </si>
  <si>
    <t>ENSG00000177106</t>
  </si>
  <si>
    <t>EPS8 like 2</t>
  </si>
  <si>
    <t>ENSG00000142945</t>
  </si>
  <si>
    <t>kinesin family member 2C</t>
  </si>
  <si>
    <t>ENSG00000118193</t>
  </si>
  <si>
    <t>kinesin family member 14</t>
  </si>
  <si>
    <t>ENSG00000107104</t>
  </si>
  <si>
    <t>KN motif and ankyrin repeat domains 1</t>
  </si>
  <si>
    <t>ENSG00000012048</t>
  </si>
  <si>
    <t>BRCA1, DNA repair associated</t>
  </si>
  <si>
    <t>ENSG00000091136</t>
  </si>
  <si>
    <t>laminin subunit beta 1</t>
  </si>
  <si>
    <t>ENSG00000102804</t>
  </si>
  <si>
    <t>TSC22 domain family member 1</t>
  </si>
  <si>
    <t>ENSG00000170540</t>
  </si>
  <si>
    <t>ADP ribosylation factor like GTPase 6 interacting protein 1</t>
  </si>
  <si>
    <t>ENSG00000102384</t>
  </si>
  <si>
    <t>centromere protein I</t>
  </si>
  <si>
    <t>ENSG00000144583</t>
  </si>
  <si>
    <t>membrane associated ring-CH-type finger 4</t>
  </si>
  <si>
    <t>ENSG00000164932</t>
  </si>
  <si>
    <t>collagen triple helix repeat containing 1</t>
  </si>
  <si>
    <t>ENSG00000114346</t>
  </si>
  <si>
    <t>epithelial cell transforming 2</t>
  </si>
  <si>
    <t>ENSG00000143631</t>
  </si>
  <si>
    <t>filaggrin</t>
  </si>
  <si>
    <t>ENSG00000161800</t>
  </si>
  <si>
    <t>Rac GTPase activating protein 1</t>
  </si>
  <si>
    <t>ENSG00000176890</t>
  </si>
  <si>
    <t>thymidylate synthetase</t>
  </si>
  <si>
    <t>ENSG00000115170</t>
  </si>
  <si>
    <t>activin A receptor type 1</t>
  </si>
  <si>
    <t>ENSG00000134684</t>
  </si>
  <si>
    <t>tyrosyl-tRNA synthetase</t>
  </si>
  <si>
    <t>ENSG00000152223</t>
  </si>
  <si>
    <t>ectopic P-granules autophagy protein 5 homolog</t>
  </si>
  <si>
    <t>ENSG00000166886</t>
  </si>
  <si>
    <t>NGFI-A binding protein 2</t>
  </si>
  <si>
    <t>ENSG00000234741</t>
  </si>
  <si>
    <t>growth arrest specific 5 (non-protein coding)</t>
  </si>
  <si>
    <t>ENSG00000104635</t>
  </si>
  <si>
    <t>solute carrier family 39 member 14</t>
  </si>
  <si>
    <t>ENSG00000166033</t>
  </si>
  <si>
    <t>HtrA serine peptidase 1</t>
  </si>
  <si>
    <t>ENSG00000163513</t>
  </si>
  <si>
    <t>transforming growth factor beta receptor 2</t>
  </si>
  <si>
    <t>ENSG00000057657</t>
  </si>
  <si>
    <t>PR/SET domain 1</t>
  </si>
  <si>
    <t>ENSG00000080986</t>
  </si>
  <si>
    <t>NDC80, kinetochore complex component</t>
  </si>
  <si>
    <t>ENSG00000123473</t>
  </si>
  <si>
    <t>SCL/TAL1 interrupting locus</t>
  </si>
  <si>
    <t>ENSG00000167900</t>
  </si>
  <si>
    <t>thymidine kinase 1</t>
  </si>
  <si>
    <t>ENSG00000070961</t>
  </si>
  <si>
    <t>ATPase plasma membrane Ca2+ transporting 1</t>
  </si>
  <si>
    <t>ENSG00000186185</t>
  </si>
  <si>
    <t>kinesin family member 18B</t>
  </si>
  <si>
    <t>ENSG00000162616</t>
  </si>
  <si>
    <t>DnaJ heat shock protein family (Hsp40) member B4</t>
  </si>
  <si>
    <t>ENSG00000103888</t>
  </si>
  <si>
    <t>cell migration inducing hyaluronan binding protein</t>
  </si>
  <si>
    <t>ENSG00000109099</t>
  </si>
  <si>
    <t>peripheral myelin protein 22</t>
  </si>
  <si>
    <t>ENSG00000151617</t>
  </si>
  <si>
    <t>endothelin receptor type A</t>
  </si>
  <si>
    <t>ENSG00000103978</t>
  </si>
  <si>
    <t>transmembrane protein 87A</t>
  </si>
  <si>
    <t>ENSG00000152952</t>
  </si>
  <si>
    <t>procollagen-lysine,2-oxoglutarate 5-dioxygenase 2</t>
  </si>
  <si>
    <t>ENSG00000181751</t>
  </si>
  <si>
    <t>chromosome 5 open reading frame 30</t>
  </si>
  <si>
    <t>ENSG00000100284</t>
  </si>
  <si>
    <t>target of myb1 membrane trafficking protein</t>
  </si>
  <si>
    <t>ENSG00000004660</t>
  </si>
  <si>
    <t>calcium/calmodulin dependent protein kinase kinase 1</t>
  </si>
  <si>
    <t>ENSG00000076706</t>
  </si>
  <si>
    <t>microRNA 6756</t>
  </si>
  <si>
    <t>melanoma cell adhesion molecule</t>
  </si>
  <si>
    <t>ENSG00000121621</t>
  </si>
  <si>
    <t>kinesin family member 18A</t>
  </si>
  <si>
    <t>ENSG00000133055</t>
  </si>
  <si>
    <t>myosin binding protein H</t>
  </si>
  <si>
    <t>ENSG00000237649</t>
  </si>
  <si>
    <t>kinesin family member C1</t>
  </si>
  <si>
    <t>ENSG00000109846</t>
  </si>
  <si>
    <t>crystallin alpha B</t>
  </si>
  <si>
    <t>ENSG00000171617</t>
  </si>
  <si>
    <t>ectodermal-neural cortex 1</t>
  </si>
  <si>
    <t>ENSG00000126562</t>
  </si>
  <si>
    <t>WNK lysine deficient protein kinase 4</t>
  </si>
  <si>
    <t>ENSG00000174705</t>
  </si>
  <si>
    <t>SH3 and PX domains 2B</t>
  </si>
  <si>
    <t>ENSG00000006327</t>
  </si>
  <si>
    <t>TNF receptor superfamily member 12A</t>
  </si>
  <si>
    <t>ENSG00000101447</t>
  </si>
  <si>
    <t>family with sequence similarity 83 member D</t>
  </si>
  <si>
    <t>ENSG00000205730</t>
  </si>
  <si>
    <t>inositol 1,4,5-trisphosphate receptor interacting protein like 2</t>
  </si>
  <si>
    <t>ENSG00000115380</t>
  </si>
  <si>
    <t>EGF containing fibulin like extracellular matrix protein 1</t>
  </si>
  <si>
    <t>ENSG00000135047</t>
  </si>
  <si>
    <t>cathepsin L</t>
  </si>
  <si>
    <t>ENSG00000177283</t>
  </si>
  <si>
    <t>frizzled class receptor 8</t>
  </si>
  <si>
    <t>microRNA 4683</t>
  </si>
  <si>
    <t>ENSG00000150938</t>
  </si>
  <si>
    <t>cysteine rich transmembrane BMP regulator 1</t>
  </si>
  <si>
    <t>ENSG00000172331</t>
  </si>
  <si>
    <t>bisphosphoglycerate mutase</t>
  </si>
  <si>
    <t>ENSG00000101255</t>
  </si>
  <si>
    <t>tribbles pseudokinase 3</t>
  </si>
  <si>
    <t>ENSG00000107731</t>
  </si>
  <si>
    <t>unc-5 netrin receptor B</t>
  </si>
  <si>
    <t>ENSG00000136114</t>
  </si>
  <si>
    <t>thrombospondin type 1 domain containing 1</t>
  </si>
  <si>
    <t>ENSG00000143669</t>
  </si>
  <si>
    <t>lysosomal trafficking regulator</t>
  </si>
  <si>
    <t>ENSG00000085662</t>
  </si>
  <si>
    <t>aldo-keto reductase family 1 member B</t>
  </si>
  <si>
    <t>ENSG00000070882</t>
  </si>
  <si>
    <t>oxysterol binding protein like 3</t>
  </si>
  <si>
    <t>ENSG00000243742</t>
  </si>
  <si>
    <t>ribosomal protein lateral stalk subunit P0 pseudogene 2</t>
  </si>
  <si>
    <t>ENSG00000136492</t>
  </si>
  <si>
    <t>BRCA1 interacting protein C-terminal helicase 1</t>
  </si>
  <si>
    <t>ENSG00000179134</t>
  </si>
  <si>
    <t>sterile alpha motif domain containing 4B</t>
  </si>
  <si>
    <t>ENSG00000128510</t>
  </si>
  <si>
    <t>carboxypeptidase A4</t>
  </si>
  <si>
    <t>ENSG00000107738</t>
  </si>
  <si>
    <t>chromosome 10 open reading frame 54</t>
  </si>
  <si>
    <t>ENSG00000083857</t>
  </si>
  <si>
    <t>FAT atypical cadherin 1</t>
  </si>
  <si>
    <t>ENSG00000177410</t>
  </si>
  <si>
    <t>ZNFX1 antisense RNA 1</t>
  </si>
  <si>
    <t>ENSG00000100522</t>
  </si>
  <si>
    <t>glucosamine-phosphate N-acetyltransferase 1</t>
  </si>
  <si>
    <t>ENSG00000167693</t>
  </si>
  <si>
    <t>nucleoredoxin</t>
  </si>
  <si>
    <t>ENSG00000075702</t>
  </si>
  <si>
    <t>WD repeat domain 62</t>
  </si>
  <si>
    <t>ENSG00000120802</t>
  </si>
  <si>
    <t>thymopoietin</t>
  </si>
  <si>
    <t>ENSG00000013583</t>
  </si>
  <si>
    <t>heme binding protein 1</t>
  </si>
  <si>
    <t>ENSG00000124762</t>
  </si>
  <si>
    <t>cyclin dependent kinase inhibitor 1A</t>
  </si>
  <si>
    <t>ENSG00000106638</t>
  </si>
  <si>
    <t>transducin beta like 2</t>
  </si>
  <si>
    <t>ENSG00000065923</t>
  </si>
  <si>
    <t>solute carrier family 9 member A7</t>
  </si>
  <si>
    <t>ENSG00000171345</t>
  </si>
  <si>
    <t>keratin 19</t>
  </si>
  <si>
    <t>ENSG00000148672</t>
  </si>
  <si>
    <t>glutamate dehydrogenase 1</t>
  </si>
  <si>
    <t>ENSG00000142871</t>
  </si>
  <si>
    <t>cysteine rich angiogenic inducer 61</t>
  </si>
  <si>
    <t>ENSG00000112769</t>
  </si>
  <si>
    <t>laminin subunit alpha 4</t>
  </si>
  <si>
    <t>ENSG00000168542</t>
  </si>
  <si>
    <t>microRNA 3606</t>
  </si>
  <si>
    <t>collagen type III alpha 1 chain</t>
  </si>
  <si>
    <t>ENSG00000096433</t>
  </si>
  <si>
    <t>inositol 1,4,5-trisphosphate receptor type 3</t>
  </si>
  <si>
    <t>ENSG00000156970</t>
  </si>
  <si>
    <t>BUB1 mitotic checkpoint serine/threonine kinase B</t>
  </si>
  <si>
    <t>ENSG00000069869</t>
  </si>
  <si>
    <t>neural precursor cell expressed, developmentally down-regulated 4, E3 ubiquitin protein ligase</t>
  </si>
  <si>
    <t>ENSG00000169760</t>
  </si>
  <si>
    <t>neuroligin 1</t>
  </si>
  <si>
    <t>ENSG00000127947</t>
  </si>
  <si>
    <t>protein tyrosine phosphatase, non-receptor type 12</t>
  </si>
  <si>
    <t>ENSG00000164733</t>
  </si>
  <si>
    <t>cathepsin B</t>
  </si>
  <si>
    <t>ENSG00000071539</t>
  </si>
  <si>
    <t>thyroid hormone receptor interactor 13</t>
  </si>
  <si>
    <t>ENSG00000134333</t>
  </si>
  <si>
    <t>lactate dehydrogenase A</t>
  </si>
  <si>
    <t>ENSG00000152661</t>
  </si>
  <si>
    <t>gap junction protein alpha 1</t>
  </si>
  <si>
    <t>ENSG00000091490</t>
  </si>
  <si>
    <t>SEL1L family member 3</t>
  </si>
  <si>
    <t>ENSG00000188229</t>
  </si>
  <si>
    <t>tubulin beta 4B class IVb</t>
  </si>
  <si>
    <t>ENSG00000136826</t>
  </si>
  <si>
    <t>Kruppel like factor 4</t>
  </si>
  <si>
    <t>ENSG00000124831</t>
  </si>
  <si>
    <t>LRR binding FLII interacting protein 1</t>
  </si>
  <si>
    <t>ENSG00000115756</t>
  </si>
  <si>
    <t>hippocalcin like 1</t>
  </si>
  <si>
    <t>ENSG00000116667</t>
  </si>
  <si>
    <t>chromosome 1 open reading frame 21</t>
  </si>
  <si>
    <t>ENSG00000108551</t>
  </si>
  <si>
    <t>ras related dexamethasone induced 1</t>
  </si>
  <si>
    <t>ENSG00000117650</t>
  </si>
  <si>
    <t>NIMA related kinase 2</t>
  </si>
  <si>
    <t>ENSG00000067057</t>
  </si>
  <si>
    <t>phosphofructokinase, platelet</t>
  </si>
  <si>
    <t>ENSG00000184661</t>
  </si>
  <si>
    <t>cell division cycle associated 2</t>
  </si>
  <si>
    <t>ENSG00000158270</t>
  </si>
  <si>
    <t>collectin subfamily member 12</t>
  </si>
  <si>
    <t>ENSG00000167106</t>
  </si>
  <si>
    <t>family with sequence similarity 102 member A</t>
  </si>
  <si>
    <t>ENSG00000151503</t>
  </si>
  <si>
    <t>non-SMC condensin II complex subunit D3</t>
  </si>
  <si>
    <t>ENSG00000185697</t>
  </si>
  <si>
    <t>MYB proto-oncogene like 1</t>
  </si>
  <si>
    <t>ENSG00000119699</t>
  </si>
  <si>
    <t>transforming growth factor beta 3</t>
  </si>
  <si>
    <t>ENSG00000104889</t>
  </si>
  <si>
    <t>ribonuclease H2 subunit A</t>
  </si>
  <si>
    <t>ENSG00000165757</t>
  </si>
  <si>
    <t>KIAA1462</t>
  </si>
  <si>
    <t>ENSG00000145386</t>
  </si>
  <si>
    <t>cyclin A2</t>
  </si>
  <si>
    <t>ENSG00000204941</t>
  </si>
  <si>
    <t>pregnancy specific beta-1-glycoprotein 5</t>
  </si>
  <si>
    <t>ENSG00000140937</t>
  </si>
  <si>
    <t>cadherin 11</t>
  </si>
  <si>
    <t>ENSG00000239332</t>
  </si>
  <si>
    <t>long intergenic non-protein coding RNA 1119</t>
  </si>
  <si>
    <t>ENSG00000155755</t>
  </si>
  <si>
    <t>transmembrane protein 237</t>
  </si>
  <si>
    <t>ENSG00000183876</t>
  </si>
  <si>
    <t>arylsulfatase family member I</t>
  </si>
  <si>
    <t>ENSG00000167670</t>
  </si>
  <si>
    <t>chromatin assembly factor 1 subunit A</t>
  </si>
  <si>
    <t>ENSG00000166825</t>
  </si>
  <si>
    <t>alanyl aminopeptidase, membrane</t>
  </si>
  <si>
    <t>ENSG00000121152</t>
  </si>
  <si>
    <t>non-SMC condensin I complex subunit H</t>
  </si>
  <si>
    <t>ENSG00000141458</t>
  </si>
  <si>
    <t>NPC intracellular cholesterol transporter 1</t>
  </si>
  <si>
    <t>ENSG00000134291</t>
  </si>
  <si>
    <t>transmembrane protein 106C</t>
  </si>
  <si>
    <t>ENSG00000123374</t>
  </si>
  <si>
    <t>cyclin dependent kinase 2</t>
  </si>
  <si>
    <t>ENSG00000229807</t>
  </si>
  <si>
    <t>X inactive specific transcript (non-protein coding)</t>
  </si>
  <si>
    <t>ENSG00000143228</t>
  </si>
  <si>
    <t>NUF2, NDC80 kinetochore complex component</t>
  </si>
  <si>
    <t>ENSG00000183696</t>
  </si>
  <si>
    <t>uridine phosphorylase 1</t>
  </si>
  <si>
    <t>ENSG00000164070</t>
  </si>
  <si>
    <t>heat shock protein family A (Hsp70) member 4 like</t>
  </si>
  <si>
    <t>ENSG00000119537</t>
  </si>
  <si>
    <t>3-ketodihydrosphingosine reductase</t>
  </si>
  <si>
    <t>ENSG00000086062</t>
  </si>
  <si>
    <t>beta-1,4-galactosyltransferase 1</t>
  </si>
  <si>
    <t>ENSG00000013297</t>
  </si>
  <si>
    <t>uncharacterized LOC101928583</t>
  </si>
  <si>
    <t>claudin 11</t>
  </si>
  <si>
    <t>ENSG00000091651</t>
  </si>
  <si>
    <t>origin recognition complex subunit 6</t>
  </si>
  <si>
    <t>ENSG00000144959</t>
  </si>
  <si>
    <t>neutral cholesterol ester hydrolase 1</t>
  </si>
  <si>
    <t>ENSG00000161692</t>
  </si>
  <si>
    <t>DBF4 zinc finger B</t>
  </si>
  <si>
    <t>ENSG00000137809</t>
  </si>
  <si>
    <t>integrin subunit alpha 11</t>
  </si>
  <si>
    <t>ENSG00000138316</t>
  </si>
  <si>
    <t>ADAM metallopeptidase with thrombospondin type 1 motif 14</t>
  </si>
  <si>
    <t>ENSG00000158158</t>
  </si>
  <si>
    <t>cyclin and CBS domain divalent metal cation transport mediator 4</t>
  </si>
  <si>
    <t>ENSG00000203875</t>
  </si>
  <si>
    <t>small nucleolar RNA host gene 5</t>
  </si>
  <si>
    <t>ENSG00000127946</t>
  </si>
  <si>
    <t>huntingtin interacting protein 1</t>
  </si>
  <si>
    <t>ENSG00000255112</t>
  </si>
  <si>
    <t>charged multivesicular body protein 1B</t>
  </si>
  <si>
    <t>ENSG00000130707</t>
  </si>
  <si>
    <t>argininosuccinate synthase 1</t>
  </si>
  <si>
    <t>ENSG00000183098</t>
  </si>
  <si>
    <t>glypican 6</t>
  </si>
  <si>
    <t>ENSG00000198586</t>
  </si>
  <si>
    <t>tousled like kinase 1</t>
  </si>
  <si>
    <t>ENSG00000205978</t>
  </si>
  <si>
    <t>NYN domain and retroviral integrase containing</t>
  </si>
  <si>
    <t>ENSG00000079616</t>
  </si>
  <si>
    <t>kinesin family member 22</t>
  </si>
  <si>
    <t>ENSG00000187800</t>
  </si>
  <si>
    <t>platelet endothelial aggregation receptor 1</t>
  </si>
  <si>
    <t>ENSG00000198554</t>
  </si>
  <si>
    <t>WD repeat and HMG-box DNA binding protein 1</t>
  </si>
  <si>
    <t>ENSG00000137033</t>
  </si>
  <si>
    <t>interleukin 33</t>
  </si>
  <si>
    <t>ENSG00000137563</t>
  </si>
  <si>
    <t>gamma-glutamyl hydrolase</t>
  </si>
  <si>
    <t>ENSG00000100526</t>
  </si>
  <si>
    <t>cyclin dependent kinase inhibitor 3</t>
  </si>
  <si>
    <t>ENSG00000244509</t>
  </si>
  <si>
    <t>apolipoprotein B mRNA editing enzyme catalytic subunit 3C</t>
  </si>
  <si>
    <t>ENSG00000179820</t>
  </si>
  <si>
    <t>myeloid associated differentiation marker</t>
  </si>
  <si>
    <t>ENSG00000105974</t>
  </si>
  <si>
    <t>caveolin 1</t>
  </si>
  <si>
    <t>ENSG00000146670</t>
  </si>
  <si>
    <t>cell division cycle associated 5</t>
  </si>
  <si>
    <t>ENSG00000169045</t>
  </si>
  <si>
    <t>heterogeneous nuclear ribonucleoprotein H1 (H)</t>
  </si>
  <si>
    <t>ENSG00000164099</t>
  </si>
  <si>
    <t>protease, serine 12</t>
  </si>
  <si>
    <t>ENSG00000176225</t>
  </si>
  <si>
    <t>rotatin</t>
  </si>
  <si>
    <t>ENSG00000159388</t>
  </si>
  <si>
    <t>BTG anti-proliferation factor 2</t>
  </si>
  <si>
    <t>ENSG00000204262</t>
  </si>
  <si>
    <t>collagen type V alpha 2 chain</t>
  </si>
  <si>
    <t>ENSG00000095209</t>
  </si>
  <si>
    <t>transmembrane protein 38B</t>
  </si>
  <si>
    <t>ENSG00000164087</t>
  </si>
  <si>
    <t>POC1 centriolar protein A</t>
  </si>
  <si>
    <t>ENSG00000075426</t>
  </si>
  <si>
    <t>FOS like 2, AP-1 transcription factor subunit</t>
  </si>
  <si>
    <t>ENSG00000149256</t>
  </si>
  <si>
    <t>teneurin transmembrane protein 4</t>
  </si>
  <si>
    <t>ENSG00000100504</t>
  </si>
  <si>
    <t>phosphorylase, glycogen, liver</t>
  </si>
  <si>
    <t>ENSG00000197555</t>
  </si>
  <si>
    <t>signal induced proliferation associated 1 like 1</t>
  </si>
  <si>
    <t>ENSG00000112715</t>
  </si>
  <si>
    <t>vascular endothelial growth factor A</t>
  </si>
  <si>
    <t>ENSG00000167553</t>
  </si>
  <si>
    <t>tubulin alpha 1c</t>
  </si>
  <si>
    <t>ENSG00000183023</t>
  </si>
  <si>
    <t>solute carrier family 8 member A1</t>
  </si>
  <si>
    <t>ENSG00000142731</t>
  </si>
  <si>
    <t>polo like kinase 4</t>
  </si>
  <si>
    <t>ENSG00000163507</t>
  </si>
  <si>
    <t>KIAA1524</t>
  </si>
  <si>
    <t>ENSG00000101871</t>
  </si>
  <si>
    <t>midline 1</t>
  </si>
  <si>
    <t>ENSG00000103035</t>
  </si>
  <si>
    <t>proteasome 26S subunit, non-ATPase 7</t>
  </si>
  <si>
    <t>ENSG00000111252</t>
  </si>
  <si>
    <t>SH2B adaptor protein 3</t>
  </si>
  <si>
    <t>ENSG00000084636</t>
  </si>
  <si>
    <t>collagen type XVI alpha 1 chain</t>
  </si>
  <si>
    <t>ENSG00000079257</t>
  </si>
  <si>
    <t>latexin</t>
  </si>
  <si>
    <t>ENSG00000124343</t>
  </si>
  <si>
    <t>Xg blood group</t>
  </si>
  <si>
    <t>Xg pseudogene, Y-linked 2</t>
  </si>
  <si>
    <t>ENSG00000089685</t>
  </si>
  <si>
    <t>baculoviral IAP repeat containing 5</t>
  </si>
  <si>
    <t>ENSG00000171490</t>
  </si>
  <si>
    <t>ribosomal L1 domain containing 1</t>
  </si>
  <si>
    <t>ENSG00000174442</t>
  </si>
  <si>
    <t>zwilch kinetochore protein</t>
  </si>
  <si>
    <t>ENSG00000051341</t>
  </si>
  <si>
    <t>DNA polymerase theta</t>
  </si>
  <si>
    <t>ENSG00000104763</t>
  </si>
  <si>
    <t>N-acylsphingosine amidohydrolase 1</t>
  </si>
  <si>
    <t>ENSG00000076513</t>
  </si>
  <si>
    <t>ankyrin repeat domain 13A</t>
  </si>
  <si>
    <t>ENSG00000068745</t>
  </si>
  <si>
    <t>inositol hexakisphosphate kinase 2</t>
  </si>
  <si>
    <t>ENSG00000132429</t>
  </si>
  <si>
    <t>popeye domain containing 3</t>
  </si>
  <si>
    <t>ENSG00000196569</t>
  </si>
  <si>
    <t>laminin subunit alpha 2</t>
  </si>
  <si>
    <t>ENSG00000148841</t>
  </si>
  <si>
    <t>inositol 1,4,5-trisphosphate receptor interacting protein</t>
  </si>
  <si>
    <t>ENSG00000168874</t>
  </si>
  <si>
    <t>atonal bHLH transcription factor 8</t>
  </si>
  <si>
    <t>ENSG00000173511</t>
  </si>
  <si>
    <t>vascular endothelial growth factor B</t>
  </si>
  <si>
    <t>ENSG00000143390</t>
  </si>
  <si>
    <t>regulatory factor X5</t>
  </si>
  <si>
    <t>ENSG00000113328</t>
  </si>
  <si>
    <t>cyclin G1</t>
  </si>
  <si>
    <t>ENSG00000103855</t>
  </si>
  <si>
    <t>CD276 molecule</t>
  </si>
  <si>
    <t>ENSG00000135437</t>
  </si>
  <si>
    <t>retinol dehydrogenase 5</t>
  </si>
  <si>
    <t>ENSG00000077092</t>
  </si>
  <si>
    <t>retinoic acid receptor beta</t>
  </si>
  <si>
    <t>ENSG00000109814</t>
  </si>
  <si>
    <t>UDP-glucose 6-dehydrogenase</t>
  </si>
  <si>
    <t>ENSG00000122863</t>
  </si>
  <si>
    <t>carbohydrate sulfotransferase 3</t>
  </si>
  <si>
    <t>ENSG00000166803</t>
  </si>
  <si>
    <t>KIAA0101</t>
  </si>
  <si>
    <t>ENSG00000014138</t>
  </si>
  <si>
    <t>DNA polymerase alpha 2, accessory subunit</t>
  </si>
  <si>
    <t>ENSG00000155363</t>
  </si>
  <si>
    <t>Mov10 RISC complex RNA helicase</t>
  </si>
  <si>
    <t>ENSG00000123485</t>
  </si>
  <si>
    <t>Holliday junction recognition protein</t>
  </si>
  <si>
    <t>ENSG00000114853</t>
  </si>
  <si>
    <t>zinc finger and BTB domain containing 47</t>
  </si>
  <si>
    <t>ENSG00000169756</t>
  </si>
  <si>
    <t>LIM zinc finger domain containing 1</t>
  </si>
  <si>
    <t>ENSG00000110841</t>
  </si>
  <si>
    <t>PPFIA binding protein 1</t>
  </si>
  <si>
    <t>ENSG00000119630</t>
  </si>
  <si>
    <t>placental growth factor</t>
  </si>
  <si>
    <t>ENSG00000128805</t>
  </si>
  <si>
    <t>Rho GTPase activating protein 22</t>
  </si>
  <si>
    <t>ENSG00000087074</t>
  </si>
  <si>
    <t>protein phosphatase 1 regulatory subunit 15A</t>
  </si>
  <si>
    <t>ENSG00000111145</t>
  </si>
  <si>
    <t>ELK3, ETS transcription factor</t>
  </si>
  <si>
    <t>ENSG00000080824</t>
  </si>
  <si>
    <t>heat shock protein 90 alpha family class A member 1</t>
  </si>
  <si>
    <t>ENSG00000116729</t>
  </si>
  <si>
    <t>wntless Wnt ligand secretion mediator</t>
  </si>
  <si>
    <t>ENSG00000179750</t>
  </si>
  <si>
    <t>apolipoprotein B mRNA editing enzyme catalytic subunit 3B</t>
  </si>
  <si>
    <t>ENSG00000074181</t>
  </si>
  <si>
    <t>notch 3</t>
  </si>
  <si>
    <t>ENSG00000052841</t>
  </si>
  <si>
    <t>tetratricopeptide repeat domain 17</t>
  </si>
  <si>
    <t>ENSG00000225648</t>
  </si>
  <si>
    <t>Shwachman-Bodian-Diamond syndrome pseudogene 1</t>
  </si>
  <si>
    <t>ENSG00000133961</t>
  </si>
  <si>
    <t>uncharacterized LOC101928143</t>
  </si>
  <si>
    <t>NUMB, endocytic adaptor protein</t>
  </si>
  <si>
    <t>ENSG00000164104</t>
  </si>
  <si>
    <t>high mobility group box 2</t>
  </si>
  <si>
    <t>ENSG00000147536</t>
  </si>
  <si>
    <t>GINS complex subunit 4</t>
  </si>
  <si>
    <t>ENSG00000143819</t>
  </si>
  <si>
    <t>epoxide hydrolase 1</t>
  </si>
  <si>
    <t>ENSG00000100629</t>
  </si>
  <si>
    <t>centrosomal protein 128</t>
  </si>
  <si>
    <t>ENSG00000178999</t>
  </si>
  <si>
    <t>aurora kinase B</t>
  </si>
  <si>
    <t>ENSG00000141753</t>
  </si>
  <si>
    <t>insulin like growth factor binding protein 4</t>
  </si>
  <si>
    <t>ENSG00000147010</t>
  </si>
  <si>
    <t>SH3 domain containing kinase binding protein 1</t>
  </si>
  <si>
    <t>ENSG00000143797</t>
  </si>
  <si>
    <t>membrane bound O-acyltransferase domain containing 2</t>
  </si>
  <si>
    <t>ENSG00000187210</t>
  </si>
  <si>
    <t>glucosaminyl (N-acetyl) transferase 1, core 2</t>
  </si>
  <si>
    <t>ENSG00000138758</t>
  </si>
  <si>
    <t>septin 11</t>
  </si>
  <si>
    <t>ENSG00000112186</t>
  </si>
  <si>
    <t>CAP, adenylate cyclase-associated protein, 2 (yeast)</t>
  </si>
  <si>
    <t>ENSG00000163297</t>
  </si>
  <si>
    <t>anthrax toxin receptor 2</t>
  </si>
  <si>
    <t>ENSG00000127948</t>
  </si>
  <si>
    <t>cytochrome p450 oxidoreductase</t>
  </si>
  <si>
    <t>microRNA 4651</t>
  </si>
  <si>
    <t>ENSG00000177189</t>
  </si>
  <si>
    <t>ribosomal protein S6 kinase A3</t>
  </si>
  <si>
    <t>ENSG00000038427</t>
  </si>
  <si>
    <t>versican</t>
  </si>
  <si>
    <t>ENSG00000186340</t>
  </si>
  <si>
    <t>thrombospondin 2</t>
  </si>
  <si>
    <t>ENSG00000140931</t>
  </si>
  <si>
    <t>CKLF like MARVEL transmembrane domain containing 3</t>
  </si>
  <si>
    <t>ENSG00000196562</t>
  </si>
  <si>
    <t>sulfatase 2</t>
  </si>
  <si>
    <t>ENSG00000105486</t>
  </si>
  <si>
    <t>DNA ligase 1</t>
  </si>
  <si>
    <t>ENSG00000175137</t>
  </si>
  <si>
    <t>SH3 binding domain protein 5 like</t>
  </si>
  <si>
    <t>ENSG00000111052</t>
  </si>
  <si>
    <t>lin-7 homolog A, crumbs cell polarity complex component</t>
  </si>
  <si>
    <t>ENSG00000130720</t>
  </si>
  <si>
    <t>fibrinogen C domain containing 1</t>
  </si>
  <si>
    <t>ENSG00000138311</t>
  </si>
  <si>
    <t>zinc finger protein 365</t>
  </si>
  <si>
    <t>ENSG00000148700</t>
  </si>
  <si>
    <t>adducin 3</t>
  </si>
  <si>
    <t>ENSG00000163535</t>
  </si>
  <si>
    <t>shugoshin 2</t>
  </si>
  <si>
    <t>ENSG00000120549</t>
  </si>
  <si>
    <t>KIAA1217</t>
  </si>
  <si>
    <t>ENSG00000143612</t>
  </si>
  <si>
    <t>chromosome 1 open reading frame 43</t>
  </si>
  <si>
    <t>ENSG00000177508</t>
  </si>
  <si>
    <t>iroquois homeobox 3</t>
  </si>
  <si>
    <t>ENSG00000168209</t>
  </si>
  <si>
    <t>DNA damage inducible transcript 4</t>
  </si>
  <si>
    <t>ENSG00000156802</t>
  </si>
  <si>
    <t>ATPase family, AAA domain containing 2</t>
  </si>
  <si>
    <t>ENSG00000134690</t>
  </si>
  <si>
    <t>cell division cycle associated 8</t>
  </si>
  <si>
    <t>ENSG00000140416</t>
  </si>
  <si>
    <t>tropomyosin 1 (alpha)</t>
  </si>
  <si>
    <t>ENSG00000162849</t>
  </si>
  <si>
    <t>kinesin family member 26B</t>
  </si>
  <si>
    <t>ENSG00000120708</t>
  </si>
  <si>
    <t>transforming growth factor beta induced</t>
  </si>
  <si>
    <t>ENSG00000131724</t>
  </si>
  <si>
    <t>interleukin 13 receptor subunit alpha 1</t>
  </si>
  <si>
    <t>ENSG00000237187</t>
  </si>
  <si>
    <t>NR2F1 antisense RNA 1</t>
  </si>
  <si>
    <t>ENSG00000104738</t>
  </si>
  <si>
    <t>minichromosome maintenance complex component 4</t>
  </si>
  <si>
    <t>ENSG00000100422</t>
  </si>
  <si>
    <t>ceramide kinase</t>
  </si>
  <si>
    <t>ENSG00000136450</t>
  </si>
  <si>
    <t>serine and arginine rich splicing factor 1</t>
  </si>
  <si>
    <t>ENSG00000182054</t>
  </si>
  <si>
    <t>isocitrate dehydrogenase (NADP(+)) 2, mitochondrial</t>
  </si>
  <si>
    <t>ENSG00000221852</t>
  </si>
  <si>
    <t>keratin associated protein 1-5</t>
  </si>
  <si>
    <t>ENSG00000029993</t>
  </si>
  <si>
    <t>high mobility group box 3</t>
  </si>
  <si>
    <t>ENSG00000145592</t>
  </si>
  <si>
    <t>ribosomal protein L37</t>
  </si>
  <si>
    <t>ENSG00000135956</t>
  </si>
  <si>
    <t>transmembrane protein 127</t>
  </si>
  <si>
    <t>ENSG00000101224</t>
  </si>
  <si>
    <t>cell division cycle 25B</t>
  </si>
  <si>
    <t>ENSG00000106105</t>
  </si>
  <si>
    <t>glycyl-tRNA synthetase</t>
  </si>
  <si>
    <t>ENSG00000113716</t>
  </si>
  <si>
    <t>HMG-box containing 3</t>
  </si>
  <si>
    <t>ENSG00000204387</t>
  </si>
  <si>
    <t>chromosome 6 open reading frame 48</t>
  </si>
  <si>
    <t>ENSG00000164904</t>
  </si>
  <si>
    <t>aldehyde dehydrogenase 7 family member A1</t>
  </si>
  <si>
    <t>ENSG00000184445</t>
  </si>
  <si>
    <t>kinetochore associated 1</t>
  </si>
  <si>
    <t>ENSG00000154839</t>
  </si>
  <si>
    <t>spindle and kinetochore associated complex subunit 1</t>
  </si>
  <si>
    <t>ENSG00000127586</t>
  </si>
  <si>
    <t>chromosome transmission fidelity factor 18</t>
  </si>
  <si>
    <t>ENSG00000173110</t>
  </si>
  <si>
    <t>heat shock protein family A (Hsp70) member 6</t>
  </si>
  <si>
    <t>ENSG00000143641</t>
  </si>
  <si>
    <t>polypeptide N-acetylgalactosaminyltransferase 2</t>
  </si>
  <si>
    <t>ENSG00000106992</t>
  </si>
  <si>
    <t>adenylate kinase 1</t>
  </si>
  <si>
    <t>ENSG00000138835</t>
  </si>
  <si>
    <t>regulator of G-protein signaling 3</t>
  </si>
  <si>
    <t>ENSG00000106089</t>
  </si>
  <si>
    <t>syntaxin 1A</t>
  </si>
  <si>
    <t>ENSG00000198682</t>
  </si>
  <si>
    <t>3'-phosphoadenosine 5'-phosphosulfate synthase 2</t>
  </si>
  <si>
    <t>ENSG00000159399</t>
  </si>
  <si>
    <t>hexokinase 2</t>
  </si>
  <si>
    <t>ENSG00000136802</t>
  </si>
  <si>
    <t>leucine rich repeat containing 8 family member A</t>
  </si>
  <si>
    <t>ENSG00000168393</t>
  </si>
  <si>
    <t>deoxythymidylate kinase</t>
  </si>
  <si>
    <t>ENSG00000162413</t>
  </si>
  <si>
    <t>kelch like family member 21</t>
  </si>
  <si>
    <t>ENSG00000168615</t>
  </si>
  <si>
    <t>ADAM metallopeptidase domain 9</t>
  </si>
  <si>
    <t>ENSG00000223749</t>
  </si>
  <si>
    <t>microRNA 424</t>
  </si>
  <si>
    <t>MIR503 host gene</t>
  </si>
  <si>
    <t>ENSG00000149090</t>
  </si>
  <si>
    <t>peptidase domain containing associated with muscle regeneration 1</t>
  </si>
  <si>
    <t>ENSG00000070614</t>
  </si>
  <si>
    <t>N-deacetylase and N-sulfotransferase 1</t>
  </si>
  <si>
    <t>ENSG00000110427</t>
  </si>
  <si>
    <t>KIAA1549 like</t>
  </si>
  <si>
    <t>ENSG00000150551</t>
  </si>
  <si>
    <t>LY6/PLAUR domain containing 1</t>
  </si>
  <si>
    <t>ENSG00000149554</t>
  </si>
  <si>
    <t>checkpoint kinase 1</t>
  </si>
  <si>
    <t>ENSG00000138131</t>
  </si>
  <si>
    <t>lysyl oxidase like 4</t>
  </si>
  <si>
    <t>ENSG00000115806</t>
  </si>
  <si>
    <t>golgi reassembly stacking protein 2</t>
  </si>
  <si>
    <t>ENSG00000185803</t>
  </si>
  <si>
    <t>solute carrier family 52 member 2</t>
  </si>
  <si>
    <t>ENSG00000170873</t>
  </si>
  <si>
    <t>MTSS1, I-BAR domain containing</t>
  </si>
  <si>
    <t>ENSG00000154767</t>
  </si>
  <si>
    <t>XPC complex subunit, DNA damage recognition and repair factor</t>
  </si>
  <si>
    <t>ENSG00000064655</t>
  </si>
  <si>
    <t>EYA transcriptional coactivator and phosphatase 2</t>
  </si>
  <si>
    <t>ENSG00000235162</t>
  </si>
  <si>
    <t>chromosome 12 open reading frame 75</t>
  </si>
  <si>
    <t>ENSG00000176014</t>
  </si>
  <si>
    <t>tubulin beta 6 class V</t>
  </si>
  <si>
    <t>ENSG00000083312</t>
  </si>
  <si>
    <t>transportin 1</t>
  </si>
  <si>
    <t>ENSG00000111602</t>
  </si>
  <si>
    <t>timeless circadian clock</t>
  </si>
  <si>
    <t>ENSG00000162512</t>
  </si>
  <si>
    <t>syndecan 3</t>
  </si>
  <si>
    <t>ENSG00000138685</t>
  </si>
  <si>
    <t>fibroblast growth factor 2</t>
  </si>
  <si>
    <t>ENSG00000100036</t>
  </si>
  <si>
    <t>solute carrier family 35 member E4</t>
  </si>
  <si>
    <t>ENSG00000162430</t>
  </si>
  <si>
    <t>selenoprotein N</t>
  </si>
  <si>
    <t>ENSG00000127564</t>
  </si>
  <si>
    <t>protein kinase, membrane associated tyrosine/threonine 1</t>
  </si>
  <si>
    <t>ENSG00000159713</t>
  </si>
  <si>
    <t>tubulin polymerization promoting protein family member 3</t>
  </si>
  <si>
    <t>ENSG00000244242</t>
  </si>
  <si>
    <t>interferon induced transmembrane protein 10</t>
  </si>
  <si>
    <t>ENSG00000133026</t>
  </si>
  <si>
    <t>myosin heavy chain 10</t>
  </si>
  <si>
    <t>ENSG00000127483</t>
  </si>
  <si>
    <t>heterochromatin protein 1 binding protein 3</t>
  </si>
  <si>
    <t>ENSG00000105011</t>
  </si>
  <si>
    <t>anti-silencing function 1B histone chaperone</t>
  </si>
  <si>
    <t>ENSG00000148516</t>
  </si>
  <si>
    <t>zinc finger E-box binding homeobox 1</t>
  </si>
  <si>
    <t>ENSG00000117152</t>
  </si>
  <si>
    <t>regulator of G-protein signaling 4</t>
  </si>
  <si>
    <t>ENSG00000163430</t>
  </si>
  <si>
    <t>microRNA 198</t>
  </si>
  <si>
    <t>follistatin like 1</t>
  </si>
  <si>
    <t>ENSG00000161888</t>
  </si>
  <si>
    <t>SPC24, NDC80 kinetochore complex component</t>
  </si>
  <si>
    <t>ENSG00000166986</t>
  </si>
  <si>
    <t>methionyl-tRNA synthetase</t>
  </si>
  <si>
    <t>microRNA 6758</t>
  </si>
  <si>
    <t>ENSG00000097021</t>
  </si>
  <si>
    <t>acyl-CoA thioesterase 7</t>
  </si>
  <si>
    <t>ENSG00000188517</t>
  </si>
  <si>
    <t>collagen type XXV alpha 1 chain</t>
  </si>
  <si>
    <t>ENSG00000164713</t>
  </si>
  <si>
    <t>brain protein I3</t>
  </si>
  <si>
    <t>ENSG00000154027</t>
  </si>
  <si>
    <t>adenylate kinase 5</t>
  </si>
  <si>
    <t>ENSG00000134013</t>
  </si>
  <si>
    <t>lysyl oxidase like 2</t>
  </si>
  <si>
    <t>ENSG00000119900</t>
  </si>
  <si>
    <t>opioid growth factor receptor like 1</t>
  </si>
  <si>
    <t>ENSG00000172296</t>
  </si>
  <si>
    <t>serine palmitoyltransferase long chain base subunit 3</t>
  </si>
  <si>
    <t>ENSG00000110080</t>
  </si>
  <si>
    <t>ST3 beta-galactoside alpha-2,3-sialyltransferase 4</t>
  </si>
  <si>
    <t>ENSG00000137266</t>
  </si>
  <si>
    <t>solute carrier family 22 member 23</t>
  </si>
  <si>
    <t>ENSG00000132274</t>
  </si>
  <si>
    <t>tripartite motif containing 22</t>
  </si>
  <si>
    <t>ENSG00000151725</t>
  </si>
  <si>
    <t>centromere protein U</t>
  </si>
  <si>
    <t>ENSG00000082212</t>
  </si>
  <si>
    <t>malic enzyme 2</t>
  </si>
  <si>
    <t>ENSG00000116962</t>
  </si>
  <si>
    <t>nidogen 1</t>
  </si>
  <si>
    <t>ENSG00000177169</t>
  </si>
  <si>
    <t>unc-51 like autophagy activating kinase 1</t>
  </si>
  <si>
    <t>ENSG00000133131</t>
  </si>
  <si>
    <t>MORC family CW-type zinc finger 4</t>
  </si>
  <si>
    <t>ENSG00000078098</t>
  </si>
  <si>
    <t>fibroblast activation protein alpha</t>
  </si>
  <si>
    <t>ENSG00000138594</t>
  </si>
  <si>
    <t>tropomodulin 3</t>
  </si>
  <si>
    <t>ENSG00000144867</t>
  </si>
  <si>
    <t>SRP receptor beta subunit</t>
  </si>
  <si>
    <t>ENSG00000010404</t>
  </si>
  <si>
    <t>iduronate 2-sulfatase</t>
  </si>
  <si>
    <t>ENSG00000013588</t>
  </si>
  <si>
    <t>microRNA 614</t>
  </si>
  <si>
    <t>G protein-coupled receptor class C group 5 member A</t>
  </si>
  <si>
    <t>ENSG00000050405</t>
  </si>
  <si>
    <t>LIM domain and actin binding 1</t>
  </si>
  <si>
    <t>ENSG00000008083</t>
  </si>
  <si>
    <t>jumonji and AT-rich interaction domain containing 2</t>
  </si>
  <si>
    <t>ENSG00000136888</t>
  </si>
  <si>
    <t>ATPase H+ transporting V1 subunit G1</t>
  </si>
  <si>
    <t>ENSG00000111670</t>
  </si>
  <si>
    <t>N-acetylglucosamine-1-phosphate transferase alpha and beta subunits</t>
  </si>
  <si>
    <t>ENSG00000060339</t>
  </si>
  <si>
    <t>cell division cycle and apoptosis regulator 1</t>
  </si>
  <si>
    <t>ENSG00000117155</t>
  </si>
  <si>
    <t>SSX family member 2 interacting protein</t>
  </si>
  <si>
    <t>ENSG00000168497</t>
  </si>
  <si>
    <t>serum deprivation response</t>
  </si>
  <si>
    <t>ENSG00000135540</t>
  </si>
  <si>
    <t>NHS like 1</t>
  </si>
  <si>
    <t>ENSG00000204389</t>
  </si>
  <si>
    <t>heat shock protein family A (Hsp70) member 1A</t>
  </si>
  <si>
    <t>ENSG00000214435</t>
  </si>
  <si>
    <t>arsenite methyltransferase</t>
  </si>
  <si>
    <t>ENSG00000198961</t>
  </si>
  <si>
    <t>praja ring finger ubiquitin ligase 2</t>
  </si>
  <si>
    <t>ENSG00000149212</t>
  </si>
  <si>
    <t>sestrin 3</t>
  </si>
  <si>
    <t>ENSG00000124608</t>
  </si>
  <si>
    <t>alanyl-tRNA synthetase 2, mitochondrial</t>
  </si>
  <si>
    <t>ENSG00000172175</t>
  </si>
  <si>
    <t>MALT1 paracaspase</t>
  </si>
  <si>
    <t>ENSG00000020129</t>
  </si>
  <si>
    <t>neurochondrin</t>
  </si>
  <si>
    <t>ENSG00000147100</t>
  </si>
  <si>
    <t>solute carrier family 16 member 2</t>
  </si>
  <si>
    <t>ENSG00000128272</t>
  </si>
  <si>
    <t>activating transcription factor 4</t>
  </si>
  <si>
    <t>ENSG00000182372</t>
  </si>
  <si>
    <t>microRNA 3674</t>
  </si>
  <si>
    <t>ceroid-lipofuscinosis, neuronal 8</t>
  </si>
  <si>
    <t>ENSG00000149503</t>
  </si>
  <si>
    <t>inner centromere protein</t>
  </si>
  <si>
    <t>ENSG00000138829</t>
  </si>
  <si>
    <t>fibrillin 2</t>
  </si>
  <si>
    <t>ENSG00000015479</t>
  </si>
  <si>
    <t>matrin 3</t>
  </si>
  <si>
    <t>ENSG00000167173</t>
  </si>
  <si>
    <t>chromosome 15 open reading frame 39</t>
  </si>
  <si>
    <t>ENSG00000103249</t>
  </si>
  <si>
    <t>chloride voltage-gated channel 7</t>
  </si>
  <si>
    <t>ENSG00000173812</t>
  </si>
  <si>
    <t>eukaryotic translation initiation factor 1</t>
  </si>
  <si>
    <t>ENSG00000066468</t>
  </si>
  <si>
    <t>fibroblast growth factor receptor 2</t>
  </si>
  <si>
    <t>ENSG00000142089</t>
  </si>
  <si>
    <t>interferon induced transmembrane protein 3</t>
  </si>
  <si>
    <t>ENSG00000137962</t>
  </si>
  <si>
    <t>Rho GTPase activating protein 29</t>
  </si>
  <si>
    <t>ENSG00000169744</t>
  </si>
  <si>
    <t>LIM domain binding 2</t>
  </si>
  <si>
    <t>ENSG00000150403</t>
  </si>
  <si>
    <t>transmembrane and coiled-coil domains 3</t>
  </si>
  <si>
    <t>ENSG00000165633</t>
  </si>
  <si>
    <t>V-set and transmembrane domain containing 4</t>
  </si>
  <si>
    <t>ENSG00000183048</t>
  </si>
  <si>
    <t>solute carrier family 25 member 10</t>
  </si>
  <si>
    <t>ENSG00000128849</t>
  </si>
  <si>
    <t>cingulin like 1</t>
  </si>
  <si>
    <t>ENSG00000109066</t>
  </si>
  <si>
    <t>transmembrane protein 104</t>
  </si>
  <si>
    <t>ENSG00000164938</t>
  </si>
  <si>
    <t>tumor protein p53 inducible nuclear protein 1</t>
  </si>
  <si>
    <t>ENSG00000076356</t>
  </si>
  <si>
    <t>plexin A2</t>
  </si>
  <si>
    <t>ENSG00000152253</t>
  </si>
  <si>
    <t>SPC25, NDC80 kinetochore complex component</t>
  </si>
  <si>
    <t>ENSG00000106665</t>
  </si>
  <si>
    <t>CAP-Gly domain containing linker protein 2</t>
  </si>
  <si>
    <t>ENSG00000188921</t>
  </si>
  <si>
    <t>3-hydroxyacyl-CoA dehydratase 4</t>
  </si>
  <si>
    <t>ENSG00000050393</t>
  </si>
  <si>
    <t>mitochondrial calcium uniporter regulator 1</t>
  </si>
  <si>
    <t>ENSG00000111331</t>
  </si>
  <si>
    <t>2'-5'-oligoadenylate synthetase 3</t>
  </si>
  <si>
    <t>ENSG00000163162</t>
  </si>
  <si>
    <t>ring finger protein 149</t>
  </si>
  <si>
    <t>ENSG00000131462</t>
  </si>
  <si>
    <t>tubulin gamma 1</t>
  </si>
  <si>
    <t>ENSG00000090530</t>
  </si>
  <si>
    <t>prolyl 3-hydroxylase 2</t>
  </si>
  <si>
    <t>ENSG00000152818</t>
  </si>
  <si>
    <t>utrophin</t>
  </si>
  <si>
    <t>ENSG00000118816</t>
  </si>
  <si>
    <t>cyclin I</t>
  </si>
  <si>
    <t>ENSG00000175455</t>
  </si>
  <si>
    <t>coiled-coil domain containing 14</t>
  </si>
  <si>
    <t>ENSG00000102802</t>
  </si>
  <si>
    <t>mesenteric estrogen dependent adipogenesis</t>
  </si>
  <si>
    <t>ENSG00000164484</t>
  </si>
  <si>
    <t>transmembrane protein 200A</t>
  </si>
  <si>
    <t>ENSG00000121690</t>
  </si>
  <si>
    <t>DEP domain containing 7</t>
  </si>
  <si>
    <t>ENSG00000119950</t>
  </si>
  <si>
    <t>MAX interactor 1, dimerization protein</t>
  </si>
  <si>
    <t>ENSG00000115641</t>
  </si>
  <si>
    <t>four and a half LIM domains 2</t>
  </si>
  <si>
    <t>ENSG00000136159</t>
  </si>
  <si>
    <t>nudix hydrolase 15</t>
  </si>
  <si>
    <t>ENSG00000144554</t>
  </si>
  <si>
    <t>Fanconi anemia complementation group D2</t>
  </si>
  <si>
    <t>ENSG00000182667</t>
  </si>
  <si>
    <t>neurotrimin</t>
  </si>
  <si>
    <t>ENSG00000137177</t>
  </si>
  <si>
    <t>kinesin family member 13A</t>
  </si>
  <si>
    <t>ENSG00000164574</t>
  </si>
  <si>
    <t>polypeptide N-acetylgalactosaminyltransferase 10</t>
  </si>
  <si>
    <t>ENSG00000068305</t>
  </si>
  <si>
    <t>myocyte enhancer factor 2A</t>
  </si>
  <si>
    <t>ENSG00000197170</t>
  </si>
  <si>
    <t>proteasome 26S subunit, non-ATPase 12</t>
  </si>
  <si>
    <t>ENSG00000034510</t>
  </si>
  <si>
    <t>thymosin beta 10</t>
  </si>
  <si>
    <t>ENSG00000140961</t>
  </si>
  <si>
    <t>oxidative stress induced growth inhibitor 1</t>
  </si>
  <si>
    <t>ENSG00000166780</t>
  </si>
  <si>
    <t>chromosome 16 open reading frame 45</t>
  </si>
  <si>
    <t>ENSG00000123219</t>
  </si>
  <si>
    <t>centromere protein K</t>
  </si>
  <si>
    <t>ENSG00000129195</t>
  </si>
  <si>
    <t>family with sequence similarity 64 member A</t>
  </si>
  <si>
    <t>ENSG00000143256</t>
  </si>
  <si>
    <t>prefoldin subunit 2</t>
  </si>
  <si>
    <t>ENSG00000158402</t>
  </si>
  <si>
    <t>cell division cycle 25C</t>
  </si>
  <si>
    <t>ENSG00000123080</t>
  </si>
  <si>
    <t>cyclin dependent kinase inhibitor 2C</t>
  </si>
  <si>
    <t>ENSG00000165732</t>
  </si>
  <si>
    <t>DEAD-box helicase 21</t>
  </si>
  <si>
    <t>ENSG00000132561</t>
  </si>
  <si>
    <t>matrilin 2</t>
  </si>
  <si>
    <t>ENSG00000086061</t>
  </si>
  <si>
    <t>DnaJ heat shock protein family (Hsp40) member A1</t>
  </si>
  <si>
    <t>ENSG00000164692</t>
  </si>
  <si>
    <t>collagen type I alpha 2 chain</t>
  </si>
  <si>
    <t>ENSG00000026103</t>
  </si>
  <si>
    <t>Fas cell surface death receptor</t>
  </si>
  <si>
    <t>ENSG00000135596</t>
  </si>
  <si>
    <t>microtubule associated monooxygenase, calponin and LIM domain containing 1</t>
  </si>
  <si>
    <t>ENSG00000196639</t>
  </si>
  <si>
    <t>histamine receptor H1</t>
  </si>
  <si>
    <t>ENSG00000123975</t>
  </si>
  <si>
    <t>CDC28 protein kinase regulatory subunit 2</t>
  </si>
  <si>
    <t>ENSG00000130340</t>
  </si>
  <si>
    <t>sorting nexin 9</t>
  </si>
  <si>
    <t>ENSG00000047936</t>
  </si>
  <si>
    <t>ROS proto-oncogene 1, receptor tyrosine kinase</t>
  </si>
  <si>
    <t>ENSG00000139926</t>
  </si>
  <si>
    <t>FERM domain containing 6</t>
  </si>
  <si>
    <t>ENSG00000203760</t>
  </si>
  <si>
    <t>centromere protein W</t>
  </si>
  <si>
    <t>ENSG00000087086</t>
  </si>
  <si>
    <t>ferritin light chain</t>
  </si>
  <si>
    <t>ENSG00000107262</t>
  </si>
  <si>
    <t>BCL2 associated athanogene 1</t>
  </si>
  <si>
    <t>ENSG00000116191</t>
  </si>
  <si>
    <t>Ral GEF with PH domain and SH3 binding motif 2</t>
  </si>
  <si>
    <t>ENSG00000142178</t>
  </si>
  <si>
    <t>salt inducible kinase 1</t>
  </si>
  <si>
    <t>ENSG00000166508</t>
  </si>
  <si>
    <t>minichromosome maintenance complex component 7</t>
  </si>
  <si>
    <t>ENSG00000198700</t>
  </si>
  <si>
    <t>importin 9</t>
  </si>
  <si>
    <t>ENSG00000134242</t>
  </si>
  <si>
    <t>protein tyrosine phosphatase, non-receptor type 22</t>
  </si>
  <si>
    <t>ENSG00000188549</t>
  </si>
  <si>
    <t>chromosome 15 open reading frame 52</t>
  </si>
  <si>
    <t>ENSG00000073111</t>
  </si>
  <si>
    <t>minichromosome maintenance complex component 2</t>
  </si>
  <si>
    <t>ENSG00000212724</t>
  </si>
  <si>
    <t>keratin associated protein 2-3</t>
  </si>
  <si>
    <t>ENSG00000136153</t>
  </si>
  <si>
    <t>LIM domain 7</t>
  </si>
  <si>
    <t>ENSG00000205336</t>
  </si>
  <si>
    <t>adhesion G protein-coupled receptor G1</t>
  </si>
  <si>
    <t>ENSG00000108175</t>
  </si>
  <si>
    <t>zinc finger MIZ-type containing 1</t>
  </si>
  <si>
    <t>ENSG00000166741</t>
  </si>
  <si>
    <t>nicotinamide N-methyltransferase</t>
  </si>
  <si>
    <t>ENSG00000124588</t>
  </si>
  <si>
    <t>NAD(P)H quinone dehydrogenase 2</t>
  </si>
  <si>
    <t>ENSG00000116478</t>
  </si>
  <si>
    <t>histone deacetylase 1</t>
  </si>
  <si>
    <t>ENSG00000189159</t>
  </si>
  <si>
    <t>hematological and neurological expressed 1</t>
  </si>
  <si>
    <t>ENSG00000072195</t>
  </si>
  <si>
    <t>CAVP-target protein-like</t>
  </si>
  <si>
    <t>SPEG complex locus</t>
  </si>
  <si>
    <t>ENSG00000146592</t>
  </si>
  <si>
    <t>cAMP responsive element binding protein 5</t>
  </si>
  <si>
    <t>ENSG00000135926</t>
  </si>
  <si>
    <t>transmembrane BAX inhibitor motif containing 1</t>
  </si>
  <si>
    <t>microRNA 6513</t>
  </si>
  <si>
    <t>ENSG00000143387</t>
  </si>
  <si>
    <t>cathepsin K</t>
  </si>
  <si>
    <t>ENSG00000169902</t>
  </si>
  <si>
    <t>tyrosylprotein sulfotransferase 1</t>
  </si>
  <si>
    <t>ENSG00000185022</t>
  </si>
  <si>
    <t>MAF bZIP transcription factor F</t>
  </si>
  <si>
    <t>ENSG00000168496</t>
  </si>
  <si>
    <t>flap structure-specific endonuclease 1</t>
  </si>
  <si>
    <t>ENSG00000026508</t>
  </si>
  <si>
    <t>CD44 molecule (Indian blood group)</t>
  </si>
  <si>
    <t>ENSG00000115216</t>
  </si>
  <si>
    <t>nuclear receptor binding protein 1</t>
  </si>
  <si>
    <t>ENSG00000170734</t>
  </si>
  <si>
    <t>DNA polymerase eta</t>
  </si>
  <si>
    <t>ENSG00000128944</t>
  </si>
  <si>
    <t>kinetochore localized astrin/SPAG5 binding protein</t>
  </si>
  <si>
    <t>ENSG00000196352</t>
  </si>
  <si>
    <t>CD55 molecule (Cromer blood group)</t>
  </si>
  <si>
    <t>ENSG00000171992</t>
  </si>
  <si>
    <t>synaptopodin</t>
  </si>
  <si>
    <t>ENSG00000157551</t>
  </si>
  <si>
    <t>potassium voltage-gated channel subfamily J member 15</t>
  </si>
  <si>
    <t>ENSG00000128594</t>
  </si>
  <si>
    <t>leucine rich repeat containing 4</t>
  </si>
  <si>
    <t>ENSG00000137845</t>
  </si>
  <si>
    <t>ADAM metallopeptidase domain 10</t>
  </si>
  <si>
    <t>ENSG00000180530</t>
  </si>
  <si>
    <t>nuclear receptor interacting protein 1</t>
  </si>
  <si>
    <t>ENSG00000162631</t>
  </si>
  <si>
    <t>netrin G1</t>
  </si>
  <si>
    <t>ENSG00000100162</t>
  </si>
  <si>
    <t>centromere protein M</t>
  </si>
  <si>
    <t>ENSG00000166845</t>
  </si>
  <si>
    <t>chromosome 18 open reading frame 54</t>
  </si>
  <si>
    <t>ENSG00000175274</t>
  </si>
  <si>
    <t>tumor protein p53 inducible protein 11</t>
  </si>
  <si>
    <t>ENSG00000139971</t>
  </si>
  <si>
    <t>chromosome 14 open reading frame 37</t>
  </si>
  <si>
    <t>ENSG00000115419</t>
  </si>
  <si>
    <t>glutaminase</t>
  </si>
  <si>
    <t>ENSG00000120063</t>
  </si>
  <si>
    <t>G protein subunit alpha 13</t>
  </si>
  <si>
    <t>ENSG00000161904</t>
  </si>
  <si>
    <t>LEM domain containing 2</t>
  </si>
  <si>
    <t>ENSG00000115963</t>
  </si>
  <si>
    <t>Rho family GTPase 3</t>
  </si>
  <si>
    <t>ENSG00000153904</t>
  </si>
  <si>
    <t>dimethylarginine dimethylaminohydrolase 1</t>
  </si>
  <si>
    <t>ENSG00000196159</t>
  </si>
  <si>
    <t>FAT atypical cadherin 4</t>
  </si>
  <si>
    <t>ENSG00000148834</t>
  </si>
  <si>
    <t>glutathione S-transferase omega 1</t>
  </si>
  <si>
    <t>ENSG00000153044</t>
  </si>
  <si>
    <t>centromere protein H</t>
  </si>
  <si>
    <t>ENSG00000183044</t>
  </si>
  <si>
    <t>4-aminobutyrate aminotransferase</t>
  </si>
  <si>
    <t>ENSG00000197046</t>
  </si>
  <si>
    <t>sialic acid binding Ig like lectin 15</t>
  </si>
  <si>
    <t>ENSG00000116183</t>
  </si>
  <si>
    <t>pappalysin 2</t>
  </si>
  <si>
    <t>ENSG00000132383</t>
  </si>
  <si>
    <t>replication protein A1</t>
  </si>
  <si>
    <t>ENSG00000160446</t>
  </si>
  <si>
    <t>zinc finger DHHC-type containing 12</t>
  </si>
  <si>
    <t>ENSG00000174136</t>
  </si>
  <si>
    <t>repulsive guidance molecule family member b</t>
  </si>
  <si>
    <t>ENSG00000184584</t>
  </si>
  <si>
    <t>transmembrane protein 173</t>
  </si>
  <si>
    <t>ENSG00000153879</t>
  </si>
  <si>
    <t>CCAAT/enhancer binding protein gamma</t>
  </si>
  <si>
    <t>ENSG00000106683</t>
  </si>
  <si>
    <t>LIM domain kinase 1</t>
  </si>
  <si>
    <t>ENSG00000119333</t>
  </si>
  <si>
    <t>WD repeat domain 34</t>
  </si>
  <si>
    <t>ENSG00000109670</t>
  </si>
  <si>
    <t>F-box and WD repeat domain containing 7</t>
  </si>
  <si>
    <t>ENSG00000172935</t>
  </si>
  <si>
    <t>MAS related GPR family member F</t>
  </si>
  <si>
    <t>ENSG00000109323</t>
  </si>
  <si>
    <t>mannosidase beta</t>
  </si>
  <si>
    <t>ENSG00000156535</t>
  </si>
  <si>
    <t>CD109 molecule</t>
  </si>
  <si>
    <t>ENSG00000187951</t>
  </si>
  <si>
    <t>OTU deubiquitinase 7A pseudogene</t>
  </si>
  <si>
    <t>Rho GTPase activating protein 11B</t>
  </si>
  <si>
    <t>ENSG00000104687</t>
  </si>
  <si>
    <t>glutathione-disulfide reductase</t>
  </si>
  <si>
    <t>ENSG00000100297</t>
  </si>
  <si>
    <t>minichromosome maintenance complex component 5</t>
  </si>
  <si>
    <t>ENSG00000169926</t>
  </si>
  <si>
    <t>Kruppel like factor 13</t>
  </si>
  <si>
    <t>ENSG00000165434</t>
  </si>
  <si>
    <t>phosphoglucomutase 2 like 1</t>
  </si>
  <si>
    <t>ENSG00000163702</t>
  </si>
  <si>
    <t>interleukin 17 receptor C</t>
  </si>
  <si>
    <t>ENSG00000181019</t>
  </si>
  <si>
    <t>NAD(P)H quinone dehydrogenase 1</t>
  </si>
  <si>
    <t>ENSG00000123933</t>
  </si>
  <si>
    <t>microRNA 4800</t>
  </si>
  <si>
    <t>MAX dimerization protein 4</t>
  </si>
  <si>
    <t>ENSG00000142910</t>
  </si>
  <si>
    <t>tubulointerstitial nephritis antigen like 1</t>
  </si>
  <si>
    <t>ENSG00000171604</t>
  </si>
  <si>
    <t>CXXC finger protein 5</t>
  </si>
  <si>
    <t>ENSG00000187240</t>
  </si>
  <si>
    <t>dynein cytoplasmic 2 heavy chain 1</t>
  </si>
  <si>
    <t>ENSG00000114767</t>
  </si>
  <si>
    <t>ribosomal RNA processing 9, small subunit (SSU) processome component, homolog (yeast)</t>
  </si>
  <si>
    <t>ENSG00000109084</t>
  </si>
  <si>
    <t>transmembrane protein 97</t>
  </si>
  <si>
    <t>ENSG00000145685</t>
  </si>
  <si>
    <t>lipoma HMGIC fusion partner-like 2</t>
  </si>
  <si>
    <t>ENSG00000138814</t>
  </si>
  <si>
    <t>protein phosphatase 3 catalytic subunit alpha</t>
  </si>
  <si>
    <t>ENSG00000159348</t>
  </si>
  <si>
    <t>cytochrome b5 reductase 1</t>
  </si>
  <si>
    <t>ENSG00000125037</t>
  </si>
  <si>
    <t>ER membrane protein complex subunit 3</t>
  </si>
  <si>
    <t>ENSG00000072501</t>
  </si>
  <si>
    <t>structural maintenance of chromosomes 1A</t>
  </si>
  <si>
    <t>ENSG00000162733</t>
  </si>
  <si>
    <t>discoidin domain receptor tyrosine kinase 2</t>
  </si>
  <si>
    <t>ENSG00000255302</t>
  </si>
  <si>
    <t>EP300 interacting inhibitor of differentiation 1</t>
  </si>
  <si>
    <t>ENSG00000120820</t>
  </si>
  <si>
    <t>glycosyltransferase 8 domain containing 2</t>
  </si>
  <si>
    <t>ENSG00000121281</t>
  </si>
  <si>
    <t>adenylate cyclase 7</t>
  </si>
  <si>
    <t>ENSG00000179218</t>
  </si>
  <si>
    <t>calreticulin</t>
  </si>
  <si>
    <t>ENSG00000176407</t>
  </si>
  <si>
    <t>potassium channel modulatory factor 1</t>
  </si>
  <si>
    <t>ENSG00000114861</t>
  </si>
  <si>
    <t>forkhead box P1</t>
  </si>
  <si>
    <t>ENSG00000233016</t>
  </si>
  <si>
    <t>small nucleolar RNA host gene 7</t>
  </si>
  <si>
    <t>ENSG00000168476</t>
  </si>
  <si>
    <t>receptor accessory protein 4</t>
  </si>
  <si>
    <t>ENSG00000136859</t>
  </si>
  <si>
    <t>angiopoietin like 2</t>
  </si>
  <si>
    <t>ENSG00000164161</t>
  </si>
  <si>
    <t>hedgehog interacting protein</t>
  </si>
  <si>
    <t>ENSG00000145555</t>
  </si>
  <si>
    <t>myosin X</t>
  </si>
  <si>
    <t>ENSG00000131435</t>
  </si>
  <si>
    <t>PDZ and LIM domain 4</t>
  </si>
  <si>
    <t>ENSG00000164985</t>
  </si>
  <si>
    <t>PC4 and SFRS1 interacting protein 1</t>
  </si>
  <si>
    <t>ENSG00000156113</t>
  </si>
  <si>
    <t>potassium calcium-activated channel subfamily M alpha 1</t>
  </si>
  <si>
    <t>ENSG00000165030</t>
  </si>
  <si>
    <t>nuclear factor, interleukin 3 regulated</t>
  </si>
  <si>
    <t>ENSG00000004478</t>
  </si>
  <si>
    <t>FK506 binding protein 4</t>
  </si>
  <si>
    <t>ENSG00000134775</t>
  </si>
  <si>
    <t>formin homology 2 domain containing 3</t>
  </si>
  <si>
    <t>ENSG00000197063</t>
  </si>
  <si>
    <t>MAF bZIP transcription factor G</t>
  </si>
  <si>
    <t>ENSG00000186310</t>
  </si>
  <si>
    <t>nucleosome assembly protein 1 like 3</t>
  </si>
  <si>
    <t>ENSG00000094916</t>
  </si>
  <si>
    <t>microRNA 3198-2</t>
  </si>
  <si>
    <t>chromobox 5</t>
  </si>
  <si>
    <t>ENSG00000170801</t>
  </si>
  <si>
    <t>HtrA serine peptidase 3</t>
  </si>
  <si>
    <t>ENSG00000165169</t>
  </si>
  <si>
    <t>dynein light chain Tctex-type 3</t>
  </si>
  <si>
    <t>ENSG00000147224</t>
  </si>
  <si>
    <t>phosphoribosyl pyrophosphate synthetase 1</t>
  </si>
  <si>
    <t>ENSG00000136048</t>
  </si>
  <si>
    <t>DNA damage regulated autophagy modulator 1</t>
  </si>
  <si>
    <t>ENSG00000182628</t>
  </si>
  <si>
    <t>spindle and kinetochore associated complex subunit 2</t>
  </si>
  <si>
    <t>ENSG00000198467</t>
  </si>
  <si>
    <t>tropomyosin 2 (beta)</t>
  </si>
  <si>
    <t>ENSG00000079819</t>
  </si>
  <si>
    <t>erythrocyte membrane protein band 4.1 like 2</t>
  </si>
  <si>
    <t>ENSG00000109971</t>
  </si>
  <si>
    <t>heat shock protein family A (Hsp70) member 8</t>
  </si>
  <si>
    <t>ENSG00000143344</t>
  </si>
  <si>
    <t>ral guanine nucleotide dissociation stimulator like 1</t>
  </si>
  <si>
    <t>ENSG00000260916</t>
  </si>
  <si>
    <t>cell cycle progression 1</t>
  </si>
  <si>
    <t>microRNA 628</t>
  </si>
  <si>
    <t>ENSG00000101236</t>
  </si>
  <si>
    <t>ring finger protein 24</t>
  </si>
  <si>
    <t>ENSG00000149636</t>
  </si>
  <si>
    <t>DSN1 homolog, MIS12 kinetochore complex component</t>
  </si>
  <si>
    <t>ENSG00000023902</t>
  </si>
  <si>
    <t>pleckstrin homology domain containing O1</t>
  </si>
  <si>
    <t>ENSG00000137501</t>
  </si>
  <si>
    <t>synaptotagmin like 2</t>
  </si>
  <si>
    <t>ENSG00000127481</t>
  </si>
  <si>
    <t>ubiquitin protein ligase E3 component n-recognin 4</t>
  </si>
  <si>
    <t>ENSG00000182718</t>
  </si>
  <si>
    <t>annexin A2</t>
  </si>
  <si>
    <t>ENSG00000171621</t>
  </si>
  <si>
    <t>splA/ryanodine receptor domain and SOCS box containing 1</t>
  </si>
  <si>
    <t>ENSG00000166548</t>
  </si>
  <si>
    <t>thymidine kinase 2, mitochondrial</t>
  </si>
  <si>
    <t>ENSG00000003436</t>
  </si>
  <si>
    <t>tissue factor pathway inhibitor</t>
  </si>
  <si>
    <t>ENSG00000148019</t>
  </si>
  <si>
    <t>centrosomal protein 78</t>
  </si>
  <si>
    <t>ENSG00000071967</t>
  </si>
  <si>
    <t>cytochrome b reductase 1</t>
  </si>
  <si>
    <t>ENSG00000138138</t>
  </si>
  <si>
    <t>ATPase family, AAA domain containing 1</t>
  </si>
  <si>
    <t>ENSG00000103187</t>
  </si>
  <si>
    <t>coactosin like F-actin binding protein 1</t>
  </si>
  <si>
    <t>ENSG00000120156</t>
  </si>
  <si>
    <t>TEK receptor tyrosine kinase</t>
  </si>
  <si>
    <t>ENSG00000110917</t>
  </si>
  <si>
    <t>malectin</t>
  </si>
  <si>
    <t>ENSG00000088340</t>
  </si>
  <si>
    <t>fer-1 like family member 4, pseudogene</t>
  </si>
  <si>
    <t>ENSG00000164323</t>
  </si>
  <si>
    <t>cilia and flagella associated protein 97</t>
  </si>
  <si>
    <t>ENSG00000111247</t>
  </si>
  <si>
    <t>RAD51 associated protein 1</t>
  </si>
  <si>
    <t>ENSG00000134107</t>
  </si>
  <si>
    <t>basic helix-loop-helix family member e40</t>
  </si>
  <si>
    <t>ENSG00000109674</t>
  </si>
  <si>
    <t>nei like DNA glycosylase 3</t>
  </si>
  <si>
    <t>ENSG00000187720</t>
  </si>
  <si>
    <t>thrombospondin type 1 domain containing 4</t>
  </si>
  <si>
    <t>ENSG00000010610</t>
  </si>
  <si>
    <t>CD4 molecule</t>
  </si>
  <si>
    <t>ENSG00000172667</t>
  </si>
  <si>
    <t>zinc finger matrin-type 3</t>
  </si>
  <si>
    <t>ENSG00000154736</t>
  </si>
  <si>
    <t>ADAM metallopeptidase with thrombospondin type 1 motif 5</t>
  </si>
  <si>
    <t>ENSG00000145390</t>
  </si>
  <si>
    <t>ubiquitin specific peptidase 53</t>
  </si>
  <si>
    <t>ENSG00000197415</t>
  </si>
  <si>
    <t>ventricular zone expressed PH domain containing 1</t>
  </si>
  <si>
    <t>ENSG00000152229</t>
  </si>
  <si>
    <t>proline-serine-threonine phosphatase interacting protein 2</t>
  </si>
  <si>
    <t>ENSG00000178295</t>
  </si>
  <si>
    <t>GEN1, Holliday junction 5' flap endonuclease</t>
  </si>
  <si>
    <t>ENSG00000100994</t>
  </si>
  <si>
    <t>phosphorylase, glycogen; brain</t>
  </si>
  <si>
    <t>ENSG00000144567</t>
  </si>
  <si>
    <t>family with sequence similarity 134 member A</t>
  </si>
  <si>
    <t>ENSG00000143384</t>
  </si>
  <si>
    <t>BCL2 family apoptosis regulator</t>
  </si>
  <si>
    <t>ENSG00000165480</t>
  </si>
  <si>
    <t>spindle and kinetochore associated complex subunit 3</t>
  </si>
  <si>
    <t>ENSG00000058272</t>
  </si>
  <si>
    <t>protein phosphatase 1 regulatory subunit 12A</t>
  </si>
  <si>
    <t>ENSG00000124145</t>
  </si>
  <si>
    <t>syndecan 4</t>
  </si>
  <si>
    <t>ENSG00000150630</t>
  </si>
  <si>
    <t>vascular endothelial growth factor C</t>
  </si>
  <si>
    <t>ENSG00000135480</t>
  </si>
  <si>
    <t>keratin 7</t>
  </si>
  <si>
    <t>ENSG00000073060</t>
  </si>
  <si>
    <t>scavenger receptor class B member 1</t>
  </si>
  <si>
    <t>ENSG00000271122</t>
  </si>
  <si>
    <t>uncharacterized LOC101930085</t>
  </si>
  <si>
    <t>ENSG00000164366</t>
  </si>
  <si>
    <t>coiled-coil domain containing 127</t>
  </si>
  <si>
    <t>ENSG00000198324</t>
  </si>
  <si>
    <t>family with sequence similarity 109 member A</t>
  </si>
  <si>
    <t>ENSG00000163754</t>
  </si>
  <si>
    <t>glycogenin 1</t>
  </si>
  <si>
    <t>ENSG00000141425</t>
  </si>
  <si>
    <t>regulation of nuclear pre-mRNA domain containing 1A</t>
  </si>
  <si>
    <t>ENSG00000115163</t>
  </si>
  <si>
    <t>centromere protein A</t>
  </si>
  <si>
    <t>ENSG00000178038</t>
  </si>
  <si>
    <t>ALS2 C-terminal like</t>
  </si>
  <si>
    <t>ENSG00000112208</t>
  </si>
  <si>
    <t>BCL2 associated athanogene 2</t>
  </si>
  <si>
    <t>ENSG00000154556</t>
  </si>
  <si>
    <t>sorbin and SH3 domain containing 2</t>
  </si>
  <si>
    <t>ENSG00000107372</t>
  </si>
  <si>
    <t>zinc finger AN1-type containing 5</t>
  </si>
  <si>
    <t>ENSG00000196878</t>
  </si>
  <si>
    <t>microRNA 4260</t>
  </si>
  <si>
    <t>laminin subunit beta 3</t>
  </si>
  <si>
    <t>ENSG00000111897</t>
  </si>
  <si>
    <t>serine incorporator 1</t>
  </si>
  <si>
    <t>ENSG00000107796</t>
  </si>
  <si>
    <t>actin, alpha 2, smooth muscle, aorta</t>
  </si>
  <si>
    <t>ENSG00000110031</t>
  </si>
  <si>
    <t>leupaxin</t>
  </si>
  <si>
    <t>ENSG00000167601</t>
  </si>
  <si>
    <t>AXL receptor tyrosine kinase</t>
  </si>
  <si>
    <t>ENSG00000157873</t>
  </si>
  <si>
    <t>TNF receptor superfamily member 14</t>
  </si>
  <si>
    <t>ENSG00000118985</t>
  </si>
  <si>
    <t>elongation factor for RNA polymerase II 2</t>
  </si>
  <si>
    <t>ENSG00000100596</t>
  </si>
  <si>
    <t>serine palmitoyltransferase long chain base subunit 2</t>
  </si>
  <si>
    <t>ENSG00000133639</t>
  </si>
  <si>
    <t>BTG anti-proliferation factor 1</t>
  </si>
  <si>
    <t>ENSG00000103489</t>
  </si>
  <si>
    <t>xylosyltransferase 1</t>
  </si>
  <si>
    <t>ENSG00000255248</t>
  </si>
  <si>
    <t>mir-100-let-7a-2 cluster host gene</t>
  </si>
  <si>
    <t>ENSG00000185480</t>
  </si>
  <si>
    <t>PARP1 binding protein</t>
  </si>
  <si>
    <t>ENSG00000162745</t>
  </si>
  <si>
    <t>olfactomedin like 2B</t>
  </si>
  <si>
    <t>ENSG00000105771</t>
  </si>
  <si>
    <t>SMG9, nonsense mediated mRNA decay factor</t>
  </si>
  <si>
    <t>ENSG00000147874</t>
  </si>
  <si>
    <t>HAUS augmin like complex subunit 6</t>
  </si>
  <si>
    <t>ENSG00000187479</t>
  </si>
  <si>
    <t>chromosome 11 open reading frame 96</t>
  </si>
  <si>
    <t>ENSG00000172123</t>
  </si>
  <si>
    <t>schlafen family member 12</t>
  </si>
  <si>
    <t>ENSG00000008952</t>
  </si>
  <si>
    <t>SEC62 homolog, preprotein translocation factor</t>
  </si>
  <si>
    <t>ENSG00000243978</t>
  </si>
  <si>
    <t>retrotransposon gag domain containing 1</t>
  </si>
  <si>
    <t>ENSG00000106571</t>
  </si>
  <si>
    <t>GLI family zinc finger 3</t>
  </si>
  <si>
    <t>ENSG00000134250</t>
  </si>
  <si>
    <t>notch 2</t>
  </si>
  <si>
    <t>ENSG00000136156</t>
  </si>
  <si>
    <t>integral membrane protein 2B</t>
  </si>
  <si>
    <t>ENSG00000152332</t>
  </si>
  <si>
    <t>U2AF homology motif kinase 1</t>
  </si>
  <si>
    <t>ENSG00000133612</t>
  </si>
  <si>
    <t>ArfGAP with GTPase domain, ankyrin repeat and PH domain 3</t>
  </si>
  <si>
    <t>ENSG00000065548</t>
  </si>
  <si>
    <t>zinc finger CCCH-type containing 15</t>
  </si>
  <si>
    <t>ENSG00000177119</t>
  </si>
  <si>
    <t>anoctamin 6</t>
  </si>
  <si>
    <t>ENSG00000160209</t>
  </si>
  <si>
    <t>pyridoxal (pyridoxine, vitamin B6) kinase</t>
  </si>
  <si>
    <t>uncharacterized LOC105372824</t>
  </si>
  <si>
    <t>NA</t>
  </si>
  <si>
    <t>ENSG00000103495</t>
  </si>
  <si>
    <t>MYC associated zinc finger protein</t>
  </si>
  <si>
    <t>ENSG00000184007</t>
  </si>
  <si>
    <t>protein tyrosine phosphatase type IVA, member 2</t>
  </si>
  <si>
    <t>ENSG00000157827</t>
  </si>
  <si>
    <t>formin like 2</t>
  </si>
  <si>
    <t>ENSG00000268941</t>
  </si>
  <si>
    <t>uncharacterized LOC79160</t>
  </si>
  <si>
    <t>ENSG00000021826</t>
  </si>
  <si>
    <t>carbamoyl-phosphate synthase 1</t>
  </si>
  <si>
    <t>ENSG00000221829</t>
  </si>
  <si>
    <t>Fanconi anemia complementation group G</t>
  </si>
  <si>
    <t>ENSG00000138735</t>
  </si>
  <si>
    <t>phosphodiesterase 5A</t>
  </si>
  <si>
    <t>ENSG00000137628</t>
  </si>
  <si>
    <t>DEXD/H-box helicase 60</t>
  </si>
  <si>
    <t>ENSG00000163820</t>
  </si>
  <si>
    <t>FYVE and coiled-coil domain containing 1</t>
  </si>
  <si>
    <t>ENSG00000149577</t>
  </si>
  <si>
    <t>SID1 transmembrane family member 2</t>
  </si>
  <si>
    <t>ENSG00000183508</t>
  </si>
  <si>
    <t>family with sequence similarity 46 member C</t>
  </si>
  <si>
    <t>ENSG00000107562</t>
  </si>
  <si>
    <t>C-X-C motif chemokine ligand 12</t>
  </si>
  <si>
    <t>ENSG00000135451</t>
  </si>
  <si>
    <t>trophinin associated protein</t>
  </si>
  <si>
    <t>ENSG00000166451</t>
  </si>
  <si>
    <t>centromere protein N</t>
  </si>
  <si>
    <t>ENSG00000177311</t>
  </si>
  <si>
    <t>zinc finger and BTB domain containing 38</t>
  </si>
  <si>
    <t>ENSG00000178202</t>
  </si>
  <si>
    <t>KDEL motif containing 2</t>
  </si>
  <si>
    <t>ENSG00000117143</t>
  </si>
  <si>
    <t>UDP-N-acetylglucosamine pyrophosphorylase 1</t>
  </si>
  <si>
    <t>ENSG00000107815</t>
  </si>
  <si>
    <t>chromosome 10 open reading frame 2</t>
  </si>
  <si>
    <t>ENSG00000050438</t>
  </si>
  <si>
    <t>solute carrier family 4 member 8</t>
  </si>
  <si>
    <t>ENSG00000205213</t>
  </si>
  <si>
    <t>leucine rich repeat containing G protein-coupled receptor 4</t>
  </si>
  <si>
    <t>ENSG00000143418</t>
  </si>
  <si>
    <t>ceramide synthase 2</t>
  </si>
  <si>
    <t>ENSG00000064666</t>
  </si>
  <si>
    <t>calponin 2</t>
  </si>
  <si>
    <t>ENSG00000122591</t>
  </si>
  <si>
    <t>family with sequence similarity 126 member A</t>
  </si>
  <si>
    <t>ENSG00000181704</t>
  </si>
  <si>
    <t>Yip1 domain family member 6</t>
  </si>
  <si>
    <t>ENSG00000109133</t>
  </si>
  <si>
    <t>transmembrane protein 33</t>
  </si>
  <si>
    <t>ENSG00000091164</t>
  </si>
  <si>
    <t>thioredoxin like 1</t>
  </si>
  <si>
    <t>ENSG00000144824</t>
  </si>
  <si>
    <t>pleckstrin homology like domain family B member 2</t>
  </si>
  <si>
    <t>ENSG00000125885</t>
  </si>
  <si>
    <t>minichromosome maintenance 8 homologous recombination repair factor</t>
  </si>
  <si>
    <t>ENSG00000168389</t>
  </si>
  <si>
    <t>major facilitator superfamily domain containing 2A</t>
  </si>
  <si>
    <t>ENSG00000070669</t>
  </si>
  <si>
    <t>asparagine synthetase (glutamine-hydrolyzing)</t>
  </si>
  <si>
    <t>ENSG00000134247</t>
  </si>
  <si>
    <t>prostaglandin F2 receptor inhibitor</t>
  </si>
  <si>
    <t>ENSG00000171680</t>
  </si>
  <si>
    <t>pleckstrin homology and RhoGEF domain containing G5</t>
  </si>
  <si>
    <t>ENSG00000169855</t>
  </si>
  <si>
    <t>roundabout guidance receptor 1</t>
  </si>
  <si>
    <t>ENSG00000187741</t>
  </si>
  <si>
    <t>Fanconi anemia complementation group A</t>
  </si>
  <si>
    <t>ENSG00000196576</t>
  </si>
  <si>
    <t>plexin B2</t>
  </si>
  <si>
    <t>ENSG00000185201</t>
  </si>
  <si>
    <t>interferon induced transmembrane protein 2</t>
  </si>
  <si>
    <t>ENSG00000120253</t>
  </si>
  <si>
    <t>nucleoporin 43</t>
  </si>
  <si>
    <t>ENSG00000108010</t>
  </si>
  <si>
    <t>glutaredoxin 3</t>
  </si>
  <si>
    <t>ENSG00000184014</t>
  </si>
  <si>
    <t>DENN domain containing 5A</t>
  </si>
  <si>
    <t>ENSG00000130522</t>
  </si>
  <si>
    <t>JunD proto-oncogene, AP-1 transcription factor subunit</t>
  </si>
  <si>
    <t>ENSG00000166398</t>
  </si>
  <si>
    <t>KIAA0355</t>
  </si>
  <si>
    <t>ENSG00000171488</t>
  </si>
  <si>
    <t>leucine rich repeat containing 8 family member C</t>
  </si>
  <si>
    <t>ENSG00000163071</t>
  </si>
  <si>
    <t>spermatogenesis associated 18</t>
  </si>
  <si>
    <t>ENSG00000128655</t>
  </si>
  <si>
    <t>phosphodiesterase 11A</t>
  </si>
  <si>
    <t>ENSG00000196531</t>
  </si>
  <si>
    <t>nascent polypeptide-associated complex alpha subunit</t>
  </si>
  <si>
    <t>ENSG00000154813</t>
  </si>
  <si>
    <t>diphthamide biosynthesis 3</t>
  </si>
  <si>
    <t>ENSG00000108797</t>
  </si>
  <si>
    <t>contactin associated protein 1</t>
  </si>
  <si>
    <t>ENSG00000154188</t>
  </si>
  <si>
    <t>angiopoietin 1</t>
  </si>
  <si>
    <t>ENSG00000144821</t>
  </si>
  <si>
    <t>myosin heavy chain 15</t>
  </si>
  <si>
    <t>ENSG00000109685</t>
  </si>
  <si>
    <t>Wolf-Hirschhorn syndrome candidate 1</t>
  </si>
  <si>
    <t>ENSG00000100219</t>
  </si>
  <si>
    <t>X-box binding protein 1</t>
  </si>
  <si>
    <t>ENSG00000178607</t>
  </si>
  <si>
    <t>endoplasmic reticulum to nucleus signaling 1</t>
  </si>
  <si>
    <t>ENSG00000166436</t>
  </si>
  <si>
    <t>tripartite motif containing 66</t>
  </si>
  <si>
    <t>ENSG00000139880</t>
  </si>
  <si>
    <t>cadherin 24</t>
  </si>
  <si>
    <t>ENSG00000126653</t>
  </si>
  <si>
    <t>nuclear speckle splicing regulatory protein 1</t>
  </si>
  <si>
    <t>microRNA 423</t>
  </si>
  <si>
    <t>ENSG00000197093</t>
  </si>
  <si>
    <t>galactose-3-O-sulfotransferase 4</t>
  </si>
  <si>
    <t>ENSG00000100814</t>
  </si>
  <si>
    <t>cyclin B1 interacting protein 1</t>
  </si>
  <si>
    <t>ENSG00000177084</t>
  </si>
  <si>
    <t>DNA polymerase epsilon, catalytic subunit</t>
  </si>
  <si>
    <t>ENSG00000144746</t>
  </si>
  <si>
    <t>ADP ribosylation factor like GTPase 6 interacting protein 5</t>
  </si>
  <si>
    <t>ENSG00000139998</t>
  </si>
  <si>
    <t>RAB15, member RAS oncogene family</t>
  </si>
  <si>
    <t>ENSG00000140105</t>
  </si>
  <si>
    <t>tryptophanyl-tRNA synthetase</t>
  </si>
  <si>
    <t>ENSG00000132481</t>
  </si>
  <si>
    <t>tripartite motif containing 47</t>
  </si>
  <si>
    <t>ENSG00000167244</t>
  </si>
  <si>
    <t>insulin like growth factor 2</t>
  </si>
  <si>
    <t>ENSG00000176871</t>
  </si>
  <si>
    <t>WD repeat and SOCS box containing 2</t>
  </si>
  <si>
    <t>ENSG00000147133</t>
  </si>
  <si>
    <t>TATA-box binding protein associated factor 1</t>
  </si>
  <si>
    <t>ENSG00000116786</t>
  </si>
  <si>
    <t>pleckstrin homology and RUN domain containing M2</t>
  </si>
  <si>
    <t>ENSG00000112378</t>
  </si>
  <si>
    <t>PERP, TP53 apoptosis effector</t>
  </si>
  <si>
    <t>ENSG00000147650</t>
  </si>
  <si>
    <t>LDL receptor related protein 12</t>
  </si>
  <si>
    <t>ENSG00000161091</t>
  </si>
  <si>
    <t>major facilitator superfamily domain containing 12</t>
  </si>
  <si>
    <t>ENSG00000163840</t>
  </si>
  <si>
    <t>deltex E3 ubiquitin ligase 3L</t>
  </si>
  <si>
    <t>ENSG00000139354</t>
  </si>
  <si>
    <t>growth arrest specific 2 like 3</t>
  </si>
  <si>
    <t>ENSG00000140199</t>
  </si>
  <si>
    <t>solute carrier family 12 member 6</t>
  </si>
  <si>
    <t>ENSG00000133083</t>
  </si>
  <si>
    <t>doublecortin like kinase 1</t>
  </si>
  <si>
    <t>ENSG00000177542</t>
  </si>
  <si>
    <t>solute carrier family 25 member 22</t>
  </si>
  <si>
    <t>ENSG00000142230</t>
  </si>
  <si>
    <t>SUMO1 activating enzyme subunit 1</t>
  </si>
  <si>
    <t>ENSG00000182117</t>
  </si>
  <si>
    <t>NOP10 ribonucleoprotein</t>
  </si>
  <si>
    <t>ENSG00000124193</t>
  </si>
  <si>
    <t>serine and arginine rich splicing factor 6</t>
  </si>
  <si>
    <t>ENSG00000170442</t>
  </si>
  <si>
    <t>keratin 86</t>
  </si>
  <si>
    <t>ENSG00000117519</t>
  </si>
  <si>
    <t>calponin 3</t>
  </si>
  <si>
    <t>ENSG00000138061</t>
  </si>
  <si>
    <t>cytochrome P450 family 1 subfamily B member 1</t>
  </si>
  <si>
    <t>ENSG00000107249</t>
  </si>
  <si>
    <t>GLIS family zinc finger 3</t>
  </si>
  <si>
    <t>ENSG00000048392</t>
  </si>
  <si>
    <t>ribonucleotide reductase regulatory TP53 inducible subunit M2B</t>
  </si>
  <si>
    <t>ENSG00000128656</t>
  </si>
  <si>
    <t>chimerin 1</t>
  </si>
  <si>
    <t>ENSG00000159228</t>
  </si>
  <si>
    <t>carbonyl reductase 1</t>
  </si>
  <si>
    <t>ENSG00000101003</t>
  </si>
  <si>
    <t>GINS complex subunit 1</t>
  </si>
  <si>
    <t>ENSG00000084733</t>
  </si>
  <si>
    <t>RAB10, member RAS oncogene family</t>
  </si>
  <si>
    <t>ENSG00000065882</t>
  </si>
  <si>
    <t>TBC1 domain family member 1</t>
  </si>
  <si>
    <t>ENSG00000090097</t>
  </si>
  <si>
    <t>poly(rC) binding protein 4</t>
  </si>
  <si>
    <t>ENSG00000167695</t>
  </si>
  <si>
    <t>family with sequence similarity 57 member A</t>
  </si>
  <si>
    <t>ENSG00000143786</t>
  </si>
  <si>
    <t>cornichon family AMPA receptor auxiliary protein 3</t>
  </si>
  <si>
    <t>ENSG00000198729</t>
  </si>
  <si>
    <t>protein phosphatase 1 regulatory inhibitor subunit 14C</t>
  </si>
  <si>
    <t>ENSG00000131871</t>
  </si>
  <si>
    <t>selenoprotein S</t>
  </si>
  <si>
    <t>ENSG00000127463</t>
  </si>
  <si>
    <t>ER membrane protein complex subunit 1</t>
  </si>
  <si>
    <t>ENSG00000221823</t>
  </si>
  <si>
    <t>protein phosphatase 3 regulatory subunit B, alpha</t>
  </si>
  <si>
    <t>ENSG00000246363</t>
  </si>
  <si>
    <t>uncharacterized LOC728084</t>
  </si>
  <si>
    <t>ENSG00000151917</t>
  </si>
  <si>
    <t>BEN domain containing 6</t>
  </si>
  <si>
    <t>ENSG00000138944</t>
  </si>
  <si>
    <t>KIAA1644</t>
  </si>
  <si>
    <t>ENSG00000139289</t>
  </si>
  <si>
    <t>pleckstrin homology like domain family A member 1</t>
  </si>
  <si>
    <t>ENSG00000158825</t>
  </si>
  <si>
    <t>cytidine deaminase</t>
  </si>
  <si>
    <t>ENSG00000135018</t>
  </si>
  <si>
    <t>ubiquilin 1</t>
  </si>
  <si>
    <t>ENSG00000106853</t>
  </si>
  <si>
    <t>prostaglandin reductase 1</t>
  </si>
  <si>
    <t>ENSG00000214357</t>
  </si>
  <si>
    <t>neuralized E3 ubiquitin protein ligase 1B</t>
  </si>
  <si>
    <t>ENSG00000124207</t>
  </si>
  <si>
    <t>chromosome segregation 1 like</t>
  </si>
  <si>
    <t>ENSG00000176783</t>
  </si>
  <si>
    <t>RUN and FYVE domain containing 1</t>
  </si>
  <si>
    <t>ENSG00000111445</t>
  </si>
  <si>
    <t>replication factor C subunit 5</t>
  </si>
  <si>
    <t>ENSG00000213719</t>
  </si>
  <si>
    <t>chloride intracellular channel 1</t>
  </si>
  <si>
    <t>ENSG00000178695</t>
  </si>
  <si>
    <t>potassium channel tetramerization domain containing 12</t>
  </si>
  <si>
    <t>ENSG00000161203</t>
  </si>
  <si>
    <t>adaptor related protein complex 2 mu 1 subunit</t>
  </si>
  <si>
    <t>ENSG00000204178</t>
  </si>
  <si>
    <t>transmembrane protein 57</t>
  </si>
  <si>
    <t>ENSG00000158669</t>
  </si>
  <si>
    <t>glycerol-3-phosphate acyltransferase 4</t>
  </si>
  <si>
    <t>ENSG00000188070</t>
  </si>
  <si>
    <t>chromosome 11 open reading frame 95</t>
  </si>
  <si>
    <t>ENSG00000164111</t>
  </si>
  <si>
    <t>annexin A5</t>
  </si>
  <si>
    <t>ENSG00000103335</t>
  </si>
  <si>
    <t>piezo type mechanosensitive ion channel component 1</t>
  </si>
  <si>
    <t>microRNA 4722</t>
  </si>
  <si>
    <t>ENSG00000164442</t>
  </si>
  <si>
    <t>Cbp/p300 interacting transactivator with Glu/Asp rich carboxy-terminal domain 2</t>
  </si>
  <si>
    <t>ENSG00000144642</t>
  </si>
  <si>
    <t>RNA binding motif single stranded interacting protein 3</t>
  </si>
  <si>
    <t>ENSG00000133706</t>
  </si>
  <si>
    <t>leucyl-tRNA synthetase</t>
  </si>
  <si>
    <t>ENSG00000144560</t>
  </si>
  <si>
    <t>vestigial like family member 4</t>
  </si>
  <si>
    <t>ENSG00000104312</t>
  </si>
  <si>
    <t>receptor interacting serine/threonine kinase 2</t>
  </si>
  <si>
    <t>ENSG00000198959</t>
  </si>
  <si>
    <t>transglutaminase 2</t>
  </si>
  <si>
    <t>ENSG00000138764</t>
  </si>
  <si>
    <t>cyclin G2</t>
  </si>
  <si>
    <t>ENSG00000137414</t>
  </si>
  <si>
    <t>family with sequence similarity 8 member A1</t>
  </si>
  <si>
    <t>ENSG00000214013</t>
  </si>
  <si>
    <t>glucosidase alpha, neutral C</t>
  </si>
  <si>
    <t>ENSG00000186193</t>
  </si>
  <si>
    <t>suppressor APC domain containing 2</t>
  </si>
  <si>
    <t>ENSG00000140285</t>
  </si>
  <si>
    <t>fibroblast growth factor 7</t>
  </si>
  <si>
    <t>ENSG00000149380</t>
  </si>
  <si>
    <t>prolyl 4-hydroxylase subunit alpha 3</t>
  </si>
  <si>
    <t>ENSG00000197614</t>
  </si>
  <si>
    <t>microfibrillar associated protein 5</t>
  </si>
  <si>
    <t>ENSG00000146122</t>
  </si>
  <si>
    <t>dishevelled associated activator of morphogenesis 2</t>
  </si>
  <si>
    <t>ENSG00000147459</t>
  </si>
  <si>
    <t>dedicator of cytokinesis 5</t>
  </si>
  <si>
    <t>ENSG00000100664</t>
  </si>
  <si>
    <t>eukaryotic translation initiation factor 5</t>
  </si>
  <si>
    <t>ENSG00000126368</t>
  </si>
  <si>
    <t>nuclear receptor subfamily 1 group D member 1</t>
  </si>
  <si>
    <t>ENSG00000166396</t>
  </si>
  <si>
    <t>serpin family B member 7</t>
  </si>
  <si>
    <t>ENSG00000119943</t>
  </si>
  <si>
    <t>pyridine nucleotide-disulphide oxidoreductase domain 2</t>
  </si>
  <si>
    <t>microRNA 1287</t>
  </si>
  <si>
    <t>ENSG00000163428</t>
  </si>
  <si>
    <t>leucine rich repeat containing 58</t>
  </si>
  <si>
    <t>ENSG00000108344</t>
  </si>
  <si>
    <t>proteasome 26S subunit, non-ATPase 3</t>
  </si>
  <si>
    <t>ENSG00000162298</t>
  </si>
  <si>
    <t>synoviolin 1</t>
  </si>
  <si>
    <t>microRNA 6751</t>
  </si>
  <si>
    <t>ENSG00000197535</t>
  </si>
  <si>
    <t>myosin VA</t>
  </si>
  <si>
    <t>ENSG00000159200</t>
  </si>
  <si>
    <t>regulator of calcineurin 1</t>
  </si>
  <si>
    <t>ENSG00000101639</t>
  </si>
  <si>
    <t>centrosomal protein 192</t>
  </si>
  <si>
    <t>ENSG00000103043</t>
  </si>
  <si>
    <t>Vac14, PIKFYVE complex component</t>
  </si>
  <si>
    <t>ENSG00000169714</t>
  </si>
  <si>
    <t>CCHC-type zinc finger nucleic acid binding protein</t>
  </si>
  <si>
    <t>ENSG00000128482</t>
  </si>
  <si>
    <t>ring finger protein 112</t>
  </si>
  <si>
    <t>ENSG00000144395</t>
  </si>
  <si>
    <t>coiled-coil domain containing 150</t>
  </si>
  <si>
    <t>ENSG00000120658</t>
  </si>
  <si>
    <t>ecto-NOX disulfide-thiol exchanger 1</t>
  </si>
  <si>
    <t>ENSG00000120697</t>
  </si>
  <si>
    <t>ALG5, dolichyl-phosphate beta-glucosyltransferase</t>
  </si>
  <si>
    <t>ENSG00000142657</t>
  </si>
  <si>
    <t>phosphogluconate dehydrogenase</t>
  </si>
  <si>
    <t>ENSG00000155324</t>
  </si>
  <si>
    <t>GRAM domain containing 3</t>
  </si>
  <si>
    <t>ENSG00000179222</t>
  </si>
  <si>
    <t>MAGE family member D1</t>
  </si>
  <si>
    <t>ENSG00000166130</t>
  </si>
  <si>
    <t>IKBKB interacting protein</t>
  </si>
  <si>
    <t>ENSG00000132031</t>
  </si>
  <si>
    <t>matrilin 3</t>
  </si>
  <si>
    <t>ENSG00000152465</t>
  </si>
  <si>
    <t>N-myristoyltransferase 2</t>
  </si>
  <si>
    <t>ENSG00000177595</t>
  </si>
  <si>
    <t>p53-induced death domain protein 1</t>
  </si>
  <si>
    <t>ENSG00000113013</t>
  </si>
  <si>
    <t>heat shock protein family A (Hsp70) member 9</t>
  </si>
  <si>
    <t>ENSG00000141429</t>
  </si>
  <si>
    <t>polypeptide N-acetylgalactosaminyltransferase 1</t>
  </si>
  <si>
    <t>ENSG00000142949</t>
  </si>
  <si>
    <t>protein tyrosine phosphatase, receptor type F</t>
  </si>
  <si>
    <t>ENSG00000065911</t>
  </si>
  <si>
    <t>methylenetetrahydrofolate dehydrogenase (NADP+ dependent) 2, methenyltetrahydrofolate cyclohydrolase</t>
  </si>
  <si>
    <t>ENSG00000116285</t>
  </si>
  <si>
    <t>ERBB receptor feedback inhibitor 1</t>
  </si>
  <si>
    <t>ENSG00000119820</t>
  </si>
  <si>
    <t>Yip1 domain family member 4</t>
  </si>
  <si>
    <t>ENSG00000172403</t>
  </si>
  <si>
    <t>synaptopodin 2</t>
  </si>
  <si>
    <t>ENSG00000164970</t>
  </si>
  <si>
    <t>family with sequence similarity 219 member A</t>
  </si>
  <si>
    <t>ENSG00000164506</t>
  </si>
  <si>
    <t>syntaxin binding protein 5</t>
  </si>
  <si>
    <t>ENSG00000071054</t>
  </si>
  <si>
    <t>mitogen-activated protein kinase kinase kinase kinase 4</t>
  </si>
  <si>
    <t>ENSG00000206418</t>
  </si>
  <si>
    <t>RAB12, member RAS oncogene family</t>
  </si>
  <si>
    <t>ENSG00000115685</t>
  </si>
  <si>
    <t>protein phosphatase 1 regulatory subunit 7</t>
  </si>
  <si>
    <t>ENSG00000100266</t>
  </si>
  <si>
    <t>protein kinase C and casein kinase substrate in neurons 2</t>
  </si>
  <si>
    <t>ENSG00000114019</t>
  </si>
  <si>
    <t>angiomotin like 2</t>
  </si>
  <si>
    <t>ENSG00000188112</t>
  </si>
  <si>
    <t>chromosome 6 open reading frame 132</t>
  </si>
  <si>
    <t>ENSG00000115307</t>
  </si>
  <si>
    <t>ancient ubiquitous protein 1</t>
  </si>
  <si>
    <t>ENSG00000175745</t>
  </si>
  <si>
    <t>nuclear receptor subfamily 2 group F member 1</t>
  </si>
  <si>
    <t>ENSG00000102317</t>
  </si>
  <si>
    <t>RNA binding motif (RNP1, RRM) protein 3</t>
  </si>
  <si>
    <t>ENSG00000177853</t>
  </si>
  <si>
    <t>zinc finger protein 518A</t>
  </si>
  <si>
    <t>ENSG00000134440</t>
  </si>
  <si>
    <t>asparaginyl-tRNA synthetase</t>
  </si>
  <si>
    <t>ENSG00000138658</t>
  </si>
  <si>
    <t>zinc finger GRF-type containing 1</t>
  </si>
  <si>
    <t>ENSG00000130816</t>
  </si>
  <si>
    <t>DNA methyltransferase 1</t>
  </si>
  <si>
    <t>ENSG00000155966</t>
  </si>
  <si>
    <t>AF4/FMR2 family member 2</t>
  </si>
  <si>
    <t>ENSG00000135622</t>
  </si>
  <si>
    <t>ssemaphorin 4F</t>
  </si>
  <si>
    <t>ENSG00000144791</t>
  </si>
  <si>
    <t>LIM domains containing 1</t>
  </si>
  <si>
    <t>ENSG00000146802</t>
  </si>
  <si>
    <t>transmembrane protein 168</t>
  </si>
  <si>
    <t>ENSG00000159377</t>
  </si>
  <si>
    <t>proteasome subunit beta 4</t>
  </si>
  <si>
    <t>ENSG00000164237</t>
  </si>
  <si>
    <t>carboxymethylenebutenolidase homolog</t>
  </si>
  <si>
    <t>ENSG00000197467</t>
  </si>
  <si>
    <t>collagen type XIII alpha 1 chain</t>
  </si>
  <si>
    <t>ENSG00000182253</t>
  </si>
  <si>
    <t>synemin</t>
  </si>
  <si>
    <t>ENSG00000166801</t>
  </si>
  <si>
    <t>family with sequence similarity 111 member A</t>
  </si>
  <si>
    <t>ENSG00000112655</t>
  </si>
  <si>
    <t>protein tyrosine kinase 7 (inactive)</t>
  </si>
  <si>
    <t>ENSG00000130402</t>
  </si>
  <si>
    <t>actinin alpha 4</t>
  </si>
  <si>
    <t>ENSG00000188486</t>
  </si>
  <si>
    <t>H2A histone family member X</t>
  </si>
  <si>
    <t>ENSG00000167191</t>
  </si>
  <si>
    <t>G protein-coupled receptor class C group 5 member B</t>
  </si>
  <si>
    <t>ENSG00000156504</t>
  </si>
  <si>
    <t>family with sequence similarity 122B</t>
  </si>
  <si>
    <t>ENSG00000099256</t>
  </si>
  <si>
    <t>phosphoribosyl transferase domain containing 1</t>
  </si>
  <si>
    <t>ENSG00000186469</t>
  </si>
  <si>
    <t>G protein subunit gamma 2</t>
  </si>
  <si>
    <t>ENSG00000183160</t>
  </si>
  <si>
    <t>transmembrane protein 119</t>
  </si>
  <si>
    <t>ENSG00000171703</t>
  </si>
  <si>
    <t>transcription elongation factor A2</t>
  </si>
  <si>
    <t>ENSG00000023287</t>
  </si>
  <si>
    <t>RB1 inducible coiled-coil 1</t>
  </si>
  <si>
    <t>ENSG00000112902</t>
  </si>
  <si>
    <t>semaphorin 5A</t>
  </si>
  <si>
    <t>ENSG00000100462</t>
  </si>
  <si>
    <t>protein arginine methyltransferase 5</t>
  </si>
  <si>
    <t>ENSG00000132688</t>
  </si>
  <si>
    <t>nestin</t>
  </si>
  <si>
    <t>ENSG00000137824</t>
  </si>
  <si>
    <t>regulator of microtubule dynamics 3</t>
  </si>
  <si>
    <t>ENSG00000092841</t>
  </si>
  <si>
    <t>myosin light chain 6</t>
  </si>
  <si>
    <t>ENSG00000178381</t>
  </si>
  <si>
    <t>zinc finger AN1-type containing 2A</t>
  </si>
  <si>
    <t>ENSG00000103496</t>
  </si>
  <si>
    <t>syntaxin 4</t>
  </si>
  <si>
    <t>ENSG00000133169</t>
  </si>
  <si>
    <t>brain expressed X-linked 1</t>
  </si>
  <si>
    <t>ENSG00000170340</t>
  </si>
  <si>
    <t>UDP-GlcNAc:betaGal beta-1,3-N-acetylglucosaminyltransferase 2</t>
  </si>
  <si>
    <t>ENSG00000180957</t>
  </si>
  <si>
    <t>phosphatidylinositol transfer protein beta</t>
  </si>
  <si>
    <t>ENSG00000124571</t>
  </si>
  <si>
    <t>exportin 5</t>
  </si>
  <si>
    <t>ENSG00000109881</t>
  </si>
  <si>
    <t>coiled-coil domain containing 34</t>
  </si>
  <si>
    <t>ENSG00000259583</t>
  </si>
  <si>
    <t>uncharacterized LOC101927751</t>
  </si>
  <si>
    <t>ENSG00000031698</t>
  </si>
  <si>
    <t>seryl-tRNA synthetase</t>
  </si>
  <si>
    <t>ENSG00000106034</t>
  </si>
  <si>
    <t>cadherin like and PC-esterase domain containing 1</t>
  </si>
  <si>
    <t>ENSG00000143153</t>
  </si>
  <si>
    <t>ATPase Na+/K+ transporting subunit beta 1</t>
  </si>
  <si>
    <t>ENSG00000185745</t>
  </si>
  <si>
    <t>interferon induced protein with tetratricopeptide repeats 1</t>
  </si>
  <si>
    <t>ENSG00000162522</t>
  </si>
  <si>
    <t>KIAA1522</t>
  </si>
  <si>
    <t>ENSG00000169554</t>
  </si>
  <si>
    <t>zinc finger E-box binding homeobox 2</t>
  </si>
  <si>
    <t>ENSG00000162618</t>
  </si>
  <si>
    <t>adhesion G protein-coupled receptor L4</t>
  </si>
  <si>
    <t>ENSG00000100380</t>
  </si>
  <si>
    <t>suppression of tumorigenicity 13 (colon carcinoma) (Hsp70 interacting protein)</t>
  </si>
  <si>
    <t>ENSG00000169189</t>
  </si>
  <si>
    <t>NSE1 homolog, SMC5-SMC6 complex component</t>
  </si>
  <si>
    <t>ENSG00000204103</t>
  </si>
  <si>
    <t>MAF bZIP transcription factor B</t>
  </si>
  <si>
    <t>ENSG00000186871</t>
  </si>
  <si>
    <t>ERCC excision repair 6 like, spindle assembly checkpoint helicase</t>
  </si>
  <si>
    <t>ENSG00000041353</t>
  </si>
  <si>
    <t>RAB27B, member RAS oncogene family</t>
  </si>
  <si>
    <t>ENSG00000186468</t>
  </si>
  <si>
    <t>ribosomal protein S23</t>
  </si>
  <si>
    <t>ENSG00000132471</t>
  </si>
  <si>
    <t>WW domain binding protein 2</t>
  </si>
  <si>
    <t>ENSG00000163171</t>
  </si>
  <si>
    <t>CDC42 effector protein 3</t>
  </si>
  <si>
    <t>ENSG00000110876</t>
  </si>
  <si>
    <t>selectin P ligand</t>
  </si>
  <si>
    <t>ENSG00000160818</t>
  </si>
  <si>
    <t>G-patch domain containing 4</t>
  </si>
  <si>
    <t>ENSG00000114127</t>
  </si>
  <si>
    <t>5'-3' exoribonuclease 1</t>
  </si>
  <si>
    <t>ENSG00000110237</t>
  </si>
  <si>
    <t>Rho guanine nucleotide exchange factor 17</t>
  </si>
  <si>
    <t>ENSG00000175643</t>
  </si>
  <si>
    <t>RecQ mediated genome instability 2</t>
  </si>
  <si>
    <t>ENSG00000131711</t>
  </si>
  <si>
    <t>microtubule associated protein 1B</t>
  </si>
  <si>
    <t>ENSG00000092068</t>
  </si>
  <si>
    <t>solute carrier family 7 member 8</t>
  </si>
  <si>
    <t>ENSG00000111275</t>
  </si>
  <si>
    <t>aldehyde dehydrogenase 2 family (mitochondrial)</t>
  </si>
  <si>
    <t>ENSG00000008311</t>
  </si>
  <si>
    <t>aminoadipate-semialdehyde synthase</t>
  </si>
  <si>
    <t>ENSG00000101361</t>
  </si>
  <si>
    <t>NOP56 ribonucleoprotein</t>
  </si>
  <si>
    <t>microRNA 1292</t>
  </si>
  <si>
    <t>ENSG00000156136</t>
  </si>
  <si>
    <t>deoxycytidine kinase</t>
  </si>
  <si>
    <t>ENSG00000175505</t>
  </si>
  <si>
    <t>cardiotrophin-like cytokine factor 1</t>
  </si>
  <si>
    <t>ENSG00000119638</t>
  </si>
  <si>
    <t>NIMA related kinase 9</t>
  </si>
  <si>
    <t>ENSG00000115649</t>
  </si>
  <si>
    <t>cyclin Pas1/PHO80 domain containing 1</t>
  </si>
  <si>
    <t>ENSG00000171408</t>
  </si>
  <si>
    <t>phosphodiesterase 7B</t>
  </si>
  <si>
    <t>ENSG00000150593</t>
  </si>
  <si>
    <t>programmed cell death 4 (neoplastic transformation inhibitor)</t>
  </si>
  <si>
    <t>microRNA 4680</t>
  </si>
  <si>
    <t>ENSG00000013275</t>
  </si>
  <si>
    <t>proteasome 26S subunit, ATPase 4</t>
  </si>
  <si>
    <t>ENSG00000138642</t>
  </si>
  <si>
    <t>HECT and RLD domain containing E3 ubiquitin protein ligase family member 6</t>
  </si>
  <si>
    <t>ENSG00000118855</t>
  </si>
  <si>
    <t>major facilitator superfamily domain containing 1</t>
  </si>
  <si>
    <t>ENSG00000166922</t>
  </si>
  <si>
    <t>secretogranin V</t>
  </si>
  <si>
    <t>ENSG00000163923</t>
  </si>
  <si>
    <t>ribosomal protein L39 like</t>
  </si>
  <si>
    <t>ENSG00000198911</t>
  </si>
  <si>
    <t>sterol regulatory element binding transcription factor 2</t>
  </si>
  <si>
    <t>ENSG00000154277</t>
  </si>
  <si>
    <t>ubiquitin C-terminal hydrolase L1</t>
  </si>
  <si>
    <t>ENSG00000084073</t>
  </si>
  <si>
    <t>zinc metallopeptidase STE24</t>
  </si>
  <si>
    <t>ENSG00000163637</t>
  </si>
  <si>
    <t>prickle planar cell polarity protein 2</t>
  </si>
  <si>
    <t>ENSG00000196305</t>
  </si>
  <si>
    <t>isoleucyl-tRNA synthetase</t>
  </si>
  <si>
    <t>ENSG00000107404</t>
  </si>
  <si>
    <t>microRNA 6808</t>
  </si>
  <si>
    <t>dishevelled segment polarity protein 1</t>
  </si>
  <si>
    <t>ENSG00000121039</t>
  </si>
  <si>
    <t>retinol dehydrogenase 10 (all-trans)</t>
  </si>
  <si>
    <t>ENSG00000181817</t>
  </si>
  <si>
    <t>LSM10, U7 small nuclear RNA associated</t>
  </si>
  <si>
    <t>ENSG00000243156</t>
  </si>
  <si>
    <t>microtubule associated monooxygenase, calponin and LIM domain containing 3</t>
  </si>
  <si>
    <t>ENSG00000061676</t>
  </si>
  <si>
    <t>NCK associated protein 1</t>
  </si>
  <si>
    <t>ENSG00000047932</t>
  </si>
  <si>
    <t>golgi associated PDZ and coiled-coil motif containing</t>
  </si>
  <si>
    <t>ENSG00000132382</t>
  </si>
  <si>
    <t>MYB binding protein 1a</t>
  </si>
  <si>
    <t>ENSG00000165175</t>
  </si>
  <si>
    <t>MID1 interacting protein 1</t>
  </si>
  <si>
    <t>ENSG00000182307</t>
  </si>
  <si>
    <t>chromosome 8 open reading frame 33</t>
  </si>
  <si>
    <t>ENSG00000160305</t>
  </si>
  <si>
    <t>disco interacting protein 2 homolog A</t>
  </si>
  <si>
    <t>ENSG00000147649</t>
  </si>
  <si>
    <t>metadherin</t>
  </si>
  <si>
    <t>ENSG00000119681</t>
  </si>
  <si>
    <t>latent transforming growth factor beta binding protein 2</t>
  </si>
  <si>
    <t>ENSG00000143162</t>
  </si>
  <si>
    <t>cellular repressor of E1A stimulated genes 1</t>
  </si>
  <si>
    <t>ENSG00000151748</t>
  </si>
  <si>
    <t>salvador family WW domain containing protein 1</t>
  </si>
  <si>
    <t>ENSG00000173207</t>
  </si>
  <si>
    <t>CDC28 protein kinase regulatory subunit 1B</t>
  </si>
  <si>
    <t>ENSG00000164050</t>
  </si>
  <si>
    <t>plexin B1</t>
  </si>
  <si>
    <t>ENSG00000120539</t>
  </si>
  <si>
    <t>microtubule associated serine/threonine kinase like</t>
  </si>
  <si>
    <t>ENSG00000148677</t>
  </si>
  <si>
    <t>ankyrin repeat domain 1</t>
  </si>
  <si>
    <t>ENSG00000089486</t>
  </si>
  <si>
    <t>cell death inducing p53 target 1</t>
  </si>
  <si>
    <t>ENSG00000162591</t>
  </si>
  <si>
    <t>multiple EGF like domains 6</t>
  </si>
  <si>
    <t>ENSG00000198431</t>
  </si>
  <si>
    <t>thioredoxin reductase 1</t>
  </si>
  <si>
    <t>ENSG00000106591</t>
  </si>
  <si>
    <t>mitochondrial ribosomal protein L32</t>
  </si>
  <si>
    <t>ENSG00000091656</t>
  </si>
  <si>
    <t>zinc finger homeobox 4</t>
  </si>
  <si>
    <t>ENSG00000135919</t>
  </si>
  <si>
    <t>serpin family E member 2</t>
  </si>
  <si>
    <t>ENSG00000104518</t>
  </si>
  <si>
    <t>gasdermin D</t>
  </si>
  <si>
    <t>ENSG00000204569</t>
  </si>
  <si>
    <t>protein phosphatase 1 regulatory subunit 10</t>
  </si>
  <si>
    <t>ENSG00000107290</t>
  </si>
  <si>
    <t>senataxin</t>
  </si>
  <si>
    <t>ENSG00000109917</t>
  </si>
  <si>
    <t>ZPR1 zinc finger</t>
  </si>
  <si>
    <t>ENSG00000065989</t>
  </si>
  <si>
    <t>phosphodiesterase 4A</t>
  </si>
  <si>
    <t>ENSG00000160957</t>
  </si>
  <si>
    <t>RecQ like helicase 4</t>
  </si>
  <si>
    <t>ENSG00000152217</t>
  </si>
  <si>
    <t>SET binding protein 1</t>
  </si>
  <si>
    <t>ENSG00000162595</t>
  </si>
  <si>
    <t>DIRAS family GTPase 3</t>
  </si>
  <si>
    <t>ENSG00000069275</t>
  </si>
  <si>
    <t>nuclear casein kinase and cyclin dependent kinase substrate 1</t>
  </si>
  <si>
    <t>ENSG00000176845</t>
  </si>
  <si>
    <t>meteorin like, glial cell differentiation regulator</t>
  </si>
  <si>
    <t>ENSG00000111684</t>
  </si>
  <si>
    <t>lysophosphatidylcholine acyltransferase 3</t>
  </si>
  <si>
    <t>ENSG00000103126</t>
  </si>
  <si>
    <t>axin 1</t>
  </si>
  <si>
    <t>ENSG00000213190</t>
  </si>
  <si>
    <t>myeloid/lymphoid or mixed-lineage leukemia; translocated to, 11</t>
  </si>
  <si>
    <t>ENSG00000187555</t>
  </si>
  <si>
    <t>ubiquitin specific peptidase 7</t>
  </si>
  <si>
    <t>ENSG00000108262</t>
  </si>
  <si>
    <t>GIT ArfGAP 1</t>
  </si>
  <si>
    <t>ENSG00000166173</t>
  </si>
  <si>
    <t>La ribonucleoprotein domain family member 6</t>
  </si>
  <si>
    <t>ENSG00000107554</t>
  </si>
  <si>
    <t>dynamin binding protein</t>
  </si>
  <si>
    <t>ENSG00000020577</t>
  </si>
  <si>
    <t>sterile alpha motif domain containing 4A</t>
  </si>
  <si>
    <t>ENSG00000115457</t>
  </si>
  <si>
    <t>insulin like growth factor binding protein 2</t>
  </si>
  <si>
    <t>ENSG00000136111</t>
  </si>
  <si>
    <t>TBC1 domain family member 4</t>
  </si>
  <si>
    <t>ENSG00000091039</t>
  </si>
  <si>
    <t>oxysterol binding protein like 8</t>
  </si>
  <si>
    <t>ENSG00000118705</t>
  </si>
  <si>
    <t>ribophorin II</t>
  </si>
  <si>
    <t>ENSG00000177943</t>
  </si>
  <si>
    <t>MAM domain containing 4</t>
  </si>
  <si>
    <t>ENSG00000146410</t>
  </si>
  <si>
    <t>mitochondrial fission regulator 2</t>
  </si>
  <si>
    <t>ENSG00000170502</t>
  </si>
  <si>
    <t>nudix hydrolase 9</t>
  </si>
  <si>
    <t>ENSG00000079931</t>
  </si>
  <si>
    <t>monooxygenase DBH like 1</t>
  </si>
  <si>
    <t>ENSG00000106299</t>
  </si>
  <si>
    <t>Wiskott-Aldrich syndrome like</t>
  </si>
  <si>
    <t>ENSG00000175414</t>
  </si>
  <si>
    <t>ADP ribosylation factor like GTPase 10</t>
  </si>
  <si>
    <t>ENSG00000240891</t>
  </si>
  <si>
    <t>phosphatidylinositol specific phospholipase C X domain containing 2</t>
  </si>
  <si>
    <t>ENSG00000000971</t>
  </si>
  <si>
    <t>complement factor H</t>
  </si>
  <si>
    <t>ENSG00000173039</t>
  </si>
  <si>
    <t>RELA proto-oncogene, NF-kB subunit</t>
  </si>
  <si>
    <t>ENSG00000244462</t>
  </si>
  <si>
    <t>RNA binding motif protein 12</t>
  </si>
  <si>
    <t>ENSG00000124212</t>
  </si>
  <si>
    <t>prostaglandin I2 synthase</t>
  </si>
  <si>
    <t>ENSG00000125965</t>
  </si>
  <si>
    <t>growth differentiation factor 5</t>
  </si>
  <si>
    <t>ENSG00000170004</t>
  </si>
  <si>
    <t>chromodomain helicase DNA binding protein 3</t>
  </si>
  <si>
    <t>ENSG00000079999</t>
  </si>
  <si>
    <t>kelch like ECH associated protein 1</t>
  </si>
  <si>
    <t>ENSG00000185344</t>
  </si>
  <si>
    <t>ATPase H+ transporting V0 subunit a2</t>
  </si>
  <si>
    <t>ENSG00000134531</t>
  </si>
  <si>
    <t>epithelial membrane protein 1</t>
  </si>
  <si>
    <t>ENSG00000163938</t>
  </si>
  <si>
    <t>G protein nucleolar 3</t>
  </si>
  <si>
    <t>ENSG00000088832</t>
  </si>
  <si>
    <t>FK506 binding protein 1A</t>
  </si>
  <si>
    <t>microRNA 6869</t>
  </si>
  <si>
    <t>ENSG00000157064</t>
  </si>
  <si>
    <t>nicotinamide nucleotide adenylyltransferase 2</t>
  </si>
  <si>
    <t>ENSG00000033100</t>
  </si>
  <si>
    <t>chondroitin polymerizing factor 2</t>
  </si>
  <si>
    <t>microRNA 671</t>
  </si>
  <si>
    <t>ENSG00000139304</t>
  </si>
  <si>
    <t>protein tyrosine phosphatase, receptor type Q</t>
  </si>
  <si>
    <t>ENSG00000160691</t>
  </si>
  <si>
    <t>SHC adaptor protein 1</t>
  </si>
  <si>
    <t>ENSG00000082996</t>
  </si>
  <si>
    <t>ring finger protein 13</t>
  </si>
  <si>
    <t>ENSG00000133119</t>
  </si>
  <si>
    <t>replication factor C subunit 3</t>
  </si>
  <si>
    <t>ENSG00000020181</t>
  </si>
  <si>
    <t>adhesion G protein-coupled receptor A2</t>
  </si>
  <si>
    <t>ENSG00000134285</t>
  </si>
  <si>
    <t>FK506 binding protein 11</t>
  </si>
  <si>
    <t>ENSG00000187193</t>
  </si>
  <si>
    <t>metallothionein 1X</t>
  </si>
  <si>
    <t>ENSG00000112406</t>
  </si>
  <si>
    <t>hdc homolog, cell cycle regulator</t>
  </si>
  <si>
    <t>ENSG00000143878</t>
  </si>
  <si>
    <t>ras homolog family member B</t>
  </si>
  <si>
    <t>ENSG00000129534</t>
  </si>
  <si>
    <t>MIS18 binding protein 1</t>
  </si>
  <si>
    <t>ENSG00000089280</t>
  </si>
  <si>
    <t>FUS RNA binding protein</t>
  </si>
  <si>
    <t>ENSG00000126777</t>
  </si>
  <si>
    <t>kinectin 1</t>
  </si>
  <si>
    <t>ENSG00000136813</t>
  </si>
  <si>
    <t>KIAA0368</t>
  </si>
  <si>
    <t>ENSG00000140941</t>
  </si>
  <si>
    <t>microtubule associated protein 1 light chain 3 beta</t>
  </si>
  <si>
    <t>ENSG00000168268</t>
  </si>
  <si>
    <t>5'-nucleotidase domain containing 2</t>
  </si>
  <si>
    <t>ENSG00000081059</t>
  </si>
  <si>
    <t>transcription factor 7 (T-cell specific, HMG-box)</t>
  </si>
  <si>
    <t>ENSG00000188312</t>
  </si>
  <si>
    <t>centromere protein P</t>
  </si>
  <si>
    <t>ENSG00000040275</t>
  </si>
  <si>
    <t>spindle apparatus coiled-coil protein 1</t>
  </si>
  <si>
    <t>ENSG00000074696</t>
  </si>
  <si>
    <t>3-hydroxyacyl-CoA dehydratase 3</t>
  </si>
  <si>
    <t>ENSG00000165233</t>
  </si>
  <si>
    <t>caspase recruitment domain family member 19</t>
  </si>
  <si>
    <t>ENSG00000100029</t>
  </si>
  <si>
    <t>pescadillo ribosomal biogenesis factor 1</t>
  </si>
  <si>
    <t>ENSG00000239306</t>
  </si>
  <si>
    <t>RNA binding motif protein 14</t>
  </si>
  <si>
    <t>ENSG00000182979</t>
  </si>
  <si>
    <t>metastasis associated 1</t>
  </si>
  <si>
    <t>ENSG00000123094</t>
  </si>
  <si>
    <t>Ras association domain family member 8</t>
  </si>
  <si>
    <t>ENSG00000047346</t>
  </si>
  <si>
    <t>family with sequence similarity 214 member A</t>
  </si>
  <si>
    <t>ENSG00000137942</t>
  </si>
  <si>
    <t>formin binding protein 1 like</t>
  </si>
  <si>
    <t>ENSG00000111300</t>
  </si>
  <si>
    <t>N(alpha)-acetyltransferase 25, NatB auxiliary subunit</t>
  </si>
  <si>
    <t>ENSG00000183722</t>
  </si>
  <si>
    <t>lipoma HMGIC fusion partner</t>
  </si>
  <si>
    <t>ENSG00000165802</t>
  </si>
  <si>
    <t>NMDA receptor synaptonuclear signaling and neuronal migration factor</t>
  </si>
  <si>
    <t>microRNA 7114</t>
  </si>
  <si>
    <t>ENSG00000111665</t>
  </si>
  <si>
    <t>cell division cycle associated 3</t>
  </si>
  <si>
    <t>ENSG00000111142</t>
  </si>
  <si>
    <t>methionyl aminopeptidase 2</t>
  </si>
  <si>
    <t>ENSG00000140455</t>
  </si>
  <si>
    <t>ubiquitin specific peptidase 3</t>
  </si>
  <si>
    <t>ENSG00000103995</t>
  </si>
  <si>
    <t>centrosomal protein 152</t>
  </si>
  <si>
    <t>ENSG00000163686</t>
  </si>
  <si>
    <t>abhydrolase domain containing 6</t>
  </si>
  <si>
    <t>ENSG00000119397</t>
  </si>
  <si>
    <t>centriolin</t>
  </si>
  <si>
    <t>ENSG00000164308</t>
  </si>
  <si>
    <t>endoplasmic reticulum aminopeptidase 2</t>
  </si>
  <si>
    <t>ENSG00000253982</t>
  </si>
  <si>
    <t>uncharacterized LOC101927752</t>
  </si>
  <si>
    <t>ENSG00000168994</t>
  </si>
  <si>
    <t>PX domain containing 1</t>
  </si>
  <si>
    <t>ENSG00000108518</t>
  </si>
  <si>
    <t>profilin 1</t>
  </si>
  <si>
    <t>ENSG00000174748</t>
  </si>
  <si>
    <t>ribosomal protein L15</t>
  </si>
  <si>
    <t>ENSG00000197043</t>
  </si>
  <si>
    <t>annexin A6</t>
  </si>
  <si>
    <t>ENSG00000176046</t>
  </si>
  <si>
    <t>nuclear protein 1, transcriptional regulator</t>
  </si>
  <si>
    <t>ENSG00000163710</t>
  </si>
  <si>
    <t>procollagen C-endopeptidase enhancer 2</t>
  </si>
  <si>
    <t>ENSG00000154040</t>
  </si>
  <si>
    <t>calcium binding tyrosine phosphorylation regulated</t>
  </si>
  <si>
    <t>ENSG00000104823</t>
  </si>
  <si>
    <t>enoyl-CoA hydratase 1</t>
  </si>
  <si>
    <t>ENSG00000166046</t>
  </si>
  <si>
    <t>t-complex 11 like 2</t>
  </si>
  <si>
    <t>ENSG00000129625</t>
  </si>
  <si>
    <t>receptor accessory protein 5</t>
  </si>
  <si>
    <t>ENSG00000027697</t>
  </si>
  <si>
    <t>interferon gamma receptor 1</t>
  </si>
  <si>
    <t>ENSG00000022840</t>
  </si>
  <si>
    <t>ring finger protein 10</t>
  </si>
  <si>
    <t>ENSG00000177426</t>
  </si>
  <si>
    <t>TGFB induced factor homeobox 1</t>
  </si>
  <si>
    <t>ENSG00000129484</t>
  </si>
  <si>
    <t>poly(ADP-ribose) polymerase 2</t>
  </si>
  <si>
    <t>ENSG00000213563</t>
  </si>
  <si>
    <t>chromosome 8 open reading frame 82</t>
  </si>
  <si>
    <t>ENSG00000066135</t>
  </si>
  <si>
    <t>lysine demethylase 4A</t>
  </si>
  <si>
    <t>ENSG00000104885</t>
  </si>
  <si>
    <t>DOT1 like histone lysine methyltransferase</t>
  </si>
  <si>
    <t>ENSG00000153956</t>
  </si>
  <si>
    <t>calcium voltage-gated channel auxiliary subunit alpha2delta 1</t>
  </si>
  <si>
    <t>ENSG00000182831</t>
  </si>
  <si>
    <t>chromosome 16 open reading frame 72</t>
  </si>
  <si>
    <t>ENSG00000165490</t>
  </si>
  <si>
    <t>DNA damage induced apoptosis suppressor</t>
  </si>
  <si>
    <t>ENSG00000187790</t>
  </si>
  <si>
    <t>Fanconi anemia complementation group M</t>
  </si>
  <si>
    <t>ENSG00000117410</t>
  </si>
  <si>
    <t>ATPase H+ transporting V0 subunit b</t>
  </si>
  <si>
    <t>ENSG00000049540</t>
  </si>
  <si>
    <t>elastin</t>
  </si>
  <si>
    <t>ENSG00000198561</t>
  </si>
  <si>
    <t>catenin delta 1</t>
  </si>
  <si>
    <t>ENSG00000120437</t>
  </si>
  <si>
    <t>acetyl-CoA acetyltransferase 2</t>
  </si>
  <si>
    <t>ENSG00000188042</t>
  </si>
  <si>
    <t>ADP ribosylation factor like GTPase 4C</t>
  </si>
  <si>
    <t>ENSG00000228716</t>
  </si>
  <si>
    <t>dihydrofolate reductase</t>
  </si>
  <si>
    <t>ENSG00000170054</t>
  </si>
  <si>
    <t>serpin family A member 9</t>
  </si>
  <si>
    <t>ENSG00000157227</t>
  </si>
  <si>
    <t>matrix metallopeptidase 14</t>
  </si>
  <si>
    <t>ENSG00000183597</t>
  </si>
  <si>
    <t>transport and golgi organization 2 homolog</t>
  </si>
  <si>
    <t>ENSG00000123737</t>
  </si>
  <si>
    <t>exosome component 9</t>
  </si>
  <si>
    <t>ENSG00000130764</t>
  </si>
  <si>
    <t>leucine rich repeat containing 47</t>
  </si>
  <si>
    <t>ENSG00000106268</t>
  </si>
  <si>
    <t>nudix hydrolase 1</t>
  </si>
  <si>
    <t>ENSG00000123358</t>
  </si>
  <si>
    <t>nuclear receptor subfamily 4 group A member 1</t>
  </si>
  <si>
    <t>ENSG00000133872</t>
  </si>
  <si>
    <t>store-operated calcium entry associated regulatory factor</t>
  </si>
  <si>
    <t>ENSG00000113719</t>
  </si>
  <si>
    <t>endoplasmic reticulum-golgi intermediate compartment 1</t>
  </si>
  <si>
    <t>ENSG00000123610</t>
  </si>
  <si>
    <t>TNF alpha induced protein 6</t>
  </si>
  <si>
    <t>ENSG00000118523</t>
  </si>
  <si>
    <t>connective tissue growth factor</t>
  </si>
  <si>
    <t>ENSG00000111725</t>
  </si>
  <si>
    <t>protein kinase AMP-activated non-catalytic subunit beta 1</t>
  </si>
  <si>
    <t>ENSG00000095203</t>
  </si>
  <si>
    <t>erythrocyte membrane protein band 4.1 like 4B</t>
  </si>
  <si>
    <t>ENSG00000162643</t>
  </si>
  <si>
    <t>WD repeat domain 63</t>
  </si>
  <si>
    <t>ENSG00000143476</t>
  </si>
  <si>
    <t>denticleless E3 ubiquitin protein ligase homolog</t>
  </si>
  <si>
    <t>ENSG00000175727</t>
  </si>
  <si>
    <t>MLX interacting protein</t>
  </si>
  <si>
    <t>ENSG00000160695</t>
  </si>
  <si>
    <t>VPS11, CORVET/HOPS core subunit</t>
  </si>
  <si>
    <t>ENSG00000125124</t>
  </si>
  <si>
    <t>Bardet-Biedl syndrome 2</t>
  </si>
  <si>
    <t>ENSG00000158470</t>
  </si>
  <si>
    <t>beta-1,4-galactosyltransferase 5</t>
  </si>
  <si>
    <t>ENSG00000198832</t>
  </si>
  <si>
    <t>selenoprotein M</t>
  </si>
  <si>
    <t>ENSG00000113360</t>
  </si>
  <si>
    <t>drosha ribonuclease III</t>
  </si>
  <si>
    <t>ENSG00000196247</t>
  </si>
  <si>
    <t>zinc finger protein 107</t>
  </si>
  <si>
    <t>ENSG00000171320</t>
  </si>
  <si>
    <t>establishment of sister chromatid cohesion N-acetyltransferase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</si>
</sst>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4">
    <xf numFmtId="0" fontId="0" fillId="0" borderId="0" xfId="0"/>
    <xf numFmtId="11" fontId="0" fillId="0" borderId="0" xfId="0" applyNumberFormat="1"/>
    <xf numFmtId="0" fontId="16" fillId="0" borderId="0" xfId="0" applyFont="1"/>
    <xf numFmtId="0" fontId="18" fillId="0" borderId="0" xfId="42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83"/>
  <sheetViews>
    <sheetView tabSelected="1" workbookViewId="0">
      <pane ySplit="1" topLeftCell="A3" activePane="bottomLeft" state="frozen"/>
      <selection pane="bottomLeft" activeCell="H3" sqref="H3"/>
    </sheetView>
  </sheetViews>
  <sheetFormatPr baseColWidth="10" defaultColWidth="11" defaultRowHeight="16" x14ac:dyDescent="0.2"/>
  <cols>
    <col min="1" max="1" width="17" bestFit="1" customWidth="1"/>
    <col min="2" max="2" width="13.33203125" bestFit="1" customWidth="1"/>
    <col min="3" max="3" width="10.1640625" bestFit="1" customWidth="1"/>
    <col min="4" max="4" width="91" bestFit="1" customWidth="1"/>
    <col min="5" max="5" width="34.6640625" bestFit="1" customWidth="1"/>
    <col min="6" max="6" width="6.5" bestFit="1" customWidth="1"/>
    <col min="7" max="7" width="15.5" bestFit="1" customWidth="1"/>
    <col min="8" max="8" width="16.5" bestFit="1" customWidth="1"/>
    <col min="9" max="9" width="12.83203125" bestFit="1" customWidth="1"/>
    <col min="10" max="10" width="12.1640625" bestFit="1" customWidth="1"/>
    <col min="11" max="11" width="14.33203125" bestFit="1" customWidth="1"/>
    <col min="12" max="12" width="9.83203125" bestFit="1" customWidth="1"/>
    <col min="13" max="13" width="6.33203125" bestFit="1" customWidth="1"/>
    <col min="14" max="16" width="12.1640625" bestFit="1" customWidth="1"/>
    <col min="17" max="18" width="18.1640625" bestFit="1" customWidth="1"/>
    <col min="19" max="20" width="19.5" bestFit="1" customWidth="1"/>
  </cols>
  <sheetData>
    <row r="1" spans="1:20" s="2" customForma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</row>
    <row r="2" spans="1:20" s="2" customFormat="1" x14ac:dyDescent="0.2"/>
    <row r="3" spans="1:20" x14ac:dyDescent="0.2">
      <c r="A3" t="s">
        <v>20</v>
      </c>
      <c r="B3" s="3" t="str">
        <f>HYPERLINK("http://www.ncbi.nlm.nih.gov/gene/3887","KRT81")</f>
        <v>KRT81</v>
      </c>
      <c r="C3">
        <v>3887</v>
      </c>
      <c r="D3" t="s">
        <v>21</v>
      </c>
      <c r="E3" s="3" t="str">
        <f>HYPERLINK("http://genome.ucsc.edu/cgi-bin/hgTracks?db=hg19&amp;lastVirtModeType=default&amp;lastVirtModeExtraState=&amp;virtModeType=default&amp;virtMode=0&amp;nonVirtPosition=&amp;position=chr12:52285912-52291515","chr12:52285912-52291515")</f>
        <v>chr12:52285912-52291515</v>
      </c>
      <c r="F3" t="s">
        <v>22</v>
      </c>
      <c r="G3">
        <v>-1.1617347692184701</v>
      </c>
      <c r="H3">
        <v>7.14436199284883E-2</v>
      </c>
      <c r="I3">
        <v>-16.260860947154001</v>
      </c>
      <c r="J3" s="1">
        <v>1.8709042941283899E-59</v>
      </c>
      <c r="K3" s="1">
        <v>2.5657581489676699E-55</v>
      </c>
      <c r="L3" t="s">
        <v>23</v>
      </c>
      <c r="M3" t="s">
        <v>24</v>
      </c>
      <c r="N3">
        <v>1901.5069972614999</v>
      </c>
      <c r="O3">
        <v>2703.9111713580601</v>
      </c>
      <c r="P3">
        <v>1099.10282316493</v>
      </c>
      <c r="Q3">
        <v>2850.7694063250101</v>
      </c>
      <c r="R3">
        <v>2557.0529363911101</v>
      </c>
      <c r="S3">
        <v>1020.04186016346</v>
      </c>
      <c r="T3">
        <v>1178.1637861664001</v>
      </c>
    </row>
    <row r="4" spans="1:20" x14ac:dyDescent="0.2">
      <c r="A4" t="s">
        <v>25</v>
      </c>
      <c r="B4" s="3" t="str">
        <f>HYPERLINK("http://www.ncbi.nlm.nih.gov/gene/22943","DKK1")</f>
        <v>DKK1</v>
      </c>
      <c r="C4">
        <v>22943</v>
      </c>
      <c r="D4" t="s">
        <v>26</v>
      </c>
      <c r="E4" s="3" t="str">
        <f>HYPERLINK("http://genome.ucsc.edu/cgi-bin/hgTracks?db=hg19&amp;lastVirtModeType=default&amp;lastVirtModeExtraState=&amp;virtModeType=default&amp;virtMode=0&amp;nonVirtPosition=&amp;position=chr10:52314280-52317657","chr10:52314280-52317657")</f>
        <v>chr10:52314280-52317657</v>
      </c>
      <c r="F4" t="s">
        <v>27</v>
      </c>
      <c r="G4">
        <v>-1.0380289314940101</v>
      </c>
      <c r="H4">
        <v>6.4555183687441994E-2</v>
      </c>
      <c r="I4">
        <v>-16.0797146286478</v>
      </c>
      <c r="J4" s="1">
        <v>3.5400588131268E-58</v>
      </c>
      <c r="K4" s="1">
        <v>2.4274183281610499E-54</v>
      </c>
      <c r="L4" t="s">
        <v>23</v>
      </c>
      <c r="M4" t="s">
        <v>24</v>
      </c>
      <c r="N4">
        <v>3017.1956687246402</v>
      </c>
      <c r="O4">
        <v>4143.7659939161904</v>
      </c>
      <c r="P4">
        <v>1890.6253435331</v>
      </c>
      <c r="Q4">
        <v>3981.7213619230502</v>
      </c>
      <c r="R4">
        <v>4305.8106259093402</v>
      </c>
      <c r="S4">
        <v>1747.0929732587001</v>
      </c>
      <c r="T4">
        <v>2034.1577138074899</v>
      </c>
    </row>
    <row r="5" spans="1:20" x14ac:dyDescent="0.2">
      <c r="A5" t="s">
        <v>28</v>
      </c>
      <c r="B5" s="3" t="str">
        <f>HYPERLINK("http://www.ncbi.nlm.nih.gov/gene/5865","RAB3B")</f>
        <v>RAB3B</v>
      </c>
      <c r="C5">
        <v>5865</v>
      </c>
      <c r="D5" t="s">
        <v>29</v>
      </c>
      <c r="E5" s="3" t="str">
        <f>HYPERLINK("http://genome.ucsc.edu/cgi-bin/hgTracks?db=hg19&amp;lastVirtModeType=default&amp;lastVirtModeExtraState=&amp;virtModeType=default&amp;virtMode=0&amp;nonVirtPosition=&amp;position=chr1:51907955-51990764","chr1:51907955-51990764")</f>
        <v>chr1:51907955-51990764</v>
      </c>
      <c r="F5" t="s">
        <v>22</v>
      </c>
      <c r="G5">
        <v>-0.65715761181073595</v>
      </c>
      <c r="H5">
        <v>4.27815178095819E-2</v>
      </c>
      <c r="I5">
        <v>-15.3607830076461</v>
      </c>
      <c r="J5" s="1">
        <v>2.9993015378970899E-53</v>
      </c>
      <c r="K5" s="1">
        <v>1.3710807096906899E-49</v>
      </c>
      <c r="L5" t="s">
        <v>23</v>
      </c>
      <c r="M5" t="s">
        <v>24</v>
      </c>
      <c r="N5">
        <v>8033.75902070141</v>
      </c>
      <c r="O5">
        <v>9893.2757400987593</v>
      </c>
      <c r="P5">
        <v>6174.2423013040598</v>
      </c>
      <c r="Q5">
        <v>9702.5221300212106</v>
      </c>
      <c r="R5">
        <v>10084.029350176301</v>
      </c>
      <c r="S5">
        <v>6092.62913768815</v>
      </c>
      <c r="T5">
        <v>6255.8554649199596</v>
      </c>
    </row>
    <row r="6" spans="1:20" x14ac:dyDescent="0.2">
      <c r="A6" t="s">
        <v>30</v>
      </c>
      <c r="B6" s="3" t="str">
        <f>HYPERLINK("http://www.ncbi.nlm.nih.gov/gene/54443","ANLN")</f>
        <v>ANLN</v>
      </c>
      <c r="C6">
        <v>54443</v>
      </c>
      <c r="D6" t="s">
        <v>31</v>
      </c>
      <c r="E6" s="3" t="str">
        <f>HYPERLINK("http://genome.ucsc.edu/cgi-bin/hgTracks?db=hg19&amp;lastVirtModeType=default&amp;lastVirtModeExtraState=&amp;virtModeType=default&amp;virtMode=0&amp;nonVirtPosition=&amp;position=chr7:36389802-36453791","chr7:36389802-36453791")</f>
        <v>chr7:36389802-36453791</v>
      </c>
      <c r="F6" t="s">
        <v>27</v>
      </c>
      <c r="G6">
        <v>-0.86893917940437304</v>
      </c>
      <c r="H6">
        <v>5.8117716871382903E-2</v>
      </c>
      <c r="I6">
        <v>-14.951364681571601</v>
      </c>
      <c r="J6" s="1">
        <v>1.5258983976266601E-50</v>
      </c>
      <c r="K6" s="1">
        <v>5.2315426562629904E-47</v>
      </c>
      <c r="L6" t="s">
        <v>23</v>
      </c>
      <c r="M6" t="s">
        <v>24</v>
      </c>
      <c r="N6">
        <v>2916.2968138776901</v>
      </c>
      <c r="O6">
        <v>3824.1253406895999</v>
      </c>
      <c r="P6">
        <v>2008.46828706578</v>
      </c>
      <c r="Q6">
        <v>3657.0198272257999</v>
      </c>
      <c r="R6">
        <v>3991.2308541534098</v>
      </c>
      <c r="S6">
        <v>1951.2986454577699</v>
      </c>
      <c r="T6">
        <v>2065.6379286737902</v>
      </c>
    </row>
    <row r="7" spans="1:20" x14ac:dyDescent="0.2">
      <c r="A7" t="s">
        <v>32</v>
      </c>
      <c r="B7" s="3" t="str">
        <f>HYPERLINK("http://www.ncbi.nlm.nih.gov/gene/7153","TOP2A")</f>
        <v>TOP2A</v>
      </c>
      <c r="C7">
        <v>7153</v>
      </c>
      <c r="D7" t="s">
        <v>33</v>
      </c>
      <c r="E7" s="3" t="str">
        <f>HYPERLINK("http://genome.ucsc.edu/cgi-bin/hgTracks?db=hg19&amp;lastVirtModeType=default&amp;lastVirtModeExtraState=&amp;virtModeType=default&amp;virtMode=0&amp;nonVirtPosition=&amp;position=chr17:40388520-40417950","chr17:40388520-40417950")</f>
        <v>chr17:40388520-40417950</v>
      </c>
      <c r="F7" t="s">
        <v>22</v>
      </c>
      <c r="G7">
        <v>-0.85956825156716499</v>
      </c>
      <c r="H7">
        <v>5.9143340350403299E-2</v>
      </c>
      <c r="I7">
        <v>-14.5336439652297</v>
      </c>
      <c r="J7" s="1">
        <v>7.4167721387977706E-48</v>
      </c>
      <c r="K7" s="1">
        <v>2.0342722622294499E-44</v>
      </c>
      <c r="L7" t="s">
        <v>23</v>
      </c>
      <c r="M7" t="s">
        <v>24</v>
      </c>
      <c r="N7">
        <v>3332.4874895967901</v>
      </c>
      <c r="O7">
        <v>4364.7800275183299</v>
      </c>
      <c r="P7">
        <v>2300.1949516752502</v>
      </c>
      <c r="Q7">
        <v>4329.8124139501897</v>
      </c>
      <c r="R7">
        <v>4399.7476410864601</v>
      </c>
      <c r="S7">
        <v>2147.6123110018002</v>
      </c>
      <c r="T7">
        <v>2452.7775923487002</v>
      </c>
    </row>
    <row r="8" spans="1:20" x14ac:dyDescent="0.2">
      <c r="A8" t="s">
        <v>34</v>
      </c>
      <c r="B8" s="3" t="str">
        <f>HYPERLINK("http://www.ncbi.nlm.nih.gov/gene/115701","ALPK2")</f>
        <v>ALPK2</v>
      </c>
      <c r="C8">
        <v>115701</v>
      </c>
      <c r="D8" t="s">
        <v>35</v>
      </c>
      <c r="E8" s="3" t="str">
        <f>HYPERLINK("http://genome.ucsc.edu/cgi-bin/hgTracks?db=hg19&amp;lastVirtModeType=default&amp;lastVirtModeExtraState=&amp;virtModeType=default&amp;virtMode=0&amp;nonVirtPosition=&amp;position=chr18:58481249-58628957","chr18:58481249-58628957")</f>
        <v>chr18:58481249-58628957</v>
      </c>
      <c r="F8" t="s">
        <v>22</v>
      </c>
      <c r="G8">
        <v>-0.97564029937548102</v>
      </c>
      <c r="H8">
        <v>7.0574400303191606E-2</v>
      </c>
      <c r="I8">
        <v>-13.8242804074009</v>
      </c>
      <c r="J8" s="1">
        <v>1.8192256361842E-43</v>
      </c>
      <c r="K8" s="1">
        <v>3.9840178097883304E-40</v>
      </c>
      <c r="L8" t="s">
        <v>23</v>
      </c>
      <c r="M8" t="s">
        <v>24</v>
      </c>
      <c r="N8">
        <v>2044.82319516693</v>
      </c>
      <c r="O8">
        <v>2780.9284915070798</v>
      </c>
      <c r="P8">
        <v>1308.7178988267899</v>
      </c>
      <c r="Q8">
        <v>2781.9767082959302</v>
      </c>
      <c r="R8">
        <v>2779.8802747182299</v>
      </c>
      <c r="S8">
        <v>1186.7605007511099</v>
      </c>
      <c r="T8">
        <v>1430.6752969024701</v>
      </c>
    </row>
    <row r="9" spans="1:20" x14ac:dyDescent="0.2">
      <c r="A9" t="s">
        <v>36</v>
      </c>
      <c r="B9" s="3" t="str">
        <f>HYPERLINK("http://www.ncbi.nlm.nih.gov/gene/1004","CDH6")</f>
        <v>CDH6</v>
      </c>
      <c r="C9">
        <v>1004</v>
      </c>
      <c r="D9" t="s">
        <v>37</v>
      </c>
      <c r="E9" s="3" t="str">
        <f>HYPERLINK("http://genome.ucsc.edu/cgi-bin/hgTracks?db=hg19&amp;lastVirtModeType=default&amp;lastVirtModeExtraState=&amp;virtModeType=default&amp;virtMode=0&amp;nonVirtPosition=&amp;position=chr5:31193654-31329146","chr5:31193654-31329146")</f>
        <v>chr5:31193654-31329146</v>
      </c>
      <c r="F9" t="s">
        <v>27</v>
      </c>
      <c r="G9">
        <v>-1.03226651620579</v>
      </c>
      <c r="H9">
        <v>7.4713871180275795E-2</v>
      </c>
      <c r="I9">
        <v>-13.8162632975482</v>
      </c>
      <c r="J9" s="1">
        <v>2.0335514560681299E-43</v>
      </c>
      <c r="K9" s="1">
        <v>3.9840178097883304E-40</v>
      </c>
      <c r="L9" t="s">
        <v>23</v>
      </c>
      <c r="M9" t="s">
        <v>24</v>
      </c>
      <c r="N9">
        <v>1121.32214898593</v>
      </c>
      <c r="O9">
        <v>1551.4343986877</v>
      </c>
      <c r="P9">
        <v>691.20989928415599</v>
      </c>
      <c r="Q9">
        <v>1604.24571803811</v>
      </c>
      <c r="R9">
        <v>1498.6230793372899</v>
      </c>
      <c r="S9">
        <v>673.78006817373796</v>
      </c>
      <c r="T9">
        <v>708.63973039457403</v>
      </c>
    </row>
    <row r="10" spans="1:20" x14ac:dyDescent="0.2">
      <c r="A10" t="s">
        <v>38</v>
      </c>
      <c r="B10" s="3" t="str">
        <f>HYPERLINK("http://www.ncbi.nlm.nih.gov/gene/1063","CENPF")</f>
        <v>CENPF</v>
      </c>
      <c r="C10">
        <v>1063</v>
      </c>
      <c r="D10" t="s">
        <v>39</v>
      </c>
      <c r="E10" s="3" t="str">
        <f>HYPERLINK("http://genome.ucsc.edu/cgi-bin/hgTracks?db=hg19&amp;lastVirtModeType=default&amp;lastVirtModeExtraState=&amp;virtModeType=default&amp;virtMode=0&amp;nonVirtPosition=&amp;position=chr1:214603188-214664571","chr1:214603188-214664571")</f>
        <v>chr1:214603188-214664571</v>
      </c>
      <c r="F10" t="s">
        <v>27</v>
      </c>
      <c r="G10">
        <v>-0.88506664849133698</v>
      </c>
      <c r="H10">
        <v>6.8691061245531898E-2</v>
      </c>
      <c r="I10">
        <v>-12.8847426789305</v>
      </c>
      <c r="J10" s="1">
        <v>5.4858167202751995E-38</v>
      </c>
      <c r="K10" s="1">
        <v>9.4040613127317598E-35</v>
      </c>
      <c r="L10" t="s">
        <v>23</v>
      </c>
      <c r="M10" t="s">
        <v>24</v>
      </c>
      <c r="N10">
        <v>1788.36656626268</v>
      </c>
      <c r="O10">
        <v>2373.3641528252201</v>
      </c>
      <c r="P10">
        <v>1203.36897970014</v>
      </c>
      <c r="Q10">
        <v>2351.3344186339</v>
      </c>
      <c r="R10">
        <v>2395.3938870165398</v>
      </c>
      <c r="S10">
        <v>1116.7189416876599</v>
      </c>
      <c r="T10">
        <v>1290.0190177126201</v>
      </c>
    </row>
    <row r="11" spans="1:20" x14ac:dyDescent="0.2">
      <c r="A11" t="s">
        <v>40</v>
      </c>
      <c r="B11" s="3" t="str">
        <f>HYPERLINK("http://www.ncbi.nlm.nih.gov/gene/25937","WWTR1")</f>
        <v>WWTR1</v>
      </c>
      <c r="C11">
        <v>25937</v>
      </c>
      <c r="D11" t="s">
        <v>41</v>
      </c>
      <c r="E11" s="3" t="str">
        <f>HYPERLINK("http://genome.ucsc.edu/cgi-bin/hgTracks?db=hg19&amp;lastVirtModeType=default&amp;lastVirtModeExtraState=&amp;virtModeType=default&amp;virtMode=0&amp;nonVirtPosition=&amp;position=chr3:149517234-149658101","chr3:149517234-149658101")</f>
        <v>chr3:149517234-149658101</v>
      </c>
      <c r="F11" t="s">
        <v>22</v>
      </c>
      <c r="G11">
        <v>0.53502932625111499</v>
      </c>
      <c r="H11">
        <v>4.46741096995356E-2</v>
      </c>
      <c r="I11">
        <v>11.976272831166799</v>
      </c>
      <c r="J11" s="1">
        <v>4.7312023852022701E-33</v>
      </c>
      <c r="K11" s="1">
        <v>7.2093010567404306E-30</v>
      </c>
      <c r="L11" t="s">
        <v>23</v>
      </c>
      <c r="M11" t="s">
        <v>24</v>
      </c>
      <c r="N11">
        <v>8531.2871606046101</v>
      </c>
      <c r="O11">
        <v>6905.5425172613004</v>
      </c>
      <c r="P11">
        <v>10157.031803947901</v>
      </c>
      <c r="Q11">
        <v>6789.8392954700303</v>
      </c>
      <c r="R11">
        <v>7021.2457390525697</v>
      </c>
      <c r="S11">
        <v>10448.030310436399</v>
      </c>
      <c r="T11">
        <v>9866.0332974594294</v>
      </c>
    </row>
    <row r="12" spans="1:20" x14ac:dyDescent="0.2">
      <c r="A12" t="s">
        <v>42</v>
      </c>
      <c r="B12" s="3" t="str">
        <f>HYPERLINK("http://www.ncbi.nlm.nih.gov/gene/2305","FOXM1")</f>
        <v>FOXM1</v>
      </c>
      <c r="C12">
        <v>2305</v>
      </c>
      <c r="D12" t="s">
        <v>43</v>
      </c>
      <c r="E12" s="3" t="str">
        <f>HYPERLINK("http://genome.ucsc.edu/cgi-bin/hgTracks?db=hg19&amp;lastVirtModeType=default&amp;lastVirtModeExtraState=&amp;virtModeType=default&amp;virtMode=0&amp;nonVirtPosition=&amp;position=chr12:2857680-2877155","chr12:2857680-2877155")</f>
        <v>chr12:2857680-2877155</v>
      </c>
      <c r="F12" t="s">
        <v>22</v>
      </c>
      <c r="G12">
        <v>-0.84576935188601299</v>
      </c>
      <c r="H12">
        <v>7.1444258000223804E-2</v>
      </c>
      <c r="I12">
        <v>-11.838171121930699</v>
      </c>
      <c r="J12" s="1">
        <v>2.4779760969432997E-32</v>
      </c>
      <c r="K12" s="1">
        <v>3.3982964193480501E-29</v>
      </c>
      <c r="L12" t="s">
        <v>23</v>
      </c>
      <c r="M12" t="s">
        <v>24</v>
      </c>
      <c r="N12">
        <v>1303.9302068292</v>
      </c>
      <c r="O12">
        <v>1714.1698418079</v>
      </c>
      <c r="P12">
        <v>893.69057185048598</v>
      </c>
      <c r="Q12">
        <v>1635.89035913148</v>
      </c>
      <c r="R12">
        <v>1792.44932448433</v>
      </c>
      <c r="S12">
        <v>887.85074869160201</v>
      </c>
      <c r="T12">
        <v>899.53039500936904</v>
      </c>
    </row>
    <row r="13" spans="1:20" x14ac:dyDescent="0.2">
      <c r="A13" t="s">
        <v>44</v>
      </c>
      <c r="B13" s="3" t="str">
        <f>HYPERLINK("http://www.ncbi.nlm.nih.gov/gene/3925","STMN1")</f>
        <v>STMN1</v>
      </c>
      <c r="C13">
        <v>3925</v>
      </c>
      <c r="D13" t="s">
        <v>45</v>
      </c>
      <c r="E13" s="3" t="str">
        <f>HYPERLINK("http://genome.ucsc.edu/cgi-bin/hgTracks?db=hg19&amp;lastVirtModeType=default&amp;lastVirtModeExtraState=&amp;virtModeType=default&amp;virtMode=0&amp;nonVirtPosition=&amp;position=chr1:25884185-25906502","chr1:25884185-25906502")</f>
        <v>chr1:25884185-25906502</v>
      </c>
      <c r="F13" t="s">
        <v>22</v>
      </c>
      <c r="G13">
        <v>-0.74496203421129004</v>
      </c>
      <c r="H13">
        <v>6.3069420013618496E-2</v>
      </c>
      <c r="I13">
        <v>-11.8117787360409</v>
      </c>
      <c r="J13" s="1">
        <v>3.3930611903543001E-32</v>
      </c>
      <c r="K13" s="1">
        <v>4.23022192404717E-29</v>
      </c>
      <c r="L13" t="s">
        <v>23</v>
      </c>
      <c r="M13" t="s">
        <v>24</v>
      </c>
      <c r="N13">
        <v>1814.9009683985801</v>
      </c>
      <c r="O13">
        <v>2308.7772097070001</v>
      </c>
      <c r="P13">
        <v>1321.02472709016</v>
      </c>
      <c r="Q13">
        <v>2349.9585646733099</v>
      </c>
      <c r="R13">
        <v>2267.5958547406899</v>
      </c>
      <c r="S13">
        <v>1359.3981463300299</v>
      </c>
      <c r="T13">
        <v>1282.6513078502901</v>
      </c>
    </row>
    <row r="14" spans="1:20" x14ac:dyDescent="0.2">
      <c r="A14" t="s">
        <v>44</v>
      </c>
      <c r="B14" s="3" t="str">
        <f>HYPERLINK("http://www.ncbi.nlm.nih.gov/gene/100500808","MIR3917")</f>
        <v>MIR3917</v>
      </c>
      <c r="C14">
        <v>100500808</v>
      </c>
      <c r="D14" t="s">
        <v>46</v>
      </c>
      <c r="E14" s="3" t="str">
        <f>HYPERLINK("http://genome.ucsc.edu/cgi-bin/hgTracks?db=hg19&amp;lastVirtModeType=default&amp;lastVirtModeExtraState=&amp;virtModeType=default&amp;virtMode=0&amp;nonVirtPosition=&amp;position=chr1:25906361-25906454","chr1:25906361-25906454")</f>
        <v>chr1:25906361-25906454</v>
      </c>
      <c r="F14" t="s">
        <v>22</v>
      </c>
      <c r="G14">
        <v>-0.74496203421129004</v>
      </c>
      <c r="H14">
        <v>6.3069420013618496E-2</v>
      </c>
      <c r="I14">
        <v>-11.8117787360409</v>
      </c>
      <c r="J14" s="1">
        <v>3.3930611903543001E-32</v>
      </c>
      <c r="K14" s="1">
        <v>4.23022192404717E-29</v>
      </c>
      <c r="L14" t="s">
        <v>23</v>
      </c>
      <c r="M14" t="s">
        <v>24</v>
      </c>
      <c r="N14">
        <v>1814.9009683985801</v>
      </c>
      <c r="O14">
        <v>2308.7772097070001</v>
      </c>
      <c r="P14">
        <v>1321.02472709016</v>
      </c>
      <c r="Q14">
        <v>2349.9585646733099</v>
      </c>
      <c r="R14">
        <v>2267.5958547406899</v>
      </c>
      <c r="S14">
        <v>1359.3981463300299</v>
      </c>
      <c r="T14">
        <v>1282.6513078502901</v>
      </c>
    </row>
    <row r="15" spans="1:20" x14ac:dyDescent="0.2">
      <c r="A15" t="s">
        <v>47</v>
      </c>
      <c r="B15" s="3" t="str">
        <f>HYPERLINK("http://www.ncbi.nlm.nih.gov/gene/22974","TPX2")</f>
        <v>TPX2</v>
      </c>
      <c r="C15">
        <v>22974</v>
      </c>
      <c r="D15" t="s">
        <v>48</v>
      </c>
      <c r="E15" s="3" t="str">
        <f>HYPERLINK("http://genome.ucsc.edu/cgi-bin/hgTracks?db=hg19&amp;lastVirtModeType=default&amp;lastVirtModeExtraState=&amp;virtModeType=default&amp;virtMode=0&amp;nonVirtPosition=&amp;position=chr20:31739100-31801800","chr20:31739100-31801800")</f>
        <v>chr20:31739100-31801800</v>
      </c>
      <c r="F15" t="s">
        <v>27</v>
      </c>
      <c r="G15">
        <v>-0.77010214288291301</v>
      </c>
      <c r="H15">
        <v>6.5774602163751097E-2</v>
      </c>
      <c r="I15">
        <v>-11.7081991764189</v>
      </c>
      <c r="J15" s="1">
        <v>1.1571114267660599E-31</v>
      </c>
      <c r="K15" s="1">
        <v>1.3223855088891401E-28</v>
      </c>
      <c r="L15" t="s">
        <v>23</v>
      </c>
      <c r="M15" t="s">
        <v>24</v>
      </c>
      <c r="N15">
        <v>1874.3525060936399</v>
      </c>
      <c r="O15">
        <v>2405.5975471339898</v>
      </c>
      <c r="P15">
        <v>1343.1074650533001</v>
      </c>
      <c r="Q15">
        <v>2282.5417206048201</v>
      </c>
      <c r="R15">
        <v>2528.65337366315</v>
      </c>
      <c r="S15">
        <v>1307.11360224041</v>
      </c>
      <c r="T15">
        <v>1379.1013278661901</v>
      </c>
    </row>
    <row r="16" spans="1:20" x14ac:dyDescent="0.2">
      <c r="A16" t="s">
        <v>49</v>
      </c>
      <c r="B16" s="3" t="str">
        <f>HYPERLINK("http://www.ncbi.nlm.nih.gov/gene/5159","PDGFRB")</f>
        <v>PDGFRB</v>
      </c>
      <c r="C16">
        <v>5159</v>
      </c>
      <c r="D16" t="s">
        <v>50</v>
      </c>
      <c r="E16" s="3" t="str">
        <f>HYPERLINK("http://genome.ucsc.edu/cgi-bin/hgTracks?db=hg19&amp;lastVirtModeType=default&amp;lastVirtModeExtraState=&amp;virtModeType=default&amp;virtMode=0&amp;nonVirtPosition=&amp;position=chr5:150113838-150155859","chr5:150113838-150155859")</f>
        <v>chr5:150113838-150155859</v>
      </c>
      <c r="F16" t="s">
        <v>22</v>
      </c>
      <c r="G16">
        <v>0.53290236858016105</v>
      </c>
      <c r="H16">
        <v>4.57056938739238E-2</v>
      </c>
      <c r="I16">
        <v>11.6594306619682</v>
      </c>
      <c r="J16" s="1">
        <v>2.0541128452403201E-31</v>
      </c>
      <c r="K16" s="1">
        <v>2.16693104304813E-28</v>
      </c>
      <c r="L16" t="s">
        <v>23</v>
      </c>
      <c r="M16" t="s">
        <v>24</v>
      </c>
      <c r="N16">
        <v>10471.849623337899</v>
      </c>
      <c r="O16">
        <v>8485.9436048498192</v>
      </c>
      <c r="P16">
        <v>12457.755641826099</v>
      </c>
      <c r="Q16">
        <v>8399.5884293504605</v>
      </c>
      <c r="R16">
        <v>8572.2987803491906</v>
      </c>
      <c r="S16">
        <v>11975.133598185999</v>
      </c>
      <c r="T16">
        <v>12940.377685466099</v>
      </c>
    </row>
    <row r="17" spans="1:20" x14ac:dyDescent="0.2">
      <c r="A17" t="s">
        <v>51</v>
      </c>
      <c r="B17" s="3" t="str">
        <f>HYPERLINK("http://www.ncbi.nlm.nih.gov/gene/51203","NUSAP1")</f>
        <v>NUSAP1</v>
      </c>
      <c r="C17">
        <v>51203</v>
      </c>
      <c r="D17" t="s">
        <v>52</v>
      </c>
      <c r="E17" s="3" t="str">
        <f>HYPERLINK("http://genome.ucsc.edu/cgi-bin/hgTracks?db=hg19&amp;lastVirtModeType=default&amp;lastVirtModeExtraState=&amp;virtModeType=default&amp;virtMode=0&amp;nonVirtPosition=&amp;position=chr15:41332693-41381050","chr15:41332693-41381050")</f>
        <v>chr15:41332693-41381050</v>
      </c>
      <c r="F17" t="s">
        <v>27</v>
      </c>
      <c r="G17">
        <v>-0.92531049312325497</v>
      </c>
      <c r="H17">
        <v>8.0161316409704503E-2</v>
      </c>
      <c r="I17">
        <v>-11.5431050108258</v>
      </c>
      <c r="J17" s="1">
        <v>7.9984869214199694E-31</v>
      </c>
      <c r="K17" s="1">
        <v>7.8350892600252497E-28</v>
      </c>
      <c r="L17" t="s">
        <v>23</v>
      </c>
      <c r="M17" t="s">
        <v>24</v>
      </c>
      <c r="N17">
        <v>917.11918901861895</v>
      </c>
      <c r="O17">
        <v>1242.7954935385101</v>
      </c>
      <c r="P17">
        <v>591.44288449873397</v>
      </c>
      <c r="Q17">
        <v>1264.40978977446</v>
      </c>
      <c r="R17">
        <v>1221.1811973025499</v>
      </c>
      <c r="S17">
        <v>561.31897333946802</v>
      </c>
      <c r="T17">
        <v>621.56679565800096</v>
      </c>
    </row>
    <row r="18" spans="1:20" x14ac:dyDescent="0.2">
      <c r="A18" t="s">
        <v>53</v>
      </c>
      <c r="B18" s="3" t="str">
        <f>HYPERLINK("http://www.ncbi.nlm.nih.gov/gene/891","CCNB1")</f>
        <v>CCNB1</v>
      </c>
      <c r="C18">
        <v>891</v>
      </c>
      <c r="D18" t="s">
        <v>54</v>
      </c>
      <c r="E18" s="3" t="str">
        <f>HYPERLINK("http://genome.ucsc.edu/cgi-bin/hgTracks?db=hg19&amp;lastVirtModeType=default&amp;lastVirtModeExtraState=&amp;virtModeType=default&amp;virtMode=0&amp;nonVirtPosition=&amp;position=chr5:69167009-69178243","chr5:69167009-69178243")</f>
        <v>chr5:69167009-69178243</v>
      </c>
      <c r="F18" t="s">
        <v>27</v>
      </c>
      <c r="G18">
        <v>-0.83852385394316498</v>
      </c>
      <c r="H18">
        <v>7.3047641262350402E-2</v>
      </c>
      <c r="I18">
        <v>-11.479136621696099</v>
      </c>
      <c r="J18" s="1">
        <v>1.67949202662851E-30</v>
      </c>
      <c r="K18" s="1">
        <v>1.53550357687889E-27</v>
      </c>
      <c r="L18" t="s">
        <v>23</v>
      </c>
      <c r="M18" t="s">
        <v>24</v>
      </c>
      <c r="N18">
        <v>1179.0309206013301</v>
      </c>
      <c r="O18">
        <v>1550.12721684847</v>
      </c>
      <c r="P18">
        <v>807.93462435419099</v>
      </c>
      <c r="Q18">
        <v>1512.0635026791399</v>
      </c>
      <c r="R18">
        <v>1588.1909310178</v>
      </c>
      <c r="S18">
        <v>781.30865884860998</v>
      </c>
      <c r="T18">
        <v>834.56058985977199</v>
      </c>
    </row>
    <row r="19" spans="1:20" x14ac:dyDescent="0.2">
      <c r="A19" t="s">
        <v>55</v>
      </c>
      <c r="B19" s="3" t="str">
        <f>HYPERLINK("http://www.ncbi.nlm.nih.gov/gene/259266","ASPM")</f>
        <v>ASPM</v>
      </c>
      <c r="C19">
        <v>259266</v>
      </c>
      <c r="D19" t="s">
        <v>56</v>
      </c>
      <c r="E19" s="3" t="str">
        <f>HYPERLINK("http://genome.ucsc.edu/cgi-bin/hgTracks?db=hg19&amp;lastVirtModeType=default&amp;lastVirtModeExtraState=&amp;virtModeType=default&amp;virtMode=0&amp;nonVirtPosition=&amp;position=chr1:197084126-197146694","chr1:197084126-197146694")</f>
        <v>chr1:197084126-197146694</v>
      </c>
      <c r="F19" t="s">
        <v>22</v>
      </c>
      <c r="G19">
        <v>-0.86943382443370998</v>
      </c>
      <c r="H19">
        <v>7.7261531601072603E-2</v>
      </c>
      <c r="I19">
        <v>-11.2531269626247</v>
      </c>
      <c r="J19" s="1">
        <v>2.2352439820974501E-29</v>
      </c>
      <c r="K19" s="1">
        <v>1.9158834981552699E-26</v>
      </c>
      <c r="L19" t="s">
        <v>23</v>
      </c>
      <c r="M19" t="s">
        <v>24</v>
      </c>
      <c r="N19">
        <v>1043.2354926667799</v>
      </c>
      <c r="O19">
        <v>1387.6130409141001</v>
      </c>
      <c r="P19">
        <v>698.85794441945598</v>
      </c>
      <c r="Q19">
        <v>1323.57151007947</v>
      </c>
      <c r="R19">
        <v>1451.6545717487299</v>
      </c>
      <c r="S19">
        <v>679.69907316501497</v>
      </c>
      <c r="T19">
        <v>718.01681567389699</v>
      </c>
    </row>
    <row r="20" spans="1:20" x14ac:dyDescent="0.2">
      <c r="A20" t="s">
        <v>57</v>
      </c>
      <c r="B20" s="3" t="str">
        <f>HYPERLINK("http://www.ncbi.nlm.nih.gov/gene/10381","TUBB3")</f>
        <v>TUBB3</v>
      </c>
      <c r="C20">
        <v>10381</v>
      </c>
      <c r="D20" t="s">
        <v>58</v>
      </c>
      <c r="E20" s="3" t="str">
        <f>HYPERLINK("http://genome.ucsc.edu/cgi-bin/hgTracks?db=hg19&amp;lastVirtModeType=default&amp;lastVirtModeExtraState=&amp;virtModeType=default&amp;virtMode=0&amp;nonVirtPosition=&amp;position=chr16:89923278-89936097","chr16:89923278-89936097")</f>
        <v>chr16:89923278-89936097</v>
      </c>
      <c r="F20" t="s">
        <v>27</v>
      </c>
      <c r="G20">
        <v>-0.61554735052474496</v>
      </c>
      <c r="H20">
        <v>5.56924162785703E-2</v>
      </c>
      <c r="I20">
        <v>-11.0526242468241</v>
      </c>
      <c r="J20" s="1">
        <v>2.12898889184209E-28</v>
      </c>
      <c r="K20" s="1">
        <v>1.7174678625130901E-25</v>
      </c>
      <c r="L20" t="s">
        <v>23</v>
      </c>
      <c r="M20" t="s">
        <v>24</v>
      </c>
      <c r="N20">
        <v>5954.0279423923103</v>
      </c>
      <c r="O20">
        <v>7285.4098247105103</v>
      </c>
      <c r="P20">
        <v>4622.6460600741202</v>
      </c>
      <c r="Q20">
        <v>7476.3904218002299</v>
      </c>
      <c r="R20">
        <v>7094.4292276207898</v>
      </c>
      <c r="S20">
        <v>4314.9546386411903</v>
      </c>
      <c r="T20">
        <v>4930.3374815070501</v>
      </c>
    </row>
    <row r="21" spans="1:20" x14ac:dyDescent="0.2">
      <c r="A21" t="s">
        <v>59</v>
      </c>
      <c r="B21" s="3" t="str">
        <f>HYPERLINK("http://www.ncbi.nlm.nih.gov/gene/4288","MKI67")</f>
        <v>MKI67</v>
      </c>
      <c r="C21">
        <v>4288</v>
      </c>
      <c r="D21" t="s">
        <v>60</v>
      </c>
      <c r="E21" s="3" t="str">
        <f>HYPERLINK("http://genome.ucsc.edu/cgi-bin/hgTracks?db=hg19&amp;lastVirtModeType=default&amp;lastVirtModeExtraState=&amp;virtModeType=default&amp;virtMode=0&amp;nonVirtPosition=&amp;position=chr10:128096660-128126204","chr10:128096660-128126204")</f>
        <v>chr10:128096660-128126204</v>
      </c>
      <c r="F21" t="s">
        <v>22</v>
      </c>
      <c r="G21">
        <v>-0.69866412117579402</v>
      </c>
      <c r="H21">
        <v>6.4142929690141001E-2</v>
      </c>
      <c r="I21">
        <v>-10.892301373680199</v>
      </c>
      <c r="J21" s="1">
        <v>1.2542994893285901E-27</v>
      </c>
      <c r="K21" s="1">
        <v>9.5563684425845905E-25</v>
      </c>
      <c r="L21" t="s">
        <v>23</v>
      </c>
      <c r="M21" t="s">
        <v>24</v>
      </c>
      <c r="N21">
        <v>2251.9720954784498</v>
      </c>
      <c r="O21">
        <v>2831.1586208963199</v>
      </c>
      <c r="P21">
        <v>1672.7855700605901</v>
      </c>
      <c r="Q21">
        <v>2670.5325374888198</v>
      </c>
      <c r="R21">
        <v>2991.78470430383</v>
      </c>
      <c r="S21">
        <v>1618.84786511435</v>
      </c>
      <c r="T21">
        <v>1726.7232750068199</v>
      </c>
    </row>
    <row r="22" spans="1:20" x14ac:dyDescent="0.2">
      <c r="A22" t="s">
        <v>61</v>
      </c>
      <c r="B22" s="3" t="str">
        <f>HYPERLINK("http://www.ncbi.nlm.nih.gov/gene/9540","TP53I3")</f>
        <v>TP53I3</v>
      </c>
      <c r="C22">
        <v>9540</v>
      </c>
      <c r="D22" t="s">
        <v>62</v>
      </c>
      <c r="E22" s="3" t="str">
        <f>HYPERLINK("http://genome.ucsc.edu/cgi-bin/hgTracks?db=hg19&amp;lastVirtModeType=default&amp;lastVirtModeExtraState=&amp;virtModeType=default&amp;virtMode=0&amp;nonVirtPosition=&amp;position=chr2:24077432-24085215","chr2:24077432-24085215")</f>
        <v>chr2:24077432-24085215</v>
      </c>
      <c r="F22" t="s">
        <v>22</v>
      </c>
      <c r="G22">
        <v>-0.60792215234075297</v>
      </c>
      <c r="H22">
        <v>5.7363720841268E-2</v>
      </c>
      <c r="I22">
        <v>-10.597676430769599</v>
      </c>
      <c r="J22" s="1">
        <v>3.0547555219677798E-26</v>
      </c>
      <c r="K22" s="1">
        <v>2.20489038043506E-23</v>
      </c>
      <c r="L22" t="s">
        <v>23</v>
      </c>
      <c r="M22" t="s">
        <v>24</v>
      </c>
      <c r="N22">
        <v>2448.07315687246</v>
      </c>
      <c r="O22">
        <v>2991.03042988895</v>
      </c>
      <c r="P22">
        <v>1905.11588385597</v>
      </c>
      <c r="Q22">
        <v>3061.2750622939802</v>
      </c>
      <c r="R22">
        <v>2920.7857974839098</v>
      </c>
      <c r="S22">
        <v>1864.48657225236</v>
      </c>
      <c r="T22">
        <v>1945.7451954595799</v>
      </c>
    </row>
    <row r="23" spans="1:20" x14ac:dyDescent="0.2">
      <c r="A23" t="s">
        <v>63</v>
      </c>
      <c r="B23" s="3" t="str">
        <f>HYPERLINK("http://www.ncbi.nlm.nih.gov/gene/9055","PRC1")</f>
        <v>PRC1</v>
      </c>
      <c r="C23">
        <v>9055</v>
      </c>
      <c r="D23" t="s">
        <v>64</v>
      </c>
      <c r="E23" s="3" t="str">
        <f>HYPERLINK("http://genome.ucsc.edu/cgi-bin/hgTracks?db=hg19&amp;lastVirtModeType=default&amp;lastVirtModeExtraState=&amp;virtModeType=default&amp;virtMode=0&amp;nonVirtPosition=&amp;position=chr15:90966037-90994651","chr15:90966037-90994651")</f>
        <v>chr15:90966037-90994651</v>
      </c>
      <c r="F23" t="s">
        <v>22</v>
      </c>
      <c r="G23">
        <v>-0.72229546067448303</v>
      </c>
      <c r="H23">
        <v>6.9141411023383101E-2</v>
      </c>
      <c r="I23">
        <v>-10.446640442877399</v>
      </c>
      <c r="J23" s="1">
        <v>1.5180780104980401E-25</v>
      </c>
      <c r="K23" s="1">
        <v>1.0409460917985E-22</v>
      </c>
      <c r="L23" t="s">
        <v>23</v>
      </c>
      <c r="M23" t="s">
        <v>24</v>
      </c>
      <c r="N23">
        <v>1349.9618721240399</v>
      </c>
      <c r="O23">
        <v>1712.49961123963</v>
      </c>
      <c r="P23">
        <v>987.42413300844498</v>
      </c>
      <c r="Q23">
        <v>1699.1796413182301</v>
      </c>
      <c r="R23">
        <v>1725.8195811610201</v>
      </c>
      <c r="S23">
        <v>1019.05535933158</v>
      </c>
      <c r="T23">
        <v>955.79290668530905</v>
      </c>
    </row>
    <row r="24" spans="1:20" x14ac:dyDescent="0.2">
      <c r="A24" t="s">
        <v>65</v>
      </c>
      <c r="B24" s="3" t="str">
        <f>HYPERLINK("http://www.ncbi.nlm.nih.gov/gene/23768","FLRT2")</f>
        <v>FLRT2</v>
      </c>
      <c r="C24">
        <v>23768</v>
      </c>
      <c r="D24" t="s">
        <v>66</v>
      </c>
      <c r="E24" s="3" t="str">
        <f>HYPERLINK("http://genome.ucsc.edu/cgi-bin/hgTracks?db=hg19&amp;lastVirtModeType=default&amp;lastVirtModeExtraState=&amp;virtModeType=default&amp;virtMode=0&amp;nonVirtPosition=&amp;position=chr14:85530143-85627926","chr14:85530143-85627926")</f>
        <v>chr14:85530143-85627926</v>
      </c>
      <c r="F24" t="s">
        <v>27</v>
      </c>
      <c r="G24">
        <v>-0.49073944417002802</v>
      </c>
      <c r="H24">
        <v>4.7122446315842802E-2</v>
      </c>
      <c r="I24">
        <v>-10.414133444617899</v>
      </c>
      <c r="J24" s="1">
        <v>2.1373513638958501E-25</v>
      </c>
      <c r="K24" s="1">
        <v>1.3957922192603701E-22</v>
      </c>
      <c r="L24" t="s">
        <v>23</v>
      </c>
      <c r="M24" t="s">
        <v>24</v>
      </c>
      <c r="N24">
        <v>7139.1265808817698</v>
      </c>
      <c r="O24">
        <v>8395.5409610385504</v>
      </c>
      <c r="P24">
        <v>5882.71220072499</v>
      </c>
      <c r="Q24">
        <v>8359.6886644936003</v>
      </c>
      <c r="R24">
        <v>8431.3932575835097</v>
      </c>
      <c r="S24">
        <v>5638.8387550235502</v>
      </c>
      <c r="T24">
        <v>6126.5856464264298</v>
      </c>
    </row>
    <row r="25" spans="1:20" x14ac:dyDescent="0.2">
      <c r="A25" t="s">
        <v>67</v>
      </c>
      <c r="B25" s="3" t="str">
        <f>HYPERLINK("http://www.ncbi.nlm.nih.gov/gene/115265","DDIT4L")</f>
        <v>DDIT4L</v>
      </c>
      <c r="C25">
        <v>115265</v>
      </c>
      <c r="D25" t="s">
        <v>68</v>
      </c>
      <c r="E25" s="3" t="str">
        <f>HYPERLINK("http://genome.ucsc.edu/cgi-bin/hgTracks?db=hg19&amp;lastVirtModeType=default&amp;lastVirtModeExtraState=&amp;virtModeType=default&amp;virtMode=0&amp;nonVirtPosition=&amp;position=chr4:100185869-100190498","chr4:100185869-100190498")</f>
        <v>chr4:100185869-100190498</v>
      </c>
      <c r="F25" t="s">
        <v>22</v>
      </c>
      <c r="G25">
        <v>-1.18269108998089</v>
      </c>
      <c r="H25">
        <v>0.11422865085675001</v>
      </c>
      <c r="I25">
        <v>-10.353716699885201</v>
      </c>
      <c r="J25" s="1">
        <v>4.0254850422089498E-25</v>
      </c>
      <c r="K25" s="1">
        <v>2.5093409940387999E-22</v>
      </c>
      <c r="L25" t="s">
        <v>23</v>
      </c>
      <c r="M25" t="s">
        <v>24</v>
      </c>
      <c r="N25">
        <v>267.03190221872302</v>
      </c>
      <c r="O25">
        <v>421.86394011749798</v>
      </c>
      <c r="P25">
        <v>112.19986431994801</v>
      </c>
      <c r="Q25">
        <v>421.01131193795902</v>
      </c>
      <c r="R25">
        <v>422.71656829703602</v>
      </c>
      <c r="S25">
        <v>89.771575701039794</v>
      </c>
      <c r="T25">
        <v>134.628152938856</v>
      </c>
    </row>
    <row r="26" spans="1:20" x14ac:dyDescent="0.2">
      <c r="A26" t="s">
        <v>69</v>
      </c>
      <c r="B26" s="3" t="str">
        <f>HYPERLINK("http://www.ncbi.nlm.nih.gov/gene/983","CDK1")</f>
        <v>CDK1</v>
      </c>
      <c r="C26">
        <v>983</v>
      </c>
      <c r="D26" t="s">
        <v>70</v>
      </c>
      <c r="E26" s="3" t="str">
        <f>HYPERLINK("http://genome.ucsc.edu/cgi-bin/hgTracks?db=hg19&amp;lastVirtModeType=default&amp;lastVirtModeExtraState=&amp;virtModeType=default&amp;virtMode=0&amp;nonVirtPosition=&amp;position=chr10:60778330-60794852","chr10:60778330-60794852")</f>
        <v>chr10:60778330-60794852</v>
      </c>
      <c r="F26" t="s">
        <v>27</v>
      </c>
      <c r="G26">
        <v>-0.74159566338124705</v>
      </c>
      <c r="H26">
        <v>7.2116679056708002E-2</v>
      </c>
      <c r="I26">
        <v>-10.2832752850156</v>
      </c>
      <c r="J26" s="1">
        <v>8.3829426717184708E-25</v>
      </c>
      <c r="K26" s="1">
        <v>4.9984206869542198E-22</v>
      </c>
      <c r="L26" t="s">
        <v>23</v>
      </c>
      <c r="M26" t="s">
        <v>24</v>
      </c>
      <c r="N26">
        <v>1205.8310334519999</v>
      </c>
      <c r="O26">
        <v>1543.62051668238</v>
      </c>
      <c r="P26">
        <v>868.04155022161694</v>
      </c>
      <c r="Q26">
        <v>1560.2183912994999</v>
      </c>
      <c r="R26">
        <v>1527.02264206526</v>
      </c>
      <c r="S26">
        <v>836.55270543386496</v>
      </c>
      <c r="T26">
        <v>899.53039500936904</v>
      </c>
    </row>
    <row r="27" spans="1:20" x14ac:dyDescent="0.2">
      <c r="A27" t="s">
        <v>71</v>
      </c>
      <c r="B27" s="3" t="str">
        <f>HYPERLINK("http://www.ncbi.nlm.nih.gov/gene/57678","GPAM")</f>
        <v>GPAM</v>
      </c>
      <c r="C27">
        <v>57678</v>
      </c>
      <c r="D27" t="s">
        <v>72</v>
      </c>
      <c r="E27" s="3" t="str">
        <f>HYPERLINK("http://genome.ucsc.edu/cgi-bin/hgTracks?db=hg19&amp;lastVirtModeType=default&amp;lastVirtModeExtraState=&amp;virtModeType=default&amp;virtMode=0&amp;nonVirtPosition=&amp;position=chr10:112149863-112183779","chr10:112149863-112183779")</f>
        <v>chr10:112149863-112183779</v>
      </c>
      <c r="F27" t="s">
        <v>22</v>
      </c>
      <c r="G27">
        <v>-0.55653599032637502</v>
      </c>
      <c r="H27">
        <v>5.44291031520963E-2</v>
      </c>
      <c r="I27">
        <v>-10.2249707986405</v>
      </c>
      <c r="J27" s="1">
        <v>1.5327414332285399E-24</v>
      </c>
      <c r="K27" s="1">
        <v>8.57210972609505E-22</v>
      </c>
      <c r="L27" t="s">
        <v>23</v>
      </c>
      <c r="M27" t="s">
        <v>24</v>
      </c>
      <c r="N27">
        <v>3030.0787528116198</v>
      </c>
      <c r="O27">
        <v>3642.7840748445001</v>
      </c>
      <c r="P27">
        <v>2417.3734307787299</v>
      </c>
      <c r="Q27">
        <v>3651.5164113834799</v>
      </c>
      <c r="R27">
        <v>3634.0517383055198</v>
      </c>
      <c r="S27">
        <v>2333.0744673951499</v>
      </c>
      <c r="T27">
        <v>2501.67239416232</v>
      </c>
    </row>
    <row r="28" spans="1:20" x14ac:dyDescent="0.2">
      <c r="A28" t="s">
        <v>73</v>
      </c>
      <c r="B28" s="3" t="str">
        <f>HYPERLINK("http://www.ncbi.nlm.nih.gov/gene/6382","SDC1")</f>
        <v>SDC1</v>
      </c>
      <c r="C28">
        <v>6382</v>
      </c>
      <c r="D28" t="s">
        <v>74</v>
      </c>
      <c r="E28" s="3" t="str">
        <f>HYPERLINK("http://genome.ucsc.edu/cgi-bin/hgTracks?db=hg19&amp;lastVirtModeType=default&amp;lastVirtModeExtraState=&amp;virtModeType=default&amp;virtMode=0&amp;nonVirtPosition=&amp;position=chr2:20200796-20225433","chr2:20200796-20225433")</f>
        <v>chr2:20200796-20225433</v>
      </c>
      <c r="F28" t="s">
        <v>22</v>
      </c>
      <c r="G28">
        <v>-0.47823244089373301</v>
      </c>
      <c r="H28">
        <v>4.6779601486637797E-2</v>
      </c>
      <c r="I28">
        <v>-10.2230977968108</v>
      </c>
      <c r="J28" s="1">
        <v>1.56265672416783E-24</v>
      </c>
      <c r="K28" s="1">
        <v>8.57210972609505E-22</v>
      </c>
      <c r="L28" t="s">
        <v>23</v>
      </c>
      <c r="M28" t="s">
        <v>24</v>
      </c>
      <c r="N28">
        <v>10758.5817183008</v>
      </c>
      <c r="O28">
        <v>12603.3712317519</v>
      </c>
      <c r="P28">
        <v>8913.7922048497603</v>
      </c>
      <c r="Q28">
        <v>12957.7926007572</v>
      </c>
      <c r="R28">
        <v>12248.9498627467</v>
      </c>
      <c r="S28">
        <v>8588.4762423434295</v>
      </c>
      <c r="T28">
        <v>9239.1081673561002</v>
      </c>
    </row>
    <row r="29" spans="1:20" x14ac:dyDescent="0.2">
      <c r="A29" t="s">
        <v>75</v>
      </c>
      <c r="B29" s="3" t="str">
        <f>HYPERLINK("http://www.ncbi.nlm.nih.gov/gene/131578","LRRC15")</f>
        <v>LRRC15</v>
      </c>
      <c r="C29">
        <v>131578</v>
      </c>
      <c r="D29" t="s">
        <v>76</v>
      </c>
      <c r="E29" s="3" t="str">
        <f>HYPERLINK("http://genome.ucsc.edu/cgi-bin/hgTracks?db=hg19&amp;lastVirtModeType=default&amp;lastVirtModeExtraState=&amp;virtModeType=default&amp;virtMode=0&amp;nonVirtPosition=&amp;position=chr3:194355246-194369743","chr3:194355246-194369743")</f>
        <v>chr3:194355246-194369743</v>
      </c>
      <c r="F29" t="s">
        <v>22</v>
      </c>
      <c r="G29">
        <v>-0.64570164055269197</v>
      </c>
      <c r="H29">
        <v>6.3230742391564995E-2</v>
      </c>
      <c r="I29">
        <v>-10.211830766656099</v>
      </c>
      <c r="J29" s="1">
        <v>1.7552133604005699E-24</v>
      </c>
      <c r="K29" s="1">
        <v>9.2580753940513096E-22</v>
      </c>
      <c r="L29" t="s">
        <v>23</v>
      </c>
      <c r="M29" t="s">
        <v>24</v>
      </c>
      <c r="N29">
        <v>2132.3100141109899</v>
      </c>
      <c r="O29">
        <v>2641.7618714310302</v>
      </c>
      <c r="P29">
        <v>1622.85815679095</v>
      </c>
      <c r="Q29">
        <v>2629.2569186713699</v>
      </c>
      <c r="R29">
        <v>2654.2668241906899</v>
      </c>
      <c r="S29">
        <v>1531.0492910770699</v>
      </c>
      <c r="T29">
        <v>1714.6670225048299</v>
      </c>
    </row>
    <row r="30" spans="1:20" x14ac:dyDescent="0.2">
      <c r="A30" t="s">
        <v>77</v>
      </c>
      <c r="B30" s="3" t="str">
        <f>HYPERLINK("http://www.ncbi.nlm.nih.gov/gene/79801","SHCBP1")</f>
        <v>SHCBP1</v>
      </c>
      <c r="C30">
        <v>79801</v>
      </c>
      <c r="D30" t="s">
        <v>78</v>
      </c>
      <c r="E30" s="3" t="str">
        <f>HYPERLINK("http://genome.ucsc.edu/cgi-bin/hgTracks?db=hg19&amp;lastVirtModeType=default&amp;lastVirtModeExtraState=&amp;virtModeType=default&amp;virtMode=0&amp;nonVirtPosition=&amp;position=chr16:46578592-46621402","chr16:46578592-46621402")</f>
        <v>chr16:46578592-46621402</v>
      </c>
      <c r="F30" t="s">
        <v>22</v>
      </c>
      <c r="G30">
        <v>-0.71734197996294202</v>
      </c>
      <c r="H30">
        <v>7.0367508926335906E-2</v>
      </c>
      <c r="I30">
        <v>-10.194221607502</v>
      </c>
      <c r="J30" s="1">
        <v>2.1042336563258799E-24</v>
      </c>
      <c r="K30" s="1">
        <v>1.06879482825382E-21</v>
      </c>
      <c r="L30" t="s">
        <v>23</v>
      </c>
      <c r="M30" t="s">
        <v>24</v>
      </c>
      <c r="N30">
        <v>1241.6788828906299</v>
      </c>
      <c r="O30">
        <v>1575.37579136867</v>
      </c>
      <c r="P30">
        <v>907.98197441258799</v>
      </c>
      <c r="Q30">
        <v>1545.0839977331</v>
      </c>
      <c r="R30">
        <v>1605.66758500424</v>
      </c>
      <c r="S30">
        <v>899.68875867415704</v>
      </c>
      <c r="T30">
        <v>916.27519015101802</v>
      </c>
    </row>
    <row r="31" spans="1:20" x14ac:dyDescent="0.2">
      <c r="A31" t="s">
        <v>79</v>
      </c>
      <c r="B31" s="3" t="str">
        <f>HYPERLINK("http://www.ncbi.nlm.nih.gov/gene/55771","PRR11")</f>
        <v>PRR11</v>
      </c>
      <c r="C31">
        <v>55771</v>
      </c>
      <c r="D31" t="s">
        <v>80</v>
      </c>
      <c r="E31" s="3" t="str">
        <f>HYPERLINK("http://genome.ucsc.edu/cgi-bin/hgTracks?db=hg19&amp;lastVirtModeType=default&amp;lastVirtModeExtraState=&amp;virtModeType=default&amp;virtMode=0&amp;nonVirtPosition=&amp;position=chr17:59155498-59206709","chr17:59155498-59206709")</f>
        <v>chr17:59155498-59206709</v>
      </c>
      <c r="F31" t="s">
        <v>27</v>
      </c>
      <c r="G31">
        <v>-0.95118227223444396</v>
      </c>
      <c r="H31">
        <v>9.4613896623689395E-2</v>
      </c>
      <c r="I31">
        <v>-10.053304072419801</v>
      </c>
      <c r="J31" s="1">
        <v>8.8837830067111295E-24</v>
      </c>
      <c r="K31" s="1">
        <v>4.3511500055013002E-21</v>
      </c>
      <c r="L31" t="s">
        <v>23</v>
      </c>
      <c r="M31" t="s">
        <v>24</v>
      </c>
      <c r="N31">
        <v>592.75763185713504</v>
      </c>
      <c r="O31">
        <v>824.01451581416904</v>
      </c>
      <c r="P31">
        <v>361.50074790010098</v>
      </c>
      <c r="Q31">
        <v>756.71967831986103</v>
      </c>
      <c r="R31">
        <v>891.30935330847797</v>
      </c>
      <c r="S31">
        <v>347.24829282160402</v>
      </c>
      <c r="T31">
        <v>375.75320297859702</v>
      </c>
    </row>
    <row r="32" spans="1:20" x14ac:dyDescent="0.2">
      <c r="A32" t="s">
        <v>81</v>
      </c>
      <c r="B32" s="3" t="str">
        <f>HYPERLINK("http://www.ncbi.nlm.nih.gov/gene/81624","DIAPH3")</f>
        <v>DIAPH3</v>
      </c>
      <c r="C32">
        <v>81624</v>
      </c>
      <c r="D32" t="s">
        <v>82</v>
      </c>
      <c r="E32" s="3" t="str">
        <f>HYPERLINK("http://genome.ucsc.edu/cgi-bin/hgTracks?db=hg19&amp;lastVirtModeType=default&amp;lastVirtModeExtraState=&amp;virtModeType=default&amp;virtMode=0&amp;nonVirtPosition=&amp;position=chr13:59774162-60013209","chr13:59774162-60013209")</f>
        <v>chr13:59774162-60013209</v>
      </c>
      <c r="F32" t="s">
        <v>22</v>
      </c>
      <c r="G32">
        <v>-0.78313737328671895</v>
      </c>
      <c r="H32">
        <v>7.8479690268190294E-2</v>
      </c>
      <c r="I32">
        <v>-9.9788540272073902</v>
      </c>
      <c r="J32" s="1">
        <v>1.8863273021658299E-23</v>
      </c>
      <c r="K32" s="1">
        <v>8.9203767661731595E-21</v>
      </c>
      <c r="L32" t="s">
        <v>23</v>
      </c>
      <c r="M32" t="s">
        <v>24</v>
      </c>
      <c r="N32">
        <v>916.57872437156198</v>
      </c>
      <c r="O32">
        <v>1192.29326089084</v>
      </c>
      <c r="P32">
        <v>640.86418785227602</v>
      </c>
      <c r="Q32">
        <v>1161.2207427308399</v>
      </c>
      <c r="R32">
        <v>1223.3657790508501</v>
      </c>
      <c r="S32">
        <v>631.36053240291699</v>
      </c>
      <c r="T32">
        <v>650.36784330163596</v>
      </c>
    </row>
    <row r="33" spans="1:20" x14ac:dyDescent="0.2">
      <c r="A33" t="s">
        <v>83</v>
      </c>
      <c r="B33" s="3" t="str">
        <f>HYPERLINK("http://www.ncbi.nlm.nih.gov/gene/54892","NCAPG2")</f>
        <v>NCAPG2</v>
      </c>
      <c r="C33">
        <v>54892</v>
      </c>
      <c r="D33" t="s">
        <v>84</v>
      </c>
      <c r="E33" s="3" t="str">
        <f>HYPERLINK("http://genome.ucsc.edu/cgi-bin/hgTracks?db=hg19&amp;lastVirtModeType=default&amp;lastVirtModeExtraState=&amp;virtModeType=default&amp;virtMode=0&amp;nonVirtPosition=&amp;position=chr7:158631168-158704831","chr7:158631168-158704831")</f>
        <v>chr7:158631168-158704831</v>
      </c>
      <c r="F33" t="s">
        <v>22</v>
      </c>
      <c r="G33">
        <v>-0.71766070948063598</v>
      </c>
      <c r="H33">
        <v>7.2711720011338493E-2</v>
      </c>
      <c r="I33">
        <v>-9.8699454416526802</v>
      </c>
      <c r="J33" s="1">
        <v>5.6195167457894297E-23</v>
      </c>
      <c r="K33" s="1">
        <v>2.5688684217252099E-20</v>
      </c>
      <c r="L33" t="s">
        <v>23</v>
      </c>
      <c r="M33" t="s">
        <v>24</v>
      </c>
      <c r="N33">
        <v>1130.83988620579</v>
      </c>
      <c r="O33">
        <v>1437.5951924677199</v>
      </c>
      <c r="P33">
        <v>824.08457994386799</v>
      </c>
      <c r="Q33">
        <v>1469.4120299011099</v>
      </c>
      <c r="R33">
        <v>1405.7783550343299</v>
      </c>
      <c r="S33">
        <v>827.67419794694899</v>
      </c>
      <c r="T33">
        <v>820.49496194078699</v>
      </c>
    </row>
    <row r="34" spans="1:20" x14ac:dyDescent="0.2">
      <c r="A34" t="s">
        <v>85</v>
      </c>
      <c r="B34" s="3" t="str">
        <f>HYPERLINK("http://www.ncbi.nlm.nih.gov/gene/220","ALDH1A3")</f>
        <v>ALDH1A3</v>
      </c>
      <c r="C34">
        <v>220</v>
      </c>
      <c r="D34" t="s">
        <v>86</v>
      </c>
      <c r="E34" s="3" t="str">
        <f>HYPERLINK("http://genome.ucsc.edu/cgi-bin/hgTracks?db=hg19&amp;lastVirtModeType=default&amp;lastVirtModeExtraState=&amp;virtModeType=default&amp;virtMode=0&amp;nonVirtPosition=&amp;position=chr15:100879691-100916625","chr15:100879691-100916625")</f>
        <v>chr15:100879691-100916625</v>
      </c>
      <c r="F34" t="s">
        <v>27</v>
      </c>
      <c r="G34">
        <v>-0.50134148184371496</v>
      </c>
      <c r="H34">
        <v>5.1802356496439002E-2</v>
      </c>
      <c r="I34">
        <v>-9.6779667133131007</v>
      </c>
      <c r="J34" s="1">
        <v>3.74081480774097E-22</v>
      </c>
      <c r="K34" s="1">
        <v>1.6548882023664401E-19</v>
      </c>
      <c r="L34" t="s">
        <v>23</v>
      </c>
      <c r="M34" t="s">
        <v>24</v>
      </c>
      <c r="N34">
        <v>3196.1471287506101</v>
      </c>
      <c r="O34">
        <v>3775.0186501248099</v>
      </c>
      <c r="P34">
        <v>2617.2756073763999</v>
      </c>
      <c r="Q34">
        <v>3848.2635277466402</v>
      </c>
      <c r="R34">
        <v>3701.7737725029801</v>
      </c>
      <c r="S34">
        <v>2627.0517152952598</v>
      </c>
      <c r="T34">
        <v>2607.49949945754</v>
      </c>
    </row>
    <row r="35" spans="1:20" x14ac:dyDescent="0.2">
      <c r="A35" t="s">
        <v>87</v>
      </c>
      <c r="B35" s="3" t="str">
        <f>HYPERLINK("http://www.ncbi.nlm.nih.gov/gene/8140","SLC7A5")</f>
        <v>SLC7A5</v>
      </c>
      <c r="C35">
        <v>8140</v>
      </c>
      <c r="D35" t="s">
        <v>88</v>
      </c>
      <c r="E35" s="3" t="str">
        <f>HYPERLINK("http://genome.ucsc.edu/cgi-bin/hgTracks?db=hg19&amp;lastVirtModeType=default&amp;lastVirtModeExtraState=&amp;virtModeType=default&amp;virtMode=0&amp;nonVirtPosition=&amp;position=chr16:87830015-87869499","chr16:87830015-87869499")</f>
        <v>chr16:87830015-87869499</v>
      </c>
      <c r="F35" t="s">
        <v>22</v>
      </c>
      <c r="G35">
        <v>0.47293935034295997</v>
      </c>
      <c r="H35">
        <v>4.91462121411185E-2</v>
      </c>
      <c r="I35">
        <v>9.6231088773425792</v>
      </c>
      <c r="J35" s="1">
        <v>6.3870948550103497E-22</v>
      </c>
      <c r="K35" s="1">
        <v>2.7372693388003698E-19</v>
      </c>
      <c r="L35" t="s">
        <v>23</v>
      </c>
      <c r="M35" t="s">
        <v>24</v>
      </c>
      <c r="N35">
        <v>5677.88454046067</v>
      </c>
      <c r="O35">
        <v>4713.4821061101302</v>
      </c>
      <c r="P35">
        <v>6642.2869748112198</v>
      </c>
      <c r="Q35">
        <v>4613.2383298299901</v>
      </c>
      <c r="R35">
        <v>4813.7258823902703</v>
      </c>
      <c r="S35">
        <v>6398.4443955708102</v>
      </c>
      <c r="T35">
        <v>6886.1295540516203</v>
      </c>
    </row>
    <row r="36" spans="1:20" x14ac:dyDescent="0.2">
      <c r="A36" t="s">
        <v>89</v>
      </c>
      <c r="B36" s="3" t="str">
        <f>HYPERLINK("http://www.ncbi.nlm.nih.gov/gene/151887","CCDC80")</f>
        <v>CCDC80</v>
      </c>
      <c r="C36">
        <v>151887</v>
      </c>
      <c r="D36" t="s">
        <v>90</v>
      </c>
      <c r="E36" s="3" t="str">
        <f>HYPERLINK("http://genome.ucsc.edu/cgi-bin/hgTracks?db=hg19&amp;lastVirtModeType=default&amp;lastVirtModeExtraState=&amp;virtModeType=default&amp;virtMode=0&amp;nonVirtPosition=&amp;position=chr3:112604385-112641143","chr3:112604385-112641143")</f>
        <v>chr3:112604385-112641143</v>
      </c>
      <c r="F36" t="s">
        <v>22</v>
      </c>
      <c r="G36">
        <v>-0.41599528006040998</v>
      </c>
      <c r="H36">
        <v>4.34102529690297E-2</v>
      </c>
      <c r="I36">
        <v>-9.5828808083010895</v>
      </c>
      <c r="J36" s="1">
        <v>9.4375112052314303E-22</v>
      </c>
      <c r="K36" s="1">
        <v>3.9220008687437499E-19</v>
      </c>
      <c r="L36" t="s">
        <v>23</v>
      </c>
      <c r="M36" t="s">
        <v>24</v>
      </c>
      <c r="N36">
        <v>35280.270243218503</v>
      </c>
      <c r="O36">
        <v>40512.185671239298</v>
      </c>
      <c r="P36">
        <v>30048.354815197701</v>
      </c>
      <c r="Q36">
        <v>39665.869683566598</v>
      </c>
      <c r="R36">
        <v>41358.501658911999</v>
      </c>
      <c r="S36">
        <v>29284.277194344701</v>
      </c>
      <c r="T36">
        <v>30812.4324360506</v>
      </c>
    </row>
    <row r="37" spans="1:20" x14ac:dyDescent="0.2">
      <c r="A37" t="s">
        <v>91</v>
      </c>
      <c r="B37" s="3" t="str">
        <f>HYPERLINK("http://www.ncbi.nlm.nih.gov/gene/4502","MT2A")</f>
        <v>MT2A</v>
      </c>
      <c r="C37">
        <v>4502</v>
      </c>
      <c r="D37" t="s">
        <v>92</v>
      </c>
      <c r="E37" s="3" t="str">
        <f>HYPERLINK("http://genome.ucsc.edu/cgi-bin/hgTracks?db=hg19&amp;lastVirtModeType=default&amp;lastVirtModeExtraState=&amp;virtModeType=default&amp;virtMode=0&amp;nonVirtPosition=&amp;position=chr16:56608565-56609497","chr16:56608565-56609497")</f>
        <v>chr16:56608565-56609497</v>
      </c>
      <c r="F37" t="s">
        <v>27</v>
      </c>
      <c r="G37">
        <v>0.43512567021916798</v>
      </c>
      <c r="H37">
        <v>4.5639857958362999E-2</v>
      </c>
      <c r="I37">
        <v>9.5338962407843297</v>
      </c>
      <c r="J37" s="1">
        <v>1.5148842338946101E-21</v>
      </c>
      <c r="K37" s="1">
        <v>6.1103301128325398E-19</v>
      </c>
      <c r="L37" t="s">
        <v>23</v>
      </c>
      <c r="M37" t="s">
        <v>24</v>
      </c>
      <c r="N37">
        <v>26345.145622593202</v>
      </c>
      <c r="O37">
        <v>22242.201143620001</v>
      </c>
      <c r="P37">
        <v>30448.0901015663</v>
      </c>
      <c r="Q37">
        <v>21457.818369230099</v>
      </c>
      <c r="R37">
        <v>23026.583918009801</v>
      </c>
      <c r="S37">
        <v>31169.4802840665</v>
      </c>
      <c r="T37">
        <v>29726.699919066101</v>
      </c>
    </row>
    <row r="38" spans="1:20" x14ac:dyDescent="0.2">
      <c r="A38" t="s">
        <v>93</v>
      </c>
      <c r="B38" s="3" t="str">
        <f>HYPERLINK("http://www.ncbi.nlm.nih.gov/gene/11057","ABHD2")</f>
        <v>ABHD2</v>
      </c>
      <c r="C38">
        <v>11057</v>
      </c>
      <c r="D38" t="s">
        <v>94</v>
      </c>
      <c r="E38" s="3" t="str">
        <f>HYPERLINK("http://genome.ucsc.edu/cgi-bin/hgTracks?db=hg19&amp;lastVirtModeType=default&amp;lastVirtModeExtraState=&amp;virtModeType=default&amp;virtMode=0&amp;nonVirtPosition=&amp;position=chr15:89088149-89202360","chr15:89088149-89202360")</f>
        <v>chr15:89088149-89202360</v>
      </c>
      <c r="F38" t="s">
        <v>27</v>
      </c>
      <c r="G38">
        <v>0.387423297531866</v>
      </c>
      <c r="H38">
        <v>4.0690438589000698E-2</v>
      </c>
      <c r="I38">
        <v>9.5212367073525002</v>
      </c>
      <c r="J38" s="1">
        <v>1.71130205104568E-21</v>
      </c>
      <c r="K38" s="1">
        <v>6.7053703794401498E-19</v>
      </c>
      <c r="L38" t="s">
        <v>23</v>
      </c>
      <c r="M38" t="s">
        <v>24</v>
      </c>
      <c r="N38">
        <v>15524.150261893799</v>
      </c>
      <c r="O38">
        <v>13388.8529620688</v>
      </c>
      <c r="P38">
        <v>17659.447561718702</v>
      </c>
      <c r="Q38">
        <v>13276.9907196121</v>
      </c>
      <c r="R38">
        <v>13500.715204525501</v>
      </c>
      <c r="S38">
        <v>17306.184093663102</v>
      </c>
      <c r="T38">
        <v>18012.7110297744</v>
      </c>
    </row>
    <row r="39" spans="1:20" x14ac:dyDescent="0.2">
      <c r="A39" t="s">
        <v>95</v>
      </c>
      <c r="B39" s="3" t="str">
        <f>HYPERLINK("http://www.ncbi.nlm.nih.gov/gene/9493","KIF23")</f>
        <v>KIF23</v>
      </c>
      <c r="C39">
        <v>9493</v>
      </c>
      <c r="D39" t="s">
        <v>96</v>
      </c>
      <c r="E39" s="3" t="str">
        <f>HYPERLINK("http://genome.ucsc.edu/cgi-bin/hgTracks?db=hg19&amp;lastVirtModeType=default&amp;lastVirtModeExtraState=&amp;virtModeType=default&amp;virtMode=0&amp;nonVirtPosition=&amp;position=chr15:69414245-69448427","chr15:69414245-69448427")</f>
        <v>chr15:69414245-69448427</v>
      </c>
      <c r="F39" t="s">
        <v>27</v>
      </c>
      <c r="G39">
        <v>-0.71455528930809298</v>
      </c>
      <c r="H39">
        <v>7.5157771856025402E-2</v>
      </c>
      <c r="I39">
        <v>-9.5074038474280105</v>
      </c>
      <c r="J39" s="1">
        <v>1.95480059993934E-21</v>
      </c>
      <c r="K39" s="1">
        <v>7.4467042854355799E-19</v>
      </c>
      <c r="L39" t="s">
        <v>23</v>
      </c>
      <c r="M39" t="s">
        <v>24</v>
      </c>
      <c r="N39">
        <v>1027.13031607627</v>
      </c>
      <c r="O39">
        <v>1306.0905056392601</v>
      </c>
      <c r="P39">
        <v>748.17012651328196</v>
      </c>
      <c r="Q39">
        <v>1285.04759918318</v>
      </c>
      <c r="R39">
        <v>1327.13341209534</v>
      </c>
      <c r="S39">
        <v>761.57864221101897</v>
      </c>
      <c r="T39">
        <v>734.76161081554596</v>
      </c>
    </row>
    <row r="40" spans="1:20" x14ac:dyDescent="0.2">
      <c r="A40" t="s">
        <v>97</v>
      </c>
      <c r="B40" s="3" t="str">
        <f>HYPERLINK("http://www.ncbi.nlm.nih.gov/gene/347735","SERINC2")</f>
        <v>SERINC2</v>
      </c>
      <c r="C40">
        <v>347735</v>
      </c>
      <c r="D40" t="s">
        <v>98</v>
      </c>
      <c r="E40" s="3" t="str">
        <f>HYPERLINK("http://genome.ucsc.edu/cgi-bin/hgTracks?db=hg19&amp;lastVirtModeType=default&amp;lastVirtModeExtraState=&amp;virtModeType=default&amp;virtMode=0&amp;nonVirtPosition=&amp;position=chr1:31413812-31434680","chr1:31413812-31434680")</f>
        <v>chr1:31413812-31434680</v>
      </c>
      <c r="F40" t="s">
        <v>27</v>
      </c>
      <c r="G40">
        <v>-0.59161698714678002</v>
      </c>
      <c r="H40">
        <v>6.2279027908869203E-2</v>
      </c>
      <c r="I40">
        <v>-9.4994576346386204</v>
      </c>
      <c r="J40" s="1">
        <v>2.1098630721204901E-21</v>
      </c>
      <c r="K40" s="1">
        <v>7.8201789651514696E-19</v>
      </c>
      <c r="L40" t="s">
        <v>23</v>
      </c>
      <c r="M40" t="s">
        <v>24</v>
      </c>
      <c r="N40">
        <v>2131.2374435318302</v>
      </c>
      <c r="O40">
        <v>2598.4587032302702</v>
      </c>
      <c r="P40">
        <v>1664.01618383338</v>
      </c>
      <c r="Q40">
        <v>2659.5257058041698</v>
      </c>
      <c r="R40">
        <v>2537.3917006563702</v>
      </c>
      <c r="S40">
        <v>1589.25284015797</v>
      </c>
      <c r="T40">
        <v>1738.7795275087999</v>
      </c>
    </row>
    <row r="41" spans="1:20" x14ac:dyDescent="0.2">
      <c r="A41" t="s">
        <v>99</v>
      </c>
      <c r="B41" s="3" t="str">
        <f>HYPERLINK("http://www.ncbi.nlm.nih.gov/gene/4193","MDM2")</f>
        <v>MDM2</v>
      </c>
      <c r="C41">
        <v>4193</v>
      </c>
      <c r="D41" t="s">
        <v>100</v>
      </c>
      <c r="E41" s="3" t="str">
        <f>HYPERLINK("http://genome.ucsc.edu/cgi-bin/hgTracks?db=hg19&amp;lastVirtModeType=default&amp;lastVirtModeExtraState=&amp;virtModeType=default&amp;virtMode=0&amp;nonVirtPosition=&amp;position=chr12:68809016-68845544","chr12:68809016-68845544")</f>
        <v>chr12:68809016-68845544</v>
      </c>
      <c r="F41" t="s">
        <v>27</v>
      </c>
      <c r="G41">
        <v>-0.381667453531427</v>
      </c>
      <c r="H41">
        <v>4.1201207415904301E-2</v>
      </c>
      <c r="I41">
        <v>-9.2635016658297396</v>
      </c>
      <c r="J41" s="1">
        <v>1.9783535512476799E-20</v>
      </c>
      <c r="K41" s="1">
        <v>7.1397738425817601E-18</v>
      </c>
      <c r="L41" t="s">
        <v>23</v>
      </c>
      <c r="M41" t="s">
        <v>24</v>
      </c>
      <c r="N41">
        <v>8061.0675591737099</v>
      </c>
      <c r="O41">
        <v>9154.2119346328709</v>
      </c>
      <c r="P41">
        <v>6967.9231837145699</v>
      </c>
      <c r="Q41">
        <v>9203.0871423300996</v>
      </c>
      <c r="R41">
        <v>9105.3367269356295</v>
      </c>
      <c r="S41">
        <v>7039.6699362925201</v>
      </c>
      <c r="T41">
        <v>6896.1764311366096</v>
      </c>
    </row>
    <row r="42" spans="1:20" x14ac:dyDescent="0.2">
      <c r="A42" t="s">
        <v>101</v>
      </c>
      <c r="B42" s="3" t="str">
        <f>HYPERLINK("http://www.ncbi.nlm.nih.gov/gene/699","BUB1")</f>
        <v>BUB1</v>
      </c>
      <c r="C42">
        <v>699</v>
      </c>
      <c r="D42" t="s">
        <v>102</v>
      </c>
      <c r="E42" s="3" t="str">
        <f>HYPERLINK("http://genome.ucsc.edu/cgi-bin/hgTracks?db=hg19&amp;lastVirtModeType=default&amp;lastVirtModeExtraState=&amp;virtModeType=default&amp;virtMode=0&amp;nonVirtPosition=&amp;position=chr2:110637697-110678107","chr2:110637697-110678107")</f>
        <v>chr2:110637697-110678107</v>
      </c>
      <c r="F42" t="s">
        <v>22</v>
      </c>
      <c r="G42">
        <v>-0.76500961281895696</v>
      </c>
      <c r="H42">
        <v>8.2742444616488706E-2</v>
      </c>
      <c r="I42">
        <v>-9.2456733223773799</v>
      </c>
      <c r="J42" s="1">
        <v>2.33764215044243E-20</v>
      </c>
      <c r="K42" s="1">
        <v>8.2201088336326803E-18</v>
      </c>
      <c r="L42" t="s">
        <v>23</v>
      </c>
      <c r="M42" t="s">
        <v>24</v>
      </c>
      <c r="N42">
        <v>767.52867763093798</v>
      </c>
      <c r="O42">
        <v>997.052320203465</v>
      </c>
      <c r="P42">
        <v>538.00503505841402</v>
      </c>
      <c r="Q42">
        <v>983.73558181581996</v>
      </c>
      <c r="R42">
        <v>1010.36905859111</v>
      </c>
      <c r="S42">
        <v>545.53496002939596</v>
      </c>
      <c r="T42">
        <v>530.47511008743197</v>
      </c>
    </row>
    <row r="43" spans="1:20" x14ac:dyDescent="0.2">
      <c r="A43" t="s">
        <v>103</v>
      </c>
      <c r="B43" s="3" t="str">
        <f>HYPERLINK("http://www.ncbi.nlm.nih.gov/gene/147372","CCBE1")</f>
        <v>CCBE1</v>
      </c>
      <c r="C43">
        <v>147372</v>
      </c>
      <c r="D43" t="s">
        <v>104</v>
      </c>
      <c r="E43" s="3" t="str">
        <f>HYPERLINK("http://genome.ucsc.edu/cgi-bin/hgTracks?db=hg19&amp;lastVirtModeType=default&amp;lastVirtModeExtraState=&amp;virtModeType=default&amp;virtMode=0&amp;nonVirtPosition=&amp;position=chr18:59430938-59697412","chr18:59430938-59697412")</f>
        <v>chr18:59430938-59697412</v>
      </c>
      <c r="F43" t="s">
        <v>22</v>
      </c>
      <c r="G43">
        <v>-0.64295468301493597</v>
      </c>
      <c r="H43">
        <v>6.9591704291700293E-2</v>
      </c>
      <c r="I43">
        <v>-9.2389558433564094</v>
      </c>
      <c r="J43" s="1">
        <v>2.4891432287079301E-20</v>
      </c>
      <c r="K43" s="1">
        <v>8.5340275596251493E-18</v>
      </c>
      <c r="L43" t="s">
        <v>23</v>
      </c>
      <c r="M43" t="s">
        <v>24</v>
      </c>
      <c r="N43">
        <v>1366.2044932574699</v>
      </c>
      <c r="O43">
        <v>1696.6143484856</v>
      </c>
      <c r="P43">
        <v>1035.7946380293499</v>
      </c>
      <c r="Q43">
        <v>1651.0247526978801</v>
      </c>
      <c r="R43">
        <v>1742.2039442733101</v>
      </c>
      <c r="S43">
        <v>1003.27134602151</v>
      </c>
      <c r="T43">
        <v>1068.3179300371901</v>
      </c>
    </row>
    <row r="44" spans="1:20" x14ac:dyDescent="0.2">
      <c r="A44" t="s">
        <v>105</v>
      </c>
      <c r="B44" s="3" t="str">
        <f>HYPERLINK("http://www.ncbi.nlm.nih.gov/gene/2825","GPR1")</f>
        <v>GPR1</v>
      </c>
      <c r="C44">
        <v>2825</v>
      </c>
      <c r="D44" t="s">
        <v>106</v>
      </c>
      <c r="E44" s="3" t="str">
        <f>HYPERLINK("http://genome.ucsc.edu/cgi-bin/hgTracks?db=hg19&amp;lastVirtModeType=default&amp;lastVirtModeExtraState=&amp;virtModeType=default&amp;virtMode=0&amp;nonVirtPosition=&amp;position=chr2:206175315-206218047","chr2:206175315-206218047")</f>
        <v>chr2:206175315-206218047</v>
      </c>
      <c r="F44" t="s">
        <v>22</v>
      </c>
      <c r="G44">
        <v>-0.57943638959990895</v>
      </c>
      <c r="H44">
        <v>6.2865320068268393E-2</v>
      </c>
      <c r="I44">
        <v>-9.2171071263245299</v>
      </c>
      <c r="J44" s="1">
        <v>3.0522354757643797E-20</v>
      </c>
      <c r="K44" s="1">
        <v>1.0209355442593301E-17</v>
      </c>
      <c r="L44" t="s">
        <v>23</v>
      </c>
      <c r="M44" t="s">
        <v>24</v>
      </c>
      <c r="N44">
        <v>1900.5581807599101</v>
      </c>
      <c r="O44">
        <v>2308.64624168505</v>
      </c>
      <c r="P44">
        <v>1492.47011983477</v>
      </c>
      <c r="Q44">
        <v>2279.7900126836598</v>
      </c>
      <c r="R44">
        <v>2337.5024706864501</v>
      </c>
      <c r="S44">
        <v>1434.3722095528799</v>
      </c>
      <c r="T44">
        <v>1550.5680301166699</v>
      </c>
    </row>
    <row r="45" spans="1:20" x14ac:dyDescent="0.2">
      <c r="A45" t="s">
        <v>107</v>
      </c>
      <c r="B45" s="3" t="str">
        <f>HYPERLINK("http://www.ncbi.nlm.nih.gov/gene/10615","SPAG5")</f>
        <v>SPAG5</v>
      </c>
      <c r="C45">
        <v>10615</v>
      </c>
      <c r="D45" t="s">
        <v>108</v>
      </c>
      <c r="E45" s="3" t="str">
        <f>HYPERLINK("http://genome.ucsc.edu/cgi-bin/hgTracks?db=hg19&amp;lastVirtModeType=default&amp;lastVirtModeExtraState=&amp;virtModeType=default&amp;virtMode=0&amp;nonVirtPosition=&amp;position=chr17:28577564-28599038","chr17:28577564-28599038")</f>
        <v>chr17:28577564-28599038</v>
      </c>
      <c r="F45" t="s">
        <v>22</v>
      </c>
      <c r="G45">
        <v>-0.73114226156060003</v>
      </c>
      <c r="H45">
        <v>7.9417148243720898E-2</v>
      </c>
      <c r="I45">
        <v>-9.2063525035779392</v>
      </c>
      <c r="J45" s="1">
        <v>3.3739508385230797E-20</v>
      </c>
      <c r="K45" s="1">
        <v>1.10167528094061E-17</v>
      </c>
      <c r="L45" t="s">
        <v>23</v>
      </c>
      <c r="M45" t="s">
        <v>24</v>
      </c>
      <c r="N45">
        <v>911.272940461502</v>
      </c>
      <c r="O45">
        <v>1168.0161764373699</v>
      </c>
      <c r="P45">
        <v>654.52970448563599</v>
      </c>
      <c r="Q45">
        <v>1132.32780955863</v>
      </c>
      <c r="R45">
        <v>1203.7045433161099</v>
      </c>
      <c r="S45">
        <v>674.76656900561704</v>
      </c>
      <c r="T45">
        <v>634.29283996565403</v>
      </c>
    </row>
    <row r="46" spans="1:20" x14ac:dyDescent="0.2">
      <c r="A46" t="s">
        <v>109</v>
      </c>
      <c r="B46" s="3" t="str">
        <f>HYPERLINK("http://www.ncbi.nlm.nih.gov/gene/11227","GALNT5")</f>
        <v>GALNT5</v>
      </c>
      <c r="C46">
        <v>11227</v>
      </c>
      <c r="D46" t="s">
        <v>110</v>
      </c>
      <c r="E46" s="3" t="str">
        <f>HYPERLINK("http://genome.ucsc.edu/cgi-bin/hgTracks?db=hg19&amp;lastVirtModeType=default&amp;lastVirtModeExtraState=&amp;virtModeType=default&amp;virtMode=0&amp;nonVirtPosition=&amp;position=chr2:157257597-157318489","chr2:157257597-157318489")</f>
        <v>chr2:157257597-157318489</v>
      </c>
      <c r="F46" t="s">
        <v>27</v>
      </c>
      <c r="G46">
        <v>-0.49168824286228702</v>
      </c>
      <c r="H46">
        <v>5.3522651873022999E-2</v>
      </c>
      <c r="I46">
        <v>-9.1865448675593804</v>
      </c>
      <c r="J46" s="1">
        <v>4.0566195277880603E-20</v>
      </c>
      <c r="K46" s="1">
        <v>1.29377860939734E-17</v>
      </c>
      <c r="L46" t="s">
        <v>23</v>
      </c>
      <c r="M46" t="s">
        <v>24</v>
      </c>
      <c r="N46">
        <v>4589.8253683344801</v>
      </c>
      <c r="O46">
        <v>5408.9903282391297</v>
      </c>
      <c r="P46">
        <v>3770.6604084298301</v>
      </c>
      <c r="Q46">
        <v>5219.9899264464602</v>
      </c>
      <c r="R46">
        <v>5597.9907300318</v>
      </c>
      <c r="S46">
        <v>3607.6335421835402</v>
      </c>
      <c r="T46">
        <v>3933.6872746761201</v>
      </c>
    </row>
    <row r="47" spans="1:20" x14ac:dyDescent="0.2">
      <c r="A47" t="s">
        <v>111</v>
      </c>
      <c r="B47" s="3" t="str">
        <f>HYPERLINK("http://www.ncbi.nlm.nih.gov/gene/26586","CKAP2")</f>
        <v>CKAP2</v>
      </c>
      <c r="C47">
        <v>26586</v>
      </c>
      <c r="D47" t="s">
        <v>112</v>
      </c>
      <c r="E47" s="3" t="str">
        <f>HYPERLINK("http://genome.ucsc.edu/cgi-bin/hgTracks?db=hg19&amp;lastVirtModeType=default&amp;lastVirtModeExtraState=&amp;virtModeType=default&amp;virtMode=0&amp;nonVirtPosition=&amp;position=chr13:52455359-52476631","chr13:52455359-52476631")</f>
        <v>chr13:52455359-52476631</v>
      </c>
      <c r="F47" t="s">
        <v>27</v>
      </c>
      <c r="G47">
        <v>-0.55477455398974596</v>
      </c>
      <c r="H47">
        <v>6.04389055682188E-2</v>
      </c>
      <c r="I47">
        <v>-9.1790966228460107</v>
      </c>
      <c r="J47" s="1">
        <v>4.3472297947695499E-20</v>
      </c>
      <c r="K47" s="1">
        <v>1.3549524864879499E-17</v>
      </c>
      <c r="L47" t="s">
        <v>23</v>
      </c>
      <c r="M47" t="s">
        <v>24</v>
      </c>
      <c r="N47">
        <v>1910.3534588371399</v>
      </c>
      <c r="O47">
        <v>2300.21245851404</v>
      </c>
      <c r="P47">
        <v>1520.49445916024</v>
      </c>
      <c r="Q47">
        <v>2288.0451364471401</v>
      </c>
      <c r="R47">
        <v>2312.37978058094</v>
      </c>
      <c r="S47">
        <v>1500.4677652888099</v>
      </c>
      <c r="T47">
        <v>1540.5211530316799</v>
      </c>
    </row>
    <row r="48" spans="1:20" x14ac:dyDescent="0.2">
      <c r="A48" t="s">
        <v>113</v>
      </c>
      <c r="B48" s="3" t="str">
        <f>HYPERLINK("http://www.ncbi.nlm.nih.gov/gene/10397","NDRG1")</f>
        <v>NDRG1</v>
      </c>
      <c r="C48">
        <v>10397</v>
      </c>
      <c r="D48" t="s">
        <v>114</v>
      </c>
      <c r="E48" s="3" t="str">
        <f>HYPERLINK("http://genome.ucsc.edu/cgi-bin/hgTracks?db=hg19&amp;lastVirtModeType=default&amp;lastVirtModeExtraState=&amp;virtModeType=default&amp;virtMode=0&amp;nonVirtPosition=&amp;position=chr8:133237170-133297304","chr8:133237170-133297304")</f>
        <v>chr8:133237170-133297304</v>
      </c>
      <c r="F48" t="s">
        <v>22</v>
      </c>
      <c r="G48">
        <v>0.373868611657873</v>
      </c>
      <c r="H48">
        <v>4.0894327311001399E-2</v>
      </c>
      <c r="I48">
        <v>9.1423098566850491</v>
      </c>
      <c r="J48" s="1">
        <v>6.11323886385137E-20</v>
      </c>
      <c r="K48" s="1">
        <v>1.86304350619684E-17</v>
      </c>
      <c r="L48" t="s">
        <v>23</v>
      </c>
      <c r="M48" t="s">
        <v>24</v>
      </c>
      <c r="N48">
        <v>8684.4481156901093</v>
      </c>
      <c r="O48">
        <v>7529.0275675108396</v>
      </c>
      <c r="P48">
        <v>9839.8686638693798</v>
      </c>
      <c r="Q48">
        <v>7450.2491965491799</v>
      </c>
      <c r="R48">
        <v>7607.8059384724902</v>
      </c>
      <c r="S48">
        <v>9886.7113370969291</v>
      </c>
      <c r="T48">
        <v>9793.0259906418396</v>
      </c>
    </row>
    <row r="49" spans="1:20" x14ac:dyDescent="0.2">
      <c r="A49" t="s">
        <v>115</v>
      </c>
      <c r="B49" s="3" t="str">
        <f>HYPERLINK("http://www.ncbi.nlm.nih.gov/gene/55872","PBK")</f>
        <v>PBK</v>
      </c>
      <c r="C49">
        <v>55872</v>
      </c>
      <c r="D49" t="s">
        <v>116</v>
      </c>
      <c r="E49" s="3" t="str">
        <f>HYPERLINK("http://genome.ucsc.edu/cgi-bin/hgTracks?db=hg19&amp;lastVirtModeType=default&amp;lastVirtModeExtraState=&amp;virtModeType=default&amp;virtMode=0&amp;nonVirtPosition=&amp;position=chr8:27809620-27838095","chr8:27809620-27838095")</f>
        <v>chr8:27809620-27838095</v>
      </c>
      <c r="F49" t="s">
        <v>22</v>
      </c>
      <c r="G49">
        <v>-0.78946236620035803</v>
      </c>
      <c r="H49">
        <v>8.66266365129333E-2</v>
      </c>
      <c r="I49">
        <v>-9.1133904994971306</v>
      </c>
      <c r="J49" s="1">
        <v>7.9846798671819503E-20</v>
      </c>
      <c r="K49" s="1">
        <v>2.3804760804028999E-17</v>
      </c>
      <c r="L49" t="s">
        <v>23</v>
      </c>
      <c r="M49" t="s">
        <v>24</v>
      </c>
      <c r="N49">
        <v>674.14827636913299</v>
      </c>
      <c r="O49">
        <v>885.48161867491501</v>
      </c>
      <c r="P49">
        <v>462.81493406335198</v>
      </c>
      <c r="Q49">
        <v>870.91555704813095</v>
      </c>
      <c r="R49">
        <v>900.04768030169896</v>
      </c>
      <c r="S49">
        <v>473.52039930218803</v>
      </c>
      <c r="T49">
        <v>452.10946882451498</v>
      </c>
    </row>
    <row r="50" spans="1:20" x14ac:dyDescent="0.2">
      <c r="A50" t="s">
        <v>117</v>
      </c>
      <c r="B50" s="3" t="str">
        <f>HYPERLINK("http://www.ncbi.nlm.nih.gov/gene/5347","PLK1")</f>
        <v>PLK1</v>
      </c>
      <c r="C50">
        <v>5347</v>
      </c>
      <c r="D50" t="s">
        <v>118</v>
      </c>
      <c r="E50" s="3" t="str">
        <f>HYPERLINK("http://genome.ucsc.edu/cgi-bin/hgTracks?db=hg19&amp;lastVirtModeType=default&amp;lastVirtModeExtraState=&amp;virtModeType=default&amp;virtMode=0&amp;nonVirtPosition=&amp;position=chr16:23678771-23690367","chr16:23678771-23690367")</f>
        <v>chr16:23678771-23690367</v>
      </c>
      <c r="F50" t="s">
        <v>27</v>
      </c>
      <c r="G50">
        <v>-0.81114912626129199</v>
      </c>
      <c r="H50">
        <v>8.9357050638743302E-2</v>
      </c>
      <c r="I50">
        <v>-9.0776174959113405</v>
      </c>
      <c r="J50" s="1">
        <v>1.10977394505509E-19</v>
      </c>
      <c r="K50" s="1">
        <v>3.2381786984011703E-17</v>
      </c>
      <c r="L50" t="s">
        <v>23</v>
      </c>
      <c r="M50" t="s">
        <v>24</v>
      </c>
      <c r="N50">
        <v>655.241777566716</v>
      </c>
      <c r="O50">
        <v>870.38918658008095</v>
      </c>
      <c r="P50">
        <v>440.09436855335002</v>
      </c>
      <c r="Q50">
        <v>851.65360159998897</v>
      </c>
      <c r="R50">
        <v>889.12477156017303</v>
      </c>
      <c r="S50">
        <v>413.34384855753501</v>
      </c>
      <c r="T50">
        <v>466.844888549166</v>
      </c>
    </row>
    <row r="51" spans="1:20" x14ac:dyDescent="0.2">
      <c r="A51" t="s">
        <v>119</v>
      </c>
      <c r="B51" s="3" t="str">
        <f>HYPERLINK("http://www.ncbi.nlm.nih.gov/gene/3159","HMGA1")</f>
        <v>HMGA1</v>
      </c>
      <c r="C51">
        <v>3159</v>
      </c>
      <c r="D51" t="s">
        <v>120</v>
      </c>
      <c r="E51" s="3" t="str">
        <f>HYPERLINK("http://genome.ucsc.edu/cgi-bin/hgTracks?db=hg19&amp;lastVirtModeType=default&amp;lastVirtModeExtraState=&amp;virtModeType=default&amp;virtMode=0&amp;nonVirtPosition=&amp;position=chr6:34236799-34246231","chr6:34236799-34246231")</f>
        <v>chr6:34236799-34246231</v>
      </c>
      <c r="F51" t="s">
        <v>27</v>
      </c>
      <c r="G51">
        <v>0.37015920354415799</v>
      </c>
      <c r="H51">
        <v>4.0867989192368198E-2</v>
      </c>
      <c r="I51">
        <v>9.0574361709306306</v>
      </c>
      <c r="J51" s="1">
        <v>1.3355265121785899E-19</v>
      </c>
      <c r="K51" s="1">
        <v>3.8157105391702502E-17</v>
      </c>
      <c r="L51" t="s">
        <v>23</v>
      </c>
      <c r="M51" t="s">
        <v>24</v>
      </c>
      <c r="N51">
        <v>13595.898535907199</v>
      </c>
      <c r="O51">
        <v>11804.5131392206</v>
      </c>
      <c r="P51">
        <v>15387.2839325937</v>
      </c>
      <c r="Q51">
        <v>11708.5172045491</v>
      </c>
      <c r="R51">
        <v>11900.509073892001</v>
      </c>
      <c r="S51">
        <v>15696.214736035599</v>
      </c>
      <c r="T51">
        <v>15078.353129151799</v>
      </c>
    </row>
    <row r="52" spans="1:20" x14ac:dyDescent="0.2">
      <c r="A52" t="s">
        <v>121</v>
      </c>
      <c r="B52" s="3" t="str">
        <f>HYPERLINK("http://www.ncbi.nlm.nih.gov/gene/9787","DLGAP5")</f>
        <v>DLGAP5</v>
      </c>
      <c r="C52">
        <v>9787</v>
      </c>
      <c r="D52" t="s">
        <v>122</v>
      </c>
      <c r="E52" s="3" t="str">
        <f>HYPERLINK("http://genome.ucsc.edu/cgi-bin/hgTracks?db=hg19&amp;lastVirtModeType=default&amp;lastVirtModeExtraState=&amp;virtModeType=default&amp;virtMode=0&amp;nonVirtPosition=&amp;position=chr14:55148115-55191678","chr14:55148115-55191678")</f>
        <v>chr14:55148115-55191678</v>
      </c>
      <c r="F52" t="s">
        <v>22</v>
      </c>
      <c r="G52">
        <v>-0.90116706256099499</v>
      </c>
      <c r="H52">
        <v>9.9836389493385205E-2</v>
      </c>
      <c r="I52">
        <v>-9.0264388279055598</v>
      </c>
      <c r="J52" s="1">
        <v>1.77349233027246E-19</v>
      </c>
      <c r="K52" s="1">
        <v>4.9636069015013399E-17</v>
      </c>
      <c r="L52" t="s">
        <v>23</v>
      </c>
      <c r="M52" t="s">
        <v>24</v>
      </c>
      <c r="N52">
        <v>456.25605581831599</v>
      </c>
      <c r="O52">
        <v>633.21076443799802</v>
      </c>
      <c r="P52">
        <v>279.30134719863298</v>
      </c>
      <c r="Q52">
        <v>632.89282186751996</v>
      </c>
      <c r="R52">
        <v>633.528707008477</v>
      </c>
      <c r="S52">
        <v>254.517214624926</v>
      </c>
      <c r="T52">
        <v>304.08547977234099</v>
      </c>
    </row>
    <row r="53" spans="1:20" x14ac:dyDescent="0.2">
      <c r="A53" t="s">
        <v>123</v>
      </c>
      <c r="B53" s="3" t="str">
        <f>HYPERLINK("http://www.ncbi.nlm.nih.gov/gene/3015","H2AFZ")</f>
        <v>H2AFZ</v>
      </c>
      <c r="C53">
        <v>3015</v>
      </c>
      <c r="D53" t="s">
        <v>124</v>
      </c>
      <c r="E53" s="3" t="str">
        <f>HYPERLINK("http://genome.ucsc.edu/cgi-bin/hgTracks?db=hg19&amp;lastVirtModeType=default&amp;lastVirtModeExtraState=&amp;virtModeType=default&amp;virtMode=0&amp;nonVirtPosition=&amp;position=chr4:99948086-99950355","chr4:99948086-99950355")</f>
        <v>chr4:99948086-99950355</v>
      </c>
      <c r="F53" t="s">
        <v>22</v>
      </c>
      <c r="G53">
        <v>-0.46504117194626998</v>
      </c>
      <c r="H53">
        <v>5.1762312632725099E-2</v>
      </c>
      <c r="I53">
        <v>-8.9841652795911298</v>
      </c>
      <c r="J53" s="1">
        <v>2.6070565513117902E-19</v>
      </c>
      <c r="K53" s="1">
        <v>7.1506347089379897E-17</v>
      </c>
      <c r="L53" t="s">
        <v>23</v>
      </c>
      <c r="M53" t="s">
        <v>24</v>
      </c>
      <c r="N53">
        <v>3163.0024794764299</v>
      </c>
      <c r="O53">
        <v>3695.4918699762402</v>
      </c>
      <c r="P53">
        <v>2630.5130889766101</v>
      </c>
      <c r="Q53">
        <v>3760.20887426942</v>
      </c>
      <c r="R53">
        <v>3630.7748656830699</v>
      </c>
      <c r="S53">
        <v>2626.06521446338</v>
      </c>
      <c r="T53">
        <v>2634.9609634898402</v>
      </c>
    </row>
    <row r="54" spans="1:20" x14ac:dyDescent="0.2">
      <c r="A54" t="s">
        <v>125</v>
      </c>
      <c r="B54" s="3" t="str">
        <f>HYPERLINK("http://www.ncbi.nlm.nih.gov/gene/56172","ANKH")</f>
        <v>ANKH</v>
      </c>
      <c r="C54">
        <v>56172</v>
      </c>
      <c r="D54" t="s">
        <v>126</v>
      </c>
      <c r="E54" s="3" t="str">
        <f>HYPERLINK("http://genome.ucsc.edu/cgi-bin/hgTracks?db=hg19&amp;lastVirtModeType=default&amp;lastVirtModeExtraState=&amp;virtModeType=default&amp;virtMode=0&amp;nonVirtPosition=&amp;position=chr5:14704799-14871778","chr5:14704799-14871778")</f>
        <v>chr5:14704799-14871778</v>
      </c>
      <c r="F54" t="s">
        <v>22</v>
      </c>
      <c r="G54">
        <v>0.38349532213652698</v>
      </c>
      <c r="H54">
        <v>4.2846960019176997E-2</v>
      </c>
      <c r="I54">
        <v>8.9503507825266002</v>
      </c>
      <c r="J54" s="1">
        <v>3.5435448544006398E-19</v>
      </c>
      <c r="K54" s="1">
        <v>9.5286615947549801E-17</v>
      </c>
      <c r="L54" t="s">
        <v>23</v>
      </c>
      <c r="M54" t="s">
        <v>24</v>
      </c>
      <c r="N54">
        <v>8871.12267923734</v>
      </c>
      <c r="O54">
        <v>7657.8797201830303</v>
      </c>
      <c r="P54">
        <v>10084.3656382916</v>
      </c>
      <c r="Q54">
        <v>7762.5680456011996</v>
      </c>
      <c r="R54">
        <v>7553.19139476486</v>
      </c>
      <c r="S54">
        <v>10302.028187318199</v>
      </c>
      <c r="T54">
        <v>9866.7030892650891</v>
      </c>
    </row>
    <row r="55" spans="1:20" x14ac:dyDescent="0.2">
      <c r="A55" t="s">
        <v>127</v>
      </c>
      <c r="B55" s="3" t="str">
        <f>HYPERLINK("http://www.ncbi.nlm.nih.gov/gene/8877","SPHK1")</f>
        <v>SPHK1</v>
      </c>
      <c r="C55">
        <v>8877</v>
      </c>
      <c r="D55" t="s">
        <v>128</v>
      </c>
      <c r="E55" s="3" t="str">
        <f>HYPERLINK("http://genome.ucsc.edu/cgi-bin/hgTracks?db=hg19&amp;lastVirtModeType=default&amp;lastVirtModeExtraState=&amp;virtModeType=default&amp;virtMode=0&amp;nonVirtPosition=&amp;position=chr17:76384608-76387860","chr17:76384608-76387860")</f>
        <v>chr17:76384608-76387860</v>
      </c>
      <c r="F55" t="s">
        <v>27</v>
      </c>
      <c r="G55">
        <v>0.444338457126357</v>
      </c>
      <c r="H55">
        <v>5.0137155402042798E-2</v>
      </c>
      <c r="I55">
        <v>8.8624584614597506</v>
      </c>
      <c r="J55" s="1">
        <v>7.8268978416098198E-19</v>
      </c>
      <c r="K55" s="1">
        <v>2.0641937884583999E-16</v>
      </c>
      <c r="L55" t="s">
        <v>23</v>
      </c>
      <c r="M55" t="s">
        <v>24</v>
      </c>
      <c r="N55">
        <v>4532.6065148218104</v>
      </c>
      <c r="O55">
        <v>3809.4200827466002</v>
      </c>
      <c r="P55">
        <v>5255.7929468970196</v>
      </c>
      <c r="Q55">
        <v>3954.2042827114201</v>
      </c>
      <c r="R55">
        <v>3664.6358827817899</v>
      </c>
      <c r="S55">
        <v>5184.0618715270803</v>
      </c>
      <c r="T55">
        <v>5327.5240222669599</v>
      </c>
    </row>
    <row r="56" spans="1:20" x14ac:dyDescent="0.2">
      <c r="A56" t="s">
        <v>129</v>
      </c>
      <c r="B56" s="3" t="str">
        <f>HYPERLINK("http://www.ncbi.nlm.nih.gov/gene/55454","CSGALNACT2")</f>
        <v>CSGALNACT2</v>
      </c>
      <c r="C56">
        <v>55454</v>
      </c>
      <c r="D56" t="s">
        <v>130</v>
      </c>
      <c r="E56" s="3" t="str">
        <f>HYPERLINK("http://genome.ucsc.edu/cgi-bin/hgTracks?db=hg19&amp;lastVirtModeType=default&amp;lastVirtModeExtraState=&amp;virtModeType=default&amp;virtMode=0&amp;nonVirtPosition=&amp;position=chr10:43138444-43185306","chr10:43138444-43185306")</f>
        <v>chr10:43138444-43185306</v>
      </c>
      <c r="F56" t="s">
        <v>27</v>
      </c>
      <c r="G56">
        <v>0.57222089267181198</v>
      </c>
      <c r="H56">
        <v>6.46050516748881E-2</v>
      </c>
      <c r="I56">
        <v>8.8572159271909392</v>
      </c>
      <c r="J56" s="1">
        <v>8.2037532663942904E-19</v>
      </c>
      <c r="K56" s="1">
        <v>2.1227598546288899E-16</v>
      </c>
      <c r="L56" t="s">
        <v>23</v>
      </c>
      <c r="M56" t="s">
        <v>24</v>
      </c>
      <c r="N56">
        <v>3120.6968042172698</v>
      </c>
      <c r="O56">
        <v>2453.9889537619401</v>
      </c>
      <c r="P56">
        <v>3787.4046546725899</v>
      </c>
      <c r="Q56">
        <v>2333.4483171463398</v>
      </c>
      <c r="R56">
        <v>2574.52959037755</v>
      </c>
      <c r="S56">
        <v>4043.66690987431</v>
      </c>
      <c r="T56">
        <v>3531.1423994708798</v>
      </c>
    </row>
    <row r="57" spans="1:20" x14ac:dyDescent="0.2">
      <c r="A57" t="s">
        <v>131</v>
      </c>
      <c r="B57" s="3" t="str">
        <f>HYPERLINK("http://www.ncbi.nlm.nih.gov/gene/23670","TMEM2")</f>
        <v>TMEM2</v>
      </c>
      <c r="C57">
        <v>23670</v>
      </c>
      <c r="D57" t="s">
        <v>132</v>
      </c>
      <c r="E57" s="3" t="str">
        <f>HYPERLINK("http://genome.ucsc.edu/cgi-bin/hgTracks?db=hg19&amp;lastVirtModeType=default&amp;lastVirtModeExtraState=&amp;virtModeType=default&amp;virtMode=0&amp;nonVirtPosition=&amp;position=chr9:71683365-71768884","chr9:71683365-71768884")</f>
        <v>chr9:71683365-71768884</v>
      </c>
      <c r="F57" t="s">
        <v>22</v>
      </c>
      <c r="G57">
        <v>-0.50010435109578499</v>
      </c>
      <c r="H57">
        <v>5.7422485328752902E-2</v>
      </c>
      <c r="I57">
        <v>-8.7092076950798596</v>
      </c>
      <c r="J57" s="1">
        <v>3.0600613150730999E-18</v>
      </c>
      <c r="K57" s="1">
        <v>7.7714223842430599E-16</v>
      </c>
      <c r="L57" t="s">
        <v>23</v>
      </c>
      <c r="M57" t="s">
        <v>24</v>
      </c>
      <c r="N57">
        <v>2321.1087100391101</v>
      </c>
      <c r="O57">
        <v>2746.86275065779</v>
      </c>
      <c r="P57">
        <v>1895.3546694204299</v>
      </c>
      <c r="Q57">
        <v>2764.09060680837</v>
      </c>
      <c r="R57">
        <v>2729.63489450721</v>
      </c>
      <c r="S57">
        <v>1851.6620614379301</v>
      </c>
      <c r="T57">
        <v>1939.0472774029199</v>
      </c>
    </row>
    <row r="58" spans="1:20" x14ac:dyDescent="0.2">
      <c r="A58" t="s">
        <v>133</v>
      </c>
      <c r="B58" s="3" t="str">
        <f>HYPERLINK("http://www.ncbi.nlm.nih.gov/gene/11113","CIT")</f>
        <v>CIT</v>
      </c>
      <c r="C58">
        <v>11113</v>
      </c>
      <c r="D58" t="s">
        <v>134</v>
      </c>
      <c r="E58" s="3" t="str">
        <f>HYPERLINK("http://genome.ucsc.edu/cgi-bin/hgTracks?db=hg19&amp;lastVirtModeType=default&amp;lastVirtModeExtraState=&amp;virtModeType=default&amp;virtMode=0&amp;nonVirtPosition=&amp;position=chr12:119685789-119877291","chr12:119685789-119877291")</f>
        <v>chr12:119685789-119877291</v>
      </c>
      <c r="F58" t="s">
        <v>22</v>
      </c>
      <c r="G58">
        <v>-0.62696495139949004</v>
      </c>
      <c r="H58">
        <v>7.2529063112298398E-2</v>
      </c>
      <c r="I58">
        <v>-8.6443271772137091</v>
      </c>
      <c r="J58" s="1">
        <v>5.4123265344466702E-18</v>
      </c>
      <c r="K58" s="1">
        <v>1.34953901988003E-15</v>
      </c>
      <c r="L58" t="s">
        <v>23</v>
      </c>
      <c r="M58" t="s">
        <v>24</v>
      </c>
      <c r="N58">
        <v>1116.53046553475</v>
      </c>
      <c r="O58">
        <v>1382.1407730220701</v>
      </c>
      <c r="P58">
        <v>850.92015804743005</v>
      </c>
      <c r="Q58">
        <v>1392.36420810854</v>
      </c>
      <c r="R58">
        <v>1371.9173379356</v>
      </c>
      <c r="S58">
        <v>859.24222456709504</v>
      </c>
      <c r="T58">
        <v>842.59809152776404</v>
      </c>
    </row>
    <row r="59" spans="1:20" x14ac:dyDescent="0.2">
      <c r="A59" t="s">
        <v>133</v>
      </c>
      <c r="B59" s="3" t="str">
        <f>HYPERLINK("http://www.ncbi.nlm.nih.gov/gene/100302274","MIR1178")</f>
        <v>MIR1178</v>
      </c>
      <c r="C59">
        <v>100302274</v>
      </c>
      <c r="D59" t="s">
        <v>135</v>
      </c>
      <c r="E59" s="3" t="str">
        <f>HYPERLINK("http://genome.ucsc.edu/cgi-bin/hgTracks?db=hg19&amp;lastVirtModeType=default&amp;lastVirtModeExtraState=&amp;virtModeType=default&amp;virtMode=0&amp;nonVirtPosition=&amp;position=chr12:119713633-119713724","chr12:119713633-119713724")</f>
        <v>chr12:119713633-119713724</v>
      </c>
      <c r="F59" t="s">
        <v>22</v>
      </c>
      <c r="G59">
        <v>-0.62696495139949004</v>
      </c>
      <c r="H59">
        <v>7.2529063112298398E-2</v>
      </c>
      <c r="I59">
        <v>-8.6443271772137091</v>
      </c>
      <c r="J59" s="1">
        <v>5.4123265344466702E-18</v>
      </c>
      <c r="K59" s="1">
        <v>1.34953901988003E-15</v>
      </c>
      <c r="L59" t="s">
        <v>23</v>
      </c>
      <c r="M59" t="s">
        <v>24</v>
      </c>
      <c r="N59">
        <v>1116.53046553475</v>
      </c>
      <c r="O59">
        <v>1382.1407730220701</v>
      </c>
      <c r="P59">
        <v>850.92015804743005</v>
      </c>
      <c r="Q59">
        <v>1392.36420810854</v>
      </c>
      <c r="R59">
        <v>1371.9173379356</v>
      </c>
      <c r="S59">
        <v>859.24222456709504</v>
      </c>
      <c r="T59">
        <v>842.59809152776404</v>
      </c>
    </row>
    <row r="60" spans="1:20" x14ac:dyDescent="0.2">
      <c r="A60" t="s">
        <v>136</v>
      </c>
      <c r="B60" s="3" t="str">
        <f>HYPERLINK("http://www.ncbi.nlm.nih.gov/gene/11065","UBE2C")</f>
        <v>UBE2C</v>
      </c>
      <c r="C60">
        <v>11065</v>
      </c>
      <c r="D60" t="s">
        <v>137</v>
      </c>
      <c r="E60" s="3" t="str">
        <f>HYPERLINK("http://genome.ucsc.edu/cgi-bin/hgTracks?db=hg19&amp;lastVirtModeType=default&amp;lastVirtModeExtraState=&amp;virtModeType=default&amp;virtMode=0&amp;nonVirtPosition=&amp;position=chr20:45812575-45816957","chr20:45812575-45816957")</f>
        <v>chr20:45812575-45816957</v>
      </c>
      <c r="F60" t="s">
        <v>27</v>
      </c>
      <c r="G60">
        <v>-0.798638329313759</v>
      </c>
      <c r="H60">
        <v>9.2483509250851401E-2</v>
      </c>
      <c r="I60">
        <v>-8.6354674015184791</v>
      </c>
      <c r="J60" s="1">
        <v>5.8487399728958703E-18</v>
      </c>
      <c r="K60" s="1">
        <v>1.43231464264811E-15</v>
      </c>
      <c r="L60" t="s">
        <v>23</v>
      </c>
      <c r="M60" t="s">
        <v>24</v>
      </c>
      <c r="N60">
        <v>567.31112151056095</v>
      </c>
      <c r="O60">
        <v>753.86121464628297</v>
      </c>
      <c r="P60">
        <v>380.76102837483899</v>
      </c>
      <c r="Q60">
        <v>727.82674514764801</v>
      </c>
      <c r="R60">
        <v>779.89568414491805</v>
      </c>
      <c r="S60">
        <v>365.00530779543601</v>
      </c>
      <c r="T60">
        <v>396.51674895424202</v>
      </c>
    </row>
    <row r="61" spans="1:20" x14ac:dyDescent="0.2">
      <c r="A61" t="s">
        <v>138</v>
      </c>
      <c r="B61" s="3" t="str">
        <f>HYPERLINK("http://www.ncbi.nlm.nih.gov/gene/991","CDC20")</f>
        <v>CDC20</v>
      </c>
      <c r="C61">
        <v>991</v>
      </c>
      <c r="D61" t="s">
        <v>139</v>
      </c>
      <c r="E61" s="3" t="str">
        <f>HYPERLINK("http://genome.ucsc.edu/cgi-bin/hgTracks?db=hg19&amp;lastVirtModeType=default&amp;lastVirtModeExtraState=&amp;virtModeType=default&amp;virtMode=0&amp;nonVirtPosition=&amp;position=chr1:43358954-43363202","chr1:43358954-43363202")</f>
        <v>chr1:43358954-43363202</v>
      </c>
      <c r="F61" t="s">
        <v>27</v>
      </c>
      <c r="G61">
        <v>-0.72926972373586296</v>
      </c>
      <c r="H61">
        <v>8.4683346211425897E-2</v>
      </c>
      <c r="I61">
        <v>-8.6117254024790295</v>
      </c>
      <c r="J61" s="1">
        <v>7.1969066857756998E-18</v>
      </c>
      <c r="K61" s="1">
        <v>1.73155049629347E-15</v>
      </c>
      <c r="L61" t="s">
        <v>23</v>
      </c>
      <c r="M61" t="s">
        <v>24</v>
      </c>
      <c r="N61">
        <v>749.62888475480702</v>
      </c>
      <c r="O61">
        <v>965.30785903843503</v>
      </c>
      <c r="P61">
        <v>533.94991047117901</v>
      </c>
      <c r="Q61">
        <v>930.07727735313904</v>
      </c>
      <c r="R61">
        <v>1000.53844072373</v>
      </c>
      <c r="S61">
        <v>549.480963356914</v>
      </c>
      <c r="T61">
        <v>518.41885758544402</v>
      </c>
    </row>
    <row r="62" spans="1:20" x14ac:dyDescent="0.2">
      <c r="A62" t="s">
        <v>140</v>
      </c>
      <c r="B62" s="3" t="str">
        <f>HYPERLINK("http://www.ncbi.nlm.nih.gov/gene/6520","SLC3A2")</f>
        <v>SLC3A2</v>
      </c>
      <c r="C62">
        <v>6520</v>
      </c>
      <c r="D62" t="s">
        <v>141</v>
      </c>
      <c r="E62" s="3" t="str">
        <f>HYPERLINK("http://genome.ucsc.edu/cgi-bin/hgTracks?db=hg19&amp;lastVirtModeType=default&amp;lastVirtModeExtraState=&amp;virtModeType=default&amp;virtMode=0&amp;nonVirtPosition=&amp;position=chr11:62856011-62888883","chr11:62856011-62888883")</f>
        <v>chr11:62856011-62888883</v>
      </c>
      <c r="F62" t="s">
        <v>27</v>
      </c>
      <c r="G62">
        <v>0.35440548755868501</v>
      </c>
      <c r="H62">
        <v>4.1246974923122397E-2</v>
      </c>
      <c r="I62">
        <v>8.5922782996629099</v>
      </c>
      <c r="J62" s="1">
        <v>8.5261570881711694E-18</v>
      </c>
      <c r="K62" s="1">
        <v>2.0159951432272301E-15</v>
      </c>
      <c r="L62" t="s">
        <v>23</v>
      </c>
      <c r="M62" t="s">
        <v>24</v>
      </c>
      <c r="N62">
        <v>8566.4539838993896</v>
      </c>
      <c r="O62">
        <v>7484.4223010780997</v>
      </c>
      <c r="P62">
        <v>9648.4856667206805</v>
      </c>
      <c r="Q62">
        <v>7425.4838252587097</v>
      </c>
      <c r="R62">
        <v>7543.3607768974898</v>
      </c>
      <c r="S62">
        <v>9758.4662289525895</v>
      </c>
      <c r="T62">
        <v>9538.5051044887805</v>
      </c>
    </row>
    <row r="63" spans="1:20" x14ac:dyDescent="0.2">
      <c r="A63" t="s">
        <v>142</v>
      </c>
      <c r="B63" s="3" t="str">
        <f>HYPERLINK("http://www.ncbi.nlm.nih.gov/gene/64151","NCAPG")</f>
        <v>NCAPG</v>
      </c>
      <c r="C63">
        <v>64151</v>
      </c>
      <c r="D63" t="s">
        <v>143</v>
      </c>
      <c r="E63" s="3" t="str">
        <f>HYPERLINK("http://genome.ucsc.edu/cgi-bin/hgTracks?db=hg19&amp;lastVirtModeType=default&amp;lastVirtModeExtraState=&amp;virtModeType=default&amp;virtMode=0&amp;nonVirtPosition=&amp;position=chr4:17810812-17844864","chr4:17810812-17844864")</f>
        <v>chr4:17810812-17844864</v>
      </c>
      <c r="F63" t="s">
        <v>27</v>
      </c>
      <c r="G63">
        <v>-0.63424322213270101</v>
      </c>
      <c r="H63">
        <v>7.4307691023140193E-2</v>
      </c>
      <c r="I63">
        <v>-8.5353644205576398</v>
      </c>
      <c r="J63" s="1">
        <v>1.3971435468718901E-17</v>
      </c>
      <c r="K63" s="1">
        <v>3.24752993250865E-15</v>
      </c>
      <c r="L63" t="s">
        <v>23</v>
      </c>
      <c r="M63" t="s">
        <v>24</v>
      </c>
      <c r="N63">
        <v>1049.93886425711</v>
      </c>
      <c r="O63">
        <v>1304.6199152142799</v>
      </c>
      <c r="P63">
        <v>795.25781329992901</v>
      </c>
      <c r="Q63">
        <v>1329.0749259217901</v>
      </c>
      <c r="R63">
        <v>1280.16490450678</v>
      </c>
      <c r="S63">
        <v>794.13316966304399</v>
      </c>
      <c r="T63">
        <v>796.38245693681301</v>
      </c>
    </row>
    <row r="64" spans="1:20" x14ac:dyDescent="0.2">
      <c r="A64" t="s">
        <v>144</v>
      </c>
      <c r="B64" s="3" t="str">
        <f>HYPERLINK("http://www.ncbi.nlm.nih.gov/gene/586","BCAT1")</f>
        <v>BCAT1</v>
      </c>
      <c r="C64">
        <v>586</v>
      </c>
      <c r="D64" t="s">
        <v>145</v>
      </c>
      <c r="E64" s="3" t="str">
        <f>HYPERLINK("http://genome.ucsc.edu/cgi-bin/hgTracks?db=hg19&amp;lastVirtModeType=default&amp;lastVirtModeExtraState=&amp;virtModeType=default&amp;virtMode=0&amp;nonVirtPosition=&amp;position=chr12:24810023-24902388","chr12:24810023-24902388")</f>
        <v>chr12:24810023-24902388</v>
      </c>
      <c r="F64" t="s">
        <v>22</v>
      </c>
      <c r="G64">
        <v>0.374802070805905</v>
      </c>
      <c r="H64">
        <v>4.3925610603073803E-2</v>
      </c>
      <c r="I64">
        <v>8.5326547692811694</v>
      </c>
      <c r="J64" s="1">
        <v>1.4302701694241999E-17</v>
      </c>
      <c r="K64" s="1">
        <v>3.2691208505805799E-15</v>
      </c>
      <c r="L64" t="s">
        <v>23</v>
      </c>
      <c r="M64" t="s">
        <v>24</v>
      </c>
      <c r="N64">
        <v>6564.5148524146198</v>
      </c>
      <c r="O64">
        <v>5684.4561432698902</v>
      </c>
      <c r="P64">
        <v>7444.5735615593503</v>
      </c>
      <c r="Q64">
        <v>5561.2017086706901</v>
      </c>
      <c r="R64">
        <v>5807.7105778690902</v>
      </c>
      <c r="S64">
        <v>7392.8372341054101</v>
      </c>
      <c r="T64">
        <v>7496.3098890132997</v>
      </c>
    </row>
    <row r="65" spans="1:20" x14ac:dyDescent="0.2">
      <c r="A65" t="s">
        <v>146</v>
      </c>
      <c r="B65" s="3" t="str">
        <f>HYPERLINK("http://www.ncbi.nlm.nih.gov/gene/10512","SEMA3C")</f>
        <v>SEMA3C</v>
      </c>
      <c r="C65">
        <v>10512</v>
      </c>
      <c r="D65" t="s">
        <v>147</v>
      </c>
      <c r="E65" s="3" t="str">
        <f>HYPERLINK("http://genome.ucsc.edu/cgi-bin/hgTracks?db=hg19&amp;lastVirtModeType=default&amp;lastVirtModeExtraState=&amp;virtModeType=default&amp;virtMode=0&amp;nonVirtPosition=&amp;position=chr7:80742537-80919351","chr7:80742537-80919351")</f>
        <v>chr7:80742537-80919351</v>
      </c>
      <c r="F65" t="s">
        <v>22</v>
      </c>
      <c r="G65">
        <v>-0.37282883850304799</v>
      </c>
      <c r="H65">
        <v>4.3843581191515699E-2</v>
      </c>
      <c r="I65">
        <v>-8.5036128065011898</v>
      </c>
      <c r="J65" s="1">
        <v>1.83779783242013E-17</v>
      </c>
      <c r="K65" s="1">
        <v>4.1317310612802798E-15</v>
      </c>
      <c r="L65" t="s">
        <v>23</v>
      </c>
      <c r="M65" t="s">
        <v>24</v>
      </c>
      <c r="N65">
        <v>8257.3901826011206</v>
      </c>
      <c r="O65">
        <v>9359.7457156815708</v>
      </c>
      <c r="P65">
        <v>7155.0346495206704</v>
      </c>
      <c r="Q65">
        <v>9358.5586398758096</v>
      </c>
      <c r="R65">
        <v>9360.9327914873302</v>
      </c>
      <c r="S65">
        <v>6941.0198531045698</v>
      </c>
      <c r="T65">
        <v>7369.0494459367701</v>
      </c>
    </row>
    <row r="66" spans="1:20" x14ac:dyDescent="0.2">
      <c r="A66" t="s">
        <v>148</v>
      </c>
      <c r="B66" s="3" t="str">
        <f>HYPERLINK("http://www.ncbi.nlm.nih.gov/gene/10769","PLK2")</f>
        <v>PLK2</v>
      </c>
      <c r="C66">
        <v>10769</v>
      </c>
      <c r="D66" t="s">
        <v>149</v>
      </c>
      <c r="E66" s="3" t="str">
        <f>HYPERLINK("http://genome.ucsc.edu/cgi-bin/hgTracks?db=hg19&amp;lastVirtModeType=default&amp;lastVirtModeExtraState=&amp;virtModeType=default&amp;virtMode=0&amp;nonVirtPosition=&amp;position=chr5:58453982-58460139","chr5:58453982-58460139")</f>
        <v>chr5:58453982-58460139</v>
      </c>
      <c r="F66" t="s">
        <v>22</v>
      </c>
      <c r="G66">
        <v>-0.55764079398521105</v>
      </c>
      <c r="H66">
        <v>6.5673443736619694E-2</v>
      </c>
      <c r="I66">
        <v>-8.4911154685538293</v>
      </c>
      <c r="J66" s="1">
        <v>2.0466309754289499E-17</v>
      </c>
      <c r="K66" s="1">
        <v>4.52701567694075E-15</v>
      </c>
      <c r="L66" t="s">
        <v>23</v>
      </c>
      <c r="M66" t="s">
        <v>24</v>
      </c>
      <c r="N66">
        <v>1529.5081689420099</v>
      </c>
      <c r="O66">
        <v>1848.3683779574401</v>
      </c>
      <c r="P66">
        <v>1210.6479599265799</v>
      </c>
      <c r="Q66">
        <v>1846.3960151004601</v>
      </c>
      <c r="R66">
        <v>1850.3407408144101</v>
      </c>
      <c r="S66">
        <v>1180.84149575983</v>
      </c>
      <c r="T66">
        <v>1240.4544240933401</v>
      </c>
    </row>
    <row r="67" spans="1:20" x14ac:dyDescent="0.2">
      <c r="A67" t="s">
        <v>150</v>
      </c>
      <c r="B67" s="3" t="str">
        <f>HYPERLINK("http://www.ncbi.nlm.nih.gov/gene/3832","KIF11")</f>
        <v>KIF11</v>
      </c>
      <c r="C67">
        <v>3832</v>
      </c>
      <c r="D67" t="s">
        <v>151</v>
      </c>
      <c r="E67" s="3" t="str">
        <f>HYPERLINK("http://genome.ucsc.edu/cgi-bin/hgTracks?db=hg19&amp;lastVirtModeType=default&amp;lastVirtModeExtraState=&amp;virtModeType=default&amp;virtMode=0&amp;nonVirtPosition=&amp;position=chr10:92593067-92655395","chr10:92593067-92655395")</f>
        <v>chr10:92593067-92655395</v>
      </c>
      <c r="F67" t="s">
        <v>27</v>
      </c>
      <c r="G67">
        <v>-0.62422911422849503</v>
      </c>
      <c r="H67">
        <v>7.3658640311863005E-2</v>
      </c>
      <c r="I67">
        <v>-8.4746217359643605</v>
      </c>
      <c r="J67" s="1">
        <v>2.35844596270657E-17</v>
      </c>
      <c r="K67" s="1">
        <v>5.1339250686599796E-15</v>
      </c>
      <c r="L67" t="s">
        <v>23</v>
      </c>
      <c r="M67" t="s">
        <v>24</v>
      </c>
      <c r="N67">
        <v>1169.24468290819</v>
      </c>
      <c r="O67">
        <v>1446.94833701937</v>
      </c>
      <c r="P67">
        <v>891.54102879699997</v>
      </c>
      <c r="Q67">
        <v>1379.9815224633101</v>
      </c>
      <c r="R67">
        <v>1513.9151515754299</v>
      </c>
      <c r="S67">
        <v>884.89124619596305</v>
      </c>
      <c r="T67">
        <v>898.190811398037</v>
      </c>
    </row>
    <row r="68" spans="1:20" x14ac:dyDescent="0.2">
      <c r="A68" t="s">
        <v>152</v>
      </c>
      <c r="B68" s="3" t="str">
        <f>HYPERLINK("http://www.ncbi.nlm.nih.gov/gene/128239","IQGAP3")</f>
        <v>IQGAP3</v>
      </c>
      <c r="C68">
        <v>128239</v>
      </c>
      <c r="D68" t="s">
        <v>153</v>
      </c>
      <c r="E68" s="3" t="str">
        <f>HYPERLINK("http://genome.ucsc.edu/cgi-bin/hgTracks?db=hg19&amp;lastVirtModeType=default&amp;lastVirtModeExtraState=&amp;virtModeType=default&amp;virtMode=0&amp;nonVirtPosition=&amp;position=chr1:156525404-156572604","chr1:156525404-156572604")</f>
        <v>chr1:156525404-156572604</v>
      </c>
      <c r="F68" t="s">
        <v>22</v>
      </c>
      <c r="G68">
        <v>-0.76386407985342997</v>
      </c>
      <c r="H68">
        <v>9.0305342835426405E-2</v>
      </c>
      <c r="I68">
        <v>-8.4586809137694701</v>
      </c>
      <c r="J68" s="1">
        <v>2.7041885146602799E-17</v>
      </c>
      <c r="K68" s="1">
        <v>5.7945689515704698E-15</v>
      </c>
      <c r="L68" t="s">
        <v>23</v>
      </c>
      <c r="M68" t="s">
        <v>24</v>
      </c>
      <c r="N68">
        <v>636.63815224377697</v>
      </c>
      <c r="O68">
        <v>833.54567346658996</v>
      </c>
      <c r="P68">
        <v>439.73063102096302</v>
      </c>
      <c r="Q68">
        <v>785.61261149207405</v>
      </c>
      <c r="R68">
        <v>881.47873544110496</v>
      </c>
      <c r="S68">
        <v>452.80388183271702</v>
      </c>
      <c r="T68">
        <v>426.65738020920901</v>
      </c>
    </row>
    <row r="69" spans="1:20" x14ac:dyDescent="0.2">
      <c r="A69" t="s">
        <v>154</v>
      </c>
      <c r="B69" s="3" t="str">
        <f>HYPERLINK("http://www.ncbi.nlm.nih.gov/gene/55357","TBC1D2")</f>
        <v>TBC1D2</v>
      </c>
      <c r="C69">
        <v>55357</v>
      </c>
      <c r="D69" t="s">
        <v>155</v>
      </c>
      <c r="E69" s="3" t="str">
        <f>HYPERLINK("http://genome.ucsc.edu/cgi-bin/hgTracks?db=hg19&amp;lastVirtModeType=default&amp;lastVirtModeExtraState=&amp;virtModeType=default&amp;virtMode=0&amp;nonVirtPosition=&amp;position=chr9:98198997-98255721","chr9:98198997-98255721")</f>
        <v>chr9:98198997-98255721</v>
      </c>
      <c r="F69" t="s">
        <v>22</v>
      </c>
      <c r="G69">
        <v>-0.48008950966435598</v>
      </c>
      <c r="H69">
        <v>5.6807156871276403E-2</v>
      </c>
      <c r="I69">
        <v>-8.4512152359996993</v>
      </c>
      <c r="J69" s="1">
        <v>2.88286229039151E-17</v>
      </c>
      <c r="K69" s="1">
        <v>6.0067635417764201E-15</v>
      </c>
      <c r="L69" t="s">
        <v>23</v>
      </c>
      <c r="M69" t="s">
        <v>24</v>
      </c>
      <c r="N69">
        <v>4066.8565146536798</v>
      </c>
      <c r="O69">
        <v>4781.7083242731096</v>
      </c>
      <c r="P69">
        <v>3352.00470503426</v>
      </c>
      <c r="Q69">
        <v>4602.2314981453401</v>
      </c>
      <c r="R69">
        <v>4961.18515040087</v>
      </c>
      <c r="S69">
        <v>3175.5461778202998</v>
      </c>
      <c r="T69">
        <v>3528.4632322482198</v>
      </c>
    </row>
    <row r="70" spans="1:20" x14ac:dyDescent="0.2">
      <c r="A70" t="s">
        <v>156</v>
      </c>
      <c r="B70" s="3" t="str">
        <f>HYPERLINK("http://www.ncbi.nlm.nih.gov/gene/9945","GFPT2")</f>
        <v>GFPT2</v>
      </c>
      <c r="C70">
        <v>9945</v>
      </c>
      <c r="D70" t="s">
        <v>157</v>
      </c>
      <c r="E70" s="3" t="str">
        <f>HYPERLINK("http://genome.ucsc.edu/cgi-bin/hgTracks?db=hg19&amp;lastVirtModeType=default&amp;lastVirtModeExtraState=&amp;virtModeType=default&amp;virtMode=0&amp;nonVirtPosition=&amp;position=chr5:180300689-180353387","chr5:180300689-180353387")</f>
        <v>chr5:180300689-180353387</v>
      </c>
      <c r="F70" t="s">
        <v>22</v>
      </c>
      <c r="G70">
        <v>0.44390639246569702</v>
      </c>
      <c r="H70">
        <v>5.2527745747078698E-2</v>
      </c>
      <c r="I70">
        <v>8.4508936401555896</v>
      </c>
      <c r="J70" s="1">
        <v>2.89081517979615E-17</v>
      </c>
      <c r="K70" s="1">
        <v>6.0067635417764201E-15</v>
      </c>
      <c r="L70" t="s">
        <v>23</v>
      </c>
      <c r="M70" t="s">
        <v>24</v>
      </c>
      <c r="N70">
        <v>11104.491472871399</v>
      </c>
      <c r="O70">
        <v>9317.9588903710992</v>
      </c>
      <c r="P70">
        <v>12891.024055371699</v>
      </c>
      <c r="Q70">
        <v>9679.1326126913209</v>
      </c>
      <c r="R70">
        <v>8956.7851680508793</v>
      </c>
      <c r="S70">
        <v>13583.129954149599</v>
      </c>
      <c r="T70">
        <v>12198.9181565939</v>
      </c>
    </row>
    <row r="71" spans="1:20" x14ac:dyDescent="0.2">
      <c r="A71" t="s">
        <v>158</v>
      </c>
      <c r="B71" s="3" t="str">
        <f>HYPERLINK("http://www.ncbi.nlm.nih.gov/gene/7070","THY1")</f>
        <v>THY1</v>
      </c>
      <c r="C71">
        <v>7070</v>
      </c>
      <c r="D71" t="s">
        <v>159</v>
      </c>
      <c r="E71" s="3" t="str">
        <f>HYPERLINK("http://genome.ucsc.edu/cgi-bin/hgTracks?db=hg19&amp;lastVirtModeType=default&amp;lastVirtModeExtraState=&amp;virtModeType=default&amp;virtMode=0&amp;nonVirtPosition=&amp;position=chr11:119417940-119424128","chr11:119417940-119424128")</f>
        <v>chr11:119417940-119424128</v>
      </c>
      <c r="F71" t="s">
        <v>22</v>
      </c>
      <c r="G71">
        <v>-0.437675643504917</v>
      </c>
      <c r="H71">
        <v>5.1930432908434597E-2</v>
      </c>
      <c r="I71">
        <v>-8.4281146717309507</v>
      </c>
      <c r="J71" s="1">
        <v>3.5127874282340599E-17</v>
      </c>
      <c r="K71" s="1">
        <v>7.1902039986271501E-15</v>
      </c>
      <c r="L71" t="s">
        <v>23</v>
      </c>
      <c r="M71" t="s">
        <v>24</v>
      </c>
      <c r="N71">
        <v>7607.9029076984598</v>
      </c>
      <c r="O71">
        <v>8816.0716549737808</v>
      </c>
      <c r="P71">
        <v>6399.7341604231497</v>
      </c>
      <c r="Q71">
        <v>8645.8662882945591</v>
      </c>
      <c r="R71">
        <v>8986.2770216530007</v>
      </c>
      <c r="S71">
        <v>6026.5335819522197</v>
      </c>
      <c r="T71">
        <v>6772.9347388940796</v>
      </c>
    </row>
    <row r="72" spans="1:20" x14ac:dyDescent="0.2">
      <c r="A72" t="s">
        <v>160</v>
      </c>
      <c r="B72" s="3" t="str">
        <f>HYPERLINK("http://www.ncbi.nlm.nih.gov/gene/3838","KPNA2")</f>
        <v>KPNA2</v>
      </c>
      <c r="C72">
        <v>3838</v>
      </c>
      <c r="D72" t="s">
        <v>161</v>
      </c>
      <c r="E72" s="3" t="str">
        <f>HYPERLINK("http://genome.ucsc.edu/cgi-bin/hgTracks?db=hg19&amp;lastVirtModeType=default&amp;lastVirtModeExtraState=&amp;virtModeType=default&amp;virtMode=0&amp;nonVirtPosition=&amp;position=chr17:68035959-68046859","chr17:68035959-68046859")</f>
        <v>chr17:68035959-68046859</v>
      </c>
      <c r="F72" t="s">
        <v>27</v>
      </c>
      <c r="G72">
        <v>-0.45308353762323</v>
      </c>
      <c r="H72">
        <v>5.38007756215882E-2</v>
      </c>
      <c r="I72">
        <v>-8.4215056825579406</v>
      </c>
      <c r="J72" s="1">
        <v>3.71676295866361E-17</v>
      </c>
      <c r="K72" s="1">
        <v>7.4446211809519094E-15</v>
      </c>
      <c r="L72" t="s">
        <v>23</v>
      </c>
      <c r="M72" t="s">
        <v>24</v>
      </c>
      <c r="N72">
        <v>2928.61350609601</v>
      </c>
      <c r="O72">
        <v>3408.9092359746701</v>
      </c>
      <c r="P72">
        <v>2448.31777621736</v>
      </c>
      <c r="Q72">
        <v>3332.31829252855</v>
      </c>
      <c r="R72">
        <v>3485.5001794207801</v>
      </c>
      <c r="S72">
        <v>2482.0360930089701</v>
      </c>
      <c r="T72">
        <v>2414.59945942575</v>
      </c>
    </row>
    <row r="73" spans="1:20" x14ac:dyDescent="0.2">
      <c r="A73" t="s">
        <v>162</v>
      </c>
      <c r="B73" s="3" t="str">
        <f>HYPERLINK("http://www.ncbi.nlm.nih.gov/gene/1606","DGKA")</f>
        <v>DGKA</v>
      </c>
      <c r="C73">
        <v>1606</v>
      </c>
      <c r="D73" t="s">
        <v>163</v>
      </c>
      <c r="E73" s="3" t="str">
        <f>HYPERLINK("http://genome.ucsc.edu/cgi-bin/hgTracks?db=hg19&amp;lastVirtModeType=default&amp;lastVirtModeExtraState=&amp;virtModeType=default&amp;virtMode=0&amp;nonVirtPosition=&amp;position=chr12:55932027-55954023","chr12:55932027-55954023")</f>
        <v>chr12:55932027-55954023</v>
      </c>
      <c r="F73" t="s">
        <v>27</v>
      </c>
      <c r="G73">
        <v>-0.52806711337078205</v>
      </c>
      <c r="H73">
        <v>6.2711350355497505E-2</v>
      </c>
      <c r="I73">
        <v>-8.4205986695754405</v>
      </c>
      <c r="J73" s="1">
        <v>3.7456530661053099E-17</v>
      </c>
      <c r="K73" s="1">
        <v>7.4446211809519094E-15</v>
      </c>
      <c r="L73" t="s">
        <v>23</v>
      </c>
      <c r="M73" t="s">
        <v>24</v>
      </c>
      <c r="N73">
        <v>2053.0658256004099</v>
      </c>
      <c r="O73">
        <v>2455.6000331166301</v>
      </c>
      <c r="P73">
        <v>1650.5316180841901</v>
      </c>
      <c r="Q73">
        <v>2576.97446816927</v>
      </c>
      <c r="R73">
        <v>2334.2255980639902</v>
      </c>
      <c r="S73">
        <v>1653.37539423014</v>
      </c>
      <c r="T73">
        <v>1647.6878419382299</v>
      </c>
    </row>
    <row r="74" spans="1:20" x14ac:dyDescent="0.2">
      <c r="A74" t="s">
        <v>164</v>
      </c>
      <c r="B74" s="3" t="str">
        <f>HYPERLINK("http://www.ncbi.nlm.nih.gov/gene/3598","IL13RA2")</f>
        <v>IL13RA2</v>
      </c>
      <c r="C74">
        <v>3598</v>
      </c>
      <c r="D74" t="s">
        <v>165</v>
      </c>
      <c r="E74" s="3" t="str">
        <f>HYPERLINK("http://genome.ucsc.edu/cgi-bin/hgTracks?db=hg19&amp;lastVirtModeType=default&amp;lastVirtModeExtraState=&amp;virtModeType=default&amp;virtMode=0&amp;nonVirtPosition=&amp;position=chrX:115003974-115017644","chrX:115003974-115017644")</f>
        <v>chrX:115003974-115017644</v>
      </c>
      <c r="F74" t="s">
        <v>22</v>
      </c>
      <c r="G74">
        <v>-0.79608365231814004</v>
      </c>
      <c r="H74">
        <v>9.58850570932515E-2</v>
      </c>
      <c r="I74">
        <v>-8.3024787850303099</v>
      </c>
      <c r="J74" s="1">
        <v>1.01961361801942E-16</v>
      </c>
      <c r="K74" s="1">
        <v>1.99756873678834E-14</v>
      </c>
      <c r="L74" t="s">
        <v>23</v>
      </c>
      <c r="M74" t="s">
        <v>24</v>
      </c>
      <c r="N74">
        <v>596.04563544804898</v>
      </c>
      <c r="O74">
        <v>794.41202861913405</v>
      </c>
      <c r="P74">
        <v>397.67924227696301</v>
      </c>
      <c r="Q74">
        <v>835.14335407301098</v>
      </c>
      <c r="R74">
        <v>753.680703165257</v>
      </c>
      <c r="S74">
        <v>437.019868522644</v>
      </c>
      <c r="T74">
        <v>358.33861603128298</v>
      </c>
    </row>
    <row r="75" spans="1:20" x14ac:dyDescent="0.2">
      <c r="A75" t="s">
        <v>166</v>
      </c>
      <c r="B75" s="3" t="str">
        <f>HYPERLINK("http://www.ncbi.nlm.nih.gov/gene/3655","ITGA6")</f>
        <v>ITGA6</v>
      </c>
      <c r="C75">
        <v>3655</v>
      </c>
      <c r="D75" t="s">
        <v>167</v>
      </c>
      <c r="E75" s="3" t="str">
        <f>HYPERLINK("http://genome.ucsc.edu/cgi-bin/hgTracks?db=hg19&amp;lastVirtModeType=default&amp;lastVirtModeExtraState=&amp;virtModeType=default&amp;virtMode=0&amp;nonVirtPosition=&amp;position=chr2:172427353-172506455","chr2:172427353-172506455")</f>
        <v>chr2:172427353-172506455</v>
      </c>
      <c r="F75" t="s">
        <v>27</v>
      </c>
      <c r="G75">
        <v>-0.59064492917455003</v>
      </c>
      <c r="H75">
        <v>7.1219096756320405E-2</v>
      </c>
      <c r="I75">
        <v>-8.2933504646298708</v>
      </c>
      <c r="J75" s="1">
        <v>1.10102327192926E-16</v>
      </c>
      <c r="K75" s="1">
        <v>2.1266807255264699E-14</v>
      </c>
      <c r="L75" t="s">
        <v>23</v>
      </c>
      <c r="M75" t="s">
        <v>24</v>
      </c>
      <c r="N75">
        <v>1276.1934186205999</v>
      </c>
      <c r="O75">
        <v>1562.65168403692</v>
      </c>
      <c r="P75">
        <v>989.73515320428703</v>
      </c>
      <c r="Q75">
        <v>1538.2047279301901</v>
      </c>
      <c r="R75">
        <v>1587.0986401436501</v>
      </c>
      <c r="S75">
        <v>950.00030110001398</v>
      </c>
      <c r="T75">
        <v>1029.4700053085601</v>
      </c>
    </row>
    <row r="76" spans="1:20" x14ac:dyDescent="0.2">
      <c r="A76" t="s">
        <v>168</v>
      </c>
      <c r="B76" s="3" t="str">
        <f>HYPERLINK("http://www.ncbi.nlm.nih.gov/gene/8878","SQSTM1")</f>
        <v>SQSTM1</v>
      </c>
      <c r="C76">
        <v>8878</v>
      </c>
      <c r="D76" t="s">
        <v>169</v>
      </c>
      <c r="E76" s="3" t="str">
        <f>HYPERLINK("http://genome.ucsc.edu/cgi-bin/hgTracks?db=hg19&amp;lastVirtModeType=default&amp;lastVirtModeExtraState=&amp;virtModeType=default&amp;virtMode=0&amp;nonVirtPosition=&amp;position=chr5:179806387-179838077","chr5:179806387-179838077")</f>
        <v>chr5:179806387-179838077</v>
      </c>
      <c r="F76" t="s">
        <v>27</v>
      </c>
      <c r="G76">
        <v>0.32957860709391801</v>
      </c>
      <c r="H76">
        <v>4.0197870748662601E-2</v>
      </c>
      <c r="I76">
        <v>8.1989070802931199</v>
      </c>
      <c r="J76" s="1">
        <v>2.4258233786624599E-16</v>
      </c>
      <c r="K76" s="1">
        <v>4.6205196965245798E-14</v>
      </c>
      <c r="L76" t="s">
        <v>23</v>
      </c>
      <c r="M76" t="s">
        <v>24</v>
      </c>
      <c r="N76">
        <v>31036.379551640901</v>
      </c>
      <c r="O76">
        <v>27397.525634999402</v>
      </c>
      <c r="P76">
        <v>34675.2334682824</v>
      </c>
      <c r="Q76">
        <v>27184.1225531706</v>
      </c>
      <c r="R76">
        <v>27610.928716828101</v>
      </c>
      <c r="S76">
        <v>35265.431738030398</v>
      </c>
      <c r="T76">
        <v>34085.035198534497</v>
      </c>
    </row>
    <row r="77" spans="1:20" x14ac:dyDescent="0.2">
      <c r="A77" t="s">
        <v>170</v>
      </c>
      <c r="B77" s="3" t="str">
        <f>HYPERLINK("http://www.ncbi.nlm.nih.gov/gene/64859","NABP1")</f>
        <v>NABP1</v>
      </c>
      <c r="C77">
        <v>64859</v>
      </c>
      <c r="D77" t="s">
        <v>171</v>
      </c>
      <c r="E77" s="3" t="str">
        <f>HYPERLINK("http://genome.ucsc.edu/cgi-bin/hgTracks?db=hg19&amp;lastVirtModeType=default&amp;lastVirtModeExtraState=&amp;virtModeType=default&amp;virtMode=0&amp;nonVirtPosition=&amp;position=chr2:191678071-191688522","chr2:191678071-191688522")</f>
        <v>chr2:191678071-191688522</v>
      </c>
      <c r="F77" t="s">
        <v>27</v>
      </c>
      <c r="G77">
        <v>-0.46635046689521897</v>
      </c>
      <c r="H77">
        <v>5.6917681107827099E-2</v>
      </c>
      <c r="I77">
        <v>-8.1934200026832897</v>
      </c>
      <c r="J77" s="1">
        <v>2.53906237033426E-16</v>
      </c>
      <c r="K77" s="1">
        <v>4.7699590885978101E-14</v>
      </c>
      <c r="L77" t="s">
        <v>23</v>
      </c>
      <c r="M77" t="s">
        <v>24</v>
      </c>
      <c r="N77">
        <v>4975.6662741285199</v>
      </c>
      <c r="O77">
        <v>5822.4973856012302</v>
      </c>
      <c r="P77">
        <v>4128.8351626558097</v>
      </c>
      <c r="Q77">
        <v>6063.3884042829604</v>
      </c>
      <c r="R77">
        <v>5581.60636691951</v>
      </c>
      <c r="S77">
        <v>4370.1986852264399</v>
      </c>
      <c r="T77">
        <v>3887.4716400851698</v>
      </c>
    </row>
    <row r="78" spans="1:20" x14ac:dyDescent="0.2">
      <c r="A78" t="s">
        <v>172</v>
      </c>
      <c r="B78" s="3" t="str">
        <f>HYPERLINK("http://www.ncbi.nlm.nih.gov/gene/3161","HMMR")</f>
        <v>HMMR</v>
      </c>
      <c r="C78">
        <v>3161</v>
      </c>
      <c r="D78" t="s">
        <v>173</v>
      </c>
      <c r="E78" s="3" t="str">
        <f>HYPERLINK("http://genome.ucsc.edu/cgi-bin/hgTracks?db=hg19&amp;lastVirtModeType=default&amp;lastVirtModeExtraState=&amp;virtModeType=default&amp;virtMode=0&amp;nonVirtPosition=&amp;position=chr5:163460510-163491946","chr5:163460510-163491946")</f>
        <v>chr5:163460510-163491946</v>
      </c>
      <c r="F78" t="s">
        <v>27</v>
      </c>
      <c r="G78">
        <v>-0.88203754405731405</v>
      </c>
      <c r="H78">
        <v>0.107721365880354</v>
      </c>
      <c r="I78">
        <v>-8.1881392502671204</v>
      </c>
      <c r="J78" s="1">
        <v>2.6529577233228602E-16</v>
      </c>
      <c r="K78" s="1">
        <v>4.9165759753580799E-14</v>
      </c>
      <c r="L78" t="s">
        <v>23</v>
      </c>
      <c r="M78" t="s">
        <v>24</v>
      </c>
      <c r="N78">
        <v>431.682008680264</v>
      </c>
      <c r="O78">
        <v>605.91430610545103</v>
      </c>
      <c r="P78">
        <v>257.449711255078</v>
      </c>
      <c r="Q78">
        <v>564.10012383844196</v>
      </c>
      <c r="R78">
        <v>647.72848837245999</v>
      </c>
      <c r="S78">
        <v>299.89625289138598</v>
      </c>
      <c r="T78">
        <v>215.00316961876999</v>
      </c>
    </row>
    <row r="79" spans="1:20" x14ac:dyDescent="0.2">
      <c r="A79" t="s">
        <v>174</v>
      </c>
      <c r="B79" s="3" t="str">
        <f>HYPERLINK("http://www.ncbi.nlm.nih.gov/gene/123","PLIN2")</f>
        <v>PLIN2</v>
      </c>
      <c r="C79">
        <v>123</v>
      </c>
      <c r="D79" t="s">
        <v>175</v>
      </c>
      <c r="E79" s="3" t="str">
        <f>HYPERLINK("http://genome.ucsc.edu/cgi-bin/hgTracks?db=hg19&amp;lastVirtModeType=default&amp;lastVirtModeExtraState=&amp;virtModeType=default&amp;virtMode=0&amp;nonVirtPosition=&amp;position=chr9:19115760-19127606","chr9:19115760-19127606")</f>
        <v>chr9:19115760-19127606</v>
      </c>
      <c r="F79" t="s">
        <v>22</v>
      </c>
      <c r="G79">
        <v>0.35328772441562201</v>
      </c>
      <c r="H79">
        <v>4.3540746867411502E-2</v>
      </c>
      <c r="I79">
        <v>8.1139564622407505</v>
      </c>
      <c r="J79" s="1">
        <v>4.8997701706458198E-16</v>
      </c>
      <c r="K79" s="1">
        <v>8.9593930826982298E-14</v>
      </c>
      <c r="L79" t="s">
        <v>23</v>
      </c>
      <c r="M79" t="s">
        <v>24</v>
      </c>
      <c r="N79">
        <v>7490.9022827973404</v>
      </c>
      <c r="O79">
        <v>6545.2079759051403</v>
      </c>
      <c r="P79">
        <v>8436.5965896895395</v>
      </c>
      <c r="Q79">
        <v>6642.6229216878</v>
      </c>
      <c r="R79">
        <v>6447.7930301224796</v>
      </c>
      <c r="S79">
        <v>8603.2737548216191</v>
      </c>
      <c r="T79">
        <v>8269.9194245574708</v>
      </c>
    </row>
    <row r="80" spans="1:20" x14ac:dyDescent="0.2">
      <c r="A80" t="s">
        <v>176</v>
      </c>
      <c r="B80" s="3" t="str">
        <f>HYPERLINK("http://www.ncbi.nlm.nih.gov/gene/8434","RECK")</f>
        <v>RECK</v>
      </c>
      <c r="C80">
        <v>8434</v>
      </c>
      <c r="D80" t="s">
        <v>177</v>
      </c>
      <c r="E80" s="3" t="str">
        <f>HYPERLINK("http://genome.ucsc.edu/cgi-bin/hgTracks?db=hg19&amp;lastVirtModeType=default&amp;lastVirtModeExtraState=&amp;virtModeType=default&amp;virtMode=0&amp;nonVirtPosition=&amp;position=chr9:36036912-36124455","chr9:36036912-36124455")</f>
        <v>chr9:36036912-36124455</v>
      </c>
      <c r="F80" t="s">
        <v>27</v>
      </c>
      <c r="G80">
        <v>-0.51036453267066995</v>
      </c>
      <c r="H80">
        <v>6.3003281814379294E-2</v>
      </c>
      <c r="I80">
        <v>-8.1006023491650705</v>
      </c>
      <c r="J80" s="1">
        <v>5.4687732231098795E-16</v>
      </c>
      <c r="K80" s="1">
        <v>9.8682573660169494E-14</v>
      </c>
      <c r="L80" t="s">
        <v>23</v>
      </c>
      <c r="M80" t="s">
        <v>24</v>
      </c>
      <c r="N80">
        <v>2052.1843235378501</v>
      </c>
      <c r="O80">
        <v>2441.4117115806598</v>
      </c>
      <c r="P80">
        <v>1662.9569354950199</v>
      </c>
      <c r="Q80">
        <v>2365.0929582397098</v>
      </c>
      <c r="R80">
        <v>2517.7304649216198</v>
      </c>
      <c r="S80">
        <v>1595.17184514924</v>
      </c>
      <c r="T80">
        <v>1730.7420258408099</v>
      </c>
    </row>
    <row r="81" spans="1:20" x14ac:dyDescent="0.2">
      <c r="A81" t="s">
        <v>178</v>
      </c>
      <c r="B81" s="3" t="str">
        <f>HYPERLINK("http://www.ncbi.nlm.nih.gov/gene/1062","CENPE")</f>
        <v>CENPE</v>
      </c>
      <c r="C81">
        <v>1062</v>
      </c>
      <c r="D81" t="s">
        <v>179</v>
      </c>
      <c r="E81" s="3" t="str">
        <f>HYPERLINK("http://genome.ucsc.edu/cgi-bin/hgTracks?db=hg19&amp;lastVirtModeType=default&amp;lastVirtModeExtraState=&amp;virtModeType=default&amp;virtMode=0&amp;nonVirtPosition=&amp;position=chr4:103105805-103198409","chr4:103105805-103198409")</f>
        <v>chr4:103105805-103198409</v>
      </c>
      <c r="F81" t="s">
        <v>22</v>
      </c>
      <c r="G81">
        <v>-0.66892665306806098</v>
      </c>
      <c r="H81">
        <v>8.2689478909398706E-2</v>
      </c>
      <c r="I81">
        <v>-8.0896223061339096</v>
      </c>
      <c r="J81" s="1">
        <v>5.9850029287133202E-16</v>
      </c>
      <c r="K81" s="1">
        <v>1.06595233979707E-13</v>
      </c>
      <c r="L81" t="s">
        <v>23</v>
      </c>
      <c r="M81" t="s">
        <v>24</v>
      </c>
      <c r="N81">
        <v>768.40625010134795</v>
      </c>
      <c r="O81">
        <v>971.27858098196896</v>
      </c>
      <c r="P81">
        <v>565.53391922072797</v>
      </c>
      <c r="Q81">
        <v>956.21850260418796</v>
      </c>
      <c r="R81">
        <v>986.33865935974995</v>
      </c>
      <c r="S81">
        <v>556.386469180071</v>
      </c>
      <c r="T81">
        <v>574.68136926138402</v>
      </c>
    </row>
    <row r="82" spans="1:20" x14ac:dyDescent="0.2">
      <c r="A82" t="s">
        <v>180</v>
      </c>
      <c r="B82" s="3" t="str">
        <f>HYPERLINK("http://www.ncbi.nlm.nih.gov/gene/11130","ZWINT")</f>
        <v>ZWINT</v>
      </c>
      <c r="C82">
        <v>11130</v>
      </c>
      <c r="D82" t="s">
        <v>181</v>
      </c>
      <c r="E82" s="3" t="str">
        <f>HYPERLINK("http://genome.ucsc.edu/cgi-bin/hgTracks?db=hg19&amp;lastVirtModeType=default&amp;lastVirtModeExtraState=&amp;virtModeType=default&amp;virtMode=0&amp;nonVirtPosition=&amp;position=chr10:56357437-56361273","chr10:56357437-56361273")</f>
        <v>chr10:56357437-56361273</v>
      </c>
      <c r="F82" t="s">
        <v>22</v>
      </c>
      <c r="G82">
        <v>-0.6082616315039</v>
      </c>
      <c r="H82">
        <v>7.53701937465283E-2</v>
      </c>
      <c r="I82">
        <v>-8.0703206568567207</v>
      </c>
      <c r="J82" s="1">
        <v>7.0113782906723005E-16</v>
      </c>
      <c r="K82" s="1">
        <v>1.2327441266446201E-13</v>
      </c>
      <c r="L82" t="s">
        <v>23</v>
      </c>
      <c r="M82" t="s">
        <v>24</v>
      </c>
      <c r="N82">
        <v>1092.8696048239301</v>
      </c>
      <c r="O82">
        <v>1346.8988183555</v>
      </c>
      <c r="P82">
        <v>838.84039129235498</v>
      </c>
      <c r="Q82">
        <v>1352.46444325168</v>
      </c>
      <c r="R82">
        <v>1341.33319345933</v>
      </c>
      <c r="S82">
        <v>879.95874203656604</v>
      </c>
      <c r="T82">
        <v>797.72204054814495</v>
      </c>
    </row>
    <row r="83" spans="1:20" x14ac:dyDescent="0.2">
      <c r="A83" t="s">
        <v>182</v>
      </c>
      <c r="B83" s="3" t="str">
        <f>HYPERLINK("http://www.ncbi.nlm.nih.gov/gene/25907","TMEM158")</f>
        <v>TMEM158</v>
      </c>
      <c r="C83">
        <v>25907</v>
      </c>
      <c r="D83" t="s">
        <v>183</v>
      </c>
      <c r="E83" s="3" t="str">
        <f>HYPERLINK("http://genome.ucsc.edu/cgi-bin/hgTracks?db=hg19&amp;lastVirtModeType=default&amp;lastVirtModeExtraState=&amp;virtModeType=default&amp;virtMode=0&amp;nonVirtPosition=&amp;position=chr3:45224463-45226322","chr3:45224463-45226322")</f>
        <v>chr3:45224463-45226322</v>
      </c>
      <c r="F83" t="s">
        <v>22</v>
      </c>
      <c r="G83">
        <v>0.435706218822416</v>
      </c>
      <c r="H83">
        <v>5.4189548579344902E-2</v>
      </c>
      <c r="I83">
        <v>8.04041056338475</v>
      </c>
      <c r="J83" s="1">
        <v>8.9537962211524693E-16</v>
      </c>
      <c r="K83" s="1">
        <v>1.5543336883150001E-13</v>
      </c>
      <c r="L83" t="s">
        <v>23</v>
      </c>
      <c r="M83" t="s">
        <v>24</v>
      </c>
      <c r="N83">
        <v>6065.8792012656004</v>
      </c>
      <c r="O83">
        <v>5106.5560778140798</v>
      </c>
      <c r="P83">
        <v>7025.2023247171201</v>
      </c>
      <c r="Q83">
        <v>5433.2472903366097</v>
      </c>
      <c r="R83">
        <v>4779.8648652915399</v>
      </c>
      <c r="S83">
        <v>7183.6990577469396</v>
      </c>
      <c r="T83">
        <v>6866.7055916873096</v>
      </c>
    </row>
    <row r="84" spans="1:20" x14ac:dyDescent="0.2">
      <c r="A84" t="s">
        <v>184</v>
      </c>
      <c r="B84" s="3" t="str">
        <f>HYPERLINK("http://www.ncbi.nlm.nih.gov/gene/150468","CKAP2L")</f>
        <v>CKAP2L</v>
      </c>
      <c r="C84">
        <v>150468</v>
      </c>
      <c r="D84" t="s">
        <v>185</v>
      </c>
      <c r="E84" s="3" t="str">
        <f>HYPERLINK("http://genome.ucsc.edu/cgi-bin/hgTracks?db=hg19&amp;lastVirtModeType=default&amp;lastVirtModeExtraState=&amp;virtModeType=default&amp;virtMode=0&amp;nonVirtPosition=&amp;position=chr2:112736350-112764677","chr2:112736350-112764677")</f>
        <v>chr2:112736350-112764677</v>
      </c>
      <c r="F84" t="s">
        <v>22</v>
      </c>
      <c r="G84">
        <v>-0.66628547676832595</v>
      </c>
      <c r="H84">
        <v>8.5162507024323195E-2</v>
      </c>
      <c r="I84">
        <v>-7.8236949574303702</v>
      </c>
      <c r="J84" s="1">
        <v>5.1295016883187803E-15</v>
      </c>
      <c r="K84" s="1">
        <v>8.6846896485930504E-13</v>
      </c>
      <c r="L84" t="s">
        <v>23</v>
      </c>
      <c r="M84" t="s">
        <v>24</v>
      </c>
      <c r="N84">
        <v>697.39162730483497</v>
      </c>
      <c r="O84">
        <v>882.60910994631899</v>
      </c>
      <c r="P84">
        <v>512.17414466335197</v>
      </c>
      <c r="Q84">
        <v>869.53970308755004</v>
      </c>
      <c r="R84">
        <v>895.67851680508795</v>
      </c>
      <c r="S84">
        <v>513.96693340925003</v>
      </c>
      <c r="T84">
        <v>510.38135591745299</v>
      </c>
    </row>
    <row r="85" spans="1:20" x14ac:dyDescent="0.2">
      <c r="A85" t="s">
        <v>186</v>
      </c>
      <c r="B85" s="3" t="str">
        <f>HYPERLINK("http://www.ncbi.nlm.nih.gov/gene/9510","ADAMTS1")</f>
        <v>ADAMTS1</v>
      </c>
      <c r="C85">
        <v>9510</v>
      </c>
      <c r="D85" t="s">
        <v>187</v>
      </c>
      <c r="E85" s="3" t="str">
        <f>HYPERLINK("http://genome.ucsc.edu/cgi-bin/hgTracks?db=hg19&amp;lastVirtModeType=default&amp;lastVirtModeExtraState=&amp;virtModeType=default&amp;virtMode=0&amp;nonVirtPosition=&amp;position=chr21:26836286-26845409","chr21:26836286-26845409")</f>
        <v>chr21:26836286-26845409</v>
      </c>
      <c r="F85" t="s">
        <v>22</v>
      </c>
      <c r="G85">
        <v>-0.30704048087487101</v>
      </c>
      <c r="H85">
        <v>3.9303947808733801E-2</v>
      </c>
      <c r="I85">
        <v>-7.8119501473244704</v>
      </c>
      <c r="J85" s="1">
        <v>5.63098346408153E-15</v>
      </c>
      <c r="K85" s="1">
        <v>9.4174764910261098E-13</v>
      </c>
      <c r="L85" t="s">
        <v>23</v>
      </c>
      <c r="M85" t="s">
        <v>24</v>
      </c>
      <c r="N85">
        <v>18093.8019129358</v>
      </c>
      <c r="O85">
        <v>20066.633143947001</v>
      </c>
      <c r="P85">
        <v>16120.9706819247</v>
      </c>
      <c r="Q85">
        <v>19775.148975438799</v>
      </c>
      <c r="R85">
        <v>20358.117312455201</v>
      </c>
      <c r="S85">
        <v>16067.139048822401</v>
      </c>
      <c r="T85">
        <v>16174.802315027</v>
      </c>
    </row>
    <row r="86" spans="1:20" x14ac:dyDescent="0.2">
      <c r="A86" t="s">
        <v>188</v>
      </c>
      <c r="B86" s="3" t="str">
        <f>HYPERLINK("http://www.ncbi.nlm.nih.gov/gene/57082","KNL1")</f>
        <v>KNL1</v>
      </c>
      <c r="C86">
        <v>57082</v>
      </c>
      <c r="D86" t="s">
        <v>189</v>
      </c>
      <c r="E86" s="3" t="str">
        <f>HYPERLINK("http://genome.ucsc.edu/cgi-bin/hgTracks?db=hg19&amp;lastVirtModeType=default&amp;lastVirtModeExtraState=&amp;virtModeType=default&amp;virtMode=0&amp;nonVirtPosition=&amp;position=chr15:40594248-40662683","chr15:40594248-40662683")</f>
        <v>chr15:40594248-40662683</v>
      </c>
      <c r="F86" t="s">
        <v>27</v>
      </c>
      <c r="G86">
        <v>-0.75430426919820404</v>
      </c>
      <c r="H86">
        <v>9.6849426089582899E-2</v>
      </c>
      <c r="I86">
        <v>-7.7884227057834501</v>
      </c>
      <c r="J86" s="1">
        <v>6.7850858567144503E-15</v>
      </c>
      <c r="K86" s="1">
        <v>1.12109237878291E-12</v>
      </c>
      <c r="L86" t="s">
        <v>23</v>
      </c>
      <c r="M86" t="s">
        <v>24</v>
      </c>
      <c r="N86">
        <v>572.35782408178295</v>
      </c>
      <c r="O86">
        <v>755.89893124411697</v>
      </c>
      <c r="P86">
        <v>388.81671691945002</v>
      </c>
      <c r="Q86">
        <v>689.30283425136497</v>
      </c>
      <c r="R86">
        <v>822.49502823686805</v>
      </c>
      <c r="S86">
        <v>363.03230613167699</v>
      </c>
      <c r="T86">
        <v>414.60112770722202</v>
      </c>
    </row>
    <row r="87" spans="1:20" x14ac:dyDescent="0.2">
      <c r="A87" t="s">
        <v>190</v>
      </c>
      <c r="B87" s="3" t="str">
        <f>HYPERLINK("http://www.ncbi.nlm.nih.gov/gene/10376","TUBA1B")</f>
        <v>TUBA1B</v>
      </c>
      <c r="C87">
        <v>10376</v>
      </c>
      <c r="D87" t="s">
        <v>191</v>
      </c>
      <c r="E87" s="3" t="str">
        <f>HYPERLINK("http://genome.ucsc.edu/cgi-bin/hgTracks?db=hg19&amp;lastVirtModeType=default&amp;lastVirtModeExtraState=&amp;virtModeType=default&amp;virtMode=0&amp;nonVirtPosition=&amp;position=chr12:49127783-49131521","chr12:49127783-49131521")</f>
        <v>chr12:49127783-49131521</v>
      </c>
      <c r="F87" t="s">
        <v>22</v>
      </c>
      <c r="G87">
        <v>-0.34028609005181798</v>
      </c>
      <c r="H87">
        <v>4.38575311913375E-2</v>
      </c>
      <c r="I87">
        <v>-7.75889752132308</v>
      </c>
      <c r="J87" s="1">
        <v>8.5670838384645198E-15</v>
      </c>
      <c r="K87" s="1">
        <v>1.3986784257226501E-12</v>
      </c>
      <c r="L87" t="s">
        <v>23</v>
      </c>
      <c r="M87" t="s">
        <v>24</v>
      </c>
      <c r="N87">
        <v>12152.318586953401</v>
      </c>
      <c r="O87">
        <v>13630.176135834699</v>
      </c>
      <c r="P87">
        <v>10674.461038072201</v>
      </c>
      <c r="Q87">
        <v>13186.184358213701</v>
      </c>
      <c r="R87">
        <v>14074.1679134556</v>
      </c>
      <c r="S87">
        <v>10519.058370331701</v>
      </c>
      <c r="T87">
        <v>10829.863705812701</v>
      </c>
    </row>
    <row r="88" spans="1:20" x14ac:dyDescent="0.2">
      <c r="A88" t="s">
        <v>192</v>
      </c>
      <c r="B88" s="3" t="str">
        <f>HYPERLINK("http://www.ncbi.nlm.nih.gov/gene/8916","HERC3")</f>
        <v>HERC3</v>
      </c>
      <c r="C88">
        <v>8916</v>
      </c>
      <c r="D88" t="s">
        <v>193</v>
      </c>
      <c r="E88" s="3" t="str">
        <f>HYPERLINK("http://genome.ucsc.edu/cgi-bin/hgTracks?db=hg19&amp;lastVirtModeType=default&amp;lastVirtModeExtraState=&amp;virtModeType=default&amp;virtMode=0&amp;nonVirtPosition=&amp;position=chr4:88592422-88708542","chr4:88592422-88708542")</f>
        <v>chr4:88592422-88708542</v>
      </c>
      <c r="F88" t="s">
        <v>27</v>
      </c>
      <c r="G88">
        <v>-0.39547524826063002</v>
      </c>
      <c r="H88">
        <v>5.1011673914966998E-2</v>
      </c>
      <c r="I88">
        <v>-7.7526420505208398</v>
      </c>
      <c r="J88" s="1">
        <v>9.00000490107352E-15</v>
      </c>
      <c r="K88" s="1">
        <v>1.4520713789802599E-12</v>
      </c>
      <c r="L88" t="s">
        <v>23</v>
      </c>
      <c r="M88" t="s">
        <v>24</v>
      </c>
      <c r="N88">
        <v>3438.57300318937</v>
      </c>
      <c r="O88">
        <v>3929.9611919754798</v>
      </c>
      <c r="P88">
        <v>2947.1848144032701</v>
      </c>
      <c r="Q88">
        <v>3841.3842579437301</v>
      </c>
      <c r="R88">
        <v>4018.5381260072199</v>
      </c>
      <c r="S88">
        <v>2931.8804723460498</v>
      </c>
      <c r="T88">
        <v>2962.48915646049</v>
      </c>
    </row>
    <row r="89" spans="1:20" x14ac:dyDescent="0.2">
      <c r="A89" t="s">
        <v>192</v>
      </c>
      <c r="B89" s="3" t="str">
        <f>HYPERLINK("http://www.ncbi.nlm.nih.gov/gene/101929134","LOC101929134")</f>
        <v>LOC101929134</v>
      </c>
      <c r="C89">
        <v>101929134</v>
      </c>
      <c r="D89" t="s">
        <v>194</v>
      </c>
      <c r="E89" s="3" t="str">
        <f>HYPERLINK("http://genome.ucsc.edu/cgi-bin/hgTracks?db=hg19&amp;lastVirtModeType=default&amp;lastVirtModeExtraState=&amp;virtModeType=default&amp;virtMode=0&amp;nonVirtPosition=&amp;position=chr4:88523809-88524996","chr4:88523809-88524996")</f>
        <v>chr4:88523809-88524996</v>
      </c>
      <c r="F89" t="s">
        <v>27</v>
      </c>
      <c r="G89">
        <v>-0.39547524826063002</v>
      </c>
      <c r="H89">
        <v>5.1011673914966998E-2</v>
      </c>
      <c r="I89">
        <v>-7.7526420505208398</v>
      </c>
      <c r="J89" s="1">
        <v>9.00000490107352E-15</v>
      </c>
      <c r="K89" s="1">
        <v>1.4520713789802599E-12</v>
      </c>
      <c r="L89" t="s">
        <v>23</v>
      </c>
      <c r="M89" t="s">
        <v>24</v>
      </c>
      <c r="N89">
        <v>3438.57300318937</v>
      </c>
      <c r="O89">
        <v>3929.9611919754798</v>
      </c>
      <c r="P89">
        <v>2947.1848144032701</v>
      </c>
      <c r="Q89">
        <v>3841.3842579437301</v>
      </c>
      <c r="R89">
        <v>4018.5381260072199</v>
      </c>
      <c r="S89">
        <v>2931.8804723460498</v>
      </c>
      <c r="T89">
        <v>2962.48915646049</v>
      </c>
    </row>
    <row r="90" spans="1:20" x14ac:dyDescent="0.2">
      <c r="A90" t="s">
        <v>195</v>
      </c>
      <c r="B90" s="3" t="str">
        <f>HYPERLINK("http://www.ncbi.nlm.nih.gov/gene/10460","TACC3")</f>
        <v>TACC3</v>
      </c>
      <c r="C90">
        <v>10460</v>
      </c>
      <c r="D90" t="s">
        <v>196</v>
      </c>
      <c r="E90" s="3" t="str">
        <f>HYPERLINK("http://genome.ucsc.edu/cgi-bin/hgTracks?db=hg19&amp;lastVirtModeType=default&amp;lastVirtModeExtraState=&amp;virtModeType=default&amp;virtMode=0&amp;nonVirtPosition=&amp;position=chr4:1721489-1745178","chr4:1721489-1745178")</f>
        <v>chr4:1721489-1745178</v>
      </c>
      <c r="F90" t="s">
        <v>27</v>
      </c>
      <c r="G90">
        <v>-0.59801985452067696</v>
      </c>
      <c r="H90">
        <v>7.7230440264070804E-2</v>
      </c>
      <c r="I90">
        <v>-7.7433179517803197</v>
      </c>
      <c r="J90" s="1">
        <v>9.6855430383556197E-15</v>
      </c>
      <c r="K90" s="1">
        <v>1.54450624683731E-12</v>
      </c>
      <c r="L90" t="s">
        <v>23</v>
      </c>
      <c r="M90" t="s">
        <v>24</v>
      </c>
      <c r="N90">
        <v>927.65719257792796</v>
      </c>
      <c r="O90">
        <v>1142.08475854413</v>
      </c>
      <c r="P90">
        <v>713.22962661172005</v>
      </c>
      <c r="Q90">
        <v>1135.07951747979</v>
      </c>
      <c r="R90">
        <v>1149.08999960848</v>
      </c>
      <c r="S90">
        <v>719.159106440198</v>
      </c>
      <c r="T90">
        <v>707.30014678324198</v>
      </c>
    </row>
    <row r="91" spans="1:20" x14ac:dyDescent="0.2">
      <c r="A91" t="s">
        <v>197</v>
      </c>
      <c r="B91" s="3" t="str">
        <f>HYPERLINK("http://www.ncbi.nlm.nih.gov/gene/9232","PTTG1")</f>
        <v>PTTG1</v>
      </c>
      <c r="C91">
        <v>9232</v>
      </c>
      <c r="D91" t="s">
        <v>198</v>
      </c>
      <c r="E91" s="3" t="str">
        <f>HYPERLINK("http://genome.ucsc.edu/cgi-bin/hgTracks?db=hg19&amp;lastVirtModeType=default&amp;lastVirtModeExtraState=&amp;virtModeType=default&amp;virtMode=0&amp;nonVirtPosition=&amp;position=chr5:160421806-160428744","chr5:160421806-160428744")</f>
        <v>chr5:160421806-160428744</v>
      </c>
      <c r="F91" t="s">
        <v>27</v>
      </c>
      <c r="G91">
        <v>-0.68437187384852505</v>
      </c>
      <c r="H91">
        <v>8.8410810243117394E-2</v>
      </c>
      <c r="I91">
        <v>-7.7408166712486599</v>
      </c>
      <c r="J91" s="1">
        <v>9.8780245473973699E-15</v>
      </c>
      <c r="K91" s="1">
        <v>1.55709458210353E-12</v>
      </c>
      <c r="L91" t="s">
        <v>23</v>
      </c>
      <c r="M91" t="s">
        <v>24</v>
      </c>
      <c r="N91">
        <v>666.32488725047006</v>
      </c>
      <c r="O91">
        <v>852.06184333435397</v>
      </c>
      <c r="P91">
        <v>480.58793116658597</v>
      </c>
      <c r="Q91">
        <v>843.39847783649998</v>
      </c>
      <c r="R91">
        <v>860.72520883220704</v>
      </c>
      <c r="S91">
        <v>452.80388183271702</v>
      </c>
      <c r="T91">
        <v>508.37198050045498</v>
      </c>
    </row>
    <row r="92" spans="1:20" x14ac:dyDescent="0.2">
      <c r="A92" t="s">
        <v>199</v>
      </c>
      <c r="B92" s="3" t="str">
        <f>HYPERLINK("http://www.ncbi.nlm.nih.gov/gene/4249","MGAT5")</f>
        <v>MGAT5</v>
      </c>
      <c r="C92">
        <v>4249</v>
      </c>
      <c r="D92" t="s">
        <v>200</v>
      </c>
      <c r="E92" s="3" t="str">
        <f>HYPERLINK("http://genome.ucsc.edu/cgi-bin/hgTracks?db=hg19&amp;lastVirtModeType=default&amp;lastVirtModeExtraState=&amp;virtModeType=default&amp;virtMode=0&amp;nonVirtPosition=&amp;position=chr2:134254258-134454621","chr2:134254258-134454621")</f>
        <v>chr2:134254258-134454621</v>
      </c>
      <c r="F92" t="s">
        <v>27</v>
      </c>
      <c r="G92">
        <v>-0.34780092836801402</v>
      </c>
      <c r="H92">
        <v>4.4989653092048498E-2</v>
      </c>
      <c r="I92">
        <v>-7.7306870461173904</v>
      </c>
      <c r="J92" s="1">
        <v>1.069676940184E-14</v>
      </c>
      <c r="K92" s="1">
        <v>1.6669942679185601E-12</v>
      </c>
      <c r="L92" t="s">
        <v>23</v>
      </c>
      <c r="M92" t="s">
        <v>24</v>
      </c>
      <c r="N92">
        <v>7674.1790518427497</v>
      </c>
      <c r="O92">
        <v>8633.4435417184795</v>
      </c>
      <c r="P92">
        <v>6714.9145619670098</v>
      </c>
      <c r="Q92">
        <v>8696.7728848360803</v>
      </c>
      <c r="R92">
        <v>8570.1141986008806</v>
      </c>
      <c r="S92">
        <v>6494.1349762631298</v>
      </c>
      <c r="T92">
        <v>6935.6941476708998</v>
      </c>
    </row>
    <row r="93" spans="1:20" x14ac:dyDescent="0.2">
      <c r="A93" t="s">
        <v>201</v>
      </c>
      <c r="B93" s="3" t="str">
        <f>HYPERLINK("http://www.ncbi.nlm.nih.gov/gene/64220","STRA6")</f>
        <v>STRA6</v>
      </c>
      <c r="C93">
        <v>64220</v>
      </c>
      <c r="D93" t="s">
        <v>202</v>
      </c>
      <c r="E93" s="3" t="str">
        <f>HYPERLINK("http://genome.ucsc.edu/cgi-bin/hgTracks?db=hg19&amp;lastVirtModeType=default&amp;lastVirtModeExtraState=&amp;virtModeType=default&amp;virtMode=0&amp;nonVirtPosition=&amp;position=chr15:74194387-74209030","chr15:74194387-74209030")</f>
        <v>chr15:74194387-74209030</v>
      </c>
      <c r="F93" t="s">
        <v>22</v>
      </c>
      <c r="G93">
        <v>-0.70428697522875905</v>
      </c>
      <c r="H93">
        <v>9.1442753082029302E-2</v>
      </c>
      <c r="I93">
        <v>-7.7019441288800001</v>
      </c>
      <c r="J93" s="1">
        <v>1.3401148393076999E-14</v>
      </c>
      <c r="K93" s="1">
        <v>2.0649814501422201E-12</v>
      </c>
      <c r="L93" t="s">
        <v>23</v>
      </c>
      <c r="M93" t="s">
        <v>24</v>
      </c>
      <c r="N93">
        <v>569.76430994433599</v>
      </c>
      <c r="O93">
        <v>734.29979898318902</v>
      </c>
      <c r="P93">
        <v>405.22882090548302</v>
      </c>
      <c r="Q93">
        <v>718.19576742357799</v>
      </c>
      <c r="R93">
        <v>750.40383054280005</v>
      </c>
      <c r="S93">
        <v>417.289851885053</v>
      </c>
      <c r="T93">
        <v>393.16778992591202</v>
      </c>
    </row>
    <row r="94" spans="1:20" x14ac:dyDescent="0.2">
      <c r="A94" t="s">
        <v>203</v>
      </c>
      <c r="B94" s="3" t="str">
        <f>HYPERLINK("http://www.ncbi.nlm.nih.gov/gene/3671","ISLR")</f>
        <v>ISLR</v>
      </c>
      <c r="C94">
        <v>3671</v>
      </c>
      <c r="D94" t="s">
        <v>204</v>
      </c>
      <c r="E94" s="3" t="str">
        <f>HYPERLINK("http://genome.ucsc.edu/cgi-bin/hgTracks?db=hg19&amp;lastVirtModeType=default&amp;lastVirtModeExtraState=&amp;virtModeType=default&amp;virtMode=0&amp;nonVirtPosition=&amp;position=chr15:74173745-74176871","chr15:74173745-74176871")</f>
        <v>chr15:74173745-74176871</v>
      </c>
      <c r="F94" t="s">
        <v>27</v>
      </c>
      <c r="G94">
        <v>-0.38981200562271001</v>
      </c>
      <c r="H94">
        <v>5.0660126578092601E-2</v>
      </c>
      <c r="I94">
        <v>-7.6946512366449502</v>
      </c>
      <c r="J94" s="1">
        <v>1.41880638025508E-14</v>
      </c>
      <c r="K94" s="1">
        <v>2.1619456332020099E-12</v>
      </c>
      <c r="L94" t="s">
        <v>23</v>
      </c>
      <c r="M94" t="s">
        <v>24</v>
      </c>
      <c r="N94">
        <v>14049.205366619201</v>
      </c>
      <c r="O94">
        <v>16031.9029735235</v>
      </c>
      <c r="P94">
        <v>12066.507759714999</v>
      </c>
      <c r="Q94">
        <v>15563.660002098701</v>
      </c>
      <c r="R94">
        <v>16500.145944948399</v>
      </c>
      <c r="S94">
        <v>11421.7066315015</v>
      </c>
      <c r="T94">
        <v>12711.308887928401</v>
      </c>
    </row>
    <row r="95" spans="1:20" x14ac:dyDescent="0.2">
      <c r="A95" t="s">
        <v>205</v>
      </c>
      <c r="B95" s="3" t="str">
        <f>HYPERLINK("http://www.ncbi.nlm.nih.gov/gene/8727","CTNNAL1")</f>
        <v>CTNNAL1</v>
      </c>
      <c r="C95">
        <v>8727</v>
      </c>
      <c r="D95" t="s">
        <v>206</v>
      </c>
      <c r="E95" s="3" t="str">
        <f>HYPERLINK("http://genome.ucsc.edu/cgi-bin/hgTracks?db=hg19&amp;lastVirtModeType=default&amp;lastVirtModeExtraState=&amp;virtModeType=default&amp;virtMode=0&amp;nonVirtPosition=&amp;position=chr9:108942568-109013594","chr9:108942568-109013594")</f>
        <v>chr9:108942568-109013594</v>
      </c>
      <c r="F95" t="s">
        <v>22</v>
      </c>
      <c r="G95">
        <v>-0.51055028331625196</v>
      </c>
      <c r="H95">
        <v>6.6524365137538496E-2</v>
      </c>
      <c r="I95">
        <v>-7.6746359361820904</v>
      </c>
      <c r="J95" s="1">
        <v>1.6588911971193001E-14</v>
      </c>
      <c r="K95" s="1">
        <v>2.5000037227795701E-12</v>
      </c>
      <c r="L95" t="s">
        <v>23</v>
      </c>
      <c r="M95" t="s">
        <v>24</v>
      </c>
      <c r="N95">
        <v>1913.6366328366801</v>
      </c>
      <c r="O95">
        <v>2281.8221730609698</v>
      </c>
      <c r="P95">
        <v>1545.4510926123901</v>
      </c>
      <c r="Q95">
        <v>2263.2797651566798</v>
      </c>
      <c r="R95">
        <v>2300.3645809652598</v>
      </c>
      <c r="S95">
        <v>1445.22371870355</v>
      </c>
      <c r="T95">
        <v>1645.6784665212399</v>
      </c>
    </row>
    <row r="96" spans="1:20" x14ac:dyDescent="0.2">
      <c r="A96" t="s">
        <v>207</v>
      </c>
      <c r="B96" s="3" t="str">
        <f>HYPERLINK("http://www.ncbi.nlm.nih.gov/gene/1404","HAPLN1")</f>
        <v>HAPLN1</v>
      </c>
      <c r="C96">
        <v>1404</v>
      </c>
      <c r="D96" t="s">
        <v>208</v>
      </c>
      <c r="E96" s="3" t="str">
        <f>HYPERLINK("http://genome.ucsc.edu/cgi-bin/hgTracks?db=hg19&amp;lastVirtModeType=default&amp;lastVirtModeExtraState=&amp;virtModeType=default&amp;virtMode=0&amp;nonVirtPosition=&amp;position=chr5:83638197-83721077","chr5:83638197-83721077")</f>
        <v>chr5:83638197-83721077</v>
      </c>
      <c r="F96" t="s">
        <v>22</v>
      </c>
      <c r="G96">
        <v>-0.62537348911968305</v>
      </c>
      <c r="H96">
        <v>8.1595183973315305E-2</v>
      </c>
      <c r="I96">
        <v>-7.6643431470686298</v>
      </c>
      <c r="J96" s="1">
        <v>1.7974872793733199E-14</v>
      </c>
      <c r="K96" s="1">
        <v>2.6794283205788798E-12</v>
      </c>
      <c r="L96" t="s">
        <v>23</v>
      </c>
      <c r="M96" t="s">
        <v>24</v>
      </c>
      <c r="N96">
        <v>1028.4637422457799</v>
      </c>
      <c r="O96">
        <v>1282.1497592650501</v>
      </c>
      <c r="P96">
        <v>774.77772522650901</v>
      </c>
      <c r="Q96">
        <v>1201.1205075877101</v>
      </c>
      <c r="R96">
        <v>1363.17901094238</v>
      </c>
      <c r="S96">
        <v>727.05111309523397</v>
      </c>
      <c r="T96">
        <v>822.50433735778495</v>
      </c>
    </row>
    <row r="97" spans="1:20" x14ac:dyDescent="0.2">
      <c r="A97" t="s">
        <v>209</v>
      </c>
      <c r="B97" s="3" t="str">
        <f>HYPERLINK("http://www.ncbi.nlm.nih.gov/gene/55236","UBA6")</f>
        <v>UBA6</v>
      </c>
      <c r="C97">
        <v>55236</v>
      </c>
      <c r="D97" t="s">
        <v>210</v>
      </c>
      <c r="E97" s="3" t="str">
        <f>HYPERLINK("http://genome.ucsc.edu/cgi-bin/hgTracks?db=hg19&amp;lastVirtModeType=default&amp;lastVirtModeExtraState=&amp;virtModeType=default&amp;virtMode=0&amp;nonVirtPosition=&amp;position=chr4:67615760-67701171","chr4:67615760-67701171")</f>
        <v>chr4:67615760-67701171</v>
      </c>
      <c r="F97" t="s">
        <v>22</v>
      </c>
      <c r="G97">
        <v>-0.32758198574594899</v>
      </c>
      <c r="H97">
        <v>4.2783939259886203E-2</v>
      </c>
      <c r="I97">
        <v>-7.6566578817366304</v>
      </c>
      <c r="J97" s="1">
        <v>1.9083411372839699E-14</v>
      </c>
      <c r="K97" s="1">
        <v>2.81408498459272E-12</v>
      </c>
      <c r="L97" t="s">
        <v>23</v>
      </c>
      <c r="M97" t="s">
        <v>24</v>
      </c>
      <c r="N97">
        <v>7242.6679008681804</v>
      </c>
      <c r="O97">
        <v>8090.4929932417899</v>
      </c>
      <c r="P97">
        <v>6394.8428084945699</v>
      </c>
      <c r="Q97">
        <v>8245.4927857653292</v>
      </c>
      <c r="R97">
        <v>7935.4932007182497</v>
      </c>
      <c r="S97">
        <v>6430.01242219096</v>
      </c>
      <c r="T97">
        <v>6359.6731947981798</v>
      </c>
    </row>
    <row r="98" spans="1:20" x14ac:dyDescent="0.2">
      <c r="A98" t="s">
        <v>211</v>
      </c>
      <c r="B98" s="3" t="str">
        <f>HYPERLINK("http://www.ncbi.nlm.nih.gov/gene/6240","RRM1")</f>
        <v>RRM1</v>
      </c>
      <c r="C98">
        <v>6240</v>
      </c>
      <c r="D98" t="s">
        <v>212</v>
      </c>
      <c r="E98" s="3" t="str">
        <f>HYPERLINK("http://genome.ucsc.edu/cgi-bin/hgTracks?db=hg19&amp;lastVirtModeType=default&amp;lastVirtModeExtraState=&amp;virtModeType=default&amp;virtMode=0&amp;nonVirtPosition=&amp;position=chr11:4094684-4138925","chr11:4094684-4138925")</f>
        <v>chr11:4094684-4138925</v>
      </c>
      <c r="F98" t="s">
        <v>27</v>
      </c>
      <c r="G98">
        <v>-0.382742081501382</v>
      </c>
      <c r="H98">
        <v>5.0133025734042901E-2</v>
      </c>
      <c r="I98">
        <v>-7.63452985127687</v>
      </c>
      <c r="J98" s="1">
        <v>2.2664597365944702E-14</v>
      </c>
      <c r="K98" s="1">
        <v>3.3066200880485701E-12</v>
      </c>
      <c r="L98" t="s">
        <v>23</v>
      </c>
      <c r="M98" t="s">
        <v>24</v>
      </c>
      <c r="N98">
        <v>5309.8360404509303</v>
      </c>
      <c r="O98">
        <v>6044.0760469959596</v>
      </c>
      <c r="P98">
        <v>4575.5960339058902</v>
      </c>
      <c r="Q98">
        <v>5807.4795676147896</v>
      </c>
      <c r="R98">
        <v>6280.6725263771395</v>
      </c>
      <c r="S98">
        <v>4459.97026092748</v>
      </c>
      <c r="T98">
        <v>4691.2218068843104</v>
      </c>
    </row>
    <row r="99" spans="1:20" x14ac:dyDescent="0.2">
      <c r="A99" t="s">
        <v>213</v>
      </c>
      <c r="B99" s="3" t="str">
        <f>HYPERLINK("http://www.ncbi.nlm.nih.gov/gene/10457","GPNMB")</f>
        <v>GPNMB</v>
      </c>
      <c r="C99">
        <v>10457</v>
      </c>
      <c r="D99" t="s">
        <v>214</v>
      </c>
      <c r="E99" s="3" t="str">
        <f>HYPERLINK("http://genome.ucsc.edu/cgi-bin/hgTracks?db=hg19&amp;lastVirtModeType=default&amp;lastVirtModeExtraState=&amp;virtModeType=default&amp;virtMode=0&amp;nonVirtPosition=&amp;position=chr7:23246696-23275110","chr7:23246696-23275110")</f>
        <v>chr7:23246696-23275110</v>
      </c>
      <c r="F99" t="s">
        <v>27</v>
      </c>
      <c r="G99">
        <v>0.409690567584932</v>
      </c>
      <c r="H99">
        <v>5.4104881041648997E-2</v>
      </c>
      <c r="I99">
        <v>7.5721554081148303</v>
      </c>
      <c r="J99" s="1">
        <v>3.6708194271928999E-14</v>
      </c>
      <c r="K99" s="1">
        <v>5.2991176446866797E-12</v>
      </c>
      <c r="L99" t="s">
        <v>23</v>
      </c>
      <c r="M99" t="s">
        <v>24</v>
      </c>
      <c r="N99">
        <v>2697.0176627691699</v>
      </c>
      <c r="O99">
        <v>2294.58824186429</v>
      </c>
      <c r="P99">
        <v>3099.4470836740502</v>
      </c>
      <c r="Q99">
        <v>2281.1658666442399</v>
      </c>
      <c r="R99">
        <v>2308.0106170843301</v>
      </c>
      <c r="S99">
        <v>3089.7206054467802</v>
      </c>
      <c r="T99">
        <v>3109.1735619013298</v>
      </c>
    </row>
    <row r="100" spans="1:20" x14ac:dyDescent="0.2">
      <c r="A100" t="s">
        <v>215</v>
      </c>
      <c r="B100" s="3" t="str">
        <f>HYPERLINK("http://www.ncbi.nlm.nih.gov/gene/6941","TCF19")</f>
        <v>TCF19</v>
      </c>
      <c r="C100">
        <v>6941</v>
      </c>
      <c r="D100" t="s">
        <v>216</v>
      </c>
      <c r="E100" s="3" t="str">
        <f>HYPERLINK("http://genome.ucsc.edu/cgi-bin/hgTracks?db=hg19&amp;lastVirtModeType=default&amp;lastVirtModeExtraState=&amp;virtModeType=default&amp;virtMode=0&amp;nonVirtPosition=&amp;position=chr6:31158525-31164215","chr6:31158525-31164215")</f>
        <v>chr6:31158525-31164215</v>
      </c>
      <c r="F100" t="s">
        <v>27</v>
      </c>
      <c r="G100">
        <v>-0.50653502049239696</v>
      </c>
      <c r="H100">
        <v>6.6920030728233298E-2</v>
      </c>
      <c r="I100">
        <v>-7.5692586357210399</v>
      </c>
      <c r="J100" s="1">
        <v>3.7536017365021101E-14</v>
      </c>
      <c r="K100" s="1">
        <v>5.3621764806656097E-12</v>
      </c>
      <c r="L100" t="s">
        <v>23</v>
      </c>
      <c r="M100" t="s">
        <v>24</v>
      </c>
      <c r="N100">
        <v>1413.42791860948</v>
      </c>
      <c r="O100">
        <v>1682.5194708005199</v>
      </c>
      <c r="P100">
        <v>1144.3363664184401</v>
      </c>
      <c r="Q100">
        <v>1678.5418319095099</v>
      </c>
      <c r="R100">
        <v>1686.4971096915301</v>
      </c>
      <c r="S100">
        <v>1126.5839500064601</v>
      </c>
      <c r="T100">
        <v>1162.0887828304201</v>
      </c>
    </row>
    <row r="101" spans="1:20" x14ac:dyDescent="0.2">
      <c r="A101" t="s">
        <v>217</v>
      </c>
      <c r="B101" s="3" t="str">
        <f>HYPERLINK("http://www.ncbi.nlm.nih.gov/gene/3084","NRG1")</f>
        <v>NRG1</v>
      </c>
      <c r="C101">
        <v>3084</v>
      </c>
      <c r="D101" t="s">
        <v>218</v>
      </c>
      <c r="E101" s="3" t="str">
        <f>HYPERLINK("http://genome.ucsc.edu/cgi-bin/hgTracks?db=hg19&amp;lastVirtModeType=default&amp;lastVirtModeExtraState=&amp;virtModeType=default&amp;virtMode=0&amp;nonVirtPosition=&amp;position=chr8:32646731-32743252","chr8:32646731-32743252")</f>
        <v>chr8:32646731-32743252</v>
      </c>
      <c r="F101" t="s">
        <v>27</v>
      </c>
      <c r="G101">
        <v>-0.77730050211533497</v>
      </c>
      <c r="H101">
        <v>0.103038969951259</v>
      </c>
      <c r="I101">
        <v>-7.5437526450722698</v>
      </c>
      <c r="J101" s="1">
        <v>4.56636894909489E-14</v>
      </c>
      <c r="K101" s="1">
        <v>6.4559983265863198E-12</v>
      </c>
      <c r="L101" t="s">
        <v>23</v>
      </c>
      <c r="M101" t="s">
        <v>24</v>
      </c>
      <c r="N101">
        <v>2277.1326243621902</v>
      </c>
      <c r="O101">
        <v>3066.2986801338202</v>
      </c>
      <c r="P101">
        <v>1487.96656859056</v>
      </c>
      <c r="Q101">
        <v>3070.9060400180601</v>
      </c>
      <c r="R101">
        <v>3061.6913202495898</v>
      </c>
      <c r="S101">
        <v>1341.6411313562</v>
      </c>
      <c r="T101">
        <v>1634.2920058249199</v>
      </c>
    </row>
    <row r="102" spans="1:20" x14ac:dyDescent="0.2">
      <c r="A102" t="s">
        <v>219</v>
      </c>
      <c r="B102" s="3" t="str">
        <f>HYPERLINK("http://www.ncbi.nlm.nih.gov/gene/29109","FHOD1")</f>
        <v>FHOD1</v>
      </c>
      <c r="C102">
        <v>29109</v>
      </c>
      <c r="D102" t="s">
        <v>220</v>
      </c>
      <c r="E102" s="3" t="str">
        <f>HYPERLINK("http://genome.ucsc.edu/cgi-bin/hgTracks?db=hg19&amp;lastVirtModeType=default&amp;lastVirtModeExtraState=&amp;virtModeType=default&amp;virtMode=0&amp;nonVirtPosition=&amp;position=chr16:67229388-67247522","chr16:67229388-67247522")</f>
        <v>chr16:67229388-67247522</v>
      </c>
      <c r="F102" t="s">
        <v>22</v>
      </c>
      <c r="G102">
        <v>0.37174167803889702</v>
      </c>
      <c r="H102">
        <v>4.9377631680319299E-2</v>
      </c>
      <c r="I102">
        <v>7.5285441076969102</v>
      </c>
      <c r="J102" s="1">
        <v>5.1309186131776702E-14</v>
      </c>
      <c r="K102" s="1">
        <v>7.18014467970598E-12</v>
      </c>
      <c r="L102" t="s">
        <v>23</v>
      </c>
      <c r="M102" t="s">
        <v>24</v>
      </c>
      <c r="N102">
        <v>3694.2483966129398</v>
      </c>
      <c r="O102">
        <v>3199.3998418019401</v>
      </c>
      <c r="P102">
        <v>4189.0969514239396</v>
      </c>
      <c r="Q102">
        <v>3244.2636390513298</v>
      </c>
      <c r="R102">
        <v>3154.5360445525598</v>
      </c>
      <c r="S102">
        <v>4190.6555338243597</v>
      </c>
      <c r="T102">
        <v>4187.5383690235103</v>
      </c>
    </row>
    <row r="103" spans="1:20" x14ac:dyDescent="0.2">
      <c r="A103" t="s">
        <v>221</v>
      </c>
      <c r="B103" s="3" t="str">
        <f>HYPERLINK("http://www.ncbi.nlm.nih.gov/gene/10112","KIF20A")</f>
        <v>KIF20A</v>
      </c>
      <c r="C103">
        <v>10112</v>
      </c>
      <c r="D103" t="s">
        <v>222</v>
      </c>
      <c r="E103" s="3" t="str">
        <f>HYPERLINK("http://genome.ucsc.edu/cgi-bin/hgTracks?db=hg19&amp;lastVirtModeType=default&amp;lastVirtModeExtraState=&amp;virtModeType=default&amp;virtMode=0&amp;nonVirtPosition=&amp;position=chr5:138178727-138187715","chr5:138178727-138187715")</f>
        <v>chr5:138178727-138187715</v>
      </c>
      <c r="F103" t="s">
        <v>27</v>
      </c>
      <c r="G103">
        <v>-0.81947318795858304</v>
      </c>
      <c r="H103">
        <v>0.109379752193101</v>
      </c>
      <c r="I103">
        <v>-7.4920007727926397</v>
      </c>
      <c r="J103" s="1">
        <v>6.7831523166219805E-14</v>
      </c>
      <c r="K103" s="1">
        <v>9.3963788757731107E-12</v>
      </c>
      <c r="L103" t="s">
        <v>23</v>
      </c>
      <c r="M103" t="s">
        <v>24</v>
      </c>
      <c r="N103">
        <v>276.94543181863003</v>
      </c>
      <c r="O103">
        <v>384.65802458170799</v>
      </c>
      <c r="P103">
        <v>169.23283905555101</v>
      </c>
      <c r="Q103">
        <v>367.35300747527799</v>
      </c>
      <c r="R103">
        <v>401.96304168813703</v>
      </c>
      <c r="S103">
        <v>169.678143083284</v>
      </c>
      <c r="T103">
        <v>168.78753502781899</v>
      </c>
    </row>
    <row r="104" spans="1:20" x14ac:dyDescent="0.2">
      <c r="A104" t="s">
        <v>223</v>
      </c>
      <c r="B104" s="3" t="str">
        <f>HYPERLINK("http://www.ncbi.nlm.nih.gov/gene/6533","SLC6A6")</f>
        <v>SLC6A6</v>
      </c>
      <c r="C104">
        <v>6533</v>
      </c>
      <c r="D104" t="s">
        <v>224</v>
      </c>
      <c r="E104" s="3" t="str">
        <f>HYPERLINK("http://genome.ucsc.edu/cgi-bin/hgTracks?db=hg19&amp;lastVirtModeType=default&amp;lastVirtModeExtraState=&amp;virtModeType=default&amp;virtMode=0&amp;nonVirtPosition=&amp;position=chr3:14402575-14448185","chr3:14402575-14448185")</f>
        <v>chr3:14402575-14448185</v>
      </c>
      <c r="F104" t="s">
        <v>27</v>
      </c>
      <c r="G104">
        <v>0.34243041111549599</v>
      </c>
      <c r="H104">
        <v>4.5812940734249401E-2</v>
      </c>
      <c r="I104">
        <v>7.4745346102503598</v>
      </c>
      <c r="J104" s="1">
        <v>7.7477554075620005E-14</v>
      </c>
      <c r="K104" s="1">
        <v>1.0625271765930501E-11</v>
      </c>
      <c r="L104" t="s">
        <v>23</v>
      </c>
      <c r="M104" t="s">
        <v>24</v>
      </c>
      <c r="N104">
        <v>11487.4648729375</v>
      </c>
      <c r="O104">
        <v>10074.462471959099</v>
      </c>
      <c r="P104">
        <v>12900.467273916</v>
      </c>
      <c r="Q104">
        <v>10204.708825633499</v>
      </c>
      <c r="R104">
        <v>9944.2161182847904</v>
      </c>
      <c r="S104">
        <v>13412.4653102345</v>
      </c>
      <c r="T104">
        <v>12388.469237597399</v>
      </c>
    </row>
    <row r="105" spans="1:20" x14ac:dyDescent="0.2">
      <c r="A105" t="s">
        <v>225</v>
      </c>
      <c r="B105" s="3" t="str">
        <f>HYPERLINK("http://www.ncbi.nlm.nih.gov/gene/56975","FAM20C")</f>
        <v>FAM20C</v>
      </c>
      <c r="C105">
        <v>56975</v>
      </c>
      <c r="D105" t="s">
        <v>226</v>
      </c>
      <c r="E105" s="3" t="str">
        <f>HYPERLINK("http://genome.ucsc.edu/cgi-bin/hgTracks?db=hg19&amp;lastVirtModeType=default&amp;lastVirtModeExtraState=&amp;virtModeType=default&amp;virtMode=0&amp;nonVirtPosition=&amp;position=chr7:192968-260774","chr7:192968-260774")</f>
        <v>chr7:192968-260774</v>
      </c>
      <c r="F105" t="s">
        <v>27</v>
      </c>
      <c r="G105">
        <v>-0.39638441177942302</v>
      </c>
      <c r="H105">
        <v>5.3201373691792099E-2</v>
      </c>
      <c r="I105">
        <v>-7.4506424228022796</v>
      </c>
      <c r="J105" s="1">
        <v>9.2886804776574899E-14</v>
      </c>
      <c r="K105" s="1">
        <v>1.26123726802569E-11</v>
      </c>
      <c r="L105" t="s">
        <v>23</v>
      </c>
      <c r="M105" t="s">
        <v>24</v>
      </c>
      <c r="N105">
        <v>3998.1871996066402</v>
      </c>
      <c r="O105">
        <v>4576.81477881911</v>
      </c>
      <c r="P105">
        <v>3419.55962039417</v>
      </c>
      <c r="Q105">
        <v>4543.0697778403301</v>
      </c>
      <c r="R105">
        <v>4610.5597797978999</v>
      </c>
      <c r="S105">
        <v>3258.4122476981802</v>
      </c>
      <c r="T105">
        <v>3580.7069930901598</v>
      </c>
    </row>
    <row r="106" spans="1:20" x14ac:dyDescent="0.2">
      <c r="A106" t="s">
        <v>227</v>
      </c>
      <c r="B106" s="3" t="str">
        <f>HYPERLINK("http://www.ncbi.nlm.nih.gov/gene/1509","CTSD")</f>
        <v>CTSD</v>
      </c>
      <c r="C106">
        <v>1509</v>
      </c>
      <c r="D106" t="s">
        <v>228</v>
      </c>
      <c r="E106" s="3" t="str">
        <f>HYPERLINK("http://genome.ucsc.edu/cgi-bin/hgTracks?db=hg19&amp;lastVirtModeType=default&amp;lastVirtModeExtraState=&amp;virtModeType=default&amp;virtMode=0&amp;nonVirtPosition=&amp;position=chr11:1752751-1763992","chr11:1752751-1763992")</f>
        <v>chr11:1752751-1763992</v>
      </c>
      <c r="F106" t="s">
        <v>22</v>
      </c>
      <c r="G106">
        <v>0.29856543411791098</v>
      </c>
      <c r="H106">
        <v>4.0247319381413398E-2</v>
      </c>
      <c r="I106">
        <v>7.4182688116066497</v>
      </c>
      <c r="J106" s="1">
        <v>1.1866108049587701E-13</v>
      </c>
      <c r="K106" s="1">
        <v>1.5811394148426102E-11</v>
      </c>
      <c r="L106" t="s">
        <v>23</v>
      </c>
      <c r="M106" t="s">
        <v>24</v>
      </c>
      <c r="N106">
        <v>41662.560984343501</v>
      </c>
      <c r="O106">
        <v>37236.926887056798</v>
      </c>
      <c r="P106">
        <v>46088.195081630103</v>
      </c>
      <c r="Q106">
        <v>36973.323482708402</v>
      </c>
      <c r="R106">
        <v>37500.530291405201</v>
      </c>
      <c r="S106">
        <v>45342.537735680096</v>
      </c>
      <c r="T106">
        <v>46833.852427580103</v>
      </c>
    </row>
    <row r="107" spans="1:20" x14ac:dyDescent="0.2">
      <c r="A107" t="s">
        <v>229</v>
      </c>
      <c r="B107" s="3" t="str">
        <f>HYPERLINK("http://www.ncbi.nlm.nih.gov/gene/3690","ITGB3")</f>
        <v>ITGB3</v>
      </c>
      <c r="C107">
        <v>3690</v>
      </c>
      <c r="D107" t="s">
        <v>230</v>
      </c>
      <c r="E107" s="3" t="str">
        <f>HYPERLINK("http://genome.ucsc.edu/cgi-bin/hgTracks?db=hg19&amp;lastVirtModeType=default&amp;lastVirtModeExtraState=&amp;virtModeType=default&amp;virtMode=0&amp;nonVirtPosition=&amp;position=chr17:47253841-47312711","chr17:47253841-47312711")</f>
        <v>chr17:47253841-47312711</v>
      </c>
      <c r="F107" t="s">
        <v>27</v>
      </c>
      <c r="G107">
        <v>0.31880080223174101</v>
      </c>
      <c r="H107">
        <v>4.2975686269814899E-2</v>
      </c>
      <c r="I107">
        <v>7.4181666403233102</v>
      </c>
      <c r="J107" s="1">
        <v>1.1875263214874499E-13</v>
      </c>
      <c r="K107" s="1">
        <v>1.5811394148426102E-11</v>
      </c>
      <c r="L107" t="s">
        <v>23</v>
      </c>
      <c r="M107" t="s">
        <v>24</v>
      </c>
      <c r="N107">
        <v>12255.7922065331</v>
      </c>
      <c r="O107">
        <v>10856.5147345891</v>
      </c>
      <c r="P107">
        <v>13655.069678477101</v>
      </c>
      <c r="Q107">
        <v>10591.3237885569</v>
      </c>
      <c r="R107">
        <v>11121.7056806212</v>
      </c>
      <c r="S107">
        <v>13930.3782469712</v>
      </c>
      <c r="T107">
        <v>13379.761109982999</v>
      </c>
    </row>
    <row r="108" spans="1:20" x14ac:dyDescent="0.2">
      <c r="A108" t="s">
        <v>231</v>
      </c>
      <c r="B108" s="3" t="str">
        <f>HYPERLINK("http://www.ncbi.nlm.nih.gov/gene/6241","RRM2")</f>
        <v>RRM2</v>
      </c>
      <c r="C108">
        <v>6241</v>
      </c>
      <c r="D108" t="s">
        <v>232</v>
      </c>
      <c r="E108" s="3" t="str">
        <f>HYPERLINK("http://genome.ucsc.edu/cgi-bin/hgTracks?db=hg19&amp;lastVirtModeType=default&amp;lastVirtModeExtraState=&amp;virtModeType=default&amp;virtMode=0&amp;nonVirtPosition=&amp;position=chr2:10122735-10131419","chr2:10122735-10131419")</f>
        <v>chr2:10122735-10131419</v>
      </c>
      <c r="F108" t="s">
        <v>27</v>
      </c>
      <c r="G108">
        <v>-0.41514760098756398</v>
      </c>
      <c r="H108">
        <v>5.62263918146046E-2</v>
      </c>
      <c r="I108">
        <v>-7.3835006584884697</v>
      </c>
      <c r="J108" s="1">
        <v>1.5418090423690999E-13</v>
      </c>
      <c r="K108" s="1">
        <v>2.0331124237548001E-11</v>
      </c>
      <c r="L108" t="s">
        <v>23</v>
      </c>
      <c r="M108" t="s">
        <v>24</v>
      </c>
      <c r="N108">
        <v>2493.3689540804398</v>
      </c>
      <c r="O108">
        <v>2871.0577394464399</v>
      </c>
      <c r="P108">
        <v>2115.6801687144398</v>
      </c>
      <c r="Q108">
        <v>2893.4208791030301</v>
      </c>
      <c r="R108">
        <v>2848.6945997898401</v>
      </c>
      <c r="S108">
        <v>2164.3828251437499</v>
      </c>
      <c r="T108">
        <v>2066.9775122851202</v>
      </c>
    </row>
    <row r="109" spans="1:20" x14ac:dyDescent="0.2">
      <c r="A109" t="s">
        <v>233</v>
      </c>
      <c r="B109" s="3" t="str">
        <f>HYPERLINK("http://www.ncbi.nlm.nih.gov/gene/808","CALM3")</f>
        <v>CALM3</v>
      </c>
      <c r="C109">
        <v>808</v>
      </c>
      <c r="D109" t="s">
        <v>234</v>
      </c>
      <c r="E109" s="3" t="str">
        <f>HYPERLINK("http://genome.ucsc.edu/cgi-bin/hgTracks?db=hg19&amp;lastVirtModeType=default&amp;lastVirtModeExtraState=&amp;virtModeType=default&amp;virtMode=0&amp;nonVirtPosition=&amp;position=chr19:46601073-46610782","chr19:46601073-46610782")</f>
        <v>chr19:46601073-46610782</v>
      </c>
      <c r="F109" t="s">
        <v>27</v>
      </c>
      <c r="G109">
        <v>-0.33977826631615898</v>
      </c>
      <c r="H109">
        <v>4.6127963563797399E-2</v>
      </c>
      <c r="I109">
        <v>-7.3659932081377804</v>
      </c>
      <c r="J109" s="1">
        <v>1.7583277453039E-13</v>
      </c>
      <c r="K109" s="1">
        <v>2.2965434951521601E-11</v>
      </c>
      <c r="L109" t="s">
        <v>23</v>
      </c>
      <c r="M109" t="s">
        <v>24</v>
      </c>
      <c r="N109">
        <v>5448.8063610010504</v>
      </c>
      <c r="O109">
        <v>6113.8662994348097</v>
      </c>
      <c r="P109">
        <v>4783.7464225673002</v>
      </c>
      <c r="Q109">
        <v>5991.8439983327198</v>
      </c>
      <c r="R109">
        <v>6235.8886005368904</v>
      </c>
      <c r="S109">
        <v>4694.7574589148198</v>
      </c>
      <c r="T109">
        <v>4872.7353862197797</v>
      </c>
    </row>
    <row r="110" spans="1:20" x14ac:dyDescent="0.2">
      <c r="A110" t="s">
        <v>233</v>
      </c>
      <c r="B110" s="3" t="str">
        <f>HYPERLINK("http://www.ncbi.nlm.nih.gov/gene/805","CALM2")</f>
        <v>CALM2</v>
      </c>
      <c r="C110">
        <v>805</v>
      </c>
      <c r="D110" t="s">
        <v>235</v>
      </c>
      <c r="E110" s="3" t="str">
        <f>HYPERLINK("http://genome.ucsc.edu/cgi-bin/hgTracks?db=hg19&amp;lastVirtModeType=default&amp;lastVirtModeExtraState=&amp;virtModeType=default&amp;virtMode=0&amp;nonVirtPosition=&amp;position=chr2:47160081-47174207","chr2:47160081-47174207")</f>
        <v>chr2:47160081-47174207</v>
      </c>
      <c r="F110" t="s">
        <v>22</v>
      </c>
      <c r="G110">
        <v>-0.33977826631615898</v>
      </c>
      <c r="H110">
        <v>4.6127963563797399E-2</v>
      </c>
      <c r="I110">
        <v>-7.3659932081377804</v>
      </c>
      <c r="J110" s="1">
        <v>1.7583277453039E-13</v>
      </c>
      <c r="K110" s="1">
        <v>2.2965434951521601E-11</v>
      </c>
      <c r="L110" t="s">
        <v>23</v>
      </c>
      <c r="M110" t="s">
        <v>24</v>
      </c>
      <c r="N110">
        <v>5448.8063610010504</v>
      </c>
      <c r="O110">
        <v>6113.8662994348097</v>
      </c>
      <c r="P110">
        <v>4783.7464225673002</v>
      </c>
      <c r="Q110">
        <v>5991.8439983327198</v>
      </c>
      <c r="R110">
        <v>6235.8886005368904</v>
      </c>
      <c r="S110">
        <v>4694.7574589148198</v>
      </c>
      <c r="T110">
        <v>4872.7353862197797</v>
      </c>
    </row>
    <row r="111" spans="1:20" x14ac:dyDescent="0.2">
      <c r="A111" t="s">
        <v>236</v>
      </c>
      <c r="B111" s="3" t="str">
        <f>HYPERLINK("http://www.ncbi.nlm.nih.gov/gene/9133","CCNB2")</f>
        <v>CCNB2</v>
      </c>
      <c r="C111">
        <v>9133</v>
      </c>
      <c r="D111" t="s">
        <v>237</v>
      </c>
      <c r="E111" s="3" t="str">
        <f>HYPERLINK("http://genome.ucsc.edu/cgi-bin/hgTracks?db=hg19&amp;lastVirtModeType=default&amp;lastVirtModeExtraState=&amp;virtModeType=default&amp;virtMode=0&amp;nonVirtPosition=&amp;position=chr15:59105084-59125045","chr15:59105084-59125045")</f>
        <v>chr15:59105084-59125045</v>
      </c>
      <c r="F111" t="s">
        <v>27</v>
      </c>
      <c r="G111">
        <v>-0.72299940423020903</v>
      </c>
      <c r="H111">
        <v>9.8382949073581902E-2</v>
      </c>
      <c r="I111">
        <v>-7.3488283390394002</v>
      </c>
      <c r="J111" s="1">
        <v>1.9995177871687001E-13</v>
      </c>
      <c r="K111" s="1">
        <v>2.58692329558788E-11</v>
      </c>
      <c r="L111" t="s">
        <v>23</v>
      </c>
      <c r="M111" t="s">
        <v>24</v>
      </c>
      <c r="N111">
        <v>446.314583587225</v>
      </c>
      <c r="O111">
        <v>585.13979876077099</v>
      </c>
      <c r="P111">
        <v>307.48936841367799</v>
      </c>
      <c r="Q111">
        <v>558.59670799611604</v>
      </c>
      <c r="R111">
        <v>611.68288952542605</v>
      </c>
      <c r="S111">
        <v>302.85575538702398</v>
      </c>
      <c r="T111">
        <v>312.12298144033201</v>
      </c>
    </row>
    <row r="112" spans="1:20" x14ac:dyDescent="0.2">
      <c r="A112" t="s">
        <v>238</v>
      </c>
      <c r="B112" s="3" t="str">
        <f>HYPERLINK("http://www.ncbi.nlm.nih.gov/gene/79625","NDNF")</f>
        <v>NDNF</v>
      </c>
      <c r="C112">
        <v>79625</v>
      </c>
      <c r="D112" t="s">
        <v>239</v>
      </c>
      <c r="E112" s="3" t="str">
        <f>HYPERLINK("http://genome.ucsc.edu/cgi-bin/hgTracks?db=hg19&amp;lastVirtModeType=default&amp;lastVirtModeExtraState=&amp;virtModeType=default&amp;virtMode=0&amp;nonVirtPosition=&amp;position=chr4:121035626-121072518","chr4:121035626-121072518")</f>
        <v>chr4:121035626-121072518</v>
      </c>
      <c r="F112" t="s">
        <v>22</v>
      </c>
      <c r="G112">
        <v>-0.617159498906244</v>
      </c>
      <c r="H112">
        <v>8.4120084903947998E-2</v>
      </c>
      <c r="I112">
        <v>-7.3366485496411897</v>
      </c>
      <c r="J112" s="1">
        <v>2.19008709567939E-13</v>
      </c>
      <c r="K112" s="1">
        <v>2.8069957411352499E-11</v>
      </c>
      <c r="L112" t="s">
        <v>23</v>
      </c>
      <c r="M112" t="s">
        <v>24</v>
      </c>
      <c r="N112">
        <v>1102.67113007646</v>
      </c>
      <c r="O112">
        <v>1376.0492502710999</v>
      </c>
      <c r="P112">
        <v>829.29300988180705</v>
      </c>
      <c r="Q112">
        <v>1370.3505447392399</v>
      </c>
      <c r="R112">
        <v>1381.74795580297</v>
      </c>
      <c r="S112">
        <v>734.94311975027097</v>
      </c>
      <c r="T112">
        <v>923.64290001334302</v>
      </c>
    </row>
    <row r="113" spans="1:20" x14ac:dyDescent="0.2">
      <c r="A113" t="s">
        <v>240</v>
      </c>
      <c r="B113" s="3" t="str">
        <f>HYPERLINK("http://www.ncbi.nlm.nih.gov/gene/63874","ABHD4")</f>
        <v>ABHD4</v>
      </c>
      <c r="C113">
        <v>63874</v>
      </c>
      <c r="D113" t="s">
        <v>241</v>
      </c>
      <c r="E113" s="3" t="str">
        <f>HYPERLINK("http://genome.ucsc.edu/cgi-bin/hgTracks?db=hg19&amp;lastVirtModeType=default&amp;lastVirtModeExtraState=&amp;virtModeType=default&amp;virtMode=0&amp;nonVirtPosition=&amp;position=chr14:22598237-22612359","chr14:22598237-22612359")</f>
        <v>chr14:22598237-22612359</v>
      </c>
      <c r="F113" t="s">
        <v>27</v>
      </c>
      <c r="G113">
        <v>0.38762213187477601</v>
      </c>
      <c r="H113">
        <v>5.2980713980601897E-2</v>
      </c>
      <c r="I113">
        <v>7.3162874327570897</v>
      </c>
      <c r="J113" s="1">
        <v>2.5492532290216998E-13</v>
      </c>
      <c r="K113" s="1">
        <v>3.2370795169262602E-11</v>
      </c>
      <c r="L113" t="s">
        <v>23</v>
      </c>
      <c r="M113" t="s">
        <v>24</v>
      </c>
      <c r="N113">
        <v>4048.07243318979</v>
      </c>
      <c r="O113">
        <v>3474.4676691596001</v>
      </c>
      <c r="P113">
        <v>4621.6771972199704</v>
      </c>
      <c r="Q113">
        <v>3337.8217083708801</v>
      </c>
      <c r="R113">
        <v>3611.1136299483201</v>
      </c>
      <c r="S113">
        <v>4747.0420030044297</v>
      </c>
      <c r="T113">
        <v>4496.3123914355101</v>
      </c>
    </row>
    <row r="114" spans="1:20" x14ac:dyDescent="0.2">
      <c r="A114" t="s">
        <v>242</v>
      </c>
      <c r="B114" s="3" t="str">
        <f>HYPERLINK("http://www.ncbi.nlm.nih.gov/gene/51129","ANGPTL4")</f>
        <v>ANGPTL4</v>
      </c>
      <c r="C114">
        <v>51129</v>
      </c>
      <c r="D114" t="s">
        <v>243</v>
      </c>
      <c r="E114" s="3" t="str">
        <f>HYPERLINK("http://genome.ucsc.edu/cgi-bin/hgTracks?db=hg19&amp;lastVirtModeType=default&amp;lastVirtModeExtraState=&amp;virtModeType=default&amp;virtMode=0&amp;nonVirtPosition=&amp;position=chr19:8364126-8374375","chr19:8364126-8374375")</f>
        <v>chr19:8364126-8374375</v>
      </c>
      <c r="F114" t="s">
        <v>27</v>
      </c>
      <c r="G114">
        <v>0.40204481768639799</v>
      </c>
      <c r="H114">
        <v>5.5140297986539397E-2</v>
      </c>
      <c r="I114">
        <v>7.2913065827925703</v>
      </c>
      <c r="J114" s="1">
        <v>3.0696334210109199E-13</v>
      </c>
      <c r="K114" s="1">
        <v>3.8621057555728203E-11</v>
      </c>
      <c r="L114" t="s">
        <v>23</v>
      </c>
      <c r="M114" t="s">
        <v>24</v>
      </c>
      <c r="N114">
        <v>5959.4235491440704</v>
      </c>
      <c r="O114">
        <v>5085.71354465479</v>
      </c>
      <c r="P114">
        <v>6833.13355363336</v>
      </c>
      <c r="Q114">
        <v>5374.0855700315997</v>
      </c>
      <c r="R114">
        <v>4797.3415192779903</v>
      </c>
      <c r="S114">
        <v>7111.6844970197299</v>
      </c>
      <c r="T114">
        <v>6554.58261024698</v>
      </c>
    </row>
    <row r="115" spans="1:20" x14ac:dyDescent="0.2">
      <c r="A115" t="s">
        <v>244</v>
      </c>
      <c r="B115" s="3" t="str">
        <f>HYPERLINK("http://www.ncbi.nlm.nih.gov/gene/10592","SMC2")</f>
        <v>SMC2</v>
      </c>
      <c r="C115">
        <v>10592</v>
      </c>
      <c r="D115" t="s">
        <v>245</v>
      </c>
      <c r="E115" s="3" t="str">
        <f>HYPERLINK("http://genome.ucsc.edu/cgi-bin/hgTracks?db=hg19&amp;lastVirtModeType=default&amp;lastVirtModeExtraState=&amp;virtModeType=default&amp;virtMode=0&amp;nonVirtPosition=&amp;position=chr9:104094259-104141419","chr9:104094259-104141419")</f>
        <v>chr9:104094259-104141419</v>
      </c>
      <c r="F115" t="s">
        <v>27</v>
      </c>
      <c r="G115">
        <v>-0.44336613883906201</v>
      </c>
      <c r="H115">
        <v>6.1013505214729702E-2</v>
      </c>
      <c r="I115">
        <v>-7.26668853524622</v>
      </c>
      <c r="J115" s="1">
        <v>3.6840690986751802E-13</v>
      </c>
      <c r="K115" s="1">
        <v>4.5930294199301302E-11</v>
      </c>
      <c r="L115" t="s">
        <v>23</v>
      </c>
      <c r="M115" t="s">
        <v>24</v>
      </c>
      <c r="N115">
        <v>1952.2024512676001</v>
      </c>
      <c r="O115">
        <v>2270.8363221120999</v>
      </c>
      <c r="P115">
        <v>1633.5685804231</v>
      </c>
      <c r="Q115">
        <v>2246.7695176297002</v>
      </c>
      <c r="R115">
        <v>2294.9031265945</v>
      </c>
      <c r="S115">
        <v>1677.0514141952499</v>
      </c>
      <c r="T115">
        <v>1590.0857466509599</v>
      </c>
    </row>
    <row r="116" spans="1:20" x14ac:dyDescent="0.2">
      <c r="A116" t="s">
        <v>246</v>
      </c>
      <c r="B116" s="3" t="str">
        <f>HYPERLINK("http://www.ncbi.nlm.nih.gov/gene/27075","TSPAN13")</f>
        <v>TSPAN13</v>
      </c>
      <c r="C116">
        <v>27075</v>
      </c>
      <c r="D116" t="s">
        <v>247</v>
      </c>
      <c r="E116" s="3" t="str">
        <f>HYPERLINK("http://genome.ucsc.edu/cgi-bin/hgTracks?db=hg19&amp;lastVirtModeType=default&amp;lastVirtModeExtraState=&amp;virtModeType=default&amp;virtMode=0&amp;nonVirtPosition=&amp;position=chr7:16753725-16784536","chr7:16753725-16784536")</f>
        <v>chr7:16753725-16784536</v>
      </c>
      <c r="F116" t="s">
        <v>27</v>
      </c>
      <c r="G116">
        <v>-0.52786146806255696</v>
      </c>
      <c r="H116">
        <v>7.2987626801704494E-2</v>
      </c>
      <c r="I116">
        <v>-7.2322048433862696</v>
      </c>
      <c r="J116" s="1">
        <v>4.7521466437973302E-13</v>
      </c>
      <c r="K116" s="1">
        <v>5.8712557723456396E-11</v>
      </c>
      <c r="L116" t="s">
        <v>23</v>
      </c>
      <c r="M116" t="s">
        <v>24</v>
      </c>
      <c r="N116">
        <v>1098.8060524657801</v>
      </c>
      <c r="O116">
        <v>1320.9413361192301</v>
      </c>
      <c r="P116">
        <v>876.67076881232902</v>
      </c>
      <c r="Q116">
        <v>1312.56467839481</v>
      </c>
      <c r="R116">
        <v>1329.3179938436499</v>
      </c>
      <c r="S116">
        <v>863.18822789461296</v>
      </c>
      <c r="T116">
        <v>890.15330973004598</v>
      </c>
    </row>
    <row r="117" spans="1:20" x14ac:dyDescent="0.2">
      <c r="A117" t="s">
        <v>248</v>
      </c>
      <c r="B117" s="3" t="str">
        <f>HYPERLINK("http://www.ncbi.nlm.nih.gov/gene/24137","KIF4A")</f>
        <v>KIF4A</v>
      </c>
      <c r="C117">
        <v>24137</v>
      </c>
      <c r="D117" t="s">
        <v>249</v>
      </c>
      <c r="E117" s="3" t="str">
        <f>HYPERLINK("http://genome.ucsc.edu/cgi-bin/hgTracks?db=hg19&amp;lastVirtModeType=default&amp;lastVirtModeExtraState=&amp;virtModeType=default&amp;virtMode=0&amp;nonVirtPosition=&amp;position=chrX:70290028-70420924","chrX:70290028-70420924")</f>
        <v>chrX:70290028-70420924</v>
      </c>
      <c r="F117" t="s">
        <v>27</v>
      </c>
      <c r="G117">
        <v>-0.683154098950427</v>
      </c>
      <c r="H117">
        <v>9.4545634751434904E-2</v>
      </c>
      <c r="I117">
        <v>-7.2256545820065901</v>
      </c>
      <c r="J117" s="1">
        <v>4.9869384166288596E-13</v>
      </c>
      <c r="K117" s="1">
        <v>6.1063279862185894E-11</v>
      </c>
      <c r="L117" t="s">
        <v>23</v>
      </c>
      <c r="M117" t="s">
        <v>24</v>
      </c>
      <c r="N117">
        <v>495.47692684517398</v>
      </c>
      <c r="O117">
        <v>637.72170947782297</v>
      </c>
      <c r="P117">
        <v>353.23214421252499</v>
      </c>
      <c r="Q117">
        <v>634.268675828102</v>
      </c>
      <c r="R117">
        <v>641.17474312754496</v>
      </c>
      <c r="S117">
        <v>354.15379864476103</v>
      </c>
      <c r="T117">
        <v>352.310489780289</v>
      </c>
    </row>
    <row r="118" spans="1:20" x14ac:dyDescent="0.2">
      <c r="A118" t="s">
        <v>250</v>
      </c>
      <c r="B118" s="3" t="str">
        <f>HYPERLINK("http://www.ncbi.nlm.nih.gov/gene/3036","HAS1")</f>
        <v>HAS1</v>
      </c>
      <c r="C118">
        <v>3036</v>
      </c>
      <c r="D118" t="s">
        <v>251</v>
      </c>
      <c r="E118" s="3" t="str">
        <f>HYPERLINK("http://genome.ucsc.edu/cgi-bin/hgTracks?db=hg19&amp;lastVirtModeType=default&amp;lastVirtModeExtraState=&amp;virtModeType=default&amp;virtMode=0&amp;nonVirtPosition=&amp;position=chr19:51713111-51723992","chr19:51713111-51723992")</f>
        <v>chr19:51713111-51723992</v>
      </c>
      <c r="F118" t="s">
        <v>22</v>
      </c>
      <c r="G118">
        <v>0.40221863694149601</v>
      </c>
      <c r="H118">
        <v>5.5744997399554998E-2</v>
      </c>
      <c r="I118">
        <v>7.2153315221915602</v>
      </c>
      <c r="J118" s="1">
        <v>5.3802736071394002E-13</v>
      </c>
      <c r="K118" s="1">
        <v>6.5296524113548395E-11</v>
      </c>
      <c r="L118" t="s">
        <v>23</v>
      </c>
      <c r="M118" t="s">
        <v>24</v>
      </c>
      <c r="N118">
        <v>3396.0364520672401</v>
      </c>
      <c r="O118">
        <v>2899.1152341811398</v>
      </c>
      <c r="P118">
        <v>3892.95766995334</v>
      </c>
      <c r="Q118">
        <v>3054.3957924910801</v>
      </c>
      <c r="R118">
        <v>2743.8346758712</v>
      </c>
      <c r="S118">
        <v>3891.7457817648601</v>
      </c>
      <c r="T118">
        <v>3894.1695581418298</v>
      </c>
    </row>
    <row r="119" spans="1:20" x14ac:dyDescent="0.2">
      <c r="A119" t="s">
        <v>252</v>
      </c>
      <c r="B119" s="3" t="str">
        <f>HYPERLINK("http://www.ncbi.nlm.nih.gov/gene/55165","CEP55")</f>
        <v>CEP55</v>
      </c>
      <c r="C119">
        <v>55165</v>
      </c>
      <c r="D119" t="s">
        <v>253</v>
      </c>
      <c r="E119" s="3" t="str">
        <f>HYPERLINK("http://genome.ucsc.edu/cgi-bin/hgTracks?db=hg19&amp;lastVirtModeType=default&amp;lastVirtModeExtraState=&amp;virtModeType=default&amp;virtMode=0&amp;nonVirtPosition=&amp;position=chr10:93496631-93529092","chr10:93496631-93529092")</f>
        <v>chr10:93496631-93529092</v>
      </c>
      <c r="F119" t="s">
        <v>27</v>
      </c>
      <c r="G119">
        <v>-0.61777828441211702</v>
      </c>
      <c r="H119">
        <v>8.6233857539369504E-2</v>
      </c>
      <c r="I119">
        <v>-7.1639875802850899</v>
      </c>
      <c r="J119" s="1">
        <v>7.8363506520133596E-13</v>
      </c>
      <c r="K119" s="1">
        <v>9.4269923545360697E-11</v>
      </c>
      <c r="L119" t="s">
        <v>23</v>
      </c>
      <c r="M119" t="s">
        <v>24</v>
      </c>
      <c r="N119">
        <v>680.71302886530395</v>
      </c>
      <c r="O119">
        <v>850.58616930212099</v>
      </c>
      <c r="P119">
        <v>510.83988842848697</v>
      </c>
      <c r="Q119">
        <v>850.27774763940795</v>
      </c>
      <c r="R119">
        <v>850.89459096483404</v>
      </c>
      <c r="S119">
        <v>495.223417603538</v>
      </c>
      <c r="T119">
        <v>526.45635925343595</v>
      </c>
    </row>
    <row r="120" spans="1:20" x14ac:dyDescent="0.2">
      <c r="A120" t="s">
        <v>254</v>
      </c>
      <c r="B120" s="3" t="str">
        <f>HYPERLINK("http://www.ncbi.nlm.nih.gov/gene/9918","NCAPD2")</f>
        <v>NCAPD2</v>
      </c>
      <c r="C120">
        <v>9918</v>
      </c>
      <c r="D120" t="s">
        <v>255</v>
      </c>
      <c r="E120" s="3" t="str">
        <f>HYPERLINK("http://genome.ucsc.edu/cgi-bin/hgTracks?db=hg19&amp;lastVirtModeType=default&amp;lastVirtModeExtraState=&amp;virtModeType=default&amp;virtMode=0&amp;nonVirtPosition=&amp;position=chr12:6494131-6531966","chr12:6494131-6531966")</f>
        <v>chr12:6494131-6531966</v>
      </c>
      <c r="F120" t="s">
        <v>27</v>
      </c>
      <c r="G120">
        <v>-0.44488703605957503</v>
      </c>
      <c r="H120">
        <v>6.2768482698655897E-2</v>
      </c>
      <c r="I120">
        <v>-7.0877455839649004</v>
      </c>
      <c r="J120" s="1">
        <v>1.3631426747524601E-12</v>
      </c>
      <c r="K120" s="1">
        <v>1.6255772731787201E-10</v>
      </c>
      <c r="L120" t="s">
        <v>23</v>
      </c>
      <c r="M120" t="s">
        <v>24</v>
      </c>
      <c r="N120">
        <v>1996.8254188608801</v>
      </c>
      <c r="O120">
        <v>2327.2101029383798</v>
      </c>
      <c r="P120">
        <v>1666.4407347833801</v>
      </c>
      <c r="Q120">
        <v>2242.6419557479499</v>
      </c>
      <c r="R120">
        <v>2411.7782501288202</v>
      </c>
      <c r="S120">
        <v>1616.8748634506001</v>
      </c>
      <c r="T120">
        <v>1716.0066061161599</v>
      </c>
    </row>
    <row r="121" spans="1:20" x14ac:dyDescent="0.2">
      <c r="A121" t="s">
        <v>256</v>
      </c>
      <c r="B121" s="3" t="str">
        <f>HYPERLINK("http://www.ncbi.nlm.nih.gov/gene/117248","GALNT15")</f>
        <v>GALNT15</v>
      </c>
      <c r="C121">
        <v>117248</v>
      </c>
      <c r="D121" t="s">
        <v>257</v>
      </c>
      <c r="E121" s="3" t="str">
        <f>HYPERLINK("http://genome.ucsc.edu/cgi-bin/hgTracks?db=hg19&amp;lastVirtModeType=default&amp;lastVirtModeExtraState=&amp;virtModeType=default&amp;virtMode=0&amp;nonVirtPosition=&amp;position=chr3:16174676-16229746","chr3:16174676-16229746")</f>
        <v>chr3:16174676-16229746</v>
      </c>
      <c r="F121" t="s">
        <v>27</v>
      </c>
      <c r="G121">
        <v>0.81967418497515698</v>
      </c>
      <c r="H121">
        <v>0.116011987305572</v>
      </c>
      <c r="I121">
        <v>7.0654266340267302</v>
      </c>
      <c r="J121" s="1">
        <v>1.60123268320297E-12</v>
      </c>
      <c r="K121" s="1">
        <v>1.8930435359866799E-10</v>
      </c>
      <c r="L121" t="s">
        <v>23</v>
      </c>
      <c r="M121" t="s">
        <v>24</v>
      </c>
      <c r="N121">
        <v>205.37773740268901</v>
      </c>
      <c r="O121">
        <v>114.343390185492</v>
      </c>
      <c r="P121">
        <v>296.412084619886</v>
      </c>
      <c r="Q121">
        <v>123.826856452341</v>
      </c>
      <c r="R121">
        <v>104.859923918644</v>
      </c>
      <c r="S121">
        <v>269.31472710311903</v>
      </c>
      <c r="T121">
        <v>323.50944213665298</v>
      </c>
    </row>
    <row r="122" spans="1:20" x14ac:dyDescent="0.2">
      <c r="A122" t="s">
        <v>258</v>
      </c>
      <c r="B122" s="3" t="str">
        <f>HYPERLINK("http://www.ncbi.nlm.nih.gov/gene/55635","DEPDC1")</f>
        <v>DEPDC1</v>
      </c>
      <c r="C122">
        <v>55635</v>
      </c>
      <c r="D122" t="s">
        <v>259</v>
      </c>
      <c r="E122" s="3" t="str">
        <f>HYPERLINK("http://genome.ucsc.edu/cgi-bin/hgTracks?db=hg19&amp;lastVirtModeType=default&amp;lastVirtModeExtraState=&amp;virtModeType=default&amp;virtMode=0&amp;nonVirtPosition=&amp;position=chr1:68474151-68497221","chr1:68474151-68497221")</f>
        <v>chr1:68474151-68497221</v>
      </c>
      <c r="F122" t="s">
        <v>22</v>
      </c>
      <c r="G122">
        <v>-0.69650697373154102</v>
      </c>
      <c r="H122">
        <v>9.9296708864082997E-2</v>
      </c>
      <c r="I122">
        <v>-7.0144014006034903</v>
      </c>
      <c r="J122" s="1">
        <v>2.30935516274795E-12</v>
      </c>
      <c r="K122" s="1">
        <v>2.7068800599936201E-10</v>
      </c>
      <c r="L122" t="s">
        <v>23</v>
      </c>
      <c r="M122" t="s">
        <v>24</v>
      </c>
      <c r="N122">
        <v>442.06242895937299</v>
      </c>
      <c r="O122">
        <v>575.50882103670006</v>
      </c>
      <c r="P122">
        <v>308.61603688204502</v>
      </c>
      <c r="Q122">
        <v>539.33475254797395</v>
      </c>
      <c r="R122">
        <v>611.68288952542605</v>
      </c>
      <c r="S122">
        <v>307.78825954642201</v>
      </c>
      <c r="T122">
        <v>309.44381421766798</v>
      </c>
    </row>
    <row r="123" spans="1:20" x14ac:dyDescent="0.2">
      <c r="A123" t="s">
        <v>260</v>
      </c>
      <c r="B123" s="3" t="str">
        <f>HYPERLINK("http://www.ncbi.nlm.nih.gov/gene/9824","ARHGAP11A")</f>
        <v>ARHGAP11A</v>
      </c>
      <c r="C123">
        <v>9824</v>
      </c>
      <c r="D123" t="s">
        <v>261</v>
      </c>
      <c r="E123" s="3" t="str">
        <f>HYPERLINK("http://genome.ucsc.edu/cgi-bin/hgTracks?db=hg19&amp;lastVirtModeType=default&amp;lastVirtModeExtraState=&amp;virtModeType=default&amp;virtMode=0&amp;nonVirtPosition=&amp;position=chr15:32615475-32639937","chr15:32615475-32639937")</f>
        <v>chr15:32615475-32639937</v>
      </c>
      <c r="F123" t="s">
        <v>27</v>
      </c>
      <c r="G123">
        <v>-0.55215649400739297</v>
      </c>
      <c r="H123">
        <v>7.8857426319708102E-2</v>
      </c>
      <c r="I123">
        <v>-7.0019593559750497</v>
      </c>
      <c r="J123" s="1">
        <v>2.5240731361419398E-12</v>
      </c>
      <c r="K123" s="1">
        <v>2.9334863550042901E-10</v>
      </c>
      <c r="L123" t="s">
        <v>23</v>
      </c>
      <c r="M123" t="s">
        <v>24</v>
      </c>
      <c r="N123">
        <v>909.05929348152495</v>
      </c>
      <c r="O123">
        <v>1104.1699352922701</v>
      </c>
      <c r="P123">
        <v>713.94865167077603</v>
      </c>
      <c r="Q123">
        <v>1074.5419432142</v>
      </c>
      <c r="R123">
        <v>1133.7979273703399</v>
      </c>
      <c r="S123">
        <v>731.98361725463201</v>
      </c>
      <c r="T123">
        <v>695.91368608692096</v>
      </c>
    </row>
    <row r="124" spans="1:20" x14ac:dyDescent="0.2">
      <c r="A124" t="s">
        <v>262</v>
      </c>
      <c r="B124" s="3" t="str">
        <f>HYPERLINK("http://www.ncbi.nlm.nih.gov/gene/2669","GEM")</f>
        <v>GEM</v>
      </c>
      <c r="C124">
        <v>2669</v>
      </c>
      <c r="D124" t="s">
        <v>263</v>
      </c>
      <c r="E124" s="3" t="str">
        <f>HYPERLINK("http://genome.ucsc.edu/cgi-bin/hgTracks?db=hg19&amp;lastVirtModeType=default&amp;lastVirtModeExtraState=&amp;virtModeType=default&amp;virtMode=0&amp;nonVirtPosition=&amp;position=chr8:94249256-94262319","chr8:94249256-94262319")</f>
        <v>chr8:94249256-94262319</v>
      </c>
      <c r="F124" t="s">
        <v>22</v>
      </c>
      <c r="G124">
        <v>0.53271665269535196</v>
      </c>
      <c r="H124">
        <v>7.61364665979153E-2</v>
      </c>
      <c r="I124">
        <v>6.9968659763091496</v>
      </c>
      <c r="J124" s="1">
        <v>2.6175145261661098E-12</v>
      </c>
      <c r="K124" s="1">
        <v>3.0165205220035298E-10</v>
      </c>
      <c r="L124" t="s">
        <v>23</v>
      </c>
      <c r="M124" t="s">
        <v>24</v>
      </c>
      <c r="N124">
        <v>1317.55551290271</v>
      </c>
      <c r="O124">
        <v>1044.1886736782701</v>
      </c>
      <c r="P124">
        <v>1590.9223521271299</v>
      </c>
      <c r="Q124">
        <v>1027.7629085544299</v>
      </c>
      <c r="R124">
        <v>1060.61443880212</v>
      </c>
      <c r="S124">
        <v>1707.6329399835099</v>
      </c>
      <c r="T124">
        <v>1474.2117642707501</v>
      </c>
    </row>
    <row r="125" spans="1:20" x14ac:dyDescent="0.2">
      <c r="A125" t="s">
        <v>264</v>
      </c>
      <c r="B125" s="3" t="str">
        <f>HYPERLINK("http://www.ncbi.nlm.nih.gov/gene/22836","RHOBTB3")</f>
        <v>RHOBTB3</v>
      </c>
      <c r="C125">
        <v>22836</v>
      </c>
      <c r="D125" t="s">
        <v>265</v>
      </c>
      <c r="E125" s="3" t="str">
        <f>HYPERLINK("http://genome.ucsc.edu/cgi-bin/hgTracks?db=hg19&amp;lastVirtModeType=default&amp;lastVirtModeExtraState=&amp;virtModeType=default&amp;virtMode=0&amp;nonVirtPosition=&amp;position=chr5:95731145-95796367","chr5:95731145-95796367")</f>
        <v>chr5:95731145-95796367</v>
      </c>
      <c r="F125" t="s">
        <v>27</v>
      </c>
      <c r="G125">
        <v>-0.29503325578026801</v>
      </c>
      <c r="H125">
        <v>4.2189000342732E-2</v>
      </c>
      <c r="I125">
        <v>-6.9931321762425798</v>
      </c>
      <c r="J125" s="1">
        <v>2.68816028425187E-12</v>
      </c>
      <c r="K125" s="1">
        <v>3.0500002430678701E-10</v>
      </c>
      <c r="L125" t="s">
        <v>23</v>
      </c>
      <c r="M125" t="s">
        <v>24</v>
      </c>
      <c r="N125">
        <v>9465.4761606764805</v>
      </c>
      <c r="O125">
        <v>10465.280045106399</v>
      </c>
      <c r="P125">
        <v>8465.6722762465397</v>
      </c>
      <c r="Q125">
        <v>10647.733800940699</v>
      </c>
      <c r="R125">
        <v>10282.8262892721</v>
      </c>
      <c r="S125">
        <v>8319.1615152403101</v>
      </c>
      <c r="T125">
        <v>8612.1830372527693</v>
      </c>
    </row>
    <row r="126" spans="1:20" x14ac:dyDescent="0.2">
      <c r="A126" t="s">
        <v>266</v>
      </c>
      <c r="B126" s="3" t="str">
        <f>HYPERLINK("http://www.ncbi.nlm.nih.gov/gene/7078","TIMP3")</f>
        <v>TIMP3</v>
      </c>
      <c r="C126">
        <v>7078</v>
      </c>
      <c r="D126" t="s">
        <v>267</v>
      </c>
      <c r="E126" s="3" t="str">
        <f>HYPERLINK("http://genome.ucsc.edu/cgi-bin/hgTracks?db=hg19&amp;lastVirtModeType=default&amp;lastVirtModeExtraState=&amp;virtModeType=default&amp;virtMode=0&amp;nonVirtPosition=&amp;position=chr22:32800815-32863041","chr22:32800815-32863041")</f>
        <v>chr22:32800815-32863041</v>
      </c>
      <c r="F126" t="s">
        <v>27</v>
      </c>
      <c r="G126">
        <v>0.36679811509353799</v>
      </c>
      <c r="H126">
        <v>5.2452320024053201E-2</v>
      </c>
      <c r="I126">
        <v>6.9929817198807296</v>
      </c>
      <c r="J126" s="1">
        <v>2.6910458612455301E-12</v>
      </c>
      <c r="K126" s="1">
        <v>3.0500002430678701E-10</v>
      </c>
      <c r="L126" t="s">
        <v>23</v>
      </c>
      <c r="M126" t="s">
        <v>24</v>
      </c>
      <c r="N126">
        <v>16691.950499150698</v>
      </c>
      <c r="O126">
        <v>14469.990698846201</v>
      </c>
      <c r="P126">
        <v>18913.910299455001</v>
      </c>
      <c r="Q126">
        <v>14255.222885585599</v>
      </c>
      <c r="R126">
        <v>14684.7585121068</v>
      </c>
      <c r="S126">
        <v>17693.878920591698</v>
      </c>
      <c r="T126">
        <v>20133.941678318399</v>
      </c>
    </row>
    <row r="127" spans="1:20" x14ac:dyDescent="0.2">
      <c r="A127" t="s">
        <v>268</v>
      </c>
      <c r="B127" s="3" t="str">
        <f>HYPERLINK("http://www.ncbi.nlm.nih.gov/gene/4953","ODC1")</f>
        <v>ODC1</v>
      </c>
      <c r="C127">
        <v>4953</v>
      </c>
      <c r="D127" t="s">
        <v>269</v>
      </c>
      <c r="E127" s="3" t="str">
        <f>HYPERLINK("http://genome.ucsc.edu/cgi-bin/hgTracks?db=hg19&amp;lastVirtModeType=default&amp;lastVirtModeExtraState=&amp;virtModeType=default&amp;virtMode=0&amp;nonVirtPosition=&amp;position=chr2:10440370-10447799","chr2:10440370-10447799")</f>
        <v>chr2:10440370-10447799</v>
      </c>
      <c r="F127" t="s">
        <v>22</v>
      </c>
      <c r="G127">
        <v>0.35075052707347698</v>
      </c>
      <c r="H127">
        <v>5.0240482318377598E-2</v>
      </c>
      <c r="I127">
        <v>6.9814323208671798</v>
      </c>
      <c r="J127" s="1">
        <v>2.92185657634454E-12</v>
      </c>
      <c r="K127" s="1">
        <v>3.2844541875400901E-10</v>
      </c>
      <c r="L127" t="s">
        <v>23</v>
      </c>
      <c r="M127" t="s">
        <v>24</v>
      </c>
      <c r="N127">
        <v>11715.415114158401</v>
      </c>
      <c r="O127">
        <v>10226.6577431891</v>
      </c>
      <c r="P127">
        <v>13204.172485127599</v>
      </c>
      <c r="Q127">
        <v>10372.5630088244</v>
      </c>
      <c r="R127">
        <v>10080.7524775539</v>
      </c>
      <c r="S127">
        <v>13944.1892586175</v>
      </c>
      <c r="T127">
        <v>12464.155711637601</v>
      </c>
    </row>
    <row r="128" spans="1:20" x14ac:dyDescent="0.2">
      <c r="A128" t="s">
        <v>270</v>
      </c>
      <c r="B128" s="3" t="str">
        <f>HYPERLINK("http://www.ncbi.nlm.nih.gov/gene/1839","HBEGF")</f>
        <v>HBEGF</v>
      </c>
      <c r="C128">
        <v>1839</v>
      </c>
      <c r="D128" t="s">
        <v>271</v>
      </c>
      <c r="E128" s="3" t="str">
        <f>HYPERLINK("http://genome.ucsc.edu/cgi-bin/hgTracks?db=hg19&amp;lastVirtModeType=default&amp;lastVirtModeExtraState=&amp;virtModeType=default&amp;virtMode=0&amp;nonVirtPosition=&amp;position=chr5:140332842-140346603","chr5:140332842-140346603")</f>
        <v>chr5:140332842-140346603</v>
      </c>
      <c r="F128" t="s">
        <v>22</v>
      </c>
      <c r="G128">
        <v>0.59251672661506005</v>
      </c>
      <c r="H128">
        <v>8.4897967749024694E-2</v>
      </c>
      <c r="I128">
        <v>6.9791626622519196</v>
      </c>
      <c r="J128" s="1">
        <v>2.96944516041093E-12</v>
      </c>
      <c r="K128" s="1">
        <v>3.3108106447053197E-10</v>
      </c>
      <c r="L128" t="s">
        <v>23</v>
      </c>
      <c r="M128" t="s">
        <v>24</v>
      </c>
      <c r="N128">
        <v>1134.4423495732501</v>
      </c>
      <c r="O128">
        <v>863.45205817708597</v>
      </c>
      <c r="P128">
        <v>1405.4326409693999</v>
      </c>
      <c r="Q128">
        <v>858.53287140289694</v>
      </c>
      <c r="R128">
        <v>868.371244951275</v>
      </c>
      <c r="S128">
        <v>1557.68481353782</v>
      </c>
      <c r="T128">
        <v>1253.1804684009901</v>
      </c>
    </row>
    <row r="129" spans="1:20" x14ac:dyDescent="0.2">
      <c r="A129" t="s">
        <v>272</v>
      </c>
      <c r="B129" s="3" t="str">
        <f>HYPERLINK("http://www.ncbi.nlm.nih.gov/gene/51435","SCARA3")</f>
        <v>SCARA3</v>
      </c>
      <c r="C129">
        <v>51435</v>
      </c>
      <c r="D129" t="s">
        <v>273</v>
      </c>
      <c r="E129" s="3" t="str">
        <f>HYPERLINK("http://genome.ucsc.edu/cgi-bin/hgTracks?db=hg19&amp;lastVirtModeType=default&amp;lastVirtModeExtraState=&amp;virtModeType=default&amp;virtMode=0&amp;nonVirtPosition=&amp;position=chr8:27634059-27673020","chr8:27634059-27673020")</f>
        <v>chr8:27634059-27673020</v>
      </c>
      <c r="F129" t="s">
        <v>27</v>
      </c>
      <c r="G129">
        <v>-0.34509471800217401</v>
      </c>
      <c r="H129">
        <v>4.9457201444510199E-2</v>
      </c>
      <c r="I129">
        <v>-6.9776434558142597</v>
      </c>
      <c r="J129" s="1">
        <v>3.0017225780400201E-12</v>
      </c>
      <c r="K129" s="1">
        <v>3.31980834155168E-10</v>
      </c>
      <c r="L129" t="s">
        <v>23</v>
      </c>
      <c r="M129" t="s">
        <v>24</v>
      </c>
      <c r="N129">
        <v>4758.1880337738803</v>
      </c>
      <c r="O129">
        <v>5350.2800169068096</v>
      </c>
      <c r="P129">
        <v>4166.0960506409601</v>
      </c>
      <c r="Q129">
        <v>5148.4455204962196</v>
      </c>
      <c r="R129">
        <v>5552.1145133173904</v>
      </c>
      <c r="S129">
        <v>4124.5599780884304</v>
      </c>
      <c r="T129">
        <v>4207.6321231934899</v>
      </c>
    </row>
    <row r="130" spans="1:20" x14ac:dyDescent="0.2">
      <c r="A130" t="s">
        <v>274</v>
      </c>
      <c r="B130" s="3" t="str">
        <f>HYPERLINK("http://www.ncbi.nlm.nih.gov/gene/3475","IFRD1")</f>
        <v>IFRD1</v>
      </c>
      <c r="C130">
        <v>3475</v>
      </c>
      <c r="D130" t="s">
        <v>275</v>
      </c>
      <c r="E130" s="3" t="str">
        <f>HYPERLINK("http://genome.ucsc.edu/cgi-bin/hgTracks?db=hg19&amp;lastVirtModeType=default&amp;lastVirtModeExtraState=&amp;virtModeType=default&amp;virtMode=0&amp;nonVirtPosition=&amp;position=chr7:112450507-112477203","chr7:112450507-112477203")</f>
        <v>chr7:112450507-112477203</v>
      </c>
      <c r="F130" t="s">
        <v>27</v>
      </c>
      <c r="G130">
        <v>0.461277282166074</v>
      </c>
      <c r="H130">
        <v>6.6356565319560801E-2</v>
      </c>
      <c r="I130">
        <v>6.9514942484537796</v>
      </c>
      <c r="J130" s="1">
        <v>3.6143714973669998E-12</v>
      </c>
      <c r="K130" s="1">
        <v>3.9653992571912801E-10</v>
      </c>
      <c r="L130" t="s">
        <v>23</v>
      </c>
      <c r="M130" t="s">
        <v>24</v>
      </c>
      <c r="N130">
        <v>1493.10256906871</v>
      </c>
      <c r="O130">
        <v>1234.5562669035401</v>
      </c>
      <c r="P130">
        <v>1751.6488712338801</v>
      </c>
      <c r="Q130">
        <v>1216.2549011541</v>
      </c>
      <c r="R130">
        <v>1252.8576326529701</v>
      </c>
      <c r="S130">
        <v>1728.34945745299</v>
      </c>
      <c r="T130">
        <v>1774.9482850147599</v>
      </c>
    </row>
    <row r="131" spans="1:20" x14ac:dyDescent="0.2">
      <c r="A131" t="s">
        <v>276</v>
      </c>
      <c r="B131" s="3" t="str">
        <f>HYPERLINK("http://www.ncbi.nlm.nih.gov/gene/3489","IGFBP6")</f>
        <v>IGFBP6</v>
      </c>
      <c r="C131">
        <v>3489</v>
      </c>
      <c r="D131" t="s">
        <v>277</v>
      </c>
      <c r="E131" s="3" t="str">
        <f>HYPERLINK("http://genome.ucsc.edu/cgi-bin/hgTracks?db=hg19&amp;lastVirtModeType=default&amp;lastVirtModeExtraState=&amp;virtModeType=default&amp;virtMode=0&amp;nonVirtPosition=&amp;position=chr12:53097651-53102344","chr12:53097651-53102344")</f>
        <v>chr12:53097651-53102344</v>
      </c>
      <c r="F131" t="s">
        <v>27</v>
      </c>
      <c r="G131">
        <v>-0.29328079025437997</v>
      </c>
      <c r="H131">
        <v>4.2201004701592201E-2</v>
      </c>
      <c r="I131">
        <v>-6.9496163024601003</v>
      </c>
      <c r="J131" s="1">
        <v>3.6628105334695699E-12</v>
      </c>
      <c r="K131" s="1">
        <v>3.9866494965080702E-10</v>
      </c>
      <c r="L131" t="s">
        <v>23</v>
      </c>
      <c r="M131" t="s">
        <v>24</v>
      </c>
      <c r="N131">
        <v>8925.2364165168292</v>
      </c>
      <c r="O131">
        <v>9861.7130830282495</v>
      </c>
      <c r="P131">
        <v>7988.7597500053998</v>
      </c>
      <c r="Q131">
        <v>10090.512946905201</v>
      </c>
      <c r="R131">
        <v>9632.9132191513108</v>
      </c>
      <c r="S131">
        <v>7958.1022107723902</v>
      </c>
      <c r="T131">
        <v>8019.4172892384104</v>
      </c>
    </row>
    <row r="132" spans="1:20" x14ac:dyDescent="0.2">
      <c r="A132" t="s">
        <v>278</v>
      </c>
      <c r="B132" s="3" t="str">
        <f>HYPERLINK("http://www.ncbi.nlm.nih.gov/gene/57493","HEG1")</f>
        <v>HEG1</v>
      </c>
      <c r="C132">
        <v>57493</v>
      </c>
      <c r="D132" t="s">
        <v>279</v>
      </c>
      <c r="E132" s="3" t="str">
        <f>HYPERLINK("http://genome.ucsc.edu/cgi-bin/hgTracks?db=hg19&amp;lastVirtModeType=default&amp;lastVirtModeExtraState=&amp;virtModeType=default&amp;virtMode=0&amp;nonVirtPosition=&amp;position=chr3:124965709-125055958","chr3:124965709-125055958")</f>
        <v>chr3:124965709-125055958</v>
      </c>
      <c r="F132" t="s">
        <v>22</v>
      </c>
      <c r="G132">
        <v>-0.31382193283427301</v>
      </c>
      <c r="H132">
        <v>4.5174718941302497E-2</v>
      </c>
      <c r="I132">
        <v>-6.9468485956057702</v>
      </c>
      <c r="J132" s="1">
        <v>3.7353620510761704E-12</v>
      </c>
      <c r="K132" s="1">
        <v>4.0273825277308899E-10</v>
      </c>
      <c r="L132" t="s">
        <v>23</v>
      </c>
      <c r="M132" t="s">
        <v>24</v>
      </c>
      <c r="N132">
        <v>13810.468553381799</v>
      </c>
      <c r="O132">
        <v>15364.941825579701</v>
      </c>
      <c r="P132">
        <v>12255.995281183999</v>
      </c>
      <c r="Q132">
        <v>14852.343504478</v>
      </c>
      <c r="R132">
        <v>15877.5401466814</v>
      </c>
      <c r="S132">
        <v>11955.4035815484</v>
      </c>
      <c r="T132">
        <v>12556.5869808195</v>
      </c>
    </row>
    <row r="133" spans="1:20" x14ac:dyDescent="0.2">
      <c r="A133" t="s">
        <v>280</v>
      </c>
      <c r="B133" s="3" t="str">
        <f>HYPERLINK("http://www.ncbi.nlm.nih.gov/gene/11031","RAB31")</f>
        <v>RAB31</v>
      </c>
      <c r="C133">
        <v>11031</v>
      </c>
      <c r="D133" t="s">
        <v>281</v>
      </c>
      <c r="E133" s="3" t="str">
        <f>HYPERLINK("http://genome.ucsc.edu/cgi-bin/hgTracks?db=hg19&amp;lastVirtModeType=default&amp;lastVirtModeExtraState=&amp;virtModeType=default&amp;virtMode=0&amp;nonVirtPosition=&amp;position=chr18:9708230-9862556","chr18:9708230-9862556")</f>
        <v>chr18:9708230-9862556</v>
      </c>
      <c r="F133" t="s">
        <v>27</v>
      </c>
      <c r="G133">
        <v>0.28147082332288398</v>
      </c>
      <c r="H133">
        <v>4.0522958319683701E-2</v>
      </c>
      <c r="I133">
        <v>6.9459594016402599</v>
      </c>
      <c r="J133" s="1">
        <v>3.7589686710628102E-12</v>
      </c>
      <c r="K133" s="1">
        <v>4.0273825277308899E-10</v>
      </c>
      <c r="L133" t="s">
        <v>23</v>
      </c>
      <c r="M133" t="s">
        <v>24</v>
      </c>
      <c r="N133">
        <v>11516.812455007201</v>
      </c>
      <c r="O133">
        <v>10363.1355975514</v>
      </c>
      <c r="P133">
        <v>12670.4893124629</v>
      </c>
      <c r="Q133">
        <v>10536.2896301336</v>
      </c>
      <c r="R133">
        <v>10189.981564969101</v>
      </c>
      <c r="S133">
        <v>12766.3072653534</v>
      </c>
      <c r="T133">
        <v>12574.6713595725</v>
      </c>
    </row>
    <row r="134" spans="1:20" x14ac:dyDescent="0.2">
      <c r="A134" t="s">
        <v>282</v>
      </c>
      <c r="B134" s="3" t="str">
        <f>HYPERLINK("http://www.ncbi.nlm.nih.gov/gene/9585","KIF20B")</f>
        <v>KIF20B</v>
      </c>
      <c r="C134">
        <v>9585</v>
      </c>
      <c r="D134" t="s">
        <v>283</v>
      </c>
      <c r="E134" s="3" t="str">
        <f>HYPERLINK("http://genome.ucsc.edu/cgi-bin/hgTracks?db=hg19&amp;lastVirtModeType=default&amp;lastVirtModeExtraState=&amp;virtModeType=default&amp;virtMode=0&amp;nonVirtPosition=&amp;position=chr10:89701589-89774943","chr10:89701589-89774943")</f>
        <v>chr10:89701589-89774943</v>
      </c>
      <c r="F134" t="s">
        <v>27</v>
      </c>
      <c r="G134">
        <v>-0.57171100800261598</v>
      </c>
      <c r="H134">
        <v>8.2403571809941498E-2</v>
      </c>
      <c r="I134">
        <v>-6.93793964806805</v>
      </c>
      <c r="J134" s="1">
        <v>3.9785960362384597E-12</v>
      </c>
      <c r="K134" s="1">
        <v>4.22964853030809E-10</v>
      </c>
      <c r="L134" t="s">
        <v>23</v>
      </c>
      <c r="M134" t="s">
        <v>24</v>
      </c>
      <c r="N134">
        <v>780.16917478298797</v>
      </c>
      <c r="O134">
        <v>956.56953204521596</v>
      </c>
      <c r="P134">
        <v>603.76881752076201</v>
      </c>
      <c r="Q134">
        <v>930.07727735313904</v>
      </c>
      <c r="R134">
        <v>983.06178673729198</v>
      </c>
      <c r="S134">
        <v>604.72500994216898</v>
      </c>
      <c r="T134">
        <v>602.81262509935402</v>
      </c>
    </row>
    <row r="135" spans="1:20" x14ac:dyDescent="0.2">
      <c r="A135" t="s">
        <v>284</v>
      </c>
      <c r="B135" s="3" t="str">
        <f>HYPERLINK("http://www.ncbi.nlm.nih.gov/gene/6790","AURKA")</f>
        <v>AURKA</v>
      </c>
      <c r="C135">
        <v>6790</v>
      </c>
      <c r="D135" t="s">
        <v>285</v>
      </c>
      <c r="E135" s="3" t="str">
        <f>HYPERLINK("http://genome.ucsc.edu/cgi-bin/hgTracks?db=hg19&amp;lastVirtModeType=default&amp;lastVirtModeExtraState=&amp;virtModeType=default&amp;virtMode=0&amp;nonVirtPosition=&amp;position=chr20:56369388-56392337","chr20:56369388-56392337")</f>
        <v>chr20:56369388-56392337</v>
      </c>
      <c r="F135" t="s">
        <v>22</v>
      </c>
      <c r="G135">
        <v>-0.66463286307917802</v>
      </c>
      <c r="H135">
        <v>9.6001356755567105E-2</v>
      </c>
      <c r="I135">
        <v>-6.9231611462682299</v>
      </c>
      <c r="J135" s="1">
        <v>4.4167484672414397E-12</v>
      </c>
      <c r="K135" s="1">
        <v>4.6593298830576199E-10</v>
      </c>
      <c r="L135" t="s">
        <v>23</v>
      </c>
      <c r="M135" t="s">
        <v>24</v>
      </c>
      <c r="N135">
        <v>492.76041272481501</v>
      </c>
      <c r="O135">
        <v>632.45989525036202</v>
      </c>
      <c r="P135">
        <v>353.06093019926698</v>
      </c>
      <c r="Q135">
        <v>615.00672037996003</v>
      </c>
      <c r="R135">
        <v>649.91307012076504</v>
      </c>
      <c r="S135">
        <v>336.39678367092898</v>
      </c>
      <c r="T135">
        <v>369.72507672760401</v>
      </c>
    </row>
    <row r="136" spans="1:20" x14ac:dyDescent="0.2">
      <c r="A136" t="s">
        <v>286</v>
      </c>
      <c r="B136" s="3" t="str">
        <f>HYPERLINK("http://www.ncbi.nlm.nih.gov/gene/140809","SRXN1")</f>
        <v>SRXN1</v>
      </c>
      <c r="C136">
        <v>140809</v>
      </c>
      <c r="D136" t="s">
        <v>287</v>
      </c>
      <c r="E136" s="3" t="str">
        <f>HYPERLINK("http://genome.ucsc.edu/cgi-bin/hgTracks?db=hg19&amp;lastVirtModeType=default&amp;lastVirtModeExtraState=&amp;virtModeType=default&amp;virtMode=0&amp;nonVirtPosition=&amp;position=chr20:646623-653370","chr20:646623-653370")</f>
        <v>chr20:646623-653370</v>
      </c>
      <c r="F136" t="s">
        <v>22</v>
      </c>
      <c r="G136">
        <v>0.32211507561853497</v>
      </c>
      <c r="H136">
        <v>4.6545537448641802E-2</v>
      </c>
      <c r="I136">
        <v>6.9204287516060203</v>
      </c>
      <c r="J136" s="1">
        <v>4.5027874162602897E-12</v>
      </c>
      <c r="K136" s="1">
        <v>4.7138340936330995E-10</v>
      </c>
      <c r="L136" t="s">
        <v>23</v>
      </c>
      <c r="M136" t="s">
        <v>24</v>
      </c>
      <c r="N136">
        <v>18223.862177398601</v>
      </c>
      <c r="O136">
        <v>16109.6228251679</v>
      </c>
      <c r="P136">
        <v>20338.101529629199</v>
      </c>
      <c r="Q136">
        <v>15750.7761407378</v>
      </c>
      <c r="R136">
        <v>16468.4695095979</v>
      </c>
      <c r="S136">
        <v>21158.469842152801</v>
      </c>
      <c r="T136">
        <v>19517.733217105699</v>
      </c>
    </row>
    <row r="137" spans="1:20" x14ac:dyDescent="0.2">
      <c r="A137" t="s">
        <v>288</v>
      </c>
      <c r="B137" s="3" t="str">
        <f>HYPERLINK("http://www.ncbi.nlm.nih.gov/gene/3589","IL11")</f>
        <v>IL11</v>
      </c>
      <c r="C137">
        <v>3589</v>
      </c>
      <c r="D137" t="s">
        <v>289</v>
      </c>
      <c r="E137" s="3" t="str">
        <f>HYPERLINK("http://genome.ucsc.edu/cgi-bin/hgTracks?db=hg19&amp;lastVirtModeType=default&amp;lastVirtModeExtraState=&amp;virtModeType=default&amp;virtMode=0&amp;nonVirtPosition=&amp;position=chr19:55364381-55370463","chr19:55364381-55370463")</f>
        <v>chr19:55364381-55370463</v>
      </c>
      <c r="F137" t="s">
        <v>22</v>
      </c>
      <c r="G137">
        <v>0.75292626498998405</v>
      </c>
      <c r="H137">
        <v>0.108857403436574</v>
      </c>
      <c r="I137">
        <v>6.9166289220620802</v>
      </c>
      <c r="J137" s="1">
        <v>4.62517507456203E-12</v>
      </c>
      <c r="K137" s="1">
        <v>4.8052765888290697E-10</v>
      </c>
      <c r="L137" t="s">
        <v>23</v>
      </c>
      <c r="M137" t="s">
        <v>24</v>
      </c>
      <c r="N137">
        <v>1450.71135106013</v>
      </c>
      <c r="O137">
        <v>930.19178878655805</v>
      </c>
      <c r="P137">
        <v>1971.2309133337001</v>
      </c>
      <c r="Q137">
        <v>923.19800755023095</v>
      </c>
      <c r="R137">
        <v>937.18557002288503</v>
      </c>
      <c r="S137">
        <v>2176.2208351262998</v>
      </c>
      <c r="T137">
        <v>1766.2409915411099</v>
      </c>
    </row>
    <row r="138" spans="1:20" x14ac:dyDescent="0.2">
      <c r="A138" t="s">
        <v>290</v>
      </c>
      <c r="B138" s="3" t="str">
        <f>HYPERLINK("http://www.ncbi.nlm.nih.gov/gene/57185","NIPAL3")</f>
        <v>NIPAL3</v>
      </c>
      <c r="C138">
        <v>57185</v>
      </c>
      <c r="D138" t="s">
        <v>291</v>
      </c>
      <c r="E138" s="3" t="str">
        <f>HYPERLINK("http://genome.ucsc.edu/cgi-bin/hgTracks?db=hg19&amp;lastVirtModeType=default&amp;lastVirtModeExtraState=&amp;virtModeType=default&amp;virtMode=0&amp;nonVirtPosition=&amp;position=chr1:24415754-24472983","chr1:24415754-24472983")</f>
        <v>chr1:24415754-24472983</v>
      </c>
      <c r="F138" t="s">
        <v>27</v>
      </c>
      <c r="G138">
        <v>-0.31520230963260398</v>
      </c>
      <c r="H138">
        <v>4.57541129569203E-2</v>
      </c>
      <c r="I138">
        <v>-6.8890486398322599</v>
      </c>
      <c r="J138" s="1">
        <v>5.6166734280738901E-12</v>
      </c>
      <c r="K138" s="1">
        <v>5.7915082250079203E-10</v>
      </c>
      <c r="L138" t="s">
        <v>23</v>
      </c>
      <c r="M138" t="s">
        <v>24</v>
      </c>
      <c r="N138">
        <v>7635.6437639989899</v>
      </c>
      <c r="O138">
        <v>8500.0022509773407</v>
      </c>
      <c r="P138">
        <v>6771.28527702064</v>
      </c>
      <c r="Q138">
        <v>8255.1237634894005</v>
      </c>
      <c r="R138">
        <v>8744.8807384652901</v>
      </c>
      <c r="S138">
        <v>6609.5555735930402</v>
      </c>
      <c r="T138">
        <v>6933.0149804482398</v>
      </c>
    </row>
    <row r="139" spans="1:20" x14ac:dyDescent="0.2">
      <c r="A139" t="s">
        <v>292</v>
      </c>
      <c r="B139" s="3" t="str">
        <f>HYPERLINK("http://www.ncbi.nlm.nih.gov/gene/5660","PSAP")</f>
        <v>PSAP</v>
      </c>
      <c r="C139">
        <v>5660</v>
      </c>
      <c r="D139" t="s">
        <v>293</v>
      </c>
      <c r="E139" s="3" t="str">
        <f>HYPERLINK("http://genome.ucsc.edu/cgi-bin/hgTracks?db=hg19&amp;lastVirtModeType=default&amp;lastVirtModeExtraState=&amp;virtModeType=default&amp;virtMode=0&amp;nonVirtPosition=&amp;position=chr10:71816282-71851375","chr10:71816282-71851375")</f>
        <v>chr10:71816282-71851375</v>
      </c>
      <c r="F139" t="s">
        <v>22</v>
      </c>
      <c r="G139">
        <v>0.27777177234404798</v>
      </c>
      <c r="H139">
        <v>4.0380594342078101E-2</v>
      </c>
      <c r="I139">
        <v>6.8788430896025501</v>
      </c>
      <c r="J139" s="1">
        <v>6.0340577557207801E-12</v>
      </c>
      <c r="K139" s="1">
        <v>6.1754528404443898E-10</v>
      </c>
      <c r="L139" t="s">
        <v>23</v>
      </c>
      <c r="M139" t="s">
        <v>24</v>
      </c>
      <c r="N139">
        <v>42970.112754766502</v>
      </c>
      <c r="O139">
        <v>38719.160432827797</v>
      </c>
      <c r="P139">
        <v>47221.065076705199</v>
      </c>
      <c r="Q139">
        <v>38118.033977912302</v>
      </c>
      <c r="R139">
        <v>39320.286887743401</v>
      </c>
      <c r="S139">
        <v>46750.2744227722</v>
      </c>
      <c r="T139">
        <v>47691.855730638199</v>
      </c>
    </row>
    <row r="140" spans="1:20" x14ac:dyDescent="0.2">
      <c r="A140" t="s">
        <v>294</v>
      </c>
      <c r="B140" s="3" t="str">
        <f>HYPERLINK("http://www.ncbi.nlm.nih.gov/gene/1969","EPHA2")</f>
        <v>EPHA2</v>
      </c>
      <c r="C140">
        <v>1969</v>
      </c>
      <c r="D140" t="s">
        <v>295</v>
      </c>
      <c r="E140" s="3" t="str">
        <f>HYPERLINK("http://genome.ucsc.edu/cgi-bin/hgTracks?db=hg19&amp;lastVirtModeType=default&amp;lastVirtModeExtraState=&amp;virtModeType=default&amp;virtMode=0&amp;nonVirtPosition=&amp;position=chr1:16124336-16156109","chr1:16124336-16156109")</f>
        <v>chr1:16124336-16156109</v>
      </c>
      <c r="F140" t="s">
        <v>22</v>
      </c>
      <c r="G140">
        <v>-0.41336691419203597</v>
      </c>
      <c r="H140">
        <v>6.0543774334881902E-2</v>
      </c>
      <c r="I140">
        <v>-6.8275709390961703</v>
      </c>
      <c r="J140" s="1">
        <v>8.6364424580902805E-12</v>
      </c>
      <c r="K140" s="1">
        <v>8.7733460644629702E-10</v>
      </c>
      <c r="L140" t="s">
        <v>23</v>
      </c>
      <c r="M140" t="s">
        <v>24</v>
      </c>
      <c r="N140">
        <v>2066.39598726964</v>
      </c>
      <c r="O140">
        <v>2383.3365522358099</v>
      </c>
      <c r="P140">
        <v>1749.45542230346</v>
      </c>
      <c r="Q140">
        <v>2352.7102725944801</v>
      </c>
      <c r="R140">
        <v>2413.9628318771302</v>
      </c>
      <c r="S140">
        <v>1693.8219283372</v>
      </c>
      <c r="T140">
        <v>1805.0889162697299</v>
      </c>
    </row>
    <row r="141" spans="1:20" x14ac:dyDescent="0.2">
      <c r="A141" t="s">
        <v>296</v>
      </c>
      <c r="B141" s="3" t="str">
        <f>HYPERLINK("http://www.ncbi.nlm.nih.gov/gene/3037","HAS2")</f>
        <v>HAS2</v>
      </c>
      <c r="C141">
        <v>3037</v>
      </c>
      <c r="D141" t="s">
        <v>297</v>
      </c>
      <c r="E141" s="3" t="str">
        <f>HYPERLINK("http://genome.ucsc.edu/cgi-bin/hgTracks?db=hg19&amp;lastVirtModeType=default&amp;lastVirtModeExtraState=&amp;virtModeType=default&amp;virtMode=0&amp;nonVirtPosition=&amp;position=chr8:121613030-121641390","chr8:121613030-121641390")</f>
        <v>chr8:121613030-121641390</v>
      </c>
      <c r="F141" t="s">
        <v>22</v>
      </c>
      <c r="G141">
        <v>-0.26196591444856199</v>
      </c>
      <c r="H141">
        <v>3.87465286955882E-2</v>
      </c>
      <c r="I141">
        <v>-6.7610163611479903</v>
      </c>
      <c r="J141" s="1">
        <v>1.37027047136573E-11</v>
      </c>
      <c r="K141" s="1">
        <v>1.3817565620815901E-9</v>
      </c>
      <c r="L141" t="s">
        <v>23</v>
      </c>
      <c r="M141" t="s">
        <v>24</v>
      </c>
      <c r="N141">
        <v>29647.722144093699</v>
      </c>
      <c r="O141">
        <v>32408.416608467898</v>
      </c>
      <c r="P141">
        <v>26887.0276797195</v>
      </c>
      <c r="Q141">
        <v>32701.296935102699</v>
      </c>
      <c r="R141">
        <v>32115.5362818332</v>
      </c>
      <c r="S141">
        <v>26858.471648752799</v>
      </c>
      <c r="T141">
        <v>26915.583710686202</v>
      </c>
    </row>
    <row r="142" spans="1:20" x14ac:dyDescent="0.2">
      <c r="A142" t="s">
        <v>298</v>
      </c>
      <c r="B142" s="3" t="str">
        <f>HYPERLINK("http://www.ncbi.nlm.nih.gov/gene/100500853","MIR3605")</f>
        <v>MIR3605</v>
      </c>
      <c r="C142">
        <v>100500853</v>
      </c>
      <c r="D142" t="s">
        <v>299</v>
      </c>
      <c r="E142" s="3" t="str">
        <f>HYPERLINK("http://genome.ucsc.edu/cgi-bin/hgTracks?db=hg19&amp;lastVirtModeType=default&amp;lastVirtModeExtraState=&amp;virtModeType=default&amp;virtMode=0&amp;nonVirtPosition=&amp;position=chr1:33332392-33332492","chr1:33332392-33332492")</f>
        <v>chr1:33332392-33332492</v>
      </c>
      <c r="F142" t="s">
        <v>22</v>
      </c>
      <c r="G142">
        <v>0.33430834997829301</v>
      </c>
      <c r="H142">
        <v>4.9693819304904498E-2</v>
      </c>
      <c r="I142">
        <v>6.7273627717581901</v>
      </c>
      <c r="J142" s="1">
        <v>1.72765636985238E-11</v>
      </c>
      <c r="K142" s="1">
        <v>1.72942185811354E-9</v>
      </c>
      <c r="L142" t="s">
        <v>23</v>
      </c>
      <c r="M142" t="s">
        <v>24</v>
      </c>
      <c r="N142">
        <v>4436.9339669157998</v>
      </c>
      <c r="O142">
        <v>3897.9592320670599</v>
      </c>
      <c r="P142">
        <v>4975.9087017645297</v>
      </c>
      <c r="Q142">
        <v>3827.6257183379198</v>
      </c>
      <c r="R142">
        <v>3968.2927457962001</v>
      </c>
      <c r="S142">
        <v>5119.9393174549004</v>
      </c>
      <c r="T142">
        <v>4831.8780860741599</v>
      </c>
    </row>
    <row r="143" spans="1:20" x14ac:dyDescent="0.2">
      <c r="A143" t="s">
        <v>298</v>
      </c>
      <c r="B143" s="3" t="str">
        <f>HYPERLINK("http://www.ncbi.nlm.nih.gov/gene/1912","PHC2")</f>
        <v>PHC2</v>
      </c>
      <c r="C143">
        <v>1912</v>
      </c>
      <c r="D143" t="s">
        <v>300</v>
      </c>
      <c r="E143" s="3" t="str">
        <f>HYPERLINK("http://genome.ucsc.edu/cgi-bin/hgTracks?db=hg19&amp;lastVirtModeType=default&amp;lastVirtModeExtraState=&amp;virtModeType=default&amp;virtMode=0&amp;nonVirtPosition=&amp;position=chr1:33323622-33349898","chr1:33323622-33349898")</f>
        <v>chr1:33323622-33349898</v>
      </c>
      <c r="F143" t="s">
        <v>22</v>
      </c>
      <c r="G143">
        <v>0.33430834997829301</v>
      </c>
      <c r="H143">
        <v>4.9693819304904498E-2</v>
      </c>
      <c r="I143">
        <v>6.7273627717581901</v>
      </c>
      <c r="J143" s="1">
        <v>1.72765636985238E-11</v>
      </c>
      <c r="K143" s="1">
        <v>1.72942185811354E-9</v>
      </c>
      <c r="L143" t="s">
        <v>23</v>
      </c>
      <c r="M143" t="s">
        <v>24</v>
      </c>
      <c r="N143">
        <v>4436.9339669157998</v>
      </c>
      <c r="O143">
        <v>3897.9592320670599</v>
      </c>
      <c r="P143">
        <v>4975.9087017645297</v>
      </c>
      <c r="Q143">
        <v>3827.6257183379198</v>
      </c>
      <c r="R143">
        <v>3968.2927457962001</v>
      </c>
      <c r="S143">
        <v>5119.9393174549004</v>
      </c>
      <c r="T143">
        <v>4831.8780860741599</v>
      </c>
    </row>
    <row r="144" spans="1:20" x14ac:dyDescent="0.2">
      <c r="A144" t="s">
        <v>301</v>
      </c>
      <c r="B144" s="3" t="str">
        <f>HYPERLINK("http://www.ncbi.nlm.nih.gov/gene/203068","TUBB")</f>
        <v>TUBB</v>
      </c>
      <c r="C144">
        <v>203068</v>
      </c>
      <c r="D144" t="s">
        <v>302</v>
      </c>
      <c r="E144" s="3" t="str">
        <f>HYPERLINK("http://genome.ucsc.edu/cgi-bin/hgTracks?db=hg19&amp;lastVirtModeType=default&amp;lastVirtModeExtraState=&amp;virtModeType=default&amp;virtMode=0&amp;nonVirtPosition=&amp;position=chr6:30721548-30725426","chr6:30721548-30725426")</f>
        <v>chr6:30721548-30725426</v>
      </c>
      <c r="F144" t="s">
        <v>27</v>
      </c>
      <c r="G144">
        <v>-0.316043824190267</v>
      </c>
      <c r="H144">
        <v>4.7038542176527302E-2</v>
      </c>
      <c r="I144">
        <v>-6.71882693566927</v>
      </c>
      <c r="J144" s="1">
        <v>1.8319332798068501E-11</v>
      </c>
      <c r="K144" s="1">
        <v>1.8205168840051599E-9</v>
      </c>
      <c r="L144" t="s">
        <v>23</v>
      </c>
      <c r="M144" t="s">
        <v>24</v>
      </c>
      <c r="N144">
        <v>36421.593993685499</v>
      </c>
      <c r="O144">
        <v>40565.021289705997</v>
      </c>
      <c r="P144">
        <v>32278.166697665001</v>
      </c>
      <c r="Q144">
        <v>39378.316205805</v>
      </c>
      <c r="R144">
        <v>41751.726373607002</v>
      </c>
      <c r="S144">
        <v>31129.033749959399</v>
      </c>
      <c r="T144">
        <v>33427.299645370498</v>
      </c>
    </row>
    <row r="145" spans="1:20" x14ac:dyDescent="0.2">
      <c r="A145" t="s">
        <v>303</v>
      </c>
      <c r="B145" s="3" t="str">
        <f>HYPERLINK("http://www.ncbi.nlm.nih.gov/gene/2232","FDXR")</f>
        <v>FDXR</v>
      </c>
      <c r="C145">
        <v>2232</v>
      </c>
      <c r="D145" t="s">
        <v>304</v>
      </c>
      <c r="E145" s="3" t="str">
        <f>HYPERLINK("http://genome.ucsc.edu/cgi-bin/hgTracks?db=hg19&amp;lastVirtModeType=default&amp;lastVirtModeExtraState=&amp;virtModeType=default&amp;virtMode=0&amp;nonVirtPosition=&amp;position=chr17:74862496-74868753","chr17:74862496-74868753")</f>
        <v>chr17:74862496-74868753</v>
      </c>
      <c r="F145" t="s">
        <v>22</v>
      </c>
      <c r="G145">
        <v>-0.50987893763611802</v>
      </c>
      <c r="H145">
        <v>7.6094678359714493E-2</v>
      </c>
      <c r="I145">
        <v>-6.7005860150406402</v>
      </c>
      <c r="J145" s="1">
        <v>2.075853653804E-11</v>
      </c>
      <c r="K145" s="1">
        <v>2.0480760437602898E-9</v>
      </c>
      <c r="L145" t="s">
        <v>23</v>
      </c>
      <c r="M145" t="s">
        <v>24</v>
      </c>
      <c r="N145">
        <v>1069.4772095942101</v>
      </c>
      <c r="O145">
        <v>1282.08108714369</v>
      </c>
      <c r="P145">
        <v>856.87333204472804</v>
      </c>
      <c r="Q145">
        <v>1290.55101502551</v>
      </c>
      <c r="R145">
        <v>1273.6111592618699</v>
      </c>
      <c r="S145">
        <v>812.87668546875602</v>
      </c>
      <c r="T145">
        <v>900.86997862070098</v>
      </c>
    </row>
    <row r="146" spans="1:20" x14ac:dyDescent="0.2">
      <c r="A146" t="s">
        <v>305</v>
      </c>
      <c r="B146" s="3" t="str">
        <f>HYPERLINK("http://www.ncbi.nlm.nih.gov/gene/5069","PAPPA")</f>
        <v>PAPPA</v>
      </c>
      <c r="C146">
        <v>5069</v>
      </c>
      <c r="D146" t="s">
        <v>306</v>
      </c>
      <c r="E146" s="3" t="str">
        <f>HYPERLINK("http://genome.ucsc.edu/cgi-bin/hgTracks?db=hg19&amp;lastVirtModeType=default&amp;lastVirtModeExtraState=&amp;virtModeType=default&amp;virtMode=0&amp;nonVirtPosition=&amp;position=chr9:116153791-116402321","chr9:116153791-116402321")</f>
        <v>chr9:116153791-116402321</v>
      </c>
      <c r="F146" t="s">
        <v>27</v>
      </c>
      <c r="G146">
        <v>-0.32387932956022902</v>
      </c>
      <c r="H146">
        <v>4.8458483286184198E-2</v>
      </c>
      <c r="I146">
        <v>-6.6836456198489502</v>
      </c>
      <c r="J146" s="1">
        <v>2.3307003353088801E-11</v>
      </c>
      <c r="K146" s="1">
        <v>2.28308745703043E-9</v>
      </c>
      <c r="L146" t="s">
        <v>23</v>
      </c>
      <c r="M146" t="s">
        <v>24</v>
      </c>
      <c r="N146">
        <v>4105.5453943576904</v>
      </c>
      <c r="O146">
        <v>4584.9599152964402</v>
      </c>
      <c r="P146">
        <v>3626.1308734189402</v>
      </c>
      <c r="Q146">
        <v>4494.9148892199801</v>
      </c>
      <c r="R146">
        <v>4675.0049413729002</v>
      </c>
      <c r="S146">
        <v>3591.8495288734698</v>
      </c>
      <c r="T146">
        <v>3660.41221796441</v>
      </c>
    </row>
    <row r="147" spans="1:20" x14ac:dyDescent="0.2">
      <c r="A147" t="s">
        <v>307</v>
      </c>
      <c r="B147" s="3" t="str">
        <f>HYPERLINK("http://www.ncbi.nlm.nih.gov/gene/7272","TTK")</f>
        <v>TTK</v>
      </c>
      <c r="C147">
        <v>7272</v>
      </c>
      <c r="D147" t="s">
        <v>308</v>
      </c>
      <c r="E147" s="3" t="str">
        <f>HYPERLINK("http://genome.ucsc.edu/cgi-bin/hgTracks?db=hg19&amp;lastVirtModeType=default&amp;lastVirtModeExtraState=&amp;virtModeType=default&amp;virtMode=0&amp;nonVirtPosition=&amp;position=chr6:80004604-80042527","chr6:80004604-80042527")</f>
        <v>chr6:80004604-80042527</v>
      </c>
      <c r="F147" t="s">
        <v>27</v>
      </c>
      <c r="G147">
        <v>-0.63822202789530302</v>
      </c>
      <c r="H147">
        <v>9.5736444269078902E-2</v>
      </c>
      <c r="I147">
        <v>-6.6664480049154697</v>
      </c>
      <c r="J147" s="1">
        <v>2.6206847250163801E-11</v>
      </c>
      <c r="K147" s="1">
        <v>2.548941157367E-9</v>
      </c>
      <c r="L147" t="s">
        <v>23</v>
      </c>
      <c r="M147" t="s">
        <v>24</v>
      </c>
      <c r="N147">
        <v>522.12889867007095</v>
      </c>
      <c r="O147">
        <v>662.92323891920205</v>
      </c>
      <c r="P147">
        <v>381.33455842094099</v>
      </c>
      <c r="Q147">
        <v>619.13428226170504</v>
      </c>
      <c r="R147">
        <v>706.71219557669804</v>
      </c>
      <c r="S147">
        <v>393.613831919944</v>
      </c>
      <c r="T147">
        <v>369.05528492193798</v>
      </c>
    </row>
    <row r="148" spans="1:20" x14ac:dyDescent="0.2">
      <c r="A148" t="s">
        <v>309</v>
      </c>
      <c r="B148" s="3" t="str">
        <f>HYPERLINK("http://www.ncbi.nlm.nih.gov/gene/57451","TENM2")</f>
        <v>TENM2</v>
      </c>
      <c r="C148">
        <v>57451</v>
      </c>
      <c r="D148" t="s">
        <v>310</v>
      </c>
      <c r="E148" s="3" t="str">
        <f>HYPERLINK("http://genome.ucsc.edu/cgi-bin/hgTracks?db=hg19&amp;lastVirtModeType=default&amp;lastVirtModeExtraState=&amp;virtModeType=default&amp;virtMode=0&amp;nonVirtPosition=&amp;position=chr5:167284837-168264157","chr5:167284837-168264157")</f>
        <v>chr5:167284837-168264157</v>
      </c>
      <c r="F148" t="s">
        <v>27</v>
      </c>
      <c r="G148">
        <v>-0.64953404701358697</v>
      </c>
      <c r="H148">
        <v>9.7563210449433793E-2</v>
      </c>
      <c r="I148">
        <v>-6.65757147618912</v>
      </c>
      <c r="J148" s="1">
        <v>2.7838903275440201E-11</v>
      </c>
      <c r="K148" s="1">
        <v>2.6886107008407601E-9</v>
      </c>
      <c r="L148" t="s">
        <v>23</v>
      </c>
      <c r="M148" t="s">
        <v>24</v>
      </c>
      <c r="N148">
        <v>488.01371509720798</v>
      </c>
      <c r="O148">
        <v>625.36000456837098</v>
      </c>
      <c r="P148">
        <v>350.66742562604497</v>
      </c>
      <c r="Q148">
        <v>615.00672037996003</v>
      </c>
      <c r="R148">
        <v>635.71328875678205</v>
      </c>
      <c r="S148">
        <v>323.57227285649498</v>
      </c>
      <c r="T148">
        <v>377.76257839559503</v>
      </c>
    </row>
    <row r="149" spans="1:20" x14ac:dyDescent="0.2">
      <c r="A149" t="s">
        <v>311</v>
      </c>
      <c r="B149" s="3" t="str">
        <f>HYPERLINK("http://www.ncbi.nlm.nih.gov/gene/10085","EDIL3")</f>
        <v>EDIL3</v>
      </c>
      <c r="C149">
        <v>10085</v>
      </c>
      <c r="D149" t="s">
        <v>312</v>
      </c>
      <c r="E149" s="3" t="str">
        <f>HYPERLINK("http://genome.ucsc.edu/cgi-bin/hgTracks?db=hg19&amp;lastVirtModeType=default&amp;lastVirtModeExtraState=&amp;virtModeType=default&amp;virtMode=0&amp;nonVirtPosition=&amp;position=chr5:83940594-84384867","chr5:83940594-84384867")</f>
        <v>chr5:83940594-84384867</v>
      </c>
      <c r="F149" t="s">
        <v>22</v>
      </c>
      <c r="G149">
        <v>0.30405377231144398</v>
      </c>
      <c r="H149">
        <v>4.5700915569052897E-2</v>
      </c>
      <c r="I149">
        <v>6.6531221207598499</v>
      </c>
      <c r="J149" s="1">
        <v>2.8693991122500001E-11</v>
      </c>
      <c r="K149" s="1">
        <v>2.7518139458319199E-9</v>
      </c>
      <c r="L149" t="s">
        <v>23</v>
      </c>
      <c r="M149" t="s">
        <v>24</v>
      </c>
      <c r="N149">
        <v>11556.880822642501</v>
      </c>
      <c r="O149">
        <v>10296.203249326099</v>
      </c>
      <c r="P149">
        <v>12817.5583959589</v>
      </c>
      <c r="Q149">
        <v>10098.768070668701</v>
      </c>
      <c r="R149">
        <v>10493.6384279835</v>
      </c>
      <c r="S149">
        <v>12343.098408477001</v>
      </c>
      <c r="T149">
        <v>13292.0183834408</v>
      </c>
    </row>
    <row r="150" spans="1:20" x14ac:dyDescent="0.2">
      <c r="A150" t="s">
        <v>313</v>
      </c>
      <c r="B150" s="3" t="str">
        <f>HYPERLINK("http://www.ncbi.nlm.nih.gov/gene/9568","GABBR2")</f>
        <v>GABBR2</v>
      </c>
      <c r="C150">
        <v>9568</v>
      </c>
      <c r="D150" t="s">
        <v>314</v>
      </c>
      <c r="E150" s="3" t="str">
        <f>HYPERLINK("http://genome.ucsc.edu/cgi-bin/hgTracks?db=hg19&amp;lastVirtModeType=default&amp;lastVirtModeExtraState=&amp;virtModeType=default&amp;virtMode=0&amp;nonVirtPosition=&amp;position=chr9:98288081-98709197","chr9:98288081-98709197")</f>
        <v>chr9:98288081-98709197</v>
      </c>
      <c r="F150" t="s">
        <v>22</v>
      </c>
      <c r="G150">
        <v>-0.66834542834241994</v>
      </c>
      <c r="H150">
        <v>0.10057213538592499</v>
      </c>
      <c r="I150">
        <v>-6.6454334073526304</v>
      </c>
      <c r="J150" s="1">
        <v>3.0232612788114498E-11</v>
      </c>
      <c r="K150" s="1">
        <v>2.8792364706680698E-9</v>
      </c>
      <c r="L150" t="s">
        <v>23</v>
      </c>
      <c r="M150" t="s">
        <v>24</v>
      </c>
      <c r="N150">
        <v>569.90824463540196</v>
      </c>
      <c r="O150">
        <v>738.35933505032995</v>
      </c>
      <c r="P150">
        <v>401.45715422047402</v>
      </c>
      <c r="Q150">
        <v>672.79258672438596</v>
      </c>
      <c r="R150">
        <v>803.92608337627496</v>
      </c>
      <c r="S150">
        <v>354.15379864476103</v>
      </c>
      <c r="T150">
        <v>448.760509796186</v>
      </c>
    </row>
    <row r="151" spans="1:20" x14ac:dyDescent="0.2">
      <c r="A151" t="s">
        <v>315</v>
      </c>
      <c r="B151" s="3" t="str">
        <f>HYPERLINK("http://www.ncbi.nlm.nih.gov/gene/2887","GRB10")</f>
        <v>GRB10</v>
      </c>
      <c r="C151">
        <v>2887</v>
      </c>
      <c r="D151" t="s">
        <v>316</v>
      </c>
      <c r="E151" s="3" t="str">
        <f>HYPERLINK("http://genome.ucsc.edu/cgi-bin/hgTracks?db=hg19&amp;lastVirtModeType=default&amp;lastVirtModeExtraState=&amp;virtModeType=default&amp;virtMode=0&amp;nonVirtPosition=&amp;position=chr7:50590062-50793462","chr7:50590062-50793462")</f>
        <v>chr7:50590062-50793462</v>
      </c>
      <c r="F151" t="s">
        <v>22</v>
      </c>
      <c r="G151">
        <v>0.2975259650432</v>
      </c>
      <c r="H151">
        <v>4.4781276223469599E-2</v>
      </c>
      <c r="I151">
        <v>6.6439813720018304</v>
      </c>
      <c r="J151" s="1">
        <v>3.0532117955079897E-11</v>
      </c>
      <c r="K151" s="1">
        <v>2.8877066595583899E-9</v>
      </c>
      <c r="L151" t="s">
        <v>23</v>
      </c>
      <c r="M151" t="s">
        <v>24</v>
      </c>
      <c r="N151">
        <v>6003.7971631087003</v>
      </c>
      <c r="O151">
        <v>5362.4725833165003</v>
      </c>
      <c r="P151">
        <v>6645.1217429008802</v>
      </c>
      <c r="Q151">
        <v>5409.85777300672</v>
      </c>
      <c r="R151">
        <v>5315.0873936262897</v>
      </c>
      <c r="S151">
        <v>6781.2067183400804</v>
      </c>
      <c r="T151">
        <v>6509.03676746169</v>
      </c>
    </row>
    <row r="152" spans="1:20" x14ac:dyDescent="0.2">
      <c r="A152" t="s">
        <v>317</v>
      </c>
      <c r="B152" s="3" t="str">
        <f>HYPERLINK("http://www.ncbi.nlm.nih.gov/gene/8728","ADAM19")</f>
        <v>ADAM19</v>
      </c>
      <c r="C152">
        <v>8728</v>
      </c>
      <c r="D152" t="s">
        <v>318</v>
      </c>
      <c r="E152" s="3" t="str">
        <f>HYPERLINK("http://genome.ucsc.edu/cgi-bin/hgTracks?db=hg19&amp;lastVirtModeType=default&amp;lastVirtModeExtraState=&amp;virtModeType=default&amp;virtMode=0&amp;nonVirtPosition=&amp;position=chr5:157477303-157575823","chr5:157477303-157575823")</f>
        <v>chr5:157477303-157575823</v>
      </c>
      <c r="F152" t="s">
        <v>22</v>
      </c>
      <c r="G152">
        <v>-0.33564491425237503</v>
      </c>
      <c r="H152">
        <v>5.0698194218923097E-2</v>
      </c>
      <c r="I152">
        <v>-6.6204510717483398</v>
      </c>
      <c r="J152" s="1">
        <v>3.5810443422250203E-11</v>
      </c>
      <c r="K152" s="1">
        <v>3.3637289115941001E-9</v>
      </c>
      <c r="L152" t="s">
        <v>23</v>
      </c>
      <c r="M152" t="s">
        <v>24</v>
      </c>
      <c r="N152">
        <v>3424.55005198455</v>
      </c>
      <c r="O152">
        <v>3840.38317308045</v>
      </c>
      <c r="P152">
        <v>3008.71693088866</v>
      </c>
      <c r="Q152">
        <v>3767.0881440723301</v>
      </c>
      <c r="R152">
        <v>3913.6782020885798</v>
      </c>
      <c r="S152">
        <v>2996.0030264182201</v>
      </c>
      <c r="T152">
        <v>3021.4308353591</v>
      </c>
    </row>
    <row r="153" spans="1:20" x14ac:dyDescent="0.2">
      <c r="A153" t="s">
        <v>319</v>
      </c>
      <c r="B153" s="3" t="str">
        <f>HYPERLINK("http://www.ncbi.nlm.nih.gov/gene/9240","PNMA1")</f>
        <v>PNMA1</v>
      </c>
      <c r="C153">
        <v>9240</v>
      </c>
      <c r="D153" t="s">
        <v>320</v>
      </c>
      <c r="E153" s="3" t="str">
        <f>HYPERLINK("http://genome.ucsc.edu/cgi-bin/hgTracks?db=hg19&amp;lastVirtModeType=default&amp;lastVirtModeExtraState=&amp;virtModeType=default&amp;virtMode=0&amp;nonVirtPosition=&amp;position=chr14:73711782-73714425","chr14:73711782-73714425")</f>
        <v>chr14:73711782-73714425</v>
      </c>
      <c r="F153" t="s">
        <v>22</v>
      </c>
      <c r="G153">
        <v>0.33545943287789598</v>
      </c>
      <c r="H153">
        <v>5.0766584223813298E-2</v>
      </c>
      <c r="I153">
        <v>6.6078787455733696</v>
      </c>
      <c r="J153" s="1">
        <v>3.8986579352581899E-11</v>
      </c>
      <c r="K153" s="1">
        <v>3.63715611728781E-9</v>
      </c>
      <c r="L153" t="s">
        <v>23</v>
      </c>
      <c r="M153" t="s">
        <v>24</v>
      </c>
      <c r="N153">
        <v>4438.3090093971005</v>
      </c>
      <c r="O153">
        <v>3901.4713300836202</v>
      </c>
      <c r="P153">
        <v>4975.1466887105898</v>
      </c>
      <c r="Q153">
        <v>4068.4001614396898</v>
      </c>
      <c r="R153">
        <v>3734.5424987275601</v>
      </c>
      <c r="S153">
        <v>4948.2881727078602</v>
      </c>
      <c r="T153">
        <v>5002.0052047133104</v>
      </c>
    </row>
    <row r="154" spans="1:20" x14ac:dyDescent="0.2">
      <c r="A154" t="s">
        <v>321</v>
      </c>
      <c r="B154" s="3" t="str">
        <f>HYPERLINK("http://www.ncbi.nlm.nih.gov/gene/4828","NMB")</f>
        <v>NMB</v>
      </c>
      <c r="C154">
        <v>4828</v>
      </c>
      <c r="D154" t="s">
        <v>322</v>
      </c>
      <c r="E154" s="3" t="str">
        <f>HYPERLINK("http://genome.ucsc.edu/cgi-bin/hgTracks?db=hg19&amp;lastVirtModeType=default&amp;lastVirtModeExtraState=&amp;virtModeType=default&amp;virtMode=0&amp;nonVirtPosition=&amp;position=chr15:84655128-84658571","chr15:84655128-84658571")</f>
        <v>chr15:84655128-84658571</v>
      </c>
      <c r="F154" t="s">
        <v>22</v>
      </c>
      <c r="G154">
        <v>0.51112657200107203</v>
      </c>
      <c r="H154">
        <v>7.7500656218241606E-2</v>
      </c>
      <c r="I154">
        <v>6.5951257310872604</v>
      </c>
      <c r="J154" s="1">
        <v>4.24895619843633E-11</v>
      </c>
      <c r="K154" s="1">
        <v>3.9371746827943101E-9</v>
      </c>
      <c r="L154" t="s">
        <v>23</v>
      </c>
      <c r="M154" t="s">
        <v>24</v>
      </c>
      <c r="N154">
        <v>1087.5458420974201</v>
      </c>
      <c r="O154">
        <v>872.82553715776805</v>
      </c>
      <c r="P154">
        <v>1302.2661470370799</v>
      </c>
      <c r="Q154">
        <v>917.69459170790503</v>
      </c>
      <c r="R154">
        <v>827.95648260763096</v>
      </c>
      <c r="S154">
        <v>1250.88305482328</v>
      </c>
      <c r="T154">
        <v>1353.6492392508801</v>
      </c>
    </row>
    <row r="155" spans="1:20" x14ac:dyDescent="0.2">
      <c r="A155" t="s">
        <v>323</v>
      </c>
      <c r="B155" s="3" t="str">
        <f>HYPERLINK("http://www.ncbi.nlm.nih.gov/gene/84695","LOXL3")</f>
        <v>LOXL3</v>
      </c>
      <c r="C155">
        <v>84695</v>
      </c>
      <c r="D155" t="s">
        <v>324</v>
      </c>
      <c r="E155" s="3" t="str">
        <f>HYPERLINK("http://genome.ucsc.edu/cgi-bin/hgTracks?db=hg19&amp;lastVirtModeType=default&amp;lastVirtModeExtraState=&amp;virtModeType=default&amp;virtMode=0&amp;nonVirtPosition=&amp;position=chr2:74532258-74549663","chr2:74532258-74549663")</f>
        <v>chr2:74532258-74549663</v>
      </c>
      <c r="F155" t="s">
        <v>22</v>
      </c>
      <c r="G155">
        <v>-0.54707391270184003</v>
      </c>
      <c r="H155">
        <v>8.3199890980464E-2</v>
      </c>
      <c r="I155">
        <v>-6.5754162205608804</v>
      </c>
      <c r="J155" s="1">
        <v>4.8517255798521999E-11</v>
      </c>
      <c r="K155" s="1">
        <v>4.4655412484626297E-9</v>
      </c>
      <c r="L155" t="s">
        <v>23</v>
      </c>
      <c r="M155" t="s">
        <v>24</v>
      </c>
      <c r="N155">
        <v>993.15073153244896</v>
      </c>
      <c r="O155">
        <v>1209.8856320774601</v>
      </c>
      <c r="P155">
        <v>776.41583098743604</v>
      </c>
      <c r="Q155">
        <v>1119.94512391339</v>
      </c>
      <c r="R155">
        <v>1299.8261402415301</v>
      </c>
      <c r="S155">
        <v>730.99711642275201</v>
      </c>
      <c r="T155">
        <v>821.83454555211904</v>
      </c>
    </row>
    <row r="156" spans="1:20" x14ac:dyDescent="0.2">
      <c r="A156" t="s">
        <v>325</v>
      </c>
      <c r="B156" s="3" t="str">
        <f>HYPERLINK("http://www.ncbi.nlm.nih.gov/gene/51512","GTSE1")</f>
        <v>GTSE1</v>
      </c>
      <c r="C156">
        <v>51512</v>
      </c>
      <c r="D156" t="s">
        <v>326</v>
      </c>
      <c r="E156" s="3" t="str">
        <f>HYPERLINK("http://genome.ucsc.edu/cgi-bin/hgTracks?db=hg19&amp;lastVirtModeType=default&amp;lastVirtModeExtraState=&amp;virtModeType=default&amp;virtMode=0&amp;nonVirtPosition=&amp;position=chr22:46296740-46330810","chr22:46296740-46330810")</f>
        <v>chr22:46296740-46330810</v>
      </c>
      <c r="F156" t="s">
        <v>27</v>
      </c>
      <c r="G156">
        <v>-0.65855702837891805</v>
      </c>
      <c r="H156">
        <v>0.100302657114132</v>
      </c>
      <c r="I156">
        <v>-6.5656987294919196</v>
      </c>
      <c r="J156" s="1">
        <v>5.1789431467484197E-11</v>
      </c>
      <c r="K156" s="1">
        <v>4.7349350876338598E-9</v>
      </c>
      <c r="L156" t="s">
        <v>23</v>
      </c>
      <c r="M156" t="s">
        <v>24</v>
      </c>
      <c r="N156">
        <v>437.93534256545701</v>
      </c>
      <c r="O156">
        <v>565.52560810484601</v>
      </c>
      <c r="P156">
        <v>310.34507702606902</v>
      </c>
      <c r="Q156">
        <v>606.75159661647103</v>
      </c>
      <c r="R156">
        <v>524.29961959322202</v>
      </c>
      <c r="S156">
        <v>301.86925455514501</v>
      </c>
      <c r="T156">
        <v>318.82089949699201</v>
      </c>
    </row>
    <row r="157" spans="1:20" x14ac:dyDescent="0.2">
      <c r="A157" t="s">
        <v>327</v>
      </c>
      <c r="B157" s="3" t="str">
        <f>HYPERLINK("http://www.ncbi.nlm.nih.gov/gene/1591","CYP24A1")</f>
        <v>CYP24A1</v>
      </c>
      <c r="C157">
        <v>1591</v>
      </c>
      <c r="D157" t="s">
        <v>328</v>
      </c>
      <c r="E157" s="3" t="str">
        <f>HYPERLINK("http://genome.ucsc.edu/cgi-bin/hgTracks?db=hg19&amp;lastVirtModeType=default&amp;lastVirtModeExtraState=&amp;virtModeType=default&amp;virtMode=0&amp;nonVirtPosition=&amp;position=chr20:54153448-54173977","chr20:54153448-54173977")</f>
        <v>chr20:54153448-54173977</v>
      </c>
      <c r="F157" t="s">
        <v>22</v>
      </c>
      <c r="G157">
        <v>-0.72773815808324105</v>
      </c>
      <c r="H157">
        <v>0.111091534107819</v>
      </c>
      <c r="I157">
        <v>-6.5507976276297004</v>
      </c>
      <c r="J157" s="1">
        <v>5.72305720121676E-11</v>
      </c>
      <c r="K157" s="1">
        <v>5.1977487720189802E-9</v>
      </c>
      <c r="L157" t="s">
        <v>23</v>
      </c>
      <c r="M157" t="s">
        <v>24</v>
      </c>
      <c r="N157">
        <v>264.86414804730299</v>
      </c>
      <c r="O157">
        <v>359.740058226759</v>
      </c>
      <c r="P157">
        <v>169.988237867847</v>
      </c>
      <c r="Q157">
        <v>385.239108962839</v>
      </c>
      <c r="R157">
        <v>334.24100749067901</v>
      </c>
      <c r="S157">
        <v>178.55665057019999</v>
      </c>
      <c r="T157">
        <v>161.41982516549399</v>
      </c>
    </row>
    <row r="158" spans="1:20" x14ac:dyDescent="0.2">
      <c r="A158" t="s">
        <v>329</v>
      </c>
      <c r="B158" s="3" t="str">
        <f>HYPERLINK("http://www.ncbi.nlm.nih.gov/gene/10051","SMC4")</f>
        <v>SMC4</v>
      </c>
      <c r="C158">
        <v>10051</v>
      </c>
      <c r="D158" t="s">
        <v>330</v>
      </c>
      <c r="E158" s="3" t="str">
        <f>HYPERLINK("http://genome.ucsc.edu/cgi-bin/hgTracks?db=hg19&amp;lastVirtModeType=default&amp;lastVirtModeExtraState=&amp;virtModeType=default&amp;virtMode=0&amp;nonVirtPosition=&amp;position=chr3:160400558-160434953","chr3:160400558-160434953")</f>
        <v>chr3:160400558-160434953</v>
      </c>
      <c r="F158" t="s">
        <v>27</v>
      </c>
      <c r="G158">
        <v>-0.39504044940774102</v>
      </c>
      <c r="H158">
        <v>6.0677142319907E-2</v>
      </c>
      <c r="I158">
        <v>-6.5105315495079896</v>
      </c>
      <c r="J158" s="1">
        <v>7.4885337922434404E-11</v>
      </c>
      <c r="K158" s="1">
        <v>6.7295827849707601E-9</v>
      </c>
      <c r="L158" t="s">
        <v>23</v>
      </c>
      <c r="M158" t="s">
        <v>24</v>
      </c>
      <c r="N158">
        <v>2308.3159081478898</v>
      </c>
      <c r="O158">
        <v>2644.7399301452901</v>
      </c>
      <c r="P158">
        <v>1971.8918861505001</v>
      </c>
      <c r="Q158">
        <v>2515.0610399430998</v>
      </c>
      <c r="R158">
        <v>2774.41882034747</v>
      </c>
      <c r="S158">
        <v>1959.1906521128001</v>
      </c>
      <c r="T158">
        <v>1984.5931201882099</v>
      </c>
    </row>
    <row r="159" spans="1:20" x14ac:dyDescent="0.2">
      <c r="A159" t="s">
        <v>331</v>
      </c>
      <c r="B159" s="3" t="str">
        <f>HYPERLINK("http://www.ncbi.nlm.nih.gov/gene/2317","FLNB")</f>
        <v>FLNB</v>
      </c>
      <c r="C159">
        <v>2317</v>
      </c>
      <c r="D159" t="s">
        <v>332</v>
      </c>
      <c r="E159" s="3" t="str">
        <f>HYPERLINK("http://genome.ucsc.edu/cgi-bin/hgTracks?db=hg19&amp;lastVirtModeType=default&amp;lastVirtModeExtraState=&amp;virtModeType=default&amp;virtMode=0&amp;nonVirtPosition=&amp;position=chr3:58008399-58172255","chr3:58008399-58172255")</f>
        <v>chr3:58008399-58172255</v>
      </c>
      <c r="F159" t="s">
        <v>27</v>
      </c>
      <c r="G159">
        <v>-0.33200278423045698</v>
      </c>
      <c r="H159">
        <v>5.0999882034401603E-2</v>
      </c>
      <c r="I159">
        <v>-6.5098735719919301</v>
      </c>
      <c r="J159" s="1">
        <v>7.52140812544447E-11</v>
      </c>
      <c r="K159" s="1">
        <v>6.7295827849707601E-9</v>
      </c>
      <c r="L159" t="s">
        <v>23</v>
      </c>
      <c r="M159" t="s">
        <v>24</v>
      </c>
      <c r="N159">
        <v>14421.232703408399</v>
      </c>
      <c r="O159">
        <v>16159.086188240901</v>
      </c>
      <c r="P159">
        <v>12683.379218575899</v>
      </c>
      <c r="Q159">
        <v>15653.0905095365</v>
      </c>
      <c r="R159">
        <v>16665.081866945398</v>
      </c>
      <c r="S159">
        <v>12003.742122310499</v>
      </c>
      <c r="T159">
        <v>13363.016314841299</v>
      </c>
    </row>
    <row r="160" spans="1:20" x14ac:dyDescent="0.2">
      <c r="A160" t="s">
        <v>333</v>
      </c>
      <c r="B160" s="3" t="str">
        <f>HYPERLINK("http://www.ncbi.nlm.nih.gov/gene/3985","LIMK2")</f>
        <v>LIMK2</v>
      </c>
      <c r="C160">
        <v>3985</v>
      </c>
      <c r="D160" t="s">
        <v>334</v>
      </c>
      <c r="E160" s="3" t="str">
        <f>HYPERLINK("http://genome.ucsc.edu/cgi-bin/hgTracks?db=hg19&amp;lastVirtModeType=default&amp;lastVirtModeExtraState=&amp;virtModeType=default&amp;virtMode=0&amp;nonVirtPosition=&amp;position=chr22:31248361-31277638","chr22:31248361-31277638")</f>
        <v>chr22:31248361-31277638</v>
      </c>
      <c r="F160" t="s">
        <v>27</v>
      </c>
      <c r="G160">
        <v>-0.371781506902919</v>
      </c>
      <c r="H160">
        <v>5.7116611748355299E-2</v>
      </c>
      <c r="I160">
        <v>-6.50916599431556</v>
      </c>
      <c r="J160" s="1">
        <v>7.5569181047506006E-11</v>
      </c>
      <c r="K160" s="1">
        <v>6.7295827849707601E-9</v>
      </c>
      <c r="L160" t="s">
        <v>23</v>
      </c>
      <c r="M160" t="s">
        <v>24</v>
      </c>
      <c r="N160">
        <v>2614.6606301474499</v>
      </c>
      <c r="O160">
        <v>2973.7273517027702</v>
      </c>
      <c r="P160">
        <v>2255.59390859214</v>
      </c>
      <c r="Q160">
        <v>2999.36163406781</v>
      </c>
      <c r="R160">
        <v>2948.09306933772</v>
      </c>
      <c r="S160">
        <v>2172.2748317987898</v>
      </c>
      <c r="T160">
        <v>2338.9129853854902</v>
      </c>
    </row>
    <row r="161" spans="1:20" x14ac:dyDescent="0.2">
      <c r="A161" t="s">
        <v>335</v>
      </c>
      <c r="B161" s="3" t="str">
        <f>HYPERLINK("http://www.ncbi.nlm.nih.gov/gene/3885","KRT34")</f>
        <v>KRT34</v>
      </c>
      <c r="C161">
        <v>3885</v>
      </c>
      <c r="D161" t="s">
        <v>336</v>
      </c>
      <c r="E161" s="3" t="str">
        <f>HYPERLINK("http://genome.ucsc.edu/cgi-bin/hgTracks?db=hg19&amp;lastVirtModeType=default&amp;lastVirtModeExtraState=&amp;virtModeType=default&amp;virtMode=0&amp;nonVirtPosition=&amp;position=chr17:41377668-41382384","chr17:41377668-41382384")</f>
        <v>chr17:41377668-41382384</v>
      </c>
      <c r="F161" t="s">
        <v>22</v>
      </c>
      <c r="G161">
        <v>-0.42967995668000503</v>
      </c>
      <c r="H161">
        <v>6.6293649097284593E-2</v>
      </c>
      <c r="I161">
        <v>-6.4814648541892499</v>
      </c>
      <c r="J161" s="1">
        <v>9.0836329655951305E-11</v>
      </c>
      <c r="K161" s="1">
        <v>8.0369640316239697E-9</v>
      </c>
      <c r="L161" t="s">
        <v>23</v>
      </c>
      <c r="M161" t="s">
        <v>24</v>
      </c>
      <c r="N161">
        <v>1884.10136993591</v>
      </c>
      <c r="O161">
        <v>2190.2592125609399</v>
      </c>
      <c r="P161">
        <v>1577.94352731088</v>
      </c>
      <c r="Q161">
        <v>2169.72169583713</v>
      </c>
      <c r="R161">
        <v>2210.7967292847502</v>
      </c>
      <c r="S161">
        <v>1480.73774865122</v>
      </c>
      <c r="T161">
        <v>1675.1493059705399</v>
      </c>
    </row>
    <row r="162" spans="1:20" x14ac:dyDescent="0.2">
      <c r="A162" t="s">
        <v>337</v>
      </c>
      <c r="B162" s="3" t="str">
        <f>HYPERLINK("http://www.ncbi.nlm.nih.gov/gene/5111","PCNA")</f>
        <v>PCNA</v>
      </c>
      <c r="C162">
        <v>5111</v>
      </c>
      <c r="D162" t="s">
        <v>338</v>
      </c>
      <c r="E162" s="3" t="str">
        <f>HYPERLINK("http://genome.ucsc.edu/cgi-bin/hgTracks?db=hg19&amp;lastVirtModeType=default&amp;lastVirtModeExtraState=&amp;virtModeType=default&amp;virtMode=0&amp;nonVirtPosition=&amp;position=chr20:5114952-5126622","chr20:5114952-5126622")</f>
        <v>chr20:5114952-5126622</v>
      </c>
      <c r="F162" t="s">
        <v>22</v>
      </c>
      <c r="G162">
        <v>-0.33216788059617502</v>
      </c>
      <c r="H162">
        <v>5.1272369546529403E-2</v>
      </c>
      <c r="I162">
        <v>-6.4784967719257596</v>
      </c>
      <c r="J162" s="1">
        <v>9.2640913310997505E-11</v>
      </c>
      <c r="K162" s="1">
        <v>8.1440864432501204E-9</v>
      </c>
      <c r="L162" t="s">
        <v>23</v>
      </c>
      <c r="M162" t="s">
        <v>24</v>
      </c>
      <c r="N162">
        <v>3247.0333466449401</v>
      </c>
      <c r="O162">
        <v>3639.5122858292998</v>
      </c>
      <c r="P162">
        <v>2854.55440746059</v>
      </c>
      <c r="Q162">
        <v>3688.6644683191798</v>
      </c>
      <c r="R162">
        <v>3590.3601033394202</v>
      </c>
      <c r="S162">
        <v>2826.3248833349298</v>
      </c>
      <c r="T162">
        <v>2882.7839315862402</v>
      </c>
    </row>
    <row r="163" spans="1:20" x14ac:dyDescent="0.2">
      <c r="A163" t="s">
        <v>339</v>
      </c>
      <c r="B163" s="3" t="str">
        <f>HYPERLINK("http://www.ncbi.nlm.nih.gov/gene/9181","ARHGEF2")</f>
        <v>ARHGEF2</v>
      </c>
      <c r="C163">
        <v>9181</v>
      </c>
      <c r="D163" t="s">
        <v>340</v>
      </c>
      <c r="E163" s="3" t="str">
        <f>HYPERLINK("http://genome.ucsc.edu/cgi-bin/hgTracks?db=hg19&amp;lastVirtModeType=default&amp;lastVirtModeExtraState=&amp;virtModeType=default&amp;virtMode=0&amp;nonVirtPosition=&amp;position=chr1:155946838-155978175","chr1:155946838-155978175")</f>
        <v>chr1:155946838-155978175</v>
      </c>
      <c r="F163" t="s">
        <v>22</v>
      </c>
      <c r="G163">
        <v>0.33642283726417699</v>
      </c>
      <c r="H163">
        <v>5.20941698175428E-2</v>
      </c>
      <c r="I163">
        <v>6.45797482602143</v>
      </c>
      <c r="J163" s="1">
        <v>1.06113387564944E-10</v>
      </c>
      <c r="K163" s="1">
        <v>9.2690381978703101E-9</v>
      </c>
      <c r="L163" t="s">
        <v>23</v>
      </c>
      <c r="M163" t="s">
        <v>24</v>
      </c>
      <c r="N163">
        <v>3959.1321798673098</v>
      </c>
      <c r="O163">
        <v>3472.7662906410301</v>
      </c>
      <c r="P163">
        <v>4445.4980690935899</v>
      </c>
      <c r="Q163">
        <v>3321.3114608439</v>
      </c>
      <c r="R163">
        <v>3624.2211204381501</v>
      </c>
      <c r="S163">
        <v>4458.9837600955998</v>
      </c>
      <c r="T163">
        <v>4432.0123780915801</v>
      </c>
    </row>
    <row r="164" spans="1:20" x14ac:dyDescent="0.2">
      <c r="A164" t="s">
        <v>341</v>
      </c>
      <c r="B164" s="3" t="str">
        <f>HYPERLINK("http://www.ncbi.nlm.nih.gov/gene/11260","XPOT")</f>
        <v>XPOT</v>
      </c>
      <c r="C164">
        <v>11260</v>
      </c>
      <c r="D164" t="s">
        <v>342</v>
      </c>
      <c r="E164" s="3" t="str">
        <f>HYPERLINK("http://genome.ucsc.edu/cgi-bin/hgTracks?db=hg19&amp;lastVirtModeType=default&amp;lastVirtModeExtraState=&amp;virtModeType=default&amp;virtMode=0&amp;nonVirtPosition=&amp;position=chr12:64404372-64448683","chr12:64404372-64448683")</f>
        <v>chr12:64404372-64448683</v>
      </c>
      <c r="F164" t="s">
        <v>27</v>
      </c>
      <c r="G164">
        <v>0.28061146533803299</v>
      </c>
      <c r="H164">
        <v>4.3508751923115999E-2</v>
      </c>
      <c r="I164">
        <v>6.4495406771010098</v>
      </c>
      <c r="J164" s="1">
        <v>1.1218964664046E-10</v>
      </c>
      <c r="K164" s="1">
        <v>9.7377773039700494E-9</v>
      </c>
      <c r="L164" t="s">
        <v>23</v>
      </c>
      <c r="M164" t="s">
        <v>24</v>
      </c>
      <c r="N164">
        <v>9799.2584743787302</v>
      </c>
      <c r="O164">
        <v>8811.7133049984295</v>
      </c>
      <c r="P164">
        <v>10786.8036437591</v>
      </c>
      <c r="Q164">
        <v>8577.0735902654797</v>
      </c>
      <c r="R164">
        <v>9046.3530197313903</v>
      </c>
      <c r="S164">
        <v>10974.821754660101</v>
      </c>
      <c r="T164">
        <v>10598.785532858001</v>
      </c>
    </row>
    <row r="165" spans="1:20" x14ac:dyDescent="0.2">
      <c r="A165" t="s">
        <v>343</v>
      </c>
      <c r="B165" s="3" t="str">
        <f>HYPERLINK("http://www.ncbi.nlm.nih.gov/gene/81607","NECTIN4")</f>
        <v>NECTIN4</v>
      </c>
      <c r="C165">
        <v>81607</v>
      </c>
      <c r="D165" t="s">
        <v>344</v>
      </c>
      <c r="E165" s="3" t="str">
        <f>HYPERLINK("http://genome.ucsc.edu/cgi-bin/hgTracks?db=hg19&amp;lastVirtModeType=default&amp;lastVirtModeExtraState=&amp;virtModeType=default&amp;virtMode=0&amp;nonVirtPosition=&amp;position=chr1:161070990-161089595","chr1:161070990-161089595")</f>
        <v>chr1:161070990-161089595</v>
      </c>
      <c r="F165" t="s">
        <v>22</v>
      </c>
      <c r="G165">
        <v>-0.70577993057577504</v>
      </c>
      <c r="H165">
        <v>0.109458397166496</v>
      </c>
      <c r="I165">
        <v>-6.4479286089144896</v>
      </c>
      <c r="J165" s="1">
        <v>1.13389149963445E-10</v>
      </c>
      <c r="K165" s="1">
        <v>9.7799924691740803E-9</v>
      </c>
      <c r="L165" t="s">
        <v>23</v>
      </c>
      <c r="M165" t="s">
        <v>24</v>
      </c>
      <c r="N165">
        <v>271.910994114836</v>
      </c>
      <c r="O165">
        <v>364.755187232097</v>
      </c>
      <c r="P165">
        <v>179.066800997576</v>
      </c>
      <c r="Q165">
        <v>375.60813123876801</v>
      </c>
      <c r="R165">
        <v>353.90224322542502</v>
      </c>
      <c r="S165">
        <v>174.61064724268201</v>
      </c>
      <c r="T165">
        <v>183.52295475247001</v>
      </c>
    </row>
    <row r="166" spans="1:20" x14ac:dyDescent="0.2">
      <c r="A166" t="s">
        <v>345</v>
      </c>
      <c r="B166" s="3" t="str">
        <f>HYPERLINK("http://www.ncbi.nlm.nih.gov/gene/7846","TUBA1A")</f>
        <v>TUBA1A</v>
      </c>
      <c r="C166">
        <v>7846</v>
      </c>
      <c r="D166" t="s">
        <v>346</v>
      </c>
      <c r="E166" s="3" t="str">
        <f>HYPERLINK("http://genome.ucsc.edu/cgi-bin/hgTracks?db=hg19&amp;lastVirtModeType=default&amp;lastVirtModeExtraState=&amp;virtModeType=default&amp;virtMode=0&amp;nonVirtPosition=&amp;position=chr12:49184794-49189324","chr12:49184794-49189324")</f>
        <v>chr12:49184794-49189324</v>
      </c>
      <c r="F166" t="s">
        <v>22</v>
      </c>
      <c r="G166">
        <v>-0.31851122152420103</v>
      </c>
      <c r="H166">
        <v>4.9433647779959698E-2</v>
      </c>
      <c r="I166">
        <v>-6.4432069213659204</v>
      </c>
      <c r="J166" s="1">
        <v>1.1697503927346501E-10</v>
      </c>
      <c r="K166" s="1">
        <v>1.0026223053726899E-8</v>
      </c>
      <c r="L166" t="s">
        <v>23</v>
      </c>
      <c r="M166" t="s">
        <v>24</v>
      </c>
      <c r="N166">
        <v>7954.6832708287202</v>
      </c>
      <c r="O166">
        <v>8872.6081980790696</v>
      </c>
      <c r="P166">
        <v>7036.7583435783699</v>
      </c>
      <c r="Q166">
        <v>8648.6179962157203</v>
      </c>
      <c r="R166">
        <v>9096.5983999424097</v>
      </c>
      <c r="S166">
        <v>6711.1651592766302</v>
      </c>
      <c r="T166">
        <v>7362.3515278801096</v>
      </c>
    </row>
    <row r="167" spans="1:20" x14ac:dyDescent="0.2">
      <c r="A167" t="s">
        <v>347</v>
      </c>
      <c r="B167" s="3" t="str">
        <f>HYPERLINK("http://www.ncbi.nlm.nih.gov/gene/9833","MELK")</f>
        <v>MELK</v>
      </c>
      <c r="C167">
        <v>9833</v>
      </c>
      <c r="D167" t="s">
        <v>348</v>
      </c>
      <c r="E167" s="3" t="str">
        <f>HYPERLINK("http://genome.ucsc.edu/cgi-bin/hgTracks?db=hg19&amp;lastVirtModeType=default&amp;lastVirtModeExtraState=&amp;virtModeType=default&amp;virtMode=0&amp;nonVirtPosition=&amp;position=chr9:36572861-36677683","chr9:36572861-36677683")</f>
        <v>chr9:36572861-36677683</v>
      </c>
      <c r="F167" t="s">
        <v>27</v>
      </c>
      <c r="G167">
        <v>-0.51228664937734603</v>
      </c>
      <c r="H167">
        <v>7.9919733495924003E-2</v>
      </c>
      <c r="I167">
        <v>-6.41001448538956</v>
      </c>
      <c r="J167" s="1">
        <v>1.4550581089829201E-10</v>
      </c>
      <c r="K167" s="1">
        <v>1.2394203047572501E-8</v>
      </c>
      <c r="L167" t="s">
        <v>23</v>
      </c>
      <c r="M167" t="s">
        <v>24</v>
      </c>
      <c r="N167">
        <v>871.02607648404603</v>
      </c>
      <c r="O167">
        <v>1045.5855083746401</v>
      </c>
      <c r="P167">
        <v>696.46664459345197</v>
      </c>
      <c r="Q167">
        <v>1036.01803231792</v>
      </c>
      <c r="R167">
        <v>1055.15298443136</v>
      </c>
      <c r="S167">
        <v>721.13210810395697</v>
      </c>
      <c r="T167">
        <v>671.80118108294698</v>
      </c>
    </row>
    <row r="168" spans="1:20" x14ac:dyDescent="0.2">
      <c r="A168" t="s">
        <v>349</v>
      </c>
      <c r="B168" s="3" t="str">
        <f>HYPERLINK("http://www.ncbi.nlm.nih.gov/gene/56603","CYP26B1")</f>
        <v>CYP26B1</v>
      </c>
      <c r="C168">
        <v>56603</v>
      </c>
      <c r="D168" t="s">
        <v>350</v>
      </c>
      <c r="E168" s="3" t="str">
        <f>HYPERLINK("http://genome.ucsc.edu/cgi-bin/hgTracks?db=hg19&amp;lastVirtModeType=default&amp;lastVirtModeExtraState=&amp;virtModeType=default&amp;virtMode=0&amp;nonVirtPosition=&amp;position=chr2:72129237-72147862","chr2:72129237-72147862")</f>
        <v>chr2:72129237-72147862</v>
      </c>
      <c r="F168" t="s">
        <v>22</v>
      </c>
      <c r="G168">
        <v>-0.75804851553096397</v>
      </c>
      <c r="H168">
        <v>0.118479121353877</v>
      </c>
      <c r="I168">
        <v>-6.3981611854362104</v>
      </c>
      <c r="J168" s="1">
        <v>1.5725923388077801E-10</v>
      </c>
      <c r="K168" s="1">
        <v>1.3312673663216E-8</v>
      </c>
      <c r="L168" t="s">
        <v>23</v>
      </c>
      <c r="M168" t="s">
        <v>24</v>
      </c>
      <c r="N168">
        <v>128.768885956948</v>
      </c>
      <c r="O168">
        <v>191.70656932153699</v>
      </c>
      <c r="P168">
        <v>65.831202592357997</v>
      </c>
      <c r="Q168">
        <v>217.384925771887</v>
      </c>
      <c r="R168">
        <v>166.02821287118701</v>
      </c>
      <c r="S168">
        <v>70.041559063448602</v>
      </c>
      <c r="T168">
        <v>61.620846121267299</v>
      </c>
    </row>
    <row r="169" spans="1:20" x14ac:dyDescent="0.2">
      <c r="A169" t="s">
        <v>351</v>
      </c>
      <c r="B169" s="3" t="str">
        <f>HYPERLINK("http://www.ncbi.nlm.nih.gov/gene/4085","MAD2L1")</f>
        <v>MAD2L1</v>
      </c>
      <c r="C169">
        <v>4085</v>
      </c>
      <c r="D169" t="s">
        <v>352</v>
      </c>
      <c r="E169" s="3" t="str">
        <f>HYPERLINK("http://genome.ucsc.edu/cgi-bin/hgTracks?db=hg19&amp;lastVirtModeType=default&amp;lastVirtModeExtraState=&amp;virtModeType=default&amp;virtMode=0&amp;nonVirtPosition=&amp;position=chr4:120059423-120066858","chr4:120059423-120066858")</f>
        <v>chr4:120059423-120066858</v>
      </c>
      <c r="F169" t="s">
        <v>22</v>
      </c>
      <c r="G169">
        <v>-0.54404726956929195</v>
      </c>
      <c r="H169">
        <v>8.5173955337231405E-2</v>
      </c>
      <c r="I169">
        <v>-6.3874839135417902</v>
      </c>
      <c r="J169" s="1">
        <v>1.68637341700464E-10</v>
      </c>
      <c r="K169" s="1">
        <v>1.4188297571043901E-8</v>
      </c>
      <c r="L169" t="s">
        <v>23</v>
      </c>
      <c r="M169" t="s">
        <v>24</v>
      </c>
      <c r="N169">
        <v>709.57117526093896</v>
      </c>
      <c r="O169">
        <v>864.88577073775502</v>
      </c>
      <c r="P169">
        <v>554.25657978412301</v>
      </c>
      <c r="Q169">
        <v>840.64676991533702</v>
      </c>
      <c r="R169">
        <v>889.12477156017303</v>
      </c>
      <c r="S169">
        <v>544.54845919751597</v>
      </c>
      <c r="T169">
        <v>563.96470037072902</v>
      </c>
    </row>
    <row r="170" spans="1:20" x14ac:dyDescent="0.2">
      <c r="A170" t="s">
        <v>353</v>
      </c>
      <c r="B170" s="3" t="str">
        <f>HYPERLINK("http://www.ncbi.nlm.nih.gov/gene/9249","DHRS3")</f>
        <v>DHRS3</v>
      </c>
      <c r="C170">
        <v>9249</v>
      </c>
      <c r="D170" t="s">
        <v>354</v>
      </c>
      <c r="E170" s="3" t="str">
        <f>HYPERLINK("http://genome.ucsc.edu/cgi-bin/hgTracks?db=hg19&amp;lastVirtModeType=default&amp;lastVirtModeExtraState=&amp;virtModeType=default&amp;virtMode=0&amp;nonVirtPosition=&amp;position=chr1:12567909-12596396","chr1:12567909-12596396")</f>
        <v>chr1:12567909-12596396</v>
      </c>
      <c r="F170" t="s">
        <v>22</v>
      </c>
      <c r="G170">
        <v>-0.629547902199867</v>
      </c>
      <c r="H170">
        <v>9.8731539708715704E-2</v>
      </c>
      <c r="I170">
        <v>-6.3763606245501796</v>
      </c>
      <c r="J170" s="1">
        <v>1.8134562975624E-10</v>
      </c>
      <c r="K170" s="1">
        <v>1.5164475405347999E-8</v>
      </c>
      <c r="L170" t="s">
        <v>23</v>
      </c>
      <c r="M170" t="s">
        <v>24</v>
      </c>
      <c r="N170">
        <v>458.66221662790798</v>
      </c>
      <c r="O170">
        <v>585.26568317546196</v>
      </c>
      <c r="P170">
        <v>332.058750080354</v>
      </c>
      <c r="Q170">
        <v>591.61720305007304</v>
      </c>
      <c r="R170">
        <v>578.91416330084996</v>
      </c>
      <c r="S170">
        <v>307.78825954642201</v>
      </c>
      <c r="T170">
        <v>356.32924061428503</v>
      </c>
    </row>
    <row r="171" spans="1:20" x14ac:dyDescent="0.2">
      <c r="A171" t="s">
        <v>355</v>
      </c>
      <c r="B171" s="3" t="str">
        <f>HYPERLINK("http://www.ncbi.nlm.nih.gov/gene/55215","FANCI")</f>
        <v>FANCI</v>
      </c>
      <c r="C171">
        <v>55215</v>
      </c>
      <c r="D171" t="s">
        <v>356</v>
      </c>
      <c r="E171" s="3" t="str">
        <f>HYPERLINK("http://genome.ucsc.edu/cgi-bin/hgTracks?db=hg19&amp;lastVirtModeType=default&amp;lastVirtModeExtraState=&amp;virtModeType=default&amp;virtMode=0&amp;nonVirtPosition=&amp;position=chr15:89243962-89317131","chr15:89243962-89317131")</f>
        <v>chr15:89243962-89317131</v>
      </c>
      <c r="F171" t="s">
        <v>27</v>
      </c>
      <c r="G171">
        <v>-0.48412719317608999</v>
      </c>
      <c r="H171">
        <v>7.6035593972895596E-2</v>
      </c>
      <c r="I171">
        <v>-6.3671126623758196</v>
      </c>
      <c r="J171" s="1">
        <v>1.92619693989659E-10</v>
      </c>
      <c r="K171" s="1">
        <v>1.6009615050752701E-8</v>
      </c>
      <c r="L171" t="s">
        <v>23</v>
      </c>
      <c r="M171" t="s">
        <v>24</v>
      </c>
      <c r="N171">
        <v>1158.4815817205199</v>
      </c>
      <c r="O171">
        <v>1375.0249852115501</v>
      </c>
      <c r="P171">
        <v>941.93817822948699</v>
      </c>
      <c r="Q171">
        <v>1424.0088492019199</v>
      </c>
      <c r="R171">
        <v>1326.04112122119</v>
      </c>
      <c r="S171">
        <v>994.39283853459403</v>
      </c>
      <c r="T171">
        <v>889.48351792437995</v>
      </c>
    </row>
    <row r="172" spans="1:20" x14ac:dyDescent="0.2">
      <c r="A172" t="s">
        <v>357</v>
      </c>
      <c r="B172" s="3" t="str">
        <f>HYPERLINK("http://www.ncbi.nlm.nih.gov/gene/64787","EPS8L2")</f>
        <v>EPS8L2</v>
      </c>
      <c r="C172">
        <v>64787</v>
      </c>
      <c r="D172" t="s">
        <v>358</v>
      </c>
      <c r="E172" s="3" t="str">
        <f>HYPERLINK("http://genome.ucsc.edu/cgi-bin/hgTracks?db=hg19&amp;lastVirtModeType=default&amp;lastVirtModeExtraState=&amp;virtModeType=default&amp;virtMode=0&amp;nonVirtPosition=&amp;position=chr11:706119-727727","chr11:706119-727727")</f>
        <v>chr11:706119-727727</v>
      </c>
      <c r="F172" t="s">
        <v>27</v>
      </c>
      <c r="G172">
        <v>-0.375214557936494</v>
      </c>
      <c r="H172">
        <v>5.9063013609475599E-2</v>
      </c>
      <c r="I172">
        <v>-6.3527838321527401</v>
      </c>
      <c r="J172" s="1">
        <v>2.1145277005896799E-10</v>
      </c>
      <c r="K172" s="1">
        <v>1.7469055955353599E-8</v>
      </c>
      <c r="L172" t="s">
        <v>23</v>
      </c>
      <c r="M172" t="s">
        <v>24</v>
      </c>
      <c r="N172">
        <v>2397.9622923288098</v>
      </c>
      <c r="O172">
        <v>2732.2636890072099</v>
      </c>
      <c r="P172">
        <v>2063.6608956504301</v>
      </c>
      <c r="Q172">
        <v>2802.6145177046501</v>
      </c>
      <c r="R172">
        <v>2661.9128603097602</v>
      </c>
      <c r="S172">
        <v>1994.7046820604701</v>
      </c>
      <c r="T172">
        <v>2132.6171092403802</v>
      </c>
    </row>
    <row r="173" spans="1:20" x14ac:dyDescent="0.2">
      <c r="A173" t="s">
        <v>359</v>
      </c>
      <c r="B173" s="3" t="str">
        <f>HYPERLINK("http://www.ncbi.nlm.nih.gov/gene/11004","KIF2C")</f>
        <v>KIF2C</v>
      </c>
      <c r="C173">
        <v>11004</v>
      </c>
      <c r="D173" t="s">
        <v>360</v>
      </c>
      <c r="E173" s="3" t="str">
        <f>HYPERLINK("http://genome.ucsc.edu/cgi-bin/hgTracks?db=hg19&amp;lastVirtModeType=default&amp;lastVirtModeExtraState=&amp;virtModeType=default&amp;virtMode=0&amp;nonVirtPosition=&amp;position=chr1:44739817-44767766","chr1:44739817-44767766")</f>
        <v>chr1:44739817-44767766</v>
      </c>
      <c r="F173" t="s">
        <v>27</v>
      </c>
      <c r="G173">
        <v>-0.59488130555025598</v>
      </c>
      <c r="H173">
        <v>9.3660424450166105E-2</v>
      </c>
      <c r="I173">
        <v>-6.3514692469365697</v>
      </c>
      <c r="J173" s="1">
        <v>2.1326805549684901E-10</v>
      </c>
      <c r="K173" s="1">
        <v>1.7513521635232299E-8</v>
      </c>
      <c r="L173" t="s">
        <v>23</v>
      </c>
      <c r="M173" t="s">
        <v>24</v>
      </c>
      <c r="N173">
        <v>554.53380697724197</v>
      </c>
      <c r="O173">
        <v>694.34725913349303</v>
      </c>
      <c r="P173">
        <v>414.72035482099</v>
      </c>
      <c r="Q173">
        <v>696.18210405427203</v>
      </c>
      <c r="R173">
        <v>692.51241421271504</v>
      </c>
      <c r="S173">
        <v>386.708326096787</v>
      </c>
      <c r="T173">
        <v>442.73238354519202</v>
      </c>
    </row>
    <row r="174" spans="1:20" x14ac:dyDescent="0.2">
      <c r="A174" t="s">
        <v>361</v>
      </c>
      <c r="B174" s="3" t="str">
        <f>HYPERLINK("http://www.ncbi.nlm.nih.gov/gene/9928","KIF14")</f>
        <v>KIF14</v>
      </c>
      <c r="C174">
        <v>9928</v>
      </c>
      <c r="D174" t="s">
        <v>362</v>
      </c>
      <c r="E174" s="3" t="str">
        <f>HYPERLINK("http://genome.ucsc.edu/cgi-bin/hgTracks?db=hg19&amp;lastVirtModeType=default&amp;lastVirtModeExtraState=&amp;virtModeType=default&amp;virtMode=0&amp;nonVirtPosition=&amp;position=chr1:200551496-200618838","chr1:200551496-200618838")</f>
        <v>chr1:200551496-200618838</v>
      </c>
      <c r="F174" t="s">
        <v>22</v>
      </c>
      <c r="G174">
        <v>-0.62425200312792894</v>
      </c>
      <c r="H174">
        <v>9.8662102279423999E-2</v>
      </c>
      <c r="I174">
        <v>-6.3271711093279404</v>
      </c>
      <c r="J174" s="1">
        <v>2.4969642357591901E-10</v>
      </c>
      <c r="K174" s="1">
        <v>2.0382956862619998E-8</v>
      </c>
      <c r="L174" t="s">
        <v>23</v>
      </c>
      <c r="M174" t="s">
        <v>24</v>
      </c>
      <c r="N174">
        <v>443.78891524775503</v>
      </c>
      <c r="O174">
        <v>564.01878612231599</v>
      </c>
      <c r="P174">
        <v>323.55904437319401</v>
      </c>
      <c r="Q174">
        <v>533.83133670564803</v>
      </c>
      <c r="R174">
        <v>594.20623553898497</v>
      </c>
      <c r="S174">
        <v>321.59927119273601</v>
      </c>
      <c r="T174">
        <v>325.51881755365099</v>
      </c>
    </row>
    <row r="175" spans="1:20" x14ac:dyDescent="0.2">
      <c r="A175" t="s">
        <v>363</v>
      </c>
      <c r="B175" s="3" t="str">
        <f>HYPERLINK("http://www.ncbi.nlm.nih.gov/gene/23189","KANK1")</f>
        <v>KANK1</v>
      </c>
      <c r="C175">
        <v>23189</v>
      </c>
      <c r="D175" t="s">
        <v>364</v>
      </c>
      <c r="E175" s="3" t="str">
        <f>HYPERLINK("http://genome.ucsc.edu/cgi-bin/hgTracks?db=hg19&amp;lastVirtModeType=default&amp;lastVirtModeExtraState=&amp;virtModeType=default&amp;virtMode=0&amp;nonVirtPosition=&amp;position=chr9:504694-746106","chr9:504694-746106")</f>
        <v>chr9:504694-746106</v>
      </c>
      <c r="F175" t="s">
        <v>27</v>
      </c>
      <c r="G175">
        <v>-0.329087551781095</v>
      </c>
      <c r="H175">
        <v>5.20487293240302E-2</v>
      </c>
      <c r="I175">
        <v>-6.3226817648583697</v>
      </c>
      <c r="J175" s="1">
        <v>2.5706236388561E-10</v>
      </c>
      <c r="K175" s="1">
        <v>2.0860078451640599E-8</v>
      </c>
      <c r="L175" t="s">
        <v>23</v>
      </c>
      <c r="M175" t="s">
        <v>24</v>
      </c>
      <c r="N175">
        <v>3427.7846390654199</v>
      </c>
      <c r="O175">
        <v>3838.4821544185802</v>
      </c>
      <c r="P175">
        <v>3017.0871237122701</v>
      </c>
      <c r="Q175">
        <v>3769.8398519934899</v>
      </c>
      <c r="R175">
        <v>3907.12445684366</v>
      </c>
      <c r="S175">
        <v>2941.7454806648402</v>
      </c>
      <c r="T175">
        <v>3092.42876675969</v>
      </c>
    </row>
    <row r="176" spans="1:20" x14ac:dyDescent="0.2">
      <c r="A176" t="s">
        <v>365</v>
      </c>
      <c r="B176" s="3" t="str">
        <f>HYPERLINK("http://www.ncbi.nlm.nih.gov/gene/672","BRCA1")</f>
        <v>BRCA1</v>
      </c>
      <c r="C176">
        <v>672</v>
      </c>
      <c r="D176" t="s">
        <v>366</v>
      </c>
      <c r="E176" s="3" t="str">
        <f>HYPERLINK("http://genome.ucsc.edu/cgi-bin/hgTracks?db=hg19&amp;lastVirtModeType=default&amp;lastVirtModeExtraState=&amp;virtModeType=default&amp;virtMode=0&amp;nonVirtPosition=&amp;position=chr17:43044294-43125323","chr17:43044294-43125323")</f>
        <v>chr17:43044294-43125323</v>
      </c>
      <c r="F176" t="s">
        <v>22</v>
      </c>
      <c r="G176">
        <v>-0.48718013060028098</v>
      </c>
      <c r="H176">
        <v>7.7253827065396893E-2</v>
      </c>
      <c r="I176">
        <v>-6.3062264887909496</v>
      </c>
      <c r="J176" s="1">
        <v>2.8592055028604402E-10</v>
      </c>
      <c r="K176" s="1">
        <v>2.30101161178284E-8</v>
      </c>
      <c r="L176" t="s">
        <v>23</v>
      </c>
      <c r="M176" t="s">
        <v>24</v>
      </c>
      <c r="N176">
        <v>945.78768566166104</v>
      </c>
      <c r="O176">
        <v>1124.7238217578699</v>
      </c>
      <c r="P176">
        <v>766.85154956545102</v>
      </c>
      <c r="Q176">
        <v>1093.8038986623501</v>
      </c>
      <c r="R176">
        <v>1155.64374485339</v>
      </c>
      <c r="S176">
        <v>769.47064886605494</v>
      </c>
      <c r="T176">
        <v>764.23245026484801</v>
      </c>
    </row>
    <row r="177" spans="1:20" x14ac:dyDescent="0.2">
      <c r="A177" t="s">
        <v>367</v>
      </c>
      <c r="B177" s="3" t="str">
        <f>HYPERLINK("http://www.ncbi.nlm.nih.gov/gene/3912","LAMB1")</f>
        <v>LAMB1</v>
      </c>
      <c r="C177">
        <v>3912</v>
      </c>
      <c r="D177" t="s">
        <v>368</v>
      </c>
      <c r="E177" s="3" t="str">
        <f>HYPERLINK("http://genome.ucsc.edu/cgi-bin/hgTracks?db=hg19&amp;lastVirtModeType=default&amp;lastVirtModeExtraState=&amp;virtModeType=default&amp;virtMode=0&amp;nonVirtPosition=&amp;position=chr7:107923800-108003359","chr7:107923800-108003359")</f>
        <v>chr7:107923800-108003359</v>
      </c>
      <c r="F177" t="s">
        <v>22</v>
      </c>
      <c r="G177">
        <v>-0.25632157040568798</v>
      </c>
      <c r="H177">
        <v>4.0649252174683501E-2</v>
      </c>
      <c r="I177">
        <v>-6.30568969151481</v>
      </c>
      <c r="J177" s="1">
        <v>2.8691336270589599E-10</v>
      </c>
      <c r="K177" s="1">
        <v>2.30101161178284E-8</v>
      </c>
      <c r="L177" t="s">
        <v>23</v>
      </c>
      <c r="M177" t="s">
        <v>24</v>
      </c>
      <c r="N177">
        <v>10785.7059447066</v>
      </c>
      <c r="O177">
        <v>11772.6790251984</v>
      </c>
      <c r="P177">
        <v>9798.7328642148495</v>
      </c>
      <c r="Q177">
        <v>11738.7859916819</v>
      </c>
      <c r="R177">
        <v>11806.572058714901</v>
      </c>
      <c r="S177">
        <v>9626.2751174807308</v>
      </c>
      <c r="T177">
        <v>9971.1906109489792</v>
      </c>
    </row>
    <row r="178" spans="1:20" x14ac:dyDescent="0.2">
      <c r="A178" t="s">
        <v>369</v>
      </c>
      <c r="B178" s="3" t="str">
        <f>HYPERLINK("http://www.ncbi.nlm.nih.gov/gene/8848","TSC22D1")</f>
        <v>TSC22D1</v>
      </c>
      <c r="C178">
        <v>8848</v>
      </c>
      <c r="D178" t="s">
        <v>370</v>
      </c>
      <c r="E178" s="3" t="str">
        <f>HYPERLINK("http://genome.ucsc.edu/cgi-bin/hgTracks?db=hg19&amp;lastVirtModeType=default&amp;lastVirtModeExtraState=&amp;virtModeType=default&amp;virtMode=0&amp;nonVirtPosition=&amp;position=chr13:44432142-44576565","chr13:44432142-44576565")</f>
        <v>chr13:44432142-44576565</v>
      </c>
      <c r="F178" t="s">
        <v>22</v>
      </c>
      <c r="G178">
        <v>0.29870049614013</v>
      </c>
      <c r="H178">
        <v>4.7419773808819198E-2</v>
      </c>
      <c r="I178">
        <v>6.2990704541188096</v>
      </c>
      <c r="J178" s="1">
        <v>2.9943587546854201E-10</v>
      </c>
      <c r="K178" s="1">
        <v>2.37962759098752E-8</v>
      </c>
      <c r="L178" t="s">
        <v>23</v>
      </c>
      <c r="M178" t="s">
        <v>24</v>
      </c>
      <c r="N178">
        <v>10222.1549851858</v>
      </c>
      <c r="O178">
        <v>9119.8047720970608</v>
      </c>
      <c r="P178">
        <v>11324.505198274501</v>
      </c>
      <c r="Q178">
        <v>9203.0871423300996</v>
      </c>
      <c r="R178">
        <v>9036.5224018640201</v>
      </c>
      <c r="S178">
        <v>11843.928987546</v>
      </c>
      <c r="T178">
        <v>10805.0814090031</v>
      </c>
    </row>
    <row r="179" spans="1:20" x14ac:dyDescent="0.2">
      <c r="A179" t="s">
        <v>371</v>
      </c>
      <c r="B179" s="3" t="str">
        <f>HYPERLINK("http://www.ncbi.nlm.nih.gov/gene/23204","ARL6IP1")</f>
        <v>ARL6IP1</v>
      </c>
      <c r="C179">
        <v>23204</v>
      </c>
      <c r="D179" t="s">
        <v>372</v>
      </c>
      <c r="E179" s="3" t="str">
        <f>HYPERLINK("http://genome.ucsc.edu/cgi-bin/hgTracks?db=hg19&amp;lastVirtModeType=default&amp;lastVirtModeExtraState=&amp;virtModeType=default&amp;virtMode=0&amp;nonVirtPosition=&amp;position=chr16:18791666-18801678","chr16:18791666-18801678")</f>
        <v>chr16:18791666-18801678</v>
      </c>
      <c r="F179" t="s">
        <v>22</v>
      </c>
      <c r="G179">
        <v>-0.34674668876186898</v>
      </c>
      <c r="H179">
        <v>5.5050670471231203E-2</v>
      </c>
      <c r="I179">
        <v>-6.2986823919442303</v>
      </c>
      <c r="J179" s="1">
        <v>3.0018635937060002E-10</v>
      </c>
      <c r="K179" s="1">
        <v>2.37962759098752E-8</v>
      </c>
      <c r="L179" t="s">
        <v>23</v>
      </c>
      <c r="M179" t="s">
        <v>24</v>
      </c>
      <c r="N179">
        <v>2548.5225428141198</v>
      </c>
      <c r="O179">
        <v>2872.1449467133298</v>
      </c>
      <c r="P179">
        <v>2224.9001389149098</v>
      </c>
      <c r="Q179">
        <v>2856.2728221673301</v>
      </c>
      <c r="R179">
        <v>2888.0170712593299</v>
      </c>
      <c r="S179">
        <v>2195.9508517639001</v>
      </c>
      <c r="T179">
        <v>2253.8494260659199</v>
      </c>
    </row>
    <row r="180" spans="1:20" x14ac:dyDescent="0.2">
      <c r="A180" t="s">
        <v>373</v>
      </c>
      <c r="B180" s="3" t="str">
        <f>HYPERLINK("http://www.ncbi.nlm.nih.gov/gene/2491","CENPI")</f>
        <v>CENPI</v>
      </c>
      <c r="C180">
        <v>2491</v>
      </c>
      <c r="D180" t="s">
        <v>374</v>
      </c>
      <c r="E180" s="3" t="str">
        <f>HYPERLINK("http://genome.ucsc.edu/cgi-bin/hgTracks?db=hg19&amp;lastVirtModeType=default&amp;lastVirtModeExtraState=&amp;virtModeType=default&amp;virtMode=0&amp;nonVirtPosition=&amp;position=chrX:101099808-101163673","chrX:101099808-101163673")</f>
        <v>chrX:101099808-101163673</v>
      </c>
      <c r="F180" t="s">
        <v>27</v>
      </c>
      <c r="G180">
        <v>-0.64223903690458695</v>
      </c>
      <c r="H180">
        <v>0.10198896911513999</v>
      </c>
      <c r="I180">
        <v>-6.2971421564182197</v>
      </c>
      <c r="J180" s="1">
        <v>3.0318321658136102E-10</v>
      </c>
      <c r="K180" s="1">
        <v>2.3895716276992999E-8</v>
      </c>
      <c r="L180" t="s">
        <v>23</v>
      </c>
      <c r="M180" t="s">
        <v>24</v>
      </c>
      <c r="N180">
        <v>378.07773022958202</v>
      </c>
      <c r="O180">
        <v>486.11454515645403</v>
      </c>
      <c r="P180">
        <v>270.04091530271</v>
      </c>
      <c r="Q180">
        <v>477.42132432180301</v>
      </c>
      <c r="R180">
        <v>494.80776599110402</v>
      </c>
      <c r="S180">
        <v>278.19323459003499</v>
      </c>
      <c r="T180">
        <v>261.88859601538599</v>
      </c>
    </row>
    <row r="181" spans="1:20" x14ac:dyDescent="0.2">
      <c r="A181" t="s">
        <v>375</v>
      </c>
      <c r="B181" s="3" t="str">
        <f>HYPERLINK("http://www.ncbi.nlm.nih.gov/gene/57574","MARCH4")</f>
        <v>MARCH4</v>
      </c>
      <c r="C181">
        <v>57574</v>
      </c>
      <c r="D181" t="s">
        <v>376</v>
      </c>
      <c r="E181" s="3" t="str">
        <f>HYPERLINK("http://genome.ucsc.edu/cgi-bin/hgTracks?db=hg19&amp;lastVirtModeType=default&amp;lastVirtModeExtraState=&amp;virtModeType=default&amp;virtMode=0&amp;nonVirtPosition=&amp;position=chr2:216257861-216372027","chr2:216257861-216372027")</f>
        <v>chr2:216257861-216372027</v>
      </c>
      <c r="F181" t="s">
        <v>22</v>
      </c>
      <c r="G181">
        <v>-0.58489609348103999</v>
      </c>
      <c r="H181">
        <v>9.3161941329877901E-2</v>
      </c>
      <c r="I181">
        <v>-6.2782729205907799</v>
      </c>
      <c r="J181" s="1">
        <v>3.4235457821568802E-10</v>
      </c>
      <c r="K181" s="1">
        <v>2.68288610608568E-8</v>
      </c>
      <c r="L181" t="s">
        <v>23</v>
      </c>
      <c r="M181" t="s">
        <v>24</v>
      </c>
      <c r="N181">
        <v>805.27841358095395</v>
      </c>
      <c r="O181">
        <v>1004.8611186015301</v>
      </c>
      <c r="P181">
        <v>605.69570856038104</v>
      </c>
      <c r="Q181">
        <v>990.61485161872804</v>
      </c>
      <c r="R181">
        <v>1019.10738558433</v>
      </c>
      <c r="S181">
        <v>522.845440896166</v>
      </c>
      <c r="T181">
        <v>688.54597622459505</v>
      </c>
    </row>
    <row r="182" spans="1:20" x14ac:dyDescent="0.2">
      <c r="A182" t="s">
        <v>377</v>
      </c>
      <c r="B182" s="3" t="str">
        <f>HYPERLINK("http://www.ncbi.nlm.nih.gov/gene/115908","CTHRC1")</f>
        <v>CTHRC1</v>
      </c>
      <c r="C182">
        <v>115908</v>
      </c>
      <c r="D182" t="s">
        <v>378</v>
      </c>
      <c r="E182" s="3" t="str">
        <f>HYPERLINK("http://genome.ucsc.edu/cgi-bin/hgTracks?db=hg19&amp;lastVirtModeType=default&amp;lastVirtModeExtraState=&amp;virtModeType=default&amp;virtMode=0&amp;nonVirtPosition=&amp;position=chr8:103372432-103383004","chr8:103372432-103383004")</f>
        <v>chr8:103372432-103383004</v>
      </c>
      <c r="F182" t="s">
        <v>27</v>
      </c>
      <c r="G182">
        <v>-0.31658330897488701</v>
      </c>
      <c r="H182">
        <v>5.04978992491152E-2</v>
      </c>
      <c r="I182">
        <v>-6.2692372095148796</v>
      </c>
      <c r="J182" s="1">
        <v>3.6282105543362099E-10</v>
      </c>
      <c r="K182" s="1">
        <v>2.8271181558049301E-8</v>
      </c>
      <c r="L182" t="s">
        <v>23</v>
      </c>
      <c r="M182" t="s">
        <v>24</v>
      </c>
      <c r="N182">
        <v>4151.9217795499098</v>
      </c>
      <c r="O182">
        <v>4630.5309418818897</v>
      </c>
      <c r="P182">
        <v>3673.31261721793</v>
      </c>
      <c r="Q182">
        <v>4629.7485773569697</v>
      </c>
      <c r="R182">
        <v>4631.3133064067997</v>
      </c>
      <c r="S182">
        <v>3541.5379864476099</v>
      </c>
      <c r="T182">
        <v>3805.0872479882601</v>
      </c>
    </row>
    <row r="183" spans="1:20" x14ac:dyDescent="0.2">
      <c r="A183" t="s">
        <v>379</v>
      </c>
      <c r="B183" s="3" t="str">
        <f>HYPERLINK("http://www.ncbi.nlm.nih.gov/gene/1894","ECT2")</f>
        <v>ECT2</v>
      </c>
      <c r="C183">
        <v>1894</v>
      </c>
      <c r="D183" t="s">
        <v>380</v>
      </c>
      <c r="E183" s="3" t="str">
        <f>HYPERLINK("http://genome.ucsc.edu/cgi-bin/hgTracks?db=hg19&amp;lastVirtModeType=default&amp;lastVirtModeExtraState=&amp;virtModeType=default&amp;virtMode=0&amp;nonVirtPosition=&amp;position=chr3:172750684-172821474","chr3:172750684-172821474")</f>
        <v>chr3:172750684-172821474</v>
      </c>
      <c r="F183" t="s">
        <v>27</v>
      </c>
      <c r="G183">
        <v>-0.40501152226106601</v>
      </c>
      <c r="H183">
        <v>6.49548854077973E-2</v>
      </c>
      <c r="I183">
        <v>-6.2352742171483797</v>
      </c>
      <c r="J183" s="1">
        <v>4.50987384849483E-10</v>
      </c>
      <c r="K183" s="1">
        <v>3.4942604496190997E-8</v>
      </c>
      <c r="L183" t="s">
        <v>23</v>
      </c>
      <c r="M183" t="s">
        <v>24</v>
      </c>
      <c r="N183">
        <v>1589.54661190413</v>
      </c>
      <c r="O183">
        <v>1831.8632140377199</v>
      </c>
      <c r="P183">
        <v>1347.2300097705499</v>
      </c>
      <c r="Q183">
        <v>1850.52357698221</v>
      </c>
      <c r="R183">
        <v>1813.20285109323</v>
      </c>
      <c r="S183">
        <v>1314.01910806357</v>
      </c>
      <c r="T183">
        <v>1380.4409114775201</v>
      </c>
    </row>
    <row r="184" spans="1:20" x14ac:dyDescent="0.2">
      <c r="A184" t="s">
        <v>381</v>
      </c>
      <c r="B184" s="3" t="str">
        <f>HYPERLINK("http://www.ncbi.nlm.nih.gov/gene/2312","FLG")</f>
        <v>FLG</v>
      </c>
      <c r="C184">
        <v>2312</v>
      </c>
      <c r="D184" t="s">
        <v>382</v>
      </c>
      <c r="E184" s="3" t="str">
        <f>HYPERLINK("http://genome.ucsc.edu/cgi-bin/hgTracks?db=hg19&amp;lastVirtModeType=default&amp;lastVirtModeExtraState=&amp;virtModeType=default&amp;virtMode=0&amp;nonVirtPosition=&amp;position=chr1:152302174-152325203","chr1:152302174-152325203")</f>
        <v>chr1:152302174-152325203</v>
      </c>
      <c r="F184" t="s">
        <v>22</v>
      </c>
      <c r="G184">
        <v>-0.60235582132175203</v>
      </c>
      <c r="H184">
        <v>9.66211623985265E-2</v>
      </c>
      <c r="I184">
        <v>-6.2342017666612</v>
      </c>
      <c r="J184" s="1">
        <v>4.5408751343659098E-10</v>
      </c>
      <c r="K184" s="1">
        <v>3.4985146962187697E-8</v>
      </c>
      <c r="L184" t="s">
        <v>23</v>
      </c>
      <c r="M184" t="s">
        <v>24</v>
      </c>
      <c r="N184">
        <v>483.52643936478398</v>
      </c>
      <c r="O184">
        <v>608.56619395496296</v>
      </c>
      <c r="P184">
        <v>358.48668477460399</v>
      </c>
      <c r="Q184">
        <v>579.23451740483904</v>
      </c>
      <c r="R184">
        <v>637.89787050508698</v>
      </c>
      <c r="S184">
        <v>347.24829282160402</v>
      </c>
      <c r="T184">
        <v>369.72507672760401</v>
      </c>
    </row>
    <row r="185" spans="1:20" x14ac:dyDescent="0.2">
      <c r="A185" t="s">
        <v>383</v>
      </c>
      <c r="B185" s="3" t="str">
        <f>HYPERLINK("http://www.ncbi.nlm.nih.gov/gene/29127","RACGAP1")</f>
        <v>RACGAP1</v>
      </c>
      <c r="C185">
        <v>29127</v>
      </c>
      <c r="D185" t="s">
        <v>384</v>
      </c>
      <c r="E185" s="3" t="str">
        <f>HYPERLINK("http://genome.ucsc.edu/cgi-bin/hgTracks?db=hg19&amp;lastVirtModeType=default&amp;lastVirtModeExtraState=&amp;virtModeType=default&amp;virtMode=0&amp;nonVirtPosition=&amp;position=chr12:49989161-50025557","chr12:49989161-50025557")</f>
        <v>chr12:49989161-50025557</v>
      </c>
      <c r="F185" t="s">
        <v>22</v>
      </c>
      <c r="G185">
        <v>-0.40090927143251798</v>
      </c>
      <c r="H185">
        <v>6.4350806645711495E-2</v>
      </c>
      <c r="I185">
        <v>-6.2300582126305901</v>
      </c>
      <c r="J185" s="1">
        <v>4.6626188840962796E-10</v>
      </c>
      <c r="K185" s="1">
        <v>3.5722433171226998E-8</v>
      </c>
      <c r="L185" t="s">
        <v>23</v>
      </c>
      <c r="M185" t="s">
        <v>24</v>
      </c>
      <c r="N185">
        <v>1572.7942799047901</v>
      </c>
      <c r="O185">
        <v>1808.4107545004799</v>
      </c>
      <c r="P185">
        <v>1337.17780530909</v>
      </c>
      <c r="Q185">
        <v>1787.2342947954501</v>
      </c>
      <c r="R185">
        <v>1829.58721420552</v>
      </c>
      <c r="S185">
        <v>1332.7626238692801</v>
      </c>
      <c r="T185">
        <v>1341.5929867489001</v>
      </c>
    </row>
    <row r="186" spans="1:20" x14ac:dyDescent="0.2">
      <c r="A186" t="s">
        <v>385</v>
      </c>
      <c r="B186" s="3" t="str">
        <f>HYPERLINK("http://www.ncbi.nlm.nih.gov/gene/7298","TYMS")</f>
        <v>TYMS</v>
      </c>
      <c r="C186">
        <v>7298</v>
      </c>
      <c r="D186" t="s">
        <v>386</v>
      </c>
      <c r="E186" s="3" t="str">
        <f>HYPERLINK("http://genome.ucsc.edu/cgi-bin/hgTracks?db=hg19&amp;lastVirtModeType=default&amp;lastVirtModeExtraState=&amp;virtModeType=default&amp;virtMode=0&amp;nonVirtPosition=&amp;position=chr18:657603-673499","chr18:657603-673499")</f>
        <v>chr18:657603-673499</v>
      </c>
      <c r="F186" t="s">
        <v>27</v>
      </c>
      <c r="G186">
        <v>-0.53198133912384005</v>
      </c>
      <c r="H186">
        <v>8.5420892927783806E-2</v>
      </c>
      <c r="I186">
        <v>-6.2277660756085202</v>
      </c>
      <c r="J186" s="1">
        <v>4.7313278145107102E-10</v>
      </c>
      <c r="K186" s="1">
        <v>3.6047460915666597E-8</v>
      </c>
      <c r="L186" t="s">
        <v>23</v>
      </c>
      <c r="M186" t="s">
        <v>24</v>
      </c>
      <c r="N186">
        <v>686.19941367871195</v>
      </c>
      <c r="O186">
        <v>833.49289847375996</v>
      </c>
      <c r="P186">
        <v>538.90592888366405</v>
      </c>
      <c r="Q186">
        <v>843.39847783649998</v>
      </c>
      <c r="R186">
        <v>823.58731911101995</v>
      </c>
      <c r="S186">
        <v>538.62945420623896</v>
      </c>
      <c r="T186">
        <v>539.18240356108902</v>
      </c>
    </row>
    <row r="187" spans="1:20" x14ac:dyDescent="0.2">
      <c r="A187" t="s">
        <v>387</v>
      </c>
      <c r="B187" s="3" t="str">
        <f>HYPERLINK("http://www.ncbi.nlm.nih.gov/gene/90","ACVR1")</f>
        <v>ACVR1</v>
      </c>
      <c r="C187">
        <v>90</v>
      </c>
      <c r="D187" t="s">
        <v>388</v>
      </c>
      <c r="E187" s="3" t="str">
        <f>HYPERLINK("http://genome.ucsc.edu/cgi-bin/hgTracks?db=hg19&amp;lastVirtModeType=default&amp;lastVirtModeExtraState=&amp;virtModeType=default&amp;virtMode=0&amp;nonVirtPosition=&amp;position=chr2:157736445-157875111","chr2:157736445-157875111")</f>
        <v>chr2:157736445-157875111</v>
      </c>
      <c r="F187" t="s">
        <v>22</v>
      </c>
      <c r="G187">
        <v>0.28933022092819199</v>
      </c>
      <c r="H187">
        <v>4.6466529339880602E-2</v>
      </c>
      <c r="I187">
        <v>6.2266372169067896</v>
      </c>
      <c r="J187" s="1">
        <v>4.76552859740561E-10</v>
      </c>
      <c r="K187" s="1">
        <v>3.6107436013713001E-8</v>
      </c>
      <c r="L187" t="s">
        <v>23</v>
      </c>
      <c r="M187" t="s">
        <v>24</v>
      </c>
      <c r="N187">
        <v>4648.0957486546604</v>
      </c>
      <c r="O187">
        <v>4164.4502020969903</v>
      </c>
      <c r="P187">
        <v>5131.7412952123304</v>
      </c>
      <c r="Q187">
        <v>4214.2406812613399</v>
      </c>
      <c r="R187">
        <v>4114.6597229326399</v>
      </c>
      <c r="S187">
        <v>5181.1023690314396</v>
      </c>
      <c r="T187">
        <v>5082.3802213932204</v>
      </c>
    </row>
    <row r="188" spans="1:20" x14ac:dyDescent="0.2">
      <c r="A188" t="s">
        <v>389</v>
      </c>
      <c r="B188" s="3" t="str">
        <f>HYPERLINK("http://www.ncbi.nlm.nih.gov/gene/8565","YARS")</f>
        <v>YARS</v>
      </c>
      <c r="C188">
        <v>8565</v>
      </c>
      <c r="D188" t="s">
        <v>390</v>
      </c>
      <c r="E188" s="3" t="str">
        <f>HYPERLINK("http://genome.ucsc.edu/cgi-bin/hgTracks?db=hg19&amp;lastVirtModeType=default&amp;lastVirtModeExtraState=&amp;virtModeType=default&amp;virtMode=0&amp;nonVirtPosition=&amp;position=chr1:32775238-32818032","chr1:32775238-32818032")</f>
        <v>chr1:32775238-32818032</v>
      </c>
      <c r="F188" t="s">
        <v>22</v>
      </c>
      <c r="G188">
        <v>0.28693451638810102</v>
      </c>
      <c r="H188">
        <v>4.61245490756882E-2</v>
      </c>
      <c r="I188">
        <v>6.2208633393305401</v>
      </c>
      <c r="J188" s="1">
        <v>4.9442667874154304E-10</v>
      </c>
      <c r="K188" s="1">
        <v>3.7255865232206201E-8</v>
      </c>
      <c r="L188" t="s">
        <v>23</v>
      </c>
      <c r="M188" t="s">
        <v>24</v>
      </c>
      <c r="N188">
        <v>4817.7848353195805</v>
      </c>
      <c r="O188">
        <v>4321.2041097523897</v>
      </c>
      <c r="P188">
        <v>5314.3655608867602</v>
      </c>
      <c r="Q188">
        <v>4288.5367951327398</v>
      </c>
      <c r="R188">
        <v>4353.8714243720497</v>
      </c>
      <c r="S188">
        <v>5242.2654206079696</v>
      </c>
      <c r="T188">
        <v>5386.4657011655599</v>
      </c>
    </row>
    <row r="189" spans="1:20" x14ac:dyDescent="0.2">
      <c r="A189" t="s">
        <v>391</v>
      </c>
      <c r="B189" s="3" t="str">
        <f>HYPERLINK("http://www.ncbi.nlm.nih.gov/gene/57724","EPG5")</f>
        <v>EPG5</v>
      </c>
      <c r="C189">
        <v>57724</v>
      </c>
      <c r="D189" t="s">
        <v>392</v>
      </c>
      <c r="E189" s="3" t="str">
        <f>HYPERLINK("http://genome.ucsc.edu/cgi-bin/hgTracks?db=hg19&amp;lastVirtModeType=default&amp;lastVirtModeExtraState=&amp;virtModeType=default&amp;virtMode=0&amp;nonVirtPosition=&amp;position=chr18:45847608-45967339","chr18:45847608-45967339")</f>
        <v>chr18:45847608-45967339</v>
      </c>
      <c r="F189" t="s">
        <v>22</v>
      </c>
      <c r="G189">
        <v>-0.33053077146049598</v>
      </c>
      <c r="H189">
        <v>5.3173515534239303E-2</v>
      </c>
      <c r="I189">
        <v>-6.21607896599693</v>
      </c>
      <c r="J189" s="1">
        <v>5.09731589245E-10</v>
      </c>
      <c r="K189" s="1">
        <v>3.8199229589649903E-8</v>
      </c>
      <c r="L189" t="s">
        <v>23</v>
      </c>
      <c r="M189" t="s">
        <v>24</v>
      </c>
      <c r="N189">
        <v>4246.3869368217602</v>
      </c>
      <c r="O189">
        <v>4758.9959204022498</v>
      </c>
      <c r="P189">
        <v>3733.7779532412801</v>
      </c>
      <c r="Q189">
        <v>4625.6210154752298</v>
      </c>
      <c r="R189">
        <v>4892.3708253292598</v>
      </c>
      <c r="S189">
        <v>3576.0655155633999</v>
      </c>
      <c r="T189">
        <v>3891.4903909191598</v>
      </c>
    </row>
    <row r="190" spans="1:20" x14ac:dyDescent="0.2">
      <c r="A190" t="s">
        <v>393</v>
      </c>
      <c r="B190" s="3" t="str">
        <f>HYPERLINK("http://www.ncbi.nlm.nih.gov/gene/4665","NAB2")</f>
        <v>NAB2</v>
      </c>
      <c r="C190">
        <v>4665</v>
      </c>
      <c r="D190" t="s">
        <v>394</v>
      </c>
      <c r="E190" s="3" t="str">
        <f>HYPERLINK("http://genome.ucsc.edu/cgi-bin/hgTracks?db=hg19&amp;lastVirtModeType=default&amp;lastVirtModeExtraState=&amp;virtModeType=default&amp;virtMode=0&amp;nonVirtPosition=&amp;position=chr12:57088893-57095476","chr12:57088893-57095476")</f>
        <v>chr12:57088893-57095476</v>
      </c>
      <c r="F190" t="s">
        <v>27</v>
      </c>
      <c r="G190">
        <v>0.42298318128930701</v>
      </c>
      <c r="H190">
        <v>6.8399239140212606E-2</v>
      </c>
      <c r="I190">
        <v>6.1840334279483304</v>
      </c>
      <c r="J190" s="1">
        <v>6.2484127235931097E-10</v>
      </c>
      <c r="K190" s="1">
        <v>4.6571050049649998E-8</v>
      </c>
      <c r="L190" t="s">
        <v>23</v>
      </c>
      <c r="M190" t="s">
        <v>24</v>
      </c>
      <c r="N190">
        <v>1572.7187211734399</v>
      </c>
      <c r="O190">
        <v>1322.1754085365999</v>
      </c>
      <c r="P190">
        <v>1823.2620338102699</v>
      </c>
      <c r="Q190">
        <v>1313.9405323553999</v>
      </c>
      <c r="R190">
        <v>1330.4102847178001</v>
      </c>
      <c r="S190">
        <v>1734.26846244426</v>
      </c>
      <c r="T190">
        <v>1912.2556051762799</v>
      </c>
    </row>
    <row r="191" spans="1:20" x14ac:dyDescent="0.2">
      <c r="A191" t="s">
        <v>395</v>
      </c>
      <c r="B191" s="3" t="str">
        <f>HYPERLINK("http://www.ncbi.nlm.nih.gov/gene/60674","GAS5")</f>
        <v>GAS5</v>
      </c>
      <c r="C191">
        <v>60674</v>
      </c>
      <c r="D191" t="s">
        <v>396</v>
      </c>
      <c r="E191" s="3" t="str">
        <f>HYPERLINK("http://genome.ucsc.edu/cgi-bin/hgTracks?db=hg19&amp;lastVirtModeType=default&amp;lastVirtModeExtraState=&amp;virtModeType=default&amp;virtMode=0&amp;nonVirtPosition=&amp;position=chr1:173863900-173867987","chr1:173863900-173867987")</f>
        <v>chr1:173863900-173867987</v>
      </c>
      <c r="F191" t="s">
        <v>22</v>
      </c>
      <c r="G191">
        <v>0.28573000067833698</v>
      </c>
      <c r="H191">
        <v>4.6235435826279501E-2</v>
      </c>
      <c r="I191">
        <v>6.1798920151182601</v>
      </c>
      <c r="J191" s="1">
        <v>6.4145462135005502E-10</v>
      </c>
      <c r="K191" s="1">
        <v>4.75508577145657E-8</v>
      </c>
      <c r="L191" t="s">
        <v>23</v>
      </c>
      <c r="M191" t="s">
        <v>24</v>
      </c>
      <c r="N191">
        <v>4662.2956232276301</v>
      </c>
      <c r="O191">
        <v>4182.5098793848201</v>
      </c>
      <c r="P191">
        <v>5142.0813670704401</v>
      </c>
      <c r="Q191">
        <v>4188.0994560102899</v>
      </c>
      <c r="R191">
        <v>4176.9203027593403</v>
      </c>
      <c r="S191">
        <v>5203.7918881646701</v>
      </c>
      <c r="T191">
        <v>5080.3708459762202</v>
      </c>
    </row>
    <row r="192" spans="1:20" x14ac:dyDescent="0.2">
      <c r="A192" t="s">
        <v>397</v>
      </c>
      <c r="B192" s="3" t="str">
        <f>HYPERLINK("http://www.ncbi.nlm.nih.gov/gene/23516","SLC39A14")</f>
        <v>SLC39A14</v>
      </c>
      <c r="C192">
        <v>23516</v>
      </c>
      <c r="D192" t="s">
        <v>398</v>
      </c>
      <c r="E192" s="3" t="str">
        <f>HYPERLINK("http://genome.ucsc.edu/cgi-bin/hgTracks?db=hg19&amp;lastVirtModeType=default&amp;lastVirtModeExtraState=&amp;virtModeType=default&amp;virtMode=0&amp;nonVirtPosition=&amp;position=chr8:22367536-22422736","chr8:22367536-22422736")</f>
        <v>chr8:22367536-22422736</v>
      </c>
      <c r="F192" t="s">
        <v>27</v>
      </c>
      <c r="G192">
        <v>0.28668699770884898</v>
      </c>
      <c r="H192">
        <v>4.6583161306809402E-2</v>
      </c>
      <c r="I192">
        <v>6.1543053254941302</v>
      </c>
      <c r="J192" s="1">
        <v>7.5407286465048404E-10</v>
      </c>
      <c r="K192" s="1">
        <v>5.5598684224821198E-8</v>
      </c>
      <c r="L192" t="s">
        <v>23</v>
      </c>
      <c r="M192" t="s">
        <v>24</v>
      </c>
      <c r="N192">
        <v>6698.3016145486499</v>
      </c>
      <c r="O192">
        <v>6004.7484919192202</v>
      </c>
      <c r="P192">
        <v>7391.8547371780896</v>
      </c>
      <c r="Q192">
        <v>5770.3315106790897</v>
      </c>
      <c r="R192">
        <v>6239.1654731593499</v>
      </c>
      <c r="S192">
        <v>7389.8777316097703</v>
      </c>
      <c r="T192">
        <v>7393.8317427464099</v>
      </c>
    </row>
    <row r="193" spans="1:20" x14ac:dyDescent="0.2">
      <c r="A193" t="s">
        <v>399</v>
      </c>
      <c r="B193" s="3" t="str">
        <f>HYPERLINK("http://www.ncbi.nlm.nih.gov/gene/5654","HTRA1")</f>
        <v>HTRA1</v>
      </c>
      <c r="C193">
        <v>5654</v>
      </c>
      <c r="D193" t="s">
        <v>400</v>
      </c>
      <c r="E193" s="3" t="str">
        <f>HYPERLINK("http://genome.ucsc.edu/cgi-bin/hgTracks?db=hg19&amp;lastVirtModeType=default&amp;lastVirtModeExtraState=&amp;virtModeType=default&amp;virtMode=0&amp;nonVirtPosition=&amp;position=chr10:122461524-122514908","chr10:122461524-122514908")</f>
        <v>chr10:122461524-122514908</v>
      </c>
      <c r="F193" t="s">
        <v>27</v>
      </c>
      <c r="G193">
        <v>0.248301050994368</v>
      </c>
      <c r="H193">
        <v>4.0357442675853297E-2</v>
      </c>
      <c r="I193">
        <v>6.1525467059123597</v>
      </c>
      <c r="J193" s="1">
        <v>7.6248506052102001E-10</v>
      </c>
      <c r="K193" s="1">
        <v>5.5918289411685999E-8</v>
      </c>
      <c r="L193" t="s">
        <v>23</v>
      </c>
      <c r="M193" t="s">
        <v>24</v>
      </c>
      <c r="N193">
        <v>15609.9436589779</v>
      </c>
      <c r="O193">
        <v>14229.89207659</v>
      </c>
      <c r="P193">
        <v>16989.995241365799</v>
      </c>
      <c r="Q193">
        <v>14130.0201751727</v>
      </c>
      <c r="R193">
        <v>14329.7639780073</v>
      </c>
      <c r="S193">
        <v>16669.891057100798</v>
      </c>
      <c r="T193">
        <v>17310.0994256308</v>
      </c>
    </row>
    <row r="194" spans="1:20" x14ac:dyDescent="0.2">
      <c r="A194" t="s">
        <v>401</v>
      </c>
      <c r="B194" s="3" t="str">
        <f>HYPERLINK("http://www.ncbi.nlm.nih.gov/gene/7048","TGFBR2")</f>
        <v>TGFBR2</v>
      </c>
      <c r="C194">
        <v>7048</v>
      </c>
      <c r="D194" t="s">
        <v>402</v>
      </c>
      <c r="E194" s="3" t="str">
        <f>HYPERLINK("http://genome.ucsc.edu/cgi-bin/hgTracks?db=hg19&amp;lastVirtModeType=default&amp;lastVirtModeExtraState=&amp;virtModeType=default&amp;virtMode=0&amp;nonVirtPosition=&amp;position=chr3:30606501-30694141","chr3:30606501-30694141")</f>
        <v>chr3:30606501-30694141</v>
      </c>
      <c r="F194" t="s">
        <v>27</v>
      </c>
      <c r="G194">
        <v>-0.27805130296872899</v>
      </c>
      <c r="H194">
        <v>4.5286966522178403E-2</v>
      </c>
      <c r="I194">
        <v>-6.1397643587489803</v>
      </c>
      <c r="J194" s="1">
        <v>8.26439823649348E-10</v>
      </c>
      <c r="K194" s="1">
        <v>6.0286147561314697E-8</v>
      </c>
      <c r="L194" t="s">
        <v>23</v>
      </c>
      <c r="M194" t="s">
        <v>24</v>
      </c>
      <c r="N194">
        <v>12130.197334238401</v>
      </c>
      <c r="O194">
        <v>13342.5787576813</v>
      </c>
      <c r="P194">
        <v>10917.8159107956</v>
      </c>
      <c r="Q194">
        <v>13029.337006707399</v>
      </c>
      <c r="R194">
        <v>13655.820508655101</v>
      </c>
      <c r="S194">
        <v>10549.639896119999</v>
      </c>
      <c r="T194">
        <v>11285.9919254712</v>
      </c>
    </row>
    <row r="195" spans="1:20" x14ac:dyDescent="0.2">
      <c r="A195" t="s">
        <v>403</v>
      </c>
      <c r="B195" s="3" t="str">
        <f>HYPERLINK("http://www.ncbi.nlm.nih.gov/gene/639","PRDM1")</f>
        <v>PRDM1</v>
      </c>
      <c r="C195">
        <v>639</v>
      </c>
      <c r="D195" t="s">
        <v>404</v>
      </c>
      <c r="E195" s="3" t="str">
        <f>HYPERLINK("http://genome.ucsc.edu/cgi-bin/hgTracks?db=hg19&amp;lastVirtModeType=default&amp;lastVirtModeExtraState=&amp;virtModeType=default&amp;virtMode=0&amp;nonVirtPosition=&amp;position=chr6:106086319-106109939","chr6:106086319-106109939")</f>
        <v>chr6:106086319-106109939</v>
      </c>
      <c r="F195" t="s">
        <v>27</v>
      </c>
      <c r="G195">
        <v>-0.64959369026260205</v>
      </c>
      <c r="H195">
        <v>0.105879527930826</v>
      </c>
      <c r="I195">
        <v>-6.1352152106968099</v>
      </c>
      <c r="J195" s="1">
        <v>8.5043986727855102E-10</v>
      </c>
      <c r="K195" s="1">
        <v>6.1708636718825594E-8</v>
      </c>
      <c r="L195" t="s">
        <v>23</v>
      </c>
      <c r="M195" t="s">
        <v>24</v>
      </c>
      <c r="N195">
        <v>439.85664860874402</v>
      </c>
      <c r="O195">
        <v>574.06429495476505</v>
      </c>
      <c r="P195">
        <v>305.64900226272198</v>
      </c>
      <c r="Q195">
        <v>626.01355206461301</v>
      </c>
      <c r="R195">
        <v>522.11503784491697</v>
      </c>
      <c r="S195">
        <v>266.35522460748098</v>
      </c>
      <c r="T195">
        <v>344.942779917964</v>
      </c>
    </row>
    <row r="196" spans="1:20" x14ac:dyDescent="0.2">
      <c r="A196" t="s">
        <v>405</v>
      </c>
      <c r="B196" s="3" t="str">
        <f>HYPERLINK("http://www.ncbi.nlm.nih.gov/gene/10403","NDC80")</f>
        <v>NDC80</v>
      </c>
      <c r="C196">
        <v>10403</v>
      </c>
      <c r="D196" t="s">
        <v>406</v>
      </c>
      <c r="E196" s="3" t="str">
        <f>HYPERLINK("http://genome.ucsc.edu/cgi-bin/hgTracks?db=hg19&amp;lastVirtModeType=default&amp;lastVirtModeExtraState=&amp;virtModeType=default&amp;virtMode=0&amp;nonVirtPosition=&amp;position=chr18:2571510-2616635","chr18:2571510-2616635")</f>
        <v>chr18:2571510-2616635</v>
      </c>
      <c r="F196" t="s">
        <v>27</v>
      </c>
      <c r="G196">
        <v>-0.606316470174318</v>
      </c>
      <c r="H196">
        <v>9.9188547202651606E-2</v>
      </c>
      <c r="I196">
        <v>-6.1127669199101797</v>
      </c>
      <c r="J196" s="1">
        <v>9.7918335996983996E-10</v>
      </c>
      <c r="K196" s="1">
        <v>7.0676424203296794E-8</v>
      </c>
      <c r="L196" t="s">
        <v>23</v>
      </c>
      <c r="M196" t="s">
        <v>24</v>
      </c>
      <c r="N196">
        <v>442.712936060571</v>
      </c>
      <c r="O196">
        <v>561.05154092932798</v>
      </c>
      <c r="P196">
        <v>324.37433119181401</v>
      </c>
      <c r="Q196">
        <v>579.23451740483904</v>
      </c>
      <c r="R196">
        <v>542.86856445381602</v>
      </c>
      <c r="S196">
        <v>305.81525788266299</v>
      </c>
      <c r="T196">
        <v>342.93340450096599</v>
      </c>
    </row>
    <row r="197" spans="1:20" x14ac:dyDescent="0.2">
      <c r="A197" t="s">
        <v>407</v>
      </c>
      <c r="B197" s="3" t="str">
        <f>HYPERLINK("http://www.ncbi.nlm.nih.gov/gene/6491","STIL")</f>
        <v>STIL</v>
      </c>
      <c r="C197">
        <v>6491</v>
      </c>
      <c r="D197" t="s">
        <v>408</v>
      </c>
      <c r="E197" s="3" t="str">
        <f>HYPERLINK("http://genome.ucsc.edu/cgi-bin/hgTracks?db=hg19&amp;lastVirtModeType=default&amp;lastVirtModeExtraState=&amp;virtModeType=default&amp;virtMode=0&amp;nonVirtPosition=&amp;position=chr1:47250138-47314147","chr1:47250138-47314147")</f>
        <v>chr1:47250138-47314147</v>
      </c>
      <c r="F197" t="s">
        <v>22</v>
      </c>
      <c r="G197">
        <v>-0.54881473941758796</v>
      </c>
      <c r="H197">
        <v>8.9927821214043399E-2</v>
      </c>
      <c r="I197">
        <v>-6.1028359411857203</v>
      </c>
      <c r="J197" s="1">
        <v>1.0420278679360799E-9</v>
      </c>
      <c r="K197" s="1">
        <v>7.4818692046468397E-8</v>
      </c>
      <c r="L197" t="s">
        <v>23</v>
      </c>
      <c r="M197" t="s">
        <v>24</v>
      </c>
      <c r="N197">
        <v>591.14675526630299</v>
      </c>
      <c r="O197">
        <v>724.83158353811302</v>
      </c>
      <c r="P197">
        <v>457.46192699449102</v>
      </c>
      <c r="Q197">
        <v>705.81308177834296</v>
      </c>
      <c r="R197">
        <v>743.85008529788399</v>
      </c>
      <c r="S197">
        <v>454.77688349647599</v>
      </c>
      <c r="T197">
        <v>460.14697049250702</v>
      </c>
    </row>
    <row r="198" spans="1:20" x14ac:dyDescent="0.2">
      <c r="A198" t="s">
        <v>409</v>
      </c>
      <c r="B198" s="3" t="str">
        <f>HYPERLINK("http://www.ncbi.nlm.nih.gov/gene/7083","TK1")</f>
        <v>TK1</v>
      </c>
      <c r="C198">
        <v>7083</v>
      </c>
      <c r="D198" t="s">
        <v>410</v>
      </c>
      <c r="E198" s="3" t="str">
        <f>HYPERLINK("http://genome.ucsc.edu/cgi-bin/hgTracks?db=hg19&amp;lastVirtModeType=default&amp;lastVirtModeExtraState=&amp;virtModeType=default&amp;virtMode=0&amp;nonVirtPosition=&amp;position=chr17:78174078-78187204","chr17:78174078-78187204")</f>
        <v>chr17:78174078-78187204</v>
      </c>
      <c r="F198" t="s">
        <v>22</v>
      </c>
      <c r="G198">
        <v>-0.54282773249599103</v>
      </c>
      <c r="H198">
        <v>8.9189285064712395E-2</v>
      </c>
      <c r="I198">
        <v>-6.0862437915287302</v>
      </c>
      <c r="J198" s="1">
        <v>1.1559039227396001E-9</v>
      </c>
      <c r="K198" s="1">
        <v>8.2562845814848504E-8</v>
      </c>
      <c r="L198" t="s">
        <v>23</v>
      </c>
      <c r="M198" t="s">
        <v>24</v>
      </c>
      <c r="N198">
        <v>683.04174740518795</v>
      </c>
      <c r="O198">
        <v>836.76977109621805</v>
      </c>
      <c r="P198">
        <v>529.31372371415898</v>
      </c>
      <c r="Q198">
        <v>843.39847783649998</v>
      </c>
      <c r="R198">
        <v>830.14106435593601</v>
      </c>
      <c r="S198">
        <v>489.30441261226099</v>
      </c>
      <c r="T198">
        <v>569.32303481605697</v>
      </c>
    </row>
    <row r="199" spans="1:20" x14ac:dyDescent="0.2">
      <c r="A199" t="s">
        <v>411</v>
      </c>
      <c r="B199" s="3" t="str">
        <f>HYPERLINK("http://www.ncbi.nlm.nih.gov/gene/490","ATP2B1")</f>
        <v>ATP2B1</v>
      </c>
      <c r="C199">
        <v>490</v>
      </c>
      <c r="D199" t="s">
        <v>412</v>
      </c>
      <c r="E199" s="3" t="str">
        <f>HYPERLINK("http://genome.ucsc.edu/cgi-bin/hgTracks?db=hg19&amp;lastVirtModeType=default&amp;lastVirtModeExtraState=&amp;virtModeType=default&amp;virtMode=0&amp;nonVirtPosition=&amp;position=chr12:89588048-89656067","chr12:89588048-89656067")</f>
        <v>chr12:89588048-89656067</v>
      </c>
      <c r="F199" t="s">
        <v>22</v>
      </c>
      <c r="G199">
        <v>0.26302922065046103</v>
      </c>
      <c r="H199">
        <v>4.3396224500563498E-2</v>
      </c>
      <c r="I199">
        <v>6.0611083954330098</v>
      </c>
      <c r="J199" s="1">
        <v>1.35186684349774E-9</v>
      </c>
      <c r="K199" s="1">
        <v>9.6059595293927501E-8</v>
      </c>
      <c r="L199" t="s">
        <v>23</v>
      </c>
      <c r="M199" t="s">
        <v>24</v>
      </c>
      <c r="N199">
        <v>6313.7669720814101</v>
      </c>
      <c r="O199">
        <v>5718.2796361975597</v>
      </c>
      <c r="P199">
        <v>6909.2543079652596</v>
      </c>
      <c r="Q199">
        <v>5730.4317458222204</v>
      </c>
      <c r="R199">
        <v>5706.1275265729</v>
      </c>
      <c r="S199">
        <v>7010.0749113361398</v>
      </c>
      <c r="T199">
        <v>6808.4337045943703</v>
      </c>
    </row>
    <row r="200" spans="1:20" x14ac:dyDescent="0.2">
      <c r="A200" t="s">
        <v>413</v>
      </c>
      <c r="B200" s="3" t="str">
        <f>HYPERLINK("http://www.ncbi.nlm.nih.gov/gene/146909","KIF18B")</f>
        <v>KIF18B</v>
      </c>
      <c r="C200">
        <v>146909</v>
      </c>
      <c r="D200" t="s">
        <v>414</v>
      </c>
      <c r="E200" s="3" t="str">
        <f>HYPERLINK("http://genome.ucsc.edu/cgi-bin/hgTracks?db=hg19&amp;lastVirtModeType=default&amp;lastVirtModeExtraState=&amp;virtModeType=default&amp;virtMode=0&amp;nonVirtPosition=&amp;position=chr17:44924710-44947711","chr17:44924710-44947711")</f>
        <v>chr17:44924710-44947711</v>
      </c>
      <c r="F200" t="s">
        <v>22</v>
      </c>
      <c r="G200">
        <v>-0.61087810298129497</v>
      </c>
      <c r="H200">
        <v>0.101144814839219</v>
      </c>
      <c r="I200">
        <v>-6.0396383537046097</v>
      </c>
      <c r="J200" s="1">
        <v>1.54460023457815E-9</v>
      </c>
      <c r="K200" s="1">
        <v>1.08280034012946E-7</v>
      </c>
      <c r="L200" t="s">
        <v>23</v>
      </c>
      <c r="M200" t="s">
        <v>24</v>
      </c>
      <c r="N200">
        <v>392.16433337168701</v>
      </c>
      <c r="O200">
        <v>498.37642999425498</v>
      </c>
      <c r="P200">
        <v>285.95223674911898</v>
      </c>
      <c r="Q200">
        <v>506.31425749401598</v>
      </c>
      <c r="R200">
        <v>490.43860249449398</v>
      </c>
      <c r="S200">
        <v>295.95024956386698</v>
      </c>
      <c r="T200">
        <v>275.95422393437099</v>
      </c>
    </row>
    <row r="201" spans="1:20" x14ac:dyDescent="0.2">
      <c r="A201" t="s">
        <v>415</v>
      </c>
      <c r="B201" s="3" t="str">
        <f>HYPERLINK("http://www.ncbi.nlm.nih.gov/gene/11080","DNAJB4")</f>
        <v>DNAJB4</v>
      </c>
      <c r="C201">
        <v>11080</v>
      </c>
      <c r="D201" t="s">
        <v>416</v>
      </c>
      <c r="E201" s="3" t="str">
        <f>HYPERLINK("http://genome.ucsc.edu/cgi-bin/hgTracks?db=hg19&amp;lastVirtModeType=default&amp;lastVirtModeExtraState=&amp;virtModeType=default&amp;virtMode=0&amp;nonVirtPosition=&amp;position=chr1:77980183-78017964","chr1:77980183-78017964")</f>
        <v>chr1:77980183-78017964</v>
      </c>
      <c r="F201" t="s">
        <v>27</v>
      </c>
      <c r="G201">
        <v>-0.53124038501908299</v>
      </c>
      <c r="H201">
        <v>8.7963432982541195E-2</v>
      </c>
      <c r="I201">
        <v>-6.0393321066098302</v>
      </c>
      <c r="J201" s="1">
        <v>1.54753439306821E-9</v>
      </c>
      <c r="K201" s="1">
        <v>1.08280034012946E-7</v>
      </c>
      <c r="L201" t="s">
        <v>23</v>
      </c>
      <c r="M201" t="s">
        <v>24</v>
      </c>
      <c r="N201">
        <v>6162.1798552915097</v>
      </c>
      <c r="O201">
        <v>7500.4709724178801</v>
      </c>
      <c r="P201">
        <v>4823.8887381651502</v>
      </c>
      <c r="Q201">
        <v>7337.4291717814904</v>
      </c>
      <c r="R201">
        <v>7663.5127730542699</v>
      </c>
      <c r="S201">
        <v>4481.6732792288303</v>
      </c>
      <c r="T201">
        <v>5166.1041971014602</v>
      </c>
    </row>
    <row r="202" spans="1:20" x14ac:dyDescent="0.2">
      <c r="A202" t="s">
        <v>417</v>
      </c>
      <c r="B202" s="3" t="str">
        <f>HYPERLINK("http://www.ncbi.nlm.nih.gov/gene/57214","CEMIP")</f>
        <v>CEMIP</v>
      </c>
      <c r="C202">
        <v>57214</v>
      </c>
      <c r="D202" t="s">
        <v>418</v>
      </c>
      <c r="E202" s="3" t="str">
        <f>HYPERLINK("http://genome.ucsc.edu/cgi-bin/hgTracks?db=hg19&amp;lastVirtModeType=default&amp;lastVirtModeExtraState=&amp;virtModeType=default&amp;virtMode=0&amp;nonVirtPosition=&amp;position=chr15:80779342-80951662","chr15:80779342-80951662")</f>
        <v>chr15:80779342-80951662</v>
      </c>
      <c r="F202" t="s">
        <v>27</v>
      </c>
      <c r="G202">
        <v>0.274377225074114</v>
      </c>
      <c r="H202">
        <v>4.55117440210814E-2</v>
      </c>
      <c r="I202">
        <v>6.0287126098050798</v>
      </c>
      <c r="J202" s="1">
        <v>1.65270875749981E-9</v>
      </c>
      <c r="K202" s="1">
        <v>1.15052019798743E-7</v>
      </c>
      <c r="L202" t="s">
        <v>23</v>
      </c>
      <c r="M202" t="s">
        <v>24</v>
      </c>
      <c r="N202">
        <v>11795.4698700184</v>
      </c>
      <c r="O202">
        <v>10632.2079312359</v>
      </c>
      <c r="P202">
        <v>12958.7318088009</v>
      </c>
      <c r="Q202">
        <v>10274.877377623099</v>
      </c>
      <c r="R202">
        <v>10989.538484848799</v>
      </c>
      <c r="S202">
        <v>12632.143152217701</v>
      </c>
      <c r="T202">
        <v>13285.3204653841</v>
      </c>
    </row>
    <row r="203" spans="1:20" x14ac:dyDescent="0.2">
      <c r="A203" t="s">
        <v>419</v>
      </c>
      <c r="B203" s="3" t="str">
        <f>HYPERLINK("http://www.ncbi.nlm.nih.gov/gene/5376","PMP22")</f>
        <v>PMP22</v>
      </c>
      <c r="C203">
        <v>5376</v>
      </c>
      <c r="D203" t="s">
        <v>420</v>
      </c>
      <c r="E203" s="3" t="str">
        <f>HYPERLINK("http://genome.ucsc.edu/cgi-bin/hgTracks?db=hg19&amp;lastVirtModeType=default&amp;lastVirtModeExtraState=&amp;virtModeType=default&amp;virtMode=0&amp;nonVirtPosition=&amp;position=chr17:15229776-15265357","chr17:15229776-15265357")</f>
        <v>chr17:15229776-15265357</v>
      </c>
      <c r="F203" t="s">
        <v>22</v>
      </c>
      <c r="G203">
        <v>0.33982706278677099</v>
      </c>
      <c r="H203">
        <v>5.6464599785046102E-2</v>
      </c>
      <c r="I203">
        <v>6.0184091285593402</v>
      </c>
      <c r="J203" s="1">
        <v>1.7613954759882899E-9</v>
      </c>
      <c r="K203" s="1">
        <v>1.2199887655405799E-7</v>
      </c>
      <c r="L203" t="s">
        <v>23</v>
      </c>
      <c r="M203" t="s">
        <v>24</v>
      </c>
      <c r="N203">
        <v>2367.0248754891199</v>
      </c>
      <c r="O203">
        <v>2072.1398493947299</v>
      </c>
      <c r="P203">
        <v>2661.9099015835</v>
      </c>
      <c r="Q203">
        <v>2094.04972800514</v>
      </c>
      <c r="R203">
        <v>2050.2299707843299</v>
      </c>
      <c r="S203">
        <v>2671.4442527298402</v>
      </c>
      <c r="T203">
        <v>2652.3755504371602</v>
      </c>
    </row>
    <row r="204" spans="1:20" x14ac:dyDescent="0.2">
      <c r="A204" t="s">
        <v>421</v>
      </c>
      <c r="B204" s="3" t="str">
        <f>HYPERLINK("http://www.ncbi.nlm.nih.gov/gene/1909","EDNRA")</f>
        <v>EDNRA</v>
      </c>
      <c r="C204">
        <v>1909</v>
      </c>
      <c r="D204" t="s">
        <v>422</v>
      </c>
      <c r="E204" s="3" t="str">
        <f>HYPERLINK("http://genome.ucsc.edu/cgi-bin/hgTracks?db=hg19&amp;lastVirtModeType=default&amp;lastVirtModeExtraState=&amp;virtModeType=default&amp;virtMode=0&amp;nonVirtPosition=&amp;position=chr4:147480916-147544954","chr4:147480916-147544954")</f>
        <v>chr4:147480916-147544954</v>
      </c>
      <c r="F204" t="s">
        <v>27</v>
      </c>
      <c r="G204">
        <v>0.46785534993885602</v>
      </c>
      <c r="H204">
        <v>7.7819577526453201E-2</v>
      </c>
      <c r="I204">
        <v>6.0120520415292296</v>
      </c>
      <c r="J204" s="1">
        <v>1.8318948964421E-9</v>
      </c>
      <c r="K204" s="1">
        <v>1.2624425432063799E-7</v>
      </c>
      <c r="L204" t="s">
        <v>23</v>
      </c>
      <c r="M204" t="s">
        <v>24</v>
      </c>
      <c r="N204">
        <v>1011.23543940872</v>
      </c>
      <c r="O204">
        <v>827.04405690775297</v>
      </c>
      <c r="P204">
        <v>1195.42682190968</v>
      </c>
      <c r="Q204">
        <v>870.91555704813095</v>
      </c>
      <c r="R204">
        <v>783.17255676737602</v>
      </c>
      <c r="S204">
        <v>1215.36902487562</v>
      </c>
      <c r="T204">
        <v>1175.4846189437401</v>
      </c>
    </row>
    <row r="205" spans="1:20" x14ac:dyDescent="0.2">
      <c r="A205" t="s">
        <v>423</v>
      </c>
      <c r="B205" s="3" t="str">
        <f>HYPERLINK("http://www.ncbi.nlm.nih.gov/gene/25963","TMEM87A")</f>
        <v>TMEM87A</v>
      </c>
      <c r="C205">
        <v>25963</v>
      </c>
      <c r="D205" t="s">
        <v>424</v>
      </c>
      <c r="E205" s="3" t="str">
        <f>HYPERLINK("http://genome.ucsc.edu/cgi-bin/hgTracks?db=hg19&amp;lastVirtModeType=default&amp;lastVirtModeExtraState=&amp;virtModeType=default&amp;virtMode=0&amp;nonVirtPosition=&amp;position=chr15:42256896-42273584","chr15:42256896-42273584")</f>
        <v>chr15:42256896-42273584</v>
      </c>
      <c r="F205" t="s">
        <v>22</v>
      </c>
      <c r="G205">
        <v>0.29333164072432999</v>
      </c>
      <c r="H205">
        <v>4.9057795189476998E-2</v>
      </c>
      <c r="I205">
        <v>5.9793074595258204</v>
      </c>
      <c r="J205" s="1">
        <v>2.24088252642965E-9</v>
      </c>
      <c r="K205" s="1">
        <v>1.5365731483728099E-7</v>
      </c>
      <c r="L205" t="s">
        <v>23</v>
      </c>
      <c r="M205" t="s">
        <v>24</v>
      </c>
      <c r="N205">
        <v>3715.6850632307701</v>
      </c>
      <c r="O205">
        <v>3320.8539361907001</v>
      </c>
      <c r="P205">
        <v>4110.5161902708396</v>
      </c>
      <c r="Q205">
        <v>3299.2977974746</v>
      </c>
      <c r="R205">
        <v>3342.4100749067902</v>
      </c>
      <c r="S205">
        <v>4141.3304922303796</v>
      </c>
      <c r="T205">
        <v>4079.7018883112901</v>
      </c>
    </row>
    <row r="206" spans="1:20" x14ac:dyDescent="0.2">
      <c r="A206" t="s">
        <v>425</v>
      </c>
      <c r="B206" s="3" t="str">
        <f>HYPERLINK("http://www.ncbi.nlm.nih.gov/gene/5352","PLOD2")</f>
        <v>PLOD2</v>
      </c>
      <c r="C206">
        <v>5352</v>
      </c>
      <c r="D206" t="s">
        <v>426</v>
      </c>
      <c r="E206" s="3" t="str">
        <f>HYPERLINK("http://genome.ucsc.edu/cgi-bin/hgTracks?db=hg19&amp;lastVirtModeType=default&amp;lastVirtModeExtraState=&amp;virtModeType=default&amp;virtMode=0&amp;nonVirtPosition=&amp;position=chr3:146069440-146161495","chr3:146069440-146161495")</f>
        <v>chr3:146069440-146161495</v>
      </c>
      <c r="F206" t="s">
        <v>22</v>
      </c>
      <c r="G206">
        <v>-0.23809325158023301</v>
      </c>
      <c r="H206">
        <v>3.9831048469898801E-2</v>
      </c>
      <c r="I206">
        <v>-5.9775793188111903</v>
      </c>
      <c r="J206" s="1">
        <v>2.2647766422306501E-9</v>
      </c>
      <c r="K206" s="1">
        <v>1.5452311876393599E-7</v>
      </c>
      <c r="L206" t="s">
        <v>23</v>
      </c>
      <c r="M206" t="s">
        <v>24</v>
      </c>
      <c r="N206">
        <v>20750.7362996134</v>
      </c>
      <c r="O206">
        <v>22511.934606788302</v>
      </c>
      <c r="P206">
        <v>18989.5379924384</v>
      </c>
      <c r="Q206">
        <v>22480.077861942202</v>
      </c>
      <c r="R206">
        <v>22543.791351634402</v>
      </c>
      <c r="S206">
        <v>18644.865722523598</v>
      </c>
      <c r="T206">
        <v>19334.210262353299</v>
      </c>
    </row>
    <row r="207" spans="1:20" x14ac:dyDescent="0.2">
      <c r="A207" t="s">
        <v>427</v>
      </c>
      <c r="B207" s="3" t="str">
        <f>HYPERLINK("http://www.ncbi.nlm.nih.gov/gene/90355","C5orf30")</f>
        <v>C5orf30</v>
      </c>
      <c r="C207">
        <v>90355</v>
      </c>
      <c r="D207" t="s">
        <v>428</v>
      </c>
      <c r="E207" s="3" t="str">
        <f>HYPERLINK("http://genome.ucsc.edu/cgi-bin/hgTracks?db=hg19&amp;lastVirtModeType=default&amp;lastVirtModeExtraState=&amp;virtModeType=default&amp;virtMode=0&amp;nonVirtPosition=&amp;position=chr5:103259356-103278660","chr5:103259356-103278660")</f>
        <v>chr5:103259356-103278660</v>
      </c>
      <c r="F207" t="s">
        <v>27</v>
      </c>
      <c r="G207">
        <v>-0.257594261404888</v>
      </c>
      <c r="H207">
        <v>4.3300951084007701E-2</v>
      </c>
      <c r="I207">
        <v>-5.9489284867007299</v>
      </c>
      <c r="J207" s="1">
        <v>2.6990352186121001E-9</v>
      </c>
      <c r="K207" s="1">
        <v>1.8324044053488299E-7</v>
      </c>
      <c r="L207" t="s">
        <v>23</v>
      </c>
      <c r="M207" t="s">
        <v>24</v>
      </c>
      <c r="N207">
        <v>6363.1616015701502</v>
      </c>
      <c r="O207">
        <v>6951.5961007697297</v>
      </c>
      <c r="P207">
        <v>5774.7271023705698</v>
      </c>
      <c r="Q207">
        <v>7051.2515479805297</v>
      </c>
      <c r="R207">
        <v>6851.9406535589296</v>
      </c>
      <c r="S207">
        <v>5727.6238298927101</v>
      </c>
      <c r="T207">
        <v>5821.8303748484304</v>
      </c>
    </row>
    <row r="208" spans="1:20" x14ac:dyDescent="0.2">
      <c r="A208" t="s">
        <v>429</v>
      </c>
      <c r="B208" s="3" t="str">
        <f>HYPERLINK("http://www.ncbi.nlm.nih.gov/gene/10043","TOM1")</f>
        <v>TOM1</v>
      </c>
      <c r="C208">
        <v>10043</v>
      </c>
      <c r="D208" t="s">
        <v>430</v>
      </c>
      <c r="E208" s="3" t="str">
        <f>HYPERLINK("http://genome.ucsc.edu/cgi-bin/hgTracks?db=hg19&amp;lastVirtModeType=default&amp;lastVirtModeExtraState=&amp;virtModeType=default&amp;virtMode=0&amp;nonVirtPosition=&amp;position=chr22:35299803-35347994","chr22:35299803-35347994")</f>
        <v>chr22:35299803-35347994</v>
      </c>
      <c r="F208" t="s">
        <v>27</v>
      </c>
      <c r="G208">
        <v>0.26359885241180903</v>
      </c>
      <c r="H208">
        <v>4.43254057926043E-2</v>
      </c>
      <c r="I208">
        <v>5.9469021816781797</v>
      </c>
      <c r="J208" s="1">
        <v>2.7326459668162101E-9</v>
      </c>
      <c r="K208" s="1">
        <v>1.8460840782718001E-7</v>
      </c>
      <c r="L208" t="s">
        <v>23</v>
      </c>
      <c r="M208" t="s">
        <v>24</v>
      </c>
      <c r="N208">
        <v>5410.44529232281</v>
      </c>
      <c r="O208">
        <v>4899.7634526184602</v>
      </c>
      <c r="P208">
        <v>5921.1271320271599</v>
      </c>
      <c r="Q208">
        <v>4947.5708422513098</v>
      </c>
      <c r="R208">
        <v>4851.9560629856096</v>
      </c>
      <c r="S208">
        <v>5921.96449377299</v>
      </c>
      <c r="T208">
        <v>5920.2897702813198</v>
      </c>
    </row>
    <row r="209" spans="1:20" x14ac:dyDescent="0.2">
      <c r="A209" t="s">
        <v>431</v>
      </c>
      <c r="B209" s="3" t="str">
        <f>HYPERLINK("http://www.ncbi.nlm.nih.gov/gene/84254","CAMKK1")</f>
        <v>CAMKK1</v>
      </c>
      <c r="C209">
        <v>84254</v>
      </c>
      <c r="D209" t="s">
        <v>432</v>
      </c>
      <c r="E209" s="3" t="str">
        <f>HYPERLINK("http://genome.ucsc.edu/cgi-bin/hgTracks?db=hg19&amp;lastVirtModeType=default&amp;lastVirtModeExtraState=&amp;virtModeType=default&amp;virtMode=0&amp;nonVirtPosition=&amp;position=chr17:3860322-3890743","chr17:3860322-3890743")</f>
        <v>chr17:3860322-3890743</v>
      </c>
      <c r="F209" t="s">
        <v>22</v>
      </c>
      <c r="G209">
        <v>0.39755851817523402</v>
      </c>
      <c r="H209">
        <v>6.6861143654798297E-2</v>
      </c>
      <c r="I209">
        <v>5.9460322759032396</v>
      </c>
      <c r="J209" s="1">
        <v>2.7472000114734101E-9</v>
      </c>
      <c r="K209" s="1">
        <v>1.84681867437972E-7</v>
      </c>
      <c r="L209" t="s">
        <v>23</v>
      </c>
      <c r="M209" t="s">
        <v>24</v>
      </c>
      <c r="N209">
        <v>1436.6328906384399</v>
      </c>
      <c r="O209">
        <v>1221.9370632507</v>
      </c>
      <c r="P209">
        <v>1651.32871802619</v>
      </c>
      <c r="Q209">
        <v>1236.89271056283</v>
      </c>
      <c r="R209">
        <v>1206.9814159385601</v>
      </c>
      <c r="S209">
        <v>1639.5643825838299</v>
      </c>
      <c r="T209">
        <v>1663.0930534685499</v>
      </c>
    </row>
    <row r="210" spans="1:20" x14ac:dyDescent="0.2">
      <c r="A210" t="s">
        <v>433</v>
      </c>
      <c r="B210" s="3" t="str">
        <f>HYPERLINK("http://www.ncbi.nlm.nih.gov/gene/102465453","MIR6756")</f>
        <v>MIR6756</v>
      </c>
      <c r="C210">
        <v>102465453</v>
      </c>
      <c r="D210" t="s">
        <v>434</v>
      </c>
      <c r="E210" s="3" t="str">
        <f>HYPERLINK("http://genome.ucsc.edu/cgi-bin/hgTracks?db=hg19&amp;lastVirtModeType=default&amp;lastVirtModeExtraState=&amp;virtModeType=default&amp;virtMode=0&amp;nonVirtPosition=&amp;position=chr11:119312949-119313012","chr11:119312949-119313012")</f>
        <v>chr11:119312949-119313012</v>
      </c>
      <c r="F210" t="s">
        <v>22</v>
      </c>
      <c r="G210">
        <v>-0.24616101684463401</v>
      </c>
      <c r="H210">
        <v>4.1537581553804201E-2</v>
      </c>
      <c r="I210">
        <v>-5.9262240996331998</v>
      </c>
      <c r="J210" s="1">
        <v>3.0997949829457101E-9</v>
      </c>
      <c r="K210" s="1">
        <v>2.073687238835E-7</v>
      </c>
      <c r="L210" t="s">
        <v>23</v>
      </c>
      <c r="M210" t="s">
        <v>24</v>
      </c>
      <c r="N210">
        <v>24586.6462917922</v>
      </c>
      <c r="O210">
        <v>26748.3253504352</v>
      </c>
      <c r="P210">
        <v>22424.967233149298</v>
      </c>
      <c r="Q210">
        <v>26332.468951570601</v>
      </c>
      <c r="R210">
        <v>27164.1817492997</v>
      </c>
      <c r="S210">
        <v>21943.7245043289</v>
      </c>
      <c r="T210">
        <v>22906.209961969798</v>
      </c>
    </row>
    <row r="211" spans="1:20" x14ac:dyDescent="0.2">
      <c r="A211" t="s">
        <v>433</v>
      </c>
      <c r="B211" s="3" t="str">
        <f>HYPERLINK("http://www.ncbi.nlm.nih.gov/gene/4162","MCAM")</f>
        <v>MCAM</v>
      </c>
      <c r="C211">
        <v>4162</v>
      </c>
      <c r="D211" t="s">
        <v>435</v>
      </c>
      <c r="E211" s="3" t="str">
        <f>HYPERLINK("http://genome.ucsc.edu/cgi-bin/hgTracks?db=hg19&amp;lastVirtModeType=default&amp;lastVirtModeExtraState=&amp;virtModeType=default&amp;virtMode=0&amp;nonVirtPosition=&amp;position=chr11:119308523-119317130","chr11:119308523-119317130")</f>
        <v>chr11:119308523-119317130</v>
      </c>
      <c r="F211" t="s">
        <v>22</v>
      </c>
      <c r="G211">
        <v>-0.24616101684463401</v>
      </c>
      <c r="H211">
        <v>4.1537581553804201E-2</v>
      </c>
      <c r="I211">
        <v>-5.9262240996331998</v>
      </c>
      <c r="J211" s="1">
        <v>3.0997949829457101E-9</v>
      </c>
      <c r="K211" s="1">
        <v>2.073687238835E-7</v>
      </c>
      <c r="L211" t="s">
        <v>23</v>
      </c>
      <c r="M211" t="s">
        <v>24</v>
      </c>
      <c r="N211">
        <v>24586.6462917922</v>
      </c>
      <c r="O211">
        <v>26748.3253504352</v>
      </c>
      <c r="P211">
        <v>22424.967233149298</v>
      </c>
      <c r="Q211">
        <v>26332.468951570601</v>
      </c>
      <c r="R211">
        <v>27164.1817492997</v>
      </c>
      <c r="S211">
        <v>21943.7245043289</v>
      </c>
      <c r="T211">
        <v>22906.209961969798</v>
      </c>
    </row>
    <row r="212" spans="1:20" x14ac:dyDescent="0.2">
      <c r="A212" t="s">
        <v>436</v>
      </c>
      <c r="B212" s="3" t="str">
        <f>HYPERLINK("http://www.ncbi.nlm.nih.gov/gene/81930","KIF18A")</f>
        <v>KIF18A</v>
      </c>
      <c r="C212">
        <v>81930</v>
      </c>
      <c r="D212" t="s">
        <v>437</v>
      </c>
      <c r="E212" s="3" t="str">
        <f>HYPERLINK("http://genome.ucsc.edu/cgi-bin/hgTracks?db=hg19&amp;lastVirtModeType=default&amp;lastVirtModeExtraState=&amp;virtModeType=default&amp;virtMode=0&amp;nonVirtPosition=&amp;position=chr11:28020615-28108199","chr11:28020615-28108199")</f>
        <v>chr11:28020615-28108199</v>
      </c>
      <c r="F212" t="s">
        <v>22</v>
      </c>
      <c r="G212">
        <v>-0.60489136162033996</v>
      </c>
      <c r="H212">
        <v>0.10240147366760601</v>
      </c>
      <c r="I212">
        <v>-5.9070571931787601</v>
      </c>
      <c r="J212" s="1">
        <v>3.4827286816032902E-9</v>
      </c>
      <c r="K212" s="1">
        <v>2.3185505407527901E-7</v>
      </c>
      <c r="L212" t="s">
        <v>23</v>
      </c>
      <c r="M212" t="s">
        <v>24</v>
      </c>
      <c r="N212">
        <v>388.07422181746199</v>
      </c>
      <c r="O212">
        <v>494.45359186307002</v>
      </c>
      <c r="P212">
        <v>281.69485177185402</v>
      </c>
      <c r="Q212">
        <v>515.94523521808696</v>
      </c>
      <c r="R212">
        <v>472.96194850805301</v>
      </c>
      <c r="S212">
        <v>267.34172543936</v>
      </c>
      <c r="T212">
        <v>296.047978104349</v>
      </c>
    </row>
    <row r="213" spans="1:20" x14ac:dyDescent="0.2">
      <c r="A213" t="s">
        <v>438</v>
      </c>
      <c r="B213" s="3" t="str">
        <f>HYPERLINK("http://www.ncbi.nlm.nih.gov/gene/4608","MYBPH")</f>
        <v>MYBPH</v>
      </c>
      <c r="C213">
        <v>4608</v>
      </c>
      <c r="D213" t="s">
        <v>439</v>
      </c>
      <c r="E213" s="3" t="str">
        <f>HYPERLINK("http://genome.ucsc.edu/cgi-bin/hgTracks?db=hg19&amp;lastVirtModeType=default&amp;lastVirtModeExtraState=&amp;virtModeType=default&amp;virtMode=0&amp;nonVirtPosition=&amp;position=chr1:203167810-203175814","chr1:203167810-203175814")</f>
        <v>chr1:203167810-203175814</v>
      </c>
      <c r="F213" t="s">
        <v>22</v>
      </c>
      <c r="G213">
        <v>-0.62873696050815797</v>
      </c>
      <c r="H213">
        <v>0.106515935447696</v>
      </c>
      <c r="I213">
        <v>-5.9027502116516004</v>
      </c>
      <c r="J213" s="1">
        <v>3.5749133758663901E-9</v>
      </c>
      <c r="K213" s="1">
        <v>2.3684232867938E-7</v>
      </c>
      <c r="L213" t="s">
        <v>23</v>
      </c>
      <c r="M213" t="s">
        <v>24</v>
      </c>
      <c r="N213">
        <v>310.15602745981897</v>
      </c>
      <c r="O213">
        <v>401.75637901732603</v>
      </c>
      <c r="P213">
        <v>218.555675902312</v>
      </c>
      <c r="Q213">
        <v>411.38033421388798</v>
      </c>
      <c r="R213">
        <v>392.13242382076402</v>
      </c>
      <c r="S213">
        <v>214.07068051786399</v>
      </c>
      <c r="T213">
        <v>223.04067128676101</v>
      </c>
    </row>
    <row r="214" spans="1:20" x14ac:dyDescent="0.2">
      <c r="A214" t="s">
        <v>440</v>
      </c>
      <c r="B214" s="3" t="str">
        <f>HYPERLINK("http://www.ncbi.nlm.nih.gov/gene/3833","KIFC1")</f>
        <v>KIFC1</v>
      </c>
      <c r="C214">
        <v>3833</v>
      </c>
      <c r="D214" t="s">
        <v>441</v>
      </c>
      <c r="E214" s="3" t="str">
        <f>HYPERLINK("http://genome.ucsc.edu/cgi-bin/hgTracks?db=hg19&amp;lastVirtModeType=default&amp;lastVirtModeExtraState=&amp;virtModeType=default&amp;virtMode=0&amp;nonVirtPosition=&amp;position=chr6:33391535-33409922","chr6:33391535-33409922")</f>
        <v>chr6:33391535-33409922</v>
      </c>
      <c r="F214" t="s">
        <v>27</v>
      </c>
      <c r="G214">
        <v>-0.53631019179275696</v>
      </c>
      <c r="H214">
        <v>9.1325915523513407E-2</v>
      </c>
      <c r="I214">
        <v>-5.8724863443024997</v>
      </c>
      <c r="J214" s="1">
        <v>4.2930708095103397E-9</v>
      </c>
      <c r="K214" s="1">
        <v>2.8305371673858098E-7</v>
      </c>
      <c r="L214" t="s">
        <v>23</v>
      </c>
      <c r="M214" t="s">
        <v>24</v>
      </c>
      <c r="N214">
        <v>580.77053117785397</v>
      </c>
      <c r="O214">
        <v>710.63688578138897</v>
      </c>
      <c r="P214">
        <v>450.90417657431999</v>
      </c>
      <c r="Q214">
        <v>742.961138714046</v>
      </c>
      <c r="R214">
        <v>678.31263284873205</v>
      </c>
      <c r="S214">
        <v>457.736385992115</v>
      </c>
      <c r="T214">
        <v>444.07196715652401</v>
      </c>
    </row>
    <row r="215" spans="1:20" x14ac:dyDescent="0.2">
      <c r="A215" t="s">
        <v>442</v>
      </c>
      <c r="B215" s="3" t="str">
        <f>HYPERLINK("http://www.ncbi.nlm.nih.gov/gene/1410","CRYAB")</f>
        <v>CRYAB</v>
      </c>
      <c r="C215">
        <v>1410</v>
      </c>
      <c r="D215" t="s">
        <v>443</v>
      </c>
      <c r="E215" s="3" t="str">
        <f>HYPERLINK("http://genome.ucsc.edu/cgi-bin/hgTracks?db=hg19&amp;lastVirtModeType=default&amp;lastVirtModeExtraState=&amp;virtModeType=default&amp;virtMode=0&amp;nonVirtPosition=&amp;position=chr11:111908619-111913213","chr11:111908619-111913213")</f>
        <v>chr11:111908619-111913213</v>
      </c>
      <c r="F215" t="s">
        <v>22</v>
      </c>
      <c r="G215">
        <v>0.32041079709085801</v>
      </c>
      <c r="H215">
        <v>5.4624513910244303E-2</v>
      </c>
      <c r="I215">
        <v>5.8656960795539099</v>
      </c>
      <c r="J215" s="1">
        <v>4.4725237212705401E-9</v>
      </c>
      <c r="K215" s="1">
        <v>2.9347459480145499E-7</v>
      </c>
      <c r="L215" t="s">
        <v>23</v>
      </c>
      <c r="M215" t="s">
        <v>24</v>
      </c>
      <c r="N215">
        <v>4863.5025891783998</v>
      </c>
      <c r="O215">
        <v>4294.2598866276303</v>
      </c>
      <c r="P215">
        <v>5432.7452917291603</v>
      </c>
      <c r="Q215">
        <v>4133.0652975870198</v>
      </c>
      <c r="R215">
        <v>4455.4544756682399</v>
      </c>
      <c r="S215">
        <v>5170.2508598807599</v>
      </c>
      <c r="T215">
        <v>5695.2397235775597</v>
      </c>
    </row>
    <row r="216" spans="1:20" x14ac:dyDescent="0.2">
      <c r="A216" t="s">
        <v>444</v>
      </c>
      <c r="B216" s="3" t="str">
        <f>HYPERLINK("http://www.ncbi.nlm.nih.gov/gene/8507","ENC1")</f>
        <v>ENC1</v>
      </c>
      <c r="C216">
        <v>8507</v>
      </c>
      <c r="D216" t="s">
        <v>445</v>
      </c>
      <c r="E216" s="3" t="str">
        <f>HYPERLINK("http://genome.ucsc.edu/cgi-bin/hgTracks?db=hg19&amp;lastVirtModeType=default&amp;lastVirtModeExtraState=&amp;virtModeType=default&amp;virtMode=0&amp;nonVirtPosition=&amp;position=chr5:74627405-74641424","chr5:74627405-74641424")</f>
        <v>chr5:74627405-74641424</v>
      </c>
      <c r="F216" t="s">
        <v>22</v>
      </c>
      <c r="G216">
        <v>-0.60854182872852103</v>
      </c>
      <c r="H216">
        <v>0.103777842330492</v>
      </c>
      <c r="I216">
        <v>-5.8638897770735197</v>
      </c>
      <c r="J216" s="1">
        <v>4.5214768314919399E-9</v>
      </c>
      <c r="K216" s="1">
        <v>2.95273967938478E-7</v>
      </c>
      <c r="L216" t="s">
        <v>23</v>
      </c>
      <c r="M216" t="s">
        <v>24</v>
      </c>
      <c r="N216">
        <v>4123.7983758555702</v>
      </c>
      <c r="O216">
        <v>5268.0161333521</v>
      </c>
      <c r="P216">
        <v>2979.5806183590398</v>
      </c>
      <c r="Q216">
        <v>5309.4204338842601</v>
      </c>
      <c r="R216">
        <v>5226.61183281994</v>
      </c>
      <c r="S216">
        <v>2687.2282660399201</v>
      </c>
      <c r="T216">
        <v>3271.93297067816</v>
      </c>
    </row>
    <row r="217" spans="1:20" x14ac:dyDescent="0.2">
      <c r="A217" t="s">
        <v>446</v>
      </c>
      <c r="B217" s="3" t="str">
        <f>HYPERLINK("http://www.ncbi.nlm.nih.gov/gene/65266","WNK4")</f>
        <v>WNK4</v>
      </c>
      <c r="C217">
        <v>65266</v>
      </c>
      <c r="D217" t="s">
        <v>447</v>
      </c>
      <c r="E217" s="3" t="str">
        <f>HYPERLINK("http://genome.ucsc.edu/cgi-bin/hgTracks?db=hg19&amp;lastVirtModeType=default&amp;lastVirtModeExtraState=&amp;virtModeType=default&amp;virtMode=0&amp;nonVirtPosition=&amp;position=chr17:42780630-42797066","chr17:42780630-42797066")</f>
        <v>chr17:42780630-42797066</v>
      </c>
      <c r="F217" t="s">
        <v>27</v>
      </c>
      <c r="G217">
        <v>-0.60116410618105698</v>
      </c>
      <c r="H217">
        <v>0.10260001213049399</v>
      </c>
      <c r="I217">
        <v>-5.8592985877667898</v>
      </c>
      <c r="J217" s="1">
        <v>4.6482627142980798E-9</v>
      </c>
      <c r="K217" s="1">
        <v>3.0211504674826502E-7</v>
      </c>
      <c r="L217" t="s">
        <v>23</v>
      </c>
      <c r="M217" t="s">
        <v>24</v>
      </c>
      <c r="N217">
        <v>371.535803040595</v>
      </c>
      <c r="O217">
        <v>472.09342319999098</v>
      </c>
      <c r="P217">
        <v>270.97818288119902</v>
      </c>
      <c r="Q217">
        <v>452.655953031335</v>
      </c>
      <c r="R217">
        <v>491.53089336864599</v>
      </c>
      <c r="S217">
        <v>267.34172543936</v>
      </c>
      <c r="T217">
        <v>274.614640323039</v>
      </c>
    </row>
    <row r="218" spans="1:20" x14ac:dyDescent="0.2">
      <c r="A218" t="s">
        <v>448</v>
      </c>
      <c r="B218" s="3" t="str">
        <f>HYPERLINK("http://www.ncbi.nlm.nih.gov/gene/285590","SH3PXD2B")</f>
        <v>SH3PXD2B</v>
      </c>
      <c r="C218">
        <v>285590</v>
      </c>
      <c r="D218" t="s">
        <v>449</v>
      </c>
      <c r="E218" s="3" t="str">
        <f>HYPERLINK("http://genome.ucsc.edu/cgi-bin/hgTracks?db=hg19&amp;lastVirtModeType=default&amp;lastVirtModeExtraState=&amp;virtModeType=default&amp;virtMode=0&amp;nonVirtPosition=&amp;position=chr5:172333498-172454523","chr5:172333498-172454523")</f>
        <v>chr5:172333498-172454523</v>
      </c>
      <c r="F218" t="s">
        <v>22</v>
      </c>
      <c r="G218">
        <v>0.23876277378347399</v>
      </c>
      <c r="H218">
        <v>4.0938888778122101E-2</v>
      </c>
      <c r="I218">
        <v>5.8321752472937103</v>
      </c>
      <c r="J218" s="1">
        <v>5.4709413623540601E-9</v>
      </c>
      <c r="K218" s="1">
        <v>3.5390797095907298E-7</v>
      </c>
      <c r="L218" t="s">
        <v>23</v>
      </c>
      <c r="M218" t="s">
        <v>24</v>
      </c>
      <c r="N218">
        <v>8660.4670749943598</v>
      </c>
      <c r="O218">
        <v>7922.9745018233498</v>
      </c>
      <c r="P218">
        <v>9397.9596481653807</v>
      </c>
      <c r="Q218">
        <v>7997.83907286064</v>
      </c>
      <c r="R218">
        <v>7848.1099307860504</v>
      </c>
      <c r="S218">
        <v>9470.4079860437505</v>
      </c>
      <c r="T218">
        <v>9325.5113102870091</v>
      </c>
    </row>
    <row r="219" spans="1:20" x14ac:dyDescent="0.2">
      <c r="A219" t="s">
        <v>450</v>
      </c>
      <c r="B219" s="3" t="str">
        <f>HYPERLINK("http://www.ncbi.nlm.nih.gov/gene/51330","TNFRSF12A")</f>
        <v>TNFRSF12A</v>
      </c>
      <c r="C219">
        <v>51330</v>
      </c>
      <c r="D219" t="s">
        <v>451</v>
      </c>
      <c r="E219" s="3" t="str">
        <f>HYPERLINK("http://genome.ucsc.edu/cgi-bin/hgTracks?db=hg19&amp;lastVirtModeType=default&amp;lastVirtModeExtraState=&amp;virtModeType=default&amp;virtMode=0&amp;nonVirtPosition=&amp;position=chr16:3020311-3022382","chr16:3020311-3022382")</f>
        <v>chr16:3020311-3022382</v>
      </c>
      <c r="F219" t="s">
        <v>27</v>
      </c>
      <c r="G219">
        <v>0.237164440969133</v>
      </c>
      <c r="H219">
        <v>4.0747560957924998E-2</v>
      </c>
      <c r="I219">
        <v>5.8203346505579496</v>
      </c>
      <c r="J219" s="1">
        <v>5.8729918184943198E-9</v>
      </c>
      <c r="K219" s="1">
        <v>3.78132440370099E-7</v>
      </c>
      <c r="L219" t="s">
        <v>23</v>
      </c>
      <c r="M219" t="s">
        <v>24</v>
      </c>
      <c r="N219">
        <v>10124.642383824499</v>
      </c>
      <c r="O219">
        <v>9267.9837613449909</v>
      </c>
      <c r="P219">
        <v>10981.3010063041</v>
      </c>
      <c r="Q219">
        <v>9141.1737141039193</v>
      </c>
      <c r="R219">
        <v>9394.7938085860605</v>
      </c>
      <c r="S219">
        <v>10874.1986698084</v>
      </c>
      <c r="T219">
        <v>11088.4033427998</v>
      </c>
    </row>
    <row r="220" spans="1:20" x14ac:dyDescent="0.2">
      <c r="A220" t="s">
        <v>452</v>
      </c>
      <c r="B220" s="3" t="str">
        <f>HYPERLINK("http://www.ncbi.nlm.nih.gov/gene/81610","FAM83D")</f>
        <v>FAM83D</v>
      </c>
      <c r="C220">
        <v>81610</v>
      </c>
      <c r="D220" t="s">
        <v>453</v>
      </c>
      <c r="E220" s="3" t="str">
        <f>HYPERLINK("http://genome.ucsc.edu/cgi-bin/hgTracks?db=hg19&amp;lastVirtModeType=default&amp;lastVirtModeExtraState=&amp;virtModeType=default&amp;virtMode=0&amp;nonVirtPosition=&amp;position=chr20:38926311-38953061","chr20:38926311-38953061")</f>
        <v>chr20:38926311-38953061</v>
      </c>
      <c r="F220" t="s">
        <v>27</v>
      </c>
      <c r="G220">
        <v>-0.61028209682332302</v>
      </c>
      <c r="H220">
        <v>0.105116077569917</v>
      </c>
      <c r="I220">
        <v>-5.8057921388609497</v>
      </c>
      <c r="J220" s="1">
        <v>6.4062398181505702E-9</v>
      </c>
      <c r="K220" s="1">
        <v>4.1053819096316299E-7</v>
      </c>
      <c r="L220" t="s">
        <v>23</v>
      </c>
      <c r="M220" t="s">
        <v>24</v>
      </c>
      <c r="N220">
        <v>369.13557418715999</v>
      </c>
      <c r="O220">
        <v>473.89462179021598</v>
      </c>
      <c r="P220">
        <v>264.37652658410502</v>
      </c>
      <c r="Q220">
        <v>459.53522283424297</v>
      </c>
      <c r="R220">
        <v>488.25402074618802</v>
      </c>
      <c r="S220">
        <v>238.73320131485301</v>
      </c>
      <c r="T220">
        <v>290.01985185335599</v>
      </c>
    </row>
    <row r="221" spans="1:20" x14ac:dyDescent="0.2">
      <c r="A221" t="s">
        <v>454</v>
      </c>
      <c r="B221" s="3" t="str">
        <f>HYPERLINK("http://www.ncbi.nlm.nih.gov/gene/162073","ITPRIPL2")</f>
        <v>ITPRIPL2</v>
      </c>
      <c r="C221">
        <v>162073</v>
      </c>
      <c r="D221" t="s">
        <v>455</v>
      </c>
      <c r="E221" s="3" t="str">
        <f>HYPERLINK("http://genome.ucsc.edu/cgi-bin/hgTracks?db=hg19&amp;lastVirtModeType=default&amp;lastVirtModeExtraState=&amp;virtModeType=default&amp;virtMode=0&amp;nonVirtPosition=&amp;position=chr16:19113931-19121630","chr16:19113931-19121630")</f>
        <v>chr16:19113931-19121630</v>
      </c>
      <c r="F221" t="s">
        <v>27</v>
      </c>
      <c r="G221">
        <v>0.29119299089503697</v>
      </c>
      <c r="H221">
        <v>5.0165187698054697E-2</v>
      </c>
      <c r="I221">
        <v>5.8046825748511797</v>
      </c>
      <c r="J221" s="1">
        <v>6.4488056955038503E-9</v>
      </c>
      <c r="K221" s="1">
        <v>4.11343820037859E-7</v>
      </c>
      <c r="L221" t="s">
        <v>23</v>
      </c>
      <c r="M221" t="s">
        <v>24</v>
      </c>
      <c r="N221">
        <v>3910.5637383963899</v>
      </c>
      <c r="O221">
        <v>3499.7155973730501</v>
      </c>
      <c r="P221">
        <v>4321.4118794197302</v>
      </c>
      <c r="Q221">
        <v>3513.93101532532</v>
      </c>
      <c r="R221">
        <v>3485.5001794207801</v>
      </c>
      <c r="S221">
        <v>4205.4530463025503</v>
      </c>
      <c r="T221">
        <v>4437.3707125369101</v>
      </c>
    </row>
    <row r="222" spans="1:20" x14ac:dyDescent="0.2">
      <c r="A222" t="s">
        <v>456</v>
      </c>
      <c r="B222" s="3" t="str">
        <f>HYPERLINK("http://www.ncbi.nlm.nih.gov/gene/2202","EFEMP1")</f>
        <v>EFEMP1</v>
      </c>
      <c r="C222">
        <v>2202</v>
      </c>
      <c r="D222" t="s">
        <v>457</v>
      </c>
      <c r="E222" s="3" t="str">
        <f>HYPERLINK("http://genome.ucsc.edu/cgi-bin/hgTracks?db=hg19&amp;lastVirtModeType=default&amp;lastVirtModeExtraState=&amp;virtModeType=default&amp;virtMode=0&amp;nonVirtPosition=&amp;position=chr2:55865961-55924163","chr2:55865961-55924163")</f>
        <v>chr2:55865961-55924163</v>
      </c>
      <c r="F222" t="s">
        <v>22</v>
      </c>
      <c r="G222">
        <v>-0.30632802869613002</v>
      </c>
      <c r="H222">
        <v>5.2933195156383402E-2</v>
      </c>
      <c r="I222">
        <v>-5.7870685453830601</v>
      </c>
      <c r="J222" s="1">
        <v>7.1625356876697598E-9</v>
      </c>
      <c r="K222" s="1">
        <v>4.5475469639214402E-7</v>
      </c>
      <c r="L222" t="s">
        <v>23</v>
      </c>
      <c r="M222" t="s">
        <v>24</v>
      </c>
      <c r="N222">
        <v>7386.3833295570803</v>
      </c>
      <c r="O222">
        <v>8212.6471207455998</v>
      </c>
      <c r="P222">
        <v>6560.1195383685499</v>
      </c>
      <c r="Q222">
        <v>7946.9324763191298</v>
      </c>
      <c r="R222">
        <v>8478.3617651720706</v>
      </c>
      <c r="S222">
        <v>6193.2522225398598</v>
      </c>
      <c r="T222">
        <v>6926.9868541972401</v>
      </c>
    </row>
    <row r="223" spans="1:20" x14ac:dyDescent="0.2">
      <c r="A223" t="s">
        <v>458</v>
      </c>
      <c r="B223" s="3" t="str">
        <f>HYPERLINK("http://www.ncbi.nlm.nih.gov/gene/1514","CTSL")</f>
        <v>CTSL</v>
      </c>
      <c r="C223">
        <v>1514</v>
      </c>
      <c r="D223" t="s">
        <v>459</v>
      </c>
      <c r="E223" s="3" t="str">
        <f>HYPERLINK("http://genome.ucsc.edu/cgi-bin/hgTracks?db=hg19&amp;lastVirtModeType=default&amp;lastVirtModeExtraState=&amp;virtModeType=default&amp;virtMode=0&amp;nonVirtPosition=&amp;position=chr9:87726058-87731469","chr9:87726058-87731469")</f>
        <v>chr9:87726058-87731469</v>
      </c>
      <c r="F223" t="s">
        <v>27</v>
      </c>
      <c r="G223">
        <v>0.24233050058560901</v>
      </c>
      <c r="H223">
        <v>4.1892103919763897E-2</v>
      </c>
      <c r="I223">
        <v>5.78463428453595</v>
      </c>
      <c r="J223" s="1">
        <v>7.2670252685119096E-9</v>
      </c>
      <c r="K223" s="1">
        <v>4.5926260153166999E-7</v>
      </c>
      <c r="L223" t="s">
        <v>23</v>
      </c>
      <c r="M223" t="s">
        <v>24</v>
      </c>
      <c r="N223">
        <v>17107.0111043535</v>
      </c>
      <c r="O223">
        <v>15623.7587562272</v>
      </c>
      <c r="P223">
        <v>18590.263452479801</v>
      </c>
      <c r="Q223">
        <v>15625.573430324799</v>
      </c>
      <c r="R223">
        <v>15621.944082129699</v>
      </c>
      <c r="S223">
        <v>19107.534612675201</v>
      </c>
      <c r="T223">
        <v>18072.9922922843</v>
      </c>
    </row>
    <row r="224" spans="1:20" x14ac:dyDescent="0.2">
      <c r="A224" t="s">
        <v>460</v>
      </c>
      <c r="B224" s="3" t="str">
        <f>HYPERLINK("http://www.ncbi.nlm.nih.gov/gene/8325","FZD8")</f>
        <v>FZD8</v>
      </c>
      <c r="C224">
        <v>8325</v>
      </c>
      <c r="D224" t="s">
        <v>461</v>
      </c>
      <c r="E224" s="3" t="str">
        <f>HYPERLINK("http://genome.ucsc.edu/cgi-bin/hgTracks?db=hg19&amp;lastVirtModeType=default&amp;lastVirtModeExtraState=&amp;virtModeType=default&amp;virtMode=0&amp;nonVirtPosition=&amp;position=chr10:35638248-35641434","chr10:35638248-35641434")</f>
        <v>chr10:35638248-35641434</v>
      </c>
      <c r="F224" t="s">
        <v>22</v>
      </c>
      <c r="G224">
        <v>0.47347944528653102</v>
      </c>
      <c r="H224">
        <v>8.2112552975410202E-2</v>
      </c>
      <c r="I224">
        <v>5.7662248721985403</v>
      </c>
      <c r="J224" s="1">
        <v>8.1066877453658496E-9</v>
      </c>
      <c r="K224" s="1">
        <v>5.09977595137373E-7</v>
      </c>
      <c r="L224" t="s">
        <v>23</v>
      </c>
      <c r="M224" t="s">
        <v>24</v>
      </c>
      <c r="N224">
        <v>1130.0967245452</v>
      </c>
      <c r="O224">
        <v>915.01543374859796</v>
      </c>
      <c r="P224">
        <v>1345.1780153417999</v>
      </c>
      <c r="Q224">
        <v>881.92238873278404</v>
      </c>
      <c r="R224">
        <v>948.10847876441096</v>
      </c>
      <c r="S224">
        <v>1463.9672345092599</v>
      </c>
      <c r="T224">
        <v>1226.3887961743501</v>
      </c>
    </row>
    <row r="225" spans="1:20" x14ac:dyDescent="0.2">
      <c r="A225" t="s">
        <v>460</v>
      </c>
      <c r="B225" s="3" t="str">
        <f>HYPERLINK("http://www.ncbi.nlm.nih.gov/gene/100616500","MIR4683")</f>
        <v>MIR4683</v>
      </c>
      <c r="C225">
        <v>100616500</v>
      </c>
      <c r="D225" t="s">
        <v>462</v>
      </c>
      <c r="E225" s="3" t="str">
        <f>HYPERLINK("http://genome.ucsc.edu/cgi-bin/hgTracks?db=hg19&amp;lastVirtModeType=default&amp;lastVirtModeExtraState=&amp;virtModeType=default&amp;virtMode=0&amp;nonVirtPosition=&amp;position=chr10:35641171-35641252","chr10:35641171-35641252")</f>
        <v>chr10:35641171-35641252</v>
      </c>
      <c r="F225" t="s">
        <v>22</v>
      </c>
      <c r="G225">
        <v>0.47347944528653102</v>
      </c>
      <c r="H225">
        <v>8.2112552975410202E-2</v>
      </c>
      <c r="I225">
        <v>5.7662248721985403</v>
      </c>
      <c r="J225" s="1">
        <v>8.1066877453658496E-9</v>
      </c>
      <c r="K225" s="1">
        <v>5.09977595137373E-7</v>
      </c>
      <c r="L225" t="s">
        <v>23</v>
      </c>
      <c r="M225" t="s">
        <v>24</v>
      </c>
      <c r="N225">
        <v>1130.0967245452</v>
      </c>
      <c r="O225">
        <v>915.01543374859796</v>
      </c>
      <c r="P225">
        <v>1345.1780153417999</v>
      </c>
      <c r="Q225">
        <v>881.92238873278404</v>
      </c>
      <c r="R225">
        <v>948.10847876441096</v>
      </c>
      <c r="S225">
        <v>1463.9672345092599</v>
      </c>
      <c r="T225">
        <v>1226.3887961743501</v>
      </c>
    </row>
    <row r="226" spans="1:20" x14ac:dyDescent="0.2">
      <c r="A226" t="s">
        <v>463</v>
      </c>
      <c r="B226" s="3" t="str">
        <f>HYPERLINK("http://www.ncbi.nlm.nih.gov/gene/51232","CRIM1")</f>
        <v>CRIM1</v>
      </c>
      <c r="C226">
        <v>51232</v>
      </c>
      <c r="D226" t="s">
        <v>464</v>
      </c>
      <c r="E226" s="3" t="str">
        <f>HYPERLINK("http://genome.ucsc.edu/cgi-bin/hgTracks?db=hg19&amp;lastVirtModeType=default&amp;lastVirtModeExtraState=&amp;virtModeType=default&amp;virtMode=0&amp;nonVirtPosition=&amp;position=chr2:36356226-36551135","chr2:36356226-36551135")</f>
        <v>chr2:36356226-36551135</v>
      </c>
      <c r="F226" t="s">
        <v>27</v>
      </c>
      <c r="G226">
        <v>-0.27361709691835501</v>
      </c>
      <c r="H226">
        <v>4.7566297139689302E-2</v>
      </c>
      <c r="I226">
        <v>-5.7523312381204699</v>
      </c>
      <c r="J226" s="1">
        <v>8.8021120046096601E-9</v>
      </c>
      <c r="K226" s="1">
        <v>5.5119709603295399E-7</v>
      </c>
      <c r="L226" t="s">
        <v>23</v>
      </c>
      <c r="M226" t="s">
        <v>24</v>
      </c>
      <c r="N226">
        <v>9780.7832853148793</v>
      </c>
      <c r="O226">
        <v>10746.651141493099</v>
      </c>
      <c r="P226">
        <v>8814.9154291366594</v>
      </c>
      <c r="Q226">
        <v>10389.073256351399</v>
      </c>
      <c r="R226">
        <v>11104.229026634801</v>
      </c>
      <c r="S226">
        <v>8506.5966732974302</v>
      </c>
      <c r="T226">
        <v>9123.2341849758905</v>
      </c>
    </row>
    <row r="227" spans="1:20" x14ac:dyDescent="0.2">
      <c r="A227" t="s">
        <v>465</v>
      </c>
      <c r="B227" s="3" t="str">
        <f>HYPERLINK("http://www.ncbi.nlm.nih.gov/gene/669","BPGM")</f>
        <v>BPGM</v>
      </c>
      <c r="C227">
        <v>669</v>
      </c>
      <c r="D227" t="s">
        <v>466</v>
      </c>
      <c r="E227" s="3" t="str">
        <f>HYPERLINK("http://genome.ucsc.edu/cgi-bin/hgTracks?db=hg19&amp;lastVirtModeType=default&amp;lastVirtModeExtraState=&amp;virtModeType=default&amp;virtMode=0&amp;nonVirtPosition=&amp;position=chr7:134646778-134679815","chr7:134646778-134679815")</f>
        <v>chr7:134646778-134679815</v>
      </c>
      <c r="F227" t="s">
        <v>27</v>
      </c>
      <c r="G227">
        <v>0.32505147651254601</v>
      </c>
      <c r="H227">
        <v>5.6555069595990402E-2</v>
      </c>
      <c r="I227">
        <v>5.7475214659728904</v>
      </c>
      <c r="J227" s="1">
        <v>9.0561105586286004E-9</v>
      </c>
      <c r="K227" s="1">
        <v>5.6452500091378497E-7</v>
      </c>
      <c r="L227" t="s">
        <v>23</v>
      </c>
      <c r="M227" t="s">
        <v>24</v>
      </c>
      <c r="N227">
        <v>2581.2020957874402</v>
      </c>
      <c r="O227">
        <v>2272.3069125370698</v>
      </c>
      <c r="P227">
        <v>2890.09727903781</v>
      </c>
      <c r="Q227">
        <v>2202.7421908910901</v>
      </c>
      <c r="R227">
        <v>2341.87163418306</v>
      </c>
      <c r="S227">
        <v>2857.8929099550801</v>
      </c>
      <c r="T227">
        <v>2922.30164812053</v>
      </c>
    </row>
    <row r="228" spans="1:20" x14ac:dyDescent="0.2">
      <c r="A228" t="s">
        <v>467</v>
      </c>
      <c r="B228" s="3" t="str">
        <f>HYPERLINK("http://www.ncbi.nlm.nih.gov/gene/57761","TRIB3")</f>
        <v>TRIB3</v>
      </c>
      <c r="C228">
        <v>57761</v>
      </c>
      <c r="D228" t="s">
        <v>468</v>
      </c>
      <c r="E228" s="3" t="str">
        <f>HYPERLINK("http://genome.ucsc.edu/cgi-bin/hgTracks?db=hg19&amp;lastVirtModeType=default&amp;lastVirtModeExtraState=&amp;virtModeType=default&amp;virtMode=0&amp;nonVirtPosition=&amp;position=chr20:381342-397559","chr20:381342-397559")</f>
        <v>chr20:381342-397559</v>
      </c>
      <c r="F228" t="s">
        <v>27</v>
      </c>
      <c r="G228">
        <v>0.44441366440052399</v>
      </c>
      <c r="H228">
        <v>7.7338851169145795E-2</v>
      </c>
      <c r="I228">
        <v>5.7463184115388302</v>
      </c>
      <c r="J228" s="1">
        <v>9.1207481214131403E-9</v>
      </c>
      <c r="K228" s="1">
        <v>5.6598162776950097E-7</v>
      </c>
      <c r="L228" t="s">
        <v>23</v>
      </c>
      <c r="M228" t="s">
        <v>24</v>
      </c>
      <c r="N228">
        <v>1101.6356204424501</v>
      </c>
      <c r="O228">
        <v>908.70329011854699</v>
      </c>
      <c r="P228">
        <v>1294.5679507663499</v>
      </c>
      <c r="Q228">
        <v>873.66726496929402</v>
      </c>
      <c r="R228">
        <v>943.73931526779995</v>
      </c>
      <c r="S228">
        <v>1359.3981463300299</v>
      </c>
      <c r="T228">
        <v>1229.7377552026801</v>
      </c>
    </row>
    <row r="229" spans="1:20" x14ac:dyDescent="0.2">
      <c r="A229" t="s">
        <v>469</v>
      </c>
      <c r="B229" s="3" t="str">
        <f>HYPERLINK("http://www.ncbi.nlm.nih.gov/gene/219699","UNC5B")</f>
        <v>UNC5B</v>
      </c>
      <c r="C229">
        <v>219699</v>
      </c>
      <c r="D229" t="s">
        <v>470</v>
      </c>
      <c r="E229" s="3" t="str">
        <f>HYPERLINK("http://genome.ucsc.edu/cgi-bin/hgTracks?db=hg19&amp;lastVirtModeType=default&amp;lastVirtModeExtraState=&amp;virtModeType=default&amp;virtMode=0&amp;nonVirtPosition=&amp;position=chr10:71212534-71302878","chr10:71212534-71302878")</f>
        <v>chr10:71212534-71302878</v>
      </c>
      <c r="F229" t="s">
        <v>27</v>
      </c>
      <c r="G229">
        <v>0.29878359058291698</v>
      </c>
      <c r="H229">
        <v>5.2152581300460903E-2</v>
      </c>
      <c r="I229">
        <v>5.7290278473766802</v>
      </c>
      <c r="J229" s="1">
        <v>1.01007814086673E-8</v>
      </c>
      <c r="K229" s="1">
        <v>6.2397349656965303E-7</v>
      </c>
      <c r="L229" t="s">
        <v>23</v>
      </c>
      <c r="M229" t="s">
        <v>24</v>
      </c>
      <c r="N229">
        <v>3830.1548183930199</v>
      </c>
      <c r="O229">
        <v>3411.6717574170998</v>
      </c>
      <c r="P229">
        <v>4248.6378793689501</v>
      </c>
      <c r="Q229">
        <v>3269.0290103418001</v>
      </c>
      <c r="R229">
        <v>3554.3145044923899</v>
      </c>
      <c r="S229">
        <v>4252.80508623277</v>
      </c>
      <c r="T229">
        <v>4244.4706725051201</v>
      </c>
    </row>
    <row r="230" spans="1:20" x14ac:dyDescent="0.2">
      <c r="A230" t="s">
        <v>471</v>
      </c>
      <c r="B230" s="3" t="str">
        <f>HYPERLINK("http://www.ncbi.nlm.nih.gov/gene/55901","THSD1")</f>
        <v>THSD1</v>
      </c>
      <c r="C230">
        <v>55901</v>
      </c>
      <c r="D230" t="s">
        <v>472</v>
      </c>
      <c r="E230" s="3" t="str">
        <f>HYPERLINK("http://genome.ucsc.edu/cgi-bin/hgTracks?db=hg19&amp;lastVirtModeType=default&amp;lastVirtModeExtraState=&amp;virtModeType=default&amp;virtMode=0&amp;nonVirtPosition=&amp;position=chr13:52377167-52406494","chr13:52377167-52406494")</f>
        <v>chr13:52377167-52406494</v>
      </c>
      <c r="F230" t="s">
        <v>22</v>
      </c>
      <c r="G230">
        <v>-0.48735590464130601</v>
      </c>
      <c r="H230">
        <v>8.5522142610717403E-2</v>
      </c>
      <c r="I230">
        <v>-5.69859325040147</v>
      </c>
      <c r="J230" s="1">
        <v>1.20800053028109E-8</v>
      </c>
      <c r="K230" s="1">
        <v>7.4289324090918998E-7</v>
      </c>
      <c r="L230" t="s">
        <v>23</v>
      </c>
      <c r="M230" t="s">
        <v>24</v>
      </c>
      <c r="N230">
        <v>685.99454770521197</v>
      </c>
      <c r="O230">
        <v>821.55653819395104</v>
      </c>
      <c r="P230">
        <v>550.43255721647199</v>
      </c>
      <c r="Q230">
        <v>828.26408427010301</v>
      </c>
      <c r="R230">
        <v>814.84899211779998</v>
      </c>
      <c r="S230">
        <v>541.58895670187701</v>
      </c>
      <c r="T230">
        <v>559.27615773106697</v>
      </c>
    </row>
    <row r="231" spans="1:20" x14ac:dyDescent="0.2">
      <c r="A231" t="s">
        <v>473</v>
      </c>
      <c r="B231" s="3" t="str">
        <f>HYPERLINK("http://www.ncbi.nlm.nih.gov/gene/1130","LYST")</f>
        <v>LYST</v>
      </c>
      <c r="C231">
        <v>1130</v>
      </c>
      <c r="D231" t="s">
        <v>474</v>
      </c>
      <c r="E231" s="3" t="str">
        <f>HYPERLINK("http://genome.ucsc.edu/cgi-bin/hgTracks?db=hg19&amp;lastVirtModeType=default&amp;lastVirtModeExtraState=&amp;virtModeType=default&amp;virtMode=0&amp;nonVirtPosition=&amp;position=chr1:235661030-235866927","chr1:235661030-235866927")</f>
        <v>chr1:235661030-235866927</v>
      </c>
      <c r="F231" t="s">
        <v>22</v>
      </c>
      <c r="G231">
        <v>0.387461446141594</v>
      </c>
      <c r="H231">
        <v>6.8079191258556895E-2</v>
      </c>
      <c r="I231">
        <v>5.6913344441778202</v>
      </c>
      <c r="J231" s="1">
        <v>1.2605033654075799E-8</v>
      </c>
      <c r="K231" s="1">
        <v>7.7172067648212098E-7</v>
      </c>
      <c r="L231" t="s">
        <v>23</v>
      </c>
      <c r="M231" t="s">
        <v>24</v>
      </c>
      <c r="N231">
        <v>1489.4556179384699</v>
      </c>
      <c r="O231">
        <v>1269.45171627633</v>
      </c>
      <c r="P231">
        <v>1709.4595196006001</v>
      </c>
      <c r="Q231">
        <v>1236.89271056283</v>
      </c>
      <c r="R231">
        <v>1302.01072198984</v>
      </c>
      <c r="S231">
        <v>1763.86348740065</v>
      </c>
      <c r="T231">
        <v>1655.0555518005599</v>
      </c>
    </row>
    <row r="232" spans="1:20" x14ac:dyDescent="0.2">
      <c r="A232" t="s">
        <v>475</v>
      </c>
      <c r="B232" s="3" t="str">
        <f>HYPERLINK("http://www.ncbi.nlm.nih.gov/gene/231","AKR1B1")</f>
        <v>AKR1B1</v>
      </c>
      <c r="C232">
        <v>231</v>
      </c>
      <c r="D232" t="s">
        <v>476</v>
      </c>
      <c r="E232" s="3" t="str">
        <f>HYPERLINK("http://genome.ucsc.edu/cgi-bin/hgTracks?db=hg19&amp;lastVirtModeType=default&amp;lastVirtModeExtraState=&amp;virtModeType=default&amp;virtMode=0&amp;nonVirtPosition=&amp;position=chr7:134442354-134459136","chr7:134442354-134459136")</f>
        <v>chr7:134442354-134459136</v>
      </c>
      <c r="F232" t="s">
        <v>22</v>
      </c>
      <c r="G232">
        <v>-0.23403447633355001</v>
      </c>
      <c r="H232">
        <v>4.1208322610373799E-2</v>
      </c>
      <c r="I232">
        <v>-5.6793012068546096</v>
      </c>
      <c r="J232" s="1">
        <v>1.35246133052395E-8</v>
      </c>
      <c r="K232" s="1">
        <v>8.2434020830246302E-7</v>
      </c>
      <c r="L232" t="s">
        <v>23</v>
      </c>
      <c r="M232" t="s">
        <v>24</v>
      </c>
      <c r="N232">
        <v>10474.8378193308</v>
      </c>
      <c r="O232">
        <v>11349.202066805999</v>
      </c>
      <c r="P232">
        <v>9600.4735718557004</v>
      </c>
      <c r="Q232">
        <v>11503.5149644225</v>
      </c>
      <c r="R232">
        <v>11194.889169189501</v>
      </c>
      <c r="S232">
        <v>9753.5337247931893</v>
      </c>
      <c r="T232">
        <v>9447.4134189182096</v>
      </c>
    </row>
    <row r="233" spans="1:20" x14ac:dyDescent="0.2">
      <c r="A233" t="s">
        <v>477</v>
      </c>
      <c r="B233" s="3" t="str">
        <f>HYPERLINK("http://www.ncbi.nlm.nih.gov/gene/26031","OSBPL3")</f>
        <v>OSBPL3</v>
      </c>
      <c r="C233">
        <v>26031</v>
      </c>
      <c r="D233" t="s">
        <v>478</v>
      </c>
      <c r="E233" s="3" t="str">
        <f>HYPERLINK("http://genome.ucsc.edu/cgi-bin/hgTracks?db=hg19&amp;lastVirtModeType=default&amp;lastVirtModeExtraState=&amp;virtModeType=default&amp;virtMode=0&amp;nonVirtPosition=&amp;position=chr7:24796536-24892621","chr7:24796536-24892621")</f>
        <v>chr7:24796536-24892621</v>
      </c>
      <c r="F233" t="s">
        <v>22</v>
      </c>
      <c r="G233">
        <v>-0.34694469217232199</v>
      </c>
      <c r="H233">
        <v>6.1102488379590099E-2</v>
      </c>
      <c r="I233">
        <v>-5.67807795350297</v>
      </c>
      <c r="J233" s="1">
        <v>1.3621663930245401E-8</v>
      </c>
      <c r="K233" s="1">
        <v>8.2658185459904995E-7</v>
      </c>
      <c r="L233" t="s">
        <v>23</v>
      </c>
      <c r="M233" t="s">
        <v>24</v>
      </c>
      <c r="N233">
        <v>1836.58108198333</v>
      </c>
      <c r="O233">
        <v>2073.5316004838401</v>
      </c>
      <c r="P233">
        <v>1599.63056348282</v>
      </c>
      <c r="Q233">
        <v>2065.1567948329298</v>
      </c>
      <c r="R233">
        <v>2081.9064061347499</v>
      </c>
      <c r="S233">
        <v>1580.3743326710501</v>
      </c>
      <c r="T233">
        <v>1618.8867942945999</v>
      </c>
    </row>
    <row r="234" spans="1:20" x14ac:dyDescent="0.2">
      <c r="A234" t="s">
        <v>479</v>
      </c>
      <c r="B234" s="3" t="str">
        <f>HYPERLINK("http://www.ncbi.nlm.nih.gov/gene/113157","RPLP0P2")</f>
        <v>RPLP0P2</v>
      </c>
      <c r="C234">
        <v>113157</v>
      </c>
      <c r="D234" t="s">
        <v>480</v>
      </c>
      <c r="E234" s="3" t="str">
        <f>HYPERLINK("http://genome.ucsc.edu/cgi-bin/hgTracks?db=hg19&amp;lastVirtModeType=default&amp;lastVirtModeExtraState=&amp;virtModeType=default&amp;virtMode=0&amp;nonVirtPosition=&amp;position=chr11:61615035-61639449","chr11:61615035-61639449")</f>
        <v>chr11:61615035-61639449</v>
      </c>
      <c r="F234" t="s">
        <v>27</v>
      </c>
      <c r="G234">
        <v>0.43473405421202299</v>
      </c>
      <c r="H234">
        <v>7.6671002447371406E-2</v>
      </c>
      <c r="I234">
        <v>5.6701235191288104</v>
      </c>
      <c r="J234" s="1">
        <v>1.42694604917002E-8</v>
      </c>
      <c r="K234" s="1">
        <v>8.6207656908888297E-7</v>
      </c>
      <c r="L234" t="s">
        <v>23</v>
      </c>
      <c r="M234" t="s">
        <v>24</v>
      </c>
      <c r="N234">
        <v>960.15164159251594</v>
      </c>
      <c r="O234">
        <v>797.40025454790498</v>
      </c>
      <c r="P234">
        <v>1122.9030286371301</v>
      </c>
      <c r="Q234">
        <v>795.24358921614498</v>
      </c>
      <c r="R234">
        <v>799.55691987966395</v>
      </c>
      <c r="S234">
        <v>1126.5839500064601</v>
      </c>
      <c r="T234">
        <v>1119.2221072678001</v>
      </c>
    </row>
    <row r="235" spans="1:20" x14ac:dyDescent="0.2">
      <c r="A235" t="s">
        <v>481</v>
      </c>
      <c r="B235" s="3" t="str">
        <f>HYPERLINK("http://www.ncbi.nlm.nih.gov/gene/83990","BRIP1")</f>
        <v>BRIP1</v>
      </c>
      <c r="C235">
        <v>83990</v>
      </c>
      <c r="D235" t="s">
        <v>482</v>
      </c>
      <c r="E235" s="3" t="str">
        <f>HYPERLINK("http://genome.ucsc.edu/cgi-bin/hgTracks?db=hg19&amp;lastVirtModeType=default&amp;lastVirtModeExtraState=&amp;virtModeType=default&amp;virtMode=0&amp;nonVirtPosition=&amp;position=chr17:61679185-61863559","chr17:61679185-61863559")</f>
        <v>chr17:61679185-61863559</v>
      </c>
      <c r="F235" t="s">
        <v>22</v>
      </c>
      <c r="G235">
        <v>-0.55926193529744195</v>
      </c>
      <c r="H235">
        <v>9.8819207975293297E-2</v>
      </c>
      <c r="I235">
        <v>-5.6594456356831797</v>
      </c>
      <c r="J235" s="1">
        <v>1.5186274530131299E-8</v>
      </c>
      <c r="K235" s="1">
        <v>9.13441091693951E-7</v>
      </c>
      <c r="L235" t="s">
        <v>23</v>
      </c>
      <c r="M235" t="s">
        <v>24</v>
      </c>
      <c r="N235">
        <v>438.528660426241</v>
      </c>
      <c r="O235">
        <v>545.954025227236</v>
      </c>
      <c r="P235">
        <v>331.10329562524498</v>
      </c>
      <c r="Q235">
        <v>522.82450502099505</v>
      </c>
      <c r="R235">
        <v>569.08354543347696</v>
      </c>
      <c r="S235">
        <v>320.61277036085602</v>
      </c>
      <c r="T235">
        <v>341.593820889634</v>
      </c>
    </row>
    <row r="236" spans="1:20" x14ac:dyDescent="0.2">
      <c r="A236" t="s">
        <v>483</v>
      </c>
      <c r="B236" s="3" t="str">
        <f>HYPERLINK("http://www.ncbi.nlm.nih.gov/gene/55095","SAMD4B")</f>
        <v>SAMD4B</v>
      </c>
      <c r="C236">
        <v>55095</v>
      </c>
      <c r="D236" t="s">
        <v>484</v>
      </c>
      <c r="E236" s="3" t="str">
        <f>HYPERLINK("http://genome.ucsc.edu/cgi-bin/hgTracks?db=hg19&amp;lastVirtModeType=default&amp;lastVirtModeExtraState=&amp;virtModeType=default&amp;virtMode=0&amp;nonVirtPosition=&amp;position=chr19:39342458-39384897","chr19:39342458-39384897")</f>
        <v>chr19:39342458-39384897</v>
      </c>
      <c r="F236" t="s">
        <v>27</v>
      </c>
      <c r="G236">
        <v>0.24636715861324701</v>
      </c>
      <c r="H236">
        <v>4.3648088138864699E-2</v>
      </c>
      <c r="I236">
        <v>5.6443974780622499</v>
      </c>
      <c r="J236" s="1">
        <v>1.6576072062903901E-8</v>
      </c>
      <c r="K236" s="1">
        <v>9.9268232432604403E-7</v>
      </c>
      <c r="L236" t="s">
        <v>23</v>
      </c>
      <c r="M236" t="s">
        <v>24</v>
      </c>
      <c r="N236">
        <v>6585.9534410964698</v>
      </c>
      <c r="O236">
        <v>6003.5296703236299</v>
      </c>
      <c r="P236">
        <v>7168.3772118693096</v>
      </c>
      <c r="Q236">
        <v>5880.3998275256099</v>
      </c>
      <c r="R236">
        <v>6126.65951312164</v>
      </c>
      <c r="S236">
        <v>7128.45501116168</v>
      </c>
      <c r="T236">
        <v>7208.2994125769401</v>
      </c>
    </row>
    <row r="237" spans="1:20" x14ac:dyDescent="0.2">
      <c r="A237" t="s">
        <v>485</v>
      </c>
      <c r="B237" s="3" t="str">
        <f>HYPERLINK("http://www.ncbi.nlm.nih.gov/gene/51200","CPA4")</f>
        <v>CPA4</v>
      </c>
      <c r="C237">
        <v>51200</v>
      </c>
      <c r="D237" t="s">
        <v>486</v>
      </c>
      <c r="E237" s="3" t="str">
        <f>HYPERLINK("http://genome.ucsc.edu/cgi-bin/hgTracks?db=hg19&amp;lastVirtModeType=default&amp;lastVirtModeExtraState=&amp;virtModeType=default&amp;virtMode=0&amp;nonVirtPosition=&amp;position=chr7:130293133-130324180","chr7:130293133-130324180")</f>
        <v>chr7:130293133-130324180</v>
      </c>
      <c r="F237" t="s">
        <v>27</v>
      </c>
      <c r="G237">
        <v>-0.61078532856926304</v>
      </c>
      <c r="H237">
        <v>0.108820772020757</v>
      </c>
      <c r="I237">
        <v>-5.61276415547536</v>
      </c>
      <c r="J237" s="1">
        <v>1.9911990748999898E-8</v>
      </c>
      <c r="K237" s="1">
        <v>1.1872740918773201E-6</v>
      </c>
      <c r="L237" t="s">
        <v>23</v>
      </c>
      <c r="M237" t="s">
        <v>24</v>
      </c>
      <c r="N237">
        <v>290.95561180261501</v>
      </c>
      <c r="O237">
        <v>377.37947449219598</v>
      </c>
      <c r="P237">
        <v>204.53174911303299</v>
      </c>
      <c r="Q237">
        <v>392.118378765746</v>
      </c>
      <c r="R237">
        <v>362.64057021864602</v>
      </c>
      <c r="S237">
        <v>191.381161384634</v>
      </c>
      <c r="T237">
        <v>217.682336841433</v>
      </c>
    </row>
    <row r="238" spans="1:20" x14ac:dyDescent="0.2">
      <c r="A238" t="s">
        <v>487</v>
      </c>
      <c r="B238" s="3" t="str">
        <f>HYPERLINK("http://www.ncbi.nlm.nih.gov/gene/64115","C10orf54")</f>
        <v>C10orf54</v>
      </c>
      <c r="C238">
        <v>64115</v>
      </c>
      <c r="D238" t="s">
        <v>488</v>
      </c>
      <c r="E238" s="3" t="str">
        <f>HYPERLINK("http://genome.ucsc.edu/cgi-bin/hgTracks?db=hg19&amp;lastVirtModeType=default&amp;lastVirtModeExtraState=&amp;virtModeType=default&amp;virtMode=0&amp;nonVirtPosition=&amp;position=chr10:71747555-71773580","chr10:71747555-71773580")</f>
        <v>chr10:71747555-71773580</v>
      </c>
      <c r="F238" t="s">
        <v>22</v>
      </c>
      <c r="G238">
        <v>-0.46273926943681498</v>
      </c>
      <c r="H238">
        <v>8.2942505005983505E-2</v>
      </c>
      <c r="I238">
        <v>-5.5790365796575898</v>
      </c>
      <c r="J238" s="1">
        <v>2.4185438120648701E-8</v>
      </c>
      <c r="K238" s="1">
        <v>1.4358402527557399E-6</v>
      </c>
      <c r="L238" t="s">
        <v>23</v>
      </c>
      <c r="M238" t="s">
        <v>24</v>
      </c>
      <c r="N238">
        <v>911.90447013412199</v>
      </c>
      <c r="O238">
        <v>1082.4919636954801</v>
      </c>
      <c r="P238">
        <v>741.31697657276595</v>
      </c>
      <c r="Q238">
        <v>1118.5692699528099</v>
      </c>
      <c r="R238">
        <v>1046.41465743814</v>
      </c>
      <c r="S238">
        <v>687.59107982005196</v>
      </c>
      <c r="T238">
        <v>795.04287332548097</v>
      </c>
    </row>
    <row r="239" spans="1:20" x14ac:dyDescent="0.2">
      <c r="A239" t="s">
        <v>489</v>
      </c>
      <c r="B239" s="3" t="str">
        <f>HYPERLINK("http://www.ncbi.nlm.nih.gov/gene/2195","FAT1")</f>
        <v>FAT1</v>
      </c>
      <c r="C239">
        <v>2195</v>
      </c>
      <c r="D239" t="s">
        <v>490</v>
      </c>
      <c r="E239" s="3" t="str">
        <f>HYPERLINK("http://genome.ucsc.edu/cgi-bin/hgTracks?db=hg19&amp;lastVirtModeType=default&amp;lastVirtModeExtraState=&amp;virtModeType=default&amp;virtMode=0&amp;nonVirtPosition=&amp;position=chr4:186587782-186723833","chr4:186587782-186723833")</f>
        <v>chr4:186587782-186723833</v>
      </c>
      <c r="F239" t="s">
        <v>22</v>
      </c>
      <c r="G239">
        <v>-0.28636391956958701</v>
      </c>
      <c r="H239">
        <v>5.15285652001077E-2</v>
      </c>
      <c r="I239">
        <v>-5.5573819775014499</v>
      </c>
      <c r="J239" s="1">
        <v>2.7385103032342401E-8</v>
      </c>
      <c r="K239" s="1">
        <v>1.61879009907562E-6</v>
      </c>
      <c r="L239" t="s">
        <v>23</v>
      </c>
      <c r="M239" t="s">
        <v>24</v>
      </c>
      <c r="N239">
        <v>24606.034745627101</v>
      </c>
      <c r="O239">
        <v>27170.439766768501</v>
      </c>
      <c r="P239">
        <v>22041.6297244856</v>
      </c>
      <c r="Q239">
        <v>27105.698877417399</v>
      </c>
      <c r="R239">
        <v>27235.180656119599</v>
      </c>
      <c r="S239">
        <v>20659.300421221698</v>
      </c>
      <c r="T239">
        <v>23423.959027749599</v>
      </c>
    </row>
    <row r="240" spans="1:20" x14ac:dyDescent="0.2">
      <c r="A240" t="s">
        <v>491</v>
      </c>
      <c r="B240" s="3" t="str">
        <f>HYPERLINK("http://www.ncbi.nlm.nih.gov/gene/441951","ZFAS1")</f>
        <v>ZFAS1</v>
      </c>
      <c r="C240">
        <v>441951</v>
      </c>
      <c r="D240" t="s">
        <v>492</v>
      </c>
      <c r="E240" s="3" t="str">
        <f>HYPERLINK("http://genome.ucsc.edu/cgi-bin/hgTracks?db=hg19&amp;lastVirtModeType=default&amp;lastVirtModeExtraState=&amp;virtModeType=default&amp;virtMode=0&amp;nonVirtPosition=&amp;position=chr20:49278641-49289258","chr20:49278641-49289258")</f>
        <v>chr20:49278641-49289258</v>
      </c>
      <c r="F240" t="s">
        <v>27</v>
      </c>
      <c r="G240">
        <v>0.32217617738898102</v>
      </c>
      <c r="H240">
        <v>5.8202551430625998E-2</v>
      </c>
      <c r="I240">
        <v>5.53543048319791</v>
      </c>
      <c r="J240" s="1">
        <v>3.1046485747736901E-8</v>
      </c>
      <c r="K240" s="1">
        <v>1.8273455173582201E-6</v>
      </c>
      <c r="L240" t="s">
        <v>23</v>
      </c>
      <c r="M240" t="s">
        <v>24</v>
      </c>
      <c r="N240">
        <v>2143.1542044544799</v>
      </c>
      <c r="O240">
        <v>1888.9719669231199</v>
      </c>
      <c r="P240">
        <v>2397.3364419858299</v>
      </c>
      <c r="Q240">
        <v>1895.9267576814</v>
      </c>
      <c r="R240">
        <v>1882.0171761648401</v>
      </c>
      <c r="S240">
        <v>2381.4130081572498</v>
      </c>
      <c r="T240">
        <v>2413.25987581441</v>
      </c>
    </row>
    <row r="241" spans="1:20" x14ac:dyDescent="0.2">
      <c r="A241" t="s">
        <v>493</v>
      </c>
      <c r="B241" s="3" t="str">
        <f>HYPERLINK("http://www.ncbi.nlm.nih.gov/gene/64841","GNPNAT1")</f>
        <v>GNPNAT1</v>
      </c>
      <c r="C241">
        <v>64841</v>
      </c>
      <c r="D241" t="s">
        <v>494</v>
      </c>
      <c r="E241" s="3" t="str">
        <f>HYPERLINK("http://genome.ucsc.edu/cgi-bin/hgTracks?db=hg19&amp;lastVirtModeType=default&amp;lastVirtModeExtraState=&amp;virtModeType=default&amp;virtMode=0&amp;nonVirtPosition=&amp;position=chr14:52775192-52791668","chr14:52775192-52791668")</f>
        <v>chr14:52775192-52791668</v>
      </c>
      <c r="F241" t="s">
        <v>22</v>
      </c>
      <c r="G241">
        <v>0.26626711677552201</v>
      </c>
      <c r="H241">
        <v>4.8250181303844598E-2</v>
      </c>
      <c r="I241">
        <v>5.5184687306927502</v>
      </c>
      <c r="J241" s="1">
        <v>3.4196630329971299E-8</v>
      </c>
      <c r="K241" s="1">
        <v>2.0041563604496799E-6</v>
      </c>
      <c r="L241" t="s">
        <v>23</v>
      </c>
      <c r="M241" t="s">
        <v>24</v>
      </c>
      <c r="N241">
        <v>4167.0314664167699</v>
      </c>
      <c r="O241">
        <v>3765.9916764379</v>
      </c>
      <c r="P241">
        <v>4568.0712563956504</v>
      </c>
      <c r="Q241">
        <v>3808.36376288977</v>
      </c>
      <c r="R241">
        <v>3723.61958998603</v>
      </c>
      <c r="S241">
        <v>4640.4999131614404</v>
      </c>
      <c r="T241">
        <v>4495.6425996298503</v>
      </c>
    </row>
    <row r="242" spans="1:20" x14ac:dyDescent="0.2">
      <c r="A242" t="s">
        <v>495</v>
      </c>
      <c r="B242" s="3" t="str">
        <f>HYPERLINK("http://www.ncbi.nlm.nih.gov/gene/64359","NXN")</f>
        <v>NXN</v>
      </c>
      <c r="C242">
        <v>64359</v>
      </c>
      <c r="D242" t="s">
        <v>496</v>
      </c>
      <c r="E242" s="3" t="str">
        <f>HYPERLINK("http://genome.ucsc.edu/cgi-bin/hgTracks?db=hg19&amp;lastVirtModeType=default&amp;lastVirtModeExtraState=&amp;virtModeType=default&amp;virtMode=0&amp;nonVirtPosition=&amp;position=chr17:799312-864111","chr17:799312-864111")</f>
        <v>chr17:799312-864111</v>
      </c>
      <c r="F242" t="s">
        <v>22</v>
      </c>
      <c r="G242">
        <v>-0.413091704601321</v>
      </c>
      <c r="H242">
        <v>7.5120394789369604E-2</v>
      </c>
      <c r="I242">
        <v>-5.4990619492827504</v>
      </c>
      <c r="J242" s="1">
        <v>3.81816986425504E-8</v>
      </c>
      <c r="K242" s="1">
        <v>2.2281864475912199E-6</v>
      </c>
      <c r="L242" t="s">
        <v>23</v>
      </c>
      <c r="M242" t="s">
        <v>24</v>
      </c>
      <c r="N242">
        <v>1518.5310742561801</v>
      </c>
      <c r="O242">
        <v>1763.9053081393999</v>
      </c>
      <c r="P242">
        <v>1273.15684037295</v>
      </c>
      <c r="Q242">
        <v>1752.8379457809201</v>
      </c>
      <c r="R242">
        <v>1774.97267049789</v>
      </c>
      <c r="S242">
        <v>1157.1654757947199</v>
      </c>
      <c r="T242">
        <v>1389.1482049511801</v>
      </c>
    </row>
    <row r="243" spans="1:20" x14ac:dyDescent="0.2">
      <c r="A243" t="s">
        <v>497</v>
      </c>
      <c r="B243" s="3" t="str">
        <f>HYPERLINK("http://www.ncbi.nlm.nih.gov/gene/284403","WDR62")</f>
        <v>WDR62</v>
      </c>
      <c r="C243">
        <v>284403</v>
      </c>
      <c r="D243" t="s">
        <v>498</v>
      </c>
      <c r="E243" s="3" t="str">
        <f>HYPERLINK("http://genome.ucsc.edu/cgi-bin/hgTracks?db=hg19&amp;lastVirtModeType=default&amp;lastVirtModeExtraState=&amp;virtModeType=default&amp;virtMode=0&amp;nonVirtPosition=&amp;position=chr19:36054880-36105110","chr19:36054880-36105110")</f>
        <v>chr19:36054880-36105110</v>
      </c>
      <c r="F243" t="s">
        <v>27</v>
      </c>
      <c r="G243">
        <v>-0.54625564273406702</v>
      </c>
      <c r="H243">
        <v>9.9530791341310099E-2</v>
      </c>
      <c r="I243">
        <v>-5.4883080438982104</v>
      </c>
      <c r="J243" s="1">
        <v>4.0580193431810503E-8</v>
      </c>
      <c r="K243" s="1">
        <v>2.3581219183213999E-6</v>
      </c>
      <c r="L243" t="s">
        <v>23</v>
      </c>
      <c r="M243" t="s">
        <v>24</v>
      </c>
      <c r="N243">
        <v>456.35892155733598</v>
      </c>
      <c r="O243">
        <v>566.78066125799501</v>
      </c>
      <c r="P243">
        <v>345.93718185667802</v>
      </c>
      <c r="Q243">
        <v>613.630866419379</v>
      </c>
      <c r="R243">
        <v>519.93045609661203</v>
      </c>
      <c r="S243">
        <v>346.261791989725</v>
      </c>
      <c r="T243">
        <v>345.61257172363003</v>
      </c>
    </row>
    <row r="244" spans="1:20" x14ac:dyDescent="0.2">
      <c r="A244" t="s">
        <v>499</v>
      </c>
      <c r="B244" s="3" t="str">
        <f>HYPERLINK("http://www.ncbi.nlm.nih.gov/gene/7112","TMPO")</f>
        <v>TMPO</v>
      </c>
      <c r="C244">
        <v>7112</v>
      </c>
      <c r="D244" t="s">
        <v>500</v>
      </c>
      <c r="E244" s="3" t="str">
        <f>HYPERLINK("http://genome.ucsc.edu/cgi-bin/hgTracks?db=hg19&amp;lastVirtModeType=default&amp;lastVirtModeExtraState=&amp;virtModeType=default&amp;virtMode=0&amp;nonVirtPosition=&amp;position=chr12:98515572-98535634","chr12:98515572-98535634")</f>
        <v>chr12:98515572-98535634</v>
      </c>
      <c r="F244" t="s">
        <v>27</v>
      </c>
      <c r="G244">
        <v>-0.32049202241205499</v>
      </c>
      <c r="H244">
        <v>5.84671809902945E-2</v>
      </c>
      <c r="I244">
        <v>-5.4815713188781396</v>
      </c>
      <c r="J244" s="1">
        <v>4.2156471560377303E-8</v>
      </c>
      <c r="K244" s="1">
        <v>2.4393833374641998E-6</v>
      </c>
      <c r="L244" t="s">
        <v>23</v>
      </c>
      <c r="M244" t="s">
        <v>24</v>
      </c>
      <c r="N244">
        <v>2174.5547518263402</v>
      </c>
      <c r="O244">
        <v>2432.1844514437098</v>
      </c>
      <c r="P244">
        <v>1916.9250522089801</v>
      </c>
      <c r="Q244">
        <v>2487.5439607314702</v>
      </c>
      <c r="R244">
        <v>2376.8249421559399</v>
      </c>
      <c r="S244">
        <v>1927.6226254926601</v>
      </c>
      <c r="T244">
        <v>1906.2274789252899</v>
      </c>
    </row>
    <row r="245" spans="1:20" x14ac:dyDescent="0.2">
      <c r="A245" t="s">
        <v>501</v>
      </c>
      <c r="B245" s="3" t="str">
        <f>HYPERLINK("http://www.ncbi.nlm.nih.gov/gene/50865","HEBP1")</f>
        <v>HEBP1</v>
      </c>
      <c r="C245">
        <v>50865</v>
      </c>
      <c r="D245" t="s">
        <v>502</v>
      </c>
      <c r="E245" s="3" t="str">
        <f>HYPERLINK("http://genome.ucsc.edu/cgi-bin/hgTracks?db=hg19&amp;lastVirtModeType=default&amp;lastVirtModeExtraState=&amp;virtModeType=default&amp;virtMode=0&amp;nonVirtPosition=&amp;position=chr12:12974864-13000309","chr12:12974864-13000309")</f>
        <v>chr12:12974864-13000309</v>
      </c>
      <c r="F245" t="s">
        <v>22</v>
      </c>
      <c r="G245">
        <v>0.292581962616901</v>
      </c>
      <c r="H245">
        <v>5.3492131622969903E-2</v>
      </c>
      <c r="I245">
        <v>5.4696261625749898</v>
      </c>
      <c r="J245" s="1">
        <v>4.5098580311620501E-8</v>
      </c>
      <c r="K245" s="1">
        <v>2.5986635730822E-6</v>
      </c>
      <c r="L245" t="s">
        <v>23</v>
      </c>
      <c r="M245" t="s">
        <v>24</v>
      </c>
      <c r="N245">
        <v>2923.53954254163</v>
      </c>
      <c r="O245">
        <v>2610.2431147523398</v>
      </c>
      <c r="P245">
        <v>3236.8359703309202</v>
      </c>
      <c r="Q245">
        <v>2598.9881315385801</v>
      </c>
      <c r="R245">
        <v>2621.49809796611</v>
      </c>
      <c r="S245">
        <v>3298.8587818052401</v>
      </c>
      <c r="T245">
        <v>3174.8131588565998</v>
      </c>
    </row>
    <row r="246" spans="1:20" x14ac:dyDescent="0.2">
      <c r="A246" t="s">
        <v>503</v>
      </c>
      <c r="B246" s="3" t="str">
        <f>HYPERLINK("http://www.ncbi.nlm.nih.gov/gene/1026","CDKN1A")</f>
        <v>CDKN1A</v>
      </c>
      <c r="C246">
        <v>1026</v>
      </c>
      <c r="D246" t="s">
        <v>504</v>
      </c>
      <c r="E246" s="3" t="str">
        <f>HYPERLINK("http://genome.ucsc.edu/cgi-bin/hgTracks?db=hg19&amp;lastVirtModeType=default&amp;lastVirtModeExtraState=&amp;virtModeType=default&amp;virtMode=0&amp;nonVirtPosition=&amp;position=chr6:36678709-36687339","chr6:36678709-36687339")</f>
        <v>chr6:36678709-36687339</v>
      </c>
      <c r="F246" t="s">
        <v>27</v>
      </c>
      <c r="G246">
        <v>-0.24243333486253901</v>
      </c>
      <c r="H246">
        <v>4.4332144725075497E-2</v>
      </c>
      <c r="I246">
        <v>-5.46856770332188</v>
      </c>
      <c r="J246" s="1">
        <v>4.5368676870033402E-8</v>
      </c>
      <c r="K246" s="1">
        <v>2.6032888476804902E-6</v>
      </c>
      <c r="L246" t="s">
        <v>23</v>
      </c>
      <c r="M246" t="s">
        <v>24</v>
      </c>
      <c r="N246">
        <v>53961.3728835441</v>
      </c>
      <c r="O246">
        <v>58656.288436066403</v>
      </c>
      <c r="P246">
        <v>49266.457331021797</v>
      </c>
      <c r="Q246">
        <v>57982.613460788903</v>
      </c>
      <c r="R246">
        <v>59329.963411343902</v>
      </c>
      <c r="S246">
        <v>47656.868687269598</v>
      </c>
      <c r="T246">
        <v>50876.045974774097</v>
      </c>
    </row>
    <row r="247" spans="1:20" x14ac:dyDescent="0.2">
      <c r="A247" t="s">
        <v>505</v>
      </c>
      <c r="B247" s="3" t="str">
        <f>HYPERLINK("http://www.ncbi.nlm.nih.gov/gene/26608","TBL2")</f>
        <v>TBL2</v>
      </c>
      <c r="C247">
        <v>26608</v>
      </c>
      <c r="D247" t="s">
        <v>506</v>
      </c>
      <c r="E247" s="3" t="str">
        <f>HYPERLINK("http://genome.ucsc.edu/cgi-bin/hgTracks?db=hg19&amp;lastVirtModeType=default&amp;lastVirtModeExtraState=&amp;virtModeType=default&amp;virtMode=0&amp;nonVirtPosition=&amp;position=chr7:73568945-73578683","chr7:73568945-73578683")</f>
        <v>chr7:73568945-73578683</v>
      </c>
      <c r="F247" t="s">
        <v>22</v>
      </c>
      <c r="G247">
        <v>0.30366236475377101</v>
      </c>
      <c r="H247">
        <v>5.5635621794497402E-2</v>
      </c>
      <c r="I247">
        <v>5.4580564566244298</v>
      </c>
      <c r="J247" s="1">
        <v>4.8137461219748101E-8</v>
      </c>
      <c r="K247" s="1">
        <v>2.75065476319844E-6</v>
      </c>
      <c r="L247" t="s">
        <v>23</v>
      </c>
      <c r="M247" t="s">
        <v>24</v>
      </c>
      <c r="N247">
        <v>2460.3692944773702</v>
      </c>
      <c r="O247">
        <v>2186.0737920791098</v>
      </c>
      <c r="P247">
        <v>2734.6647968756401</v>
      </c>
      <c r="Q247">
        <v>2182.1043814823602</v>
      </c>
      <c r="R247">
        <v>2190.0432026758599</v>
      </c>
      <c r="S247">
        <v>2753.3238217758499</v>
      </c>
      <c r="T247">
        <v>2716.00577197542</v>
      </c>
    </row>
    <row r="248" spans="1:20" x14ac:dyDescent="0.2">
      <c r="A248" t="s">
        <v>507</v>
      </c>
      <c r="B248" s="3" t="str">
        <f>HYPERLINK("http://www.ncbi.nlm.nih.gov/gene/84679","SLC9A7")</f>
        <v>SLC9A7</v>
      </c>
      <c r="C248">
        <v>84679</v>
      </c>
      <c r="D248" t="s">
        <v>508</v>
      </c>
      <c r="E248" s="3" t="str">
        <f>HYPERLINK("http://genome.ucsc.edu/cgi-bin/hgTracks?db=hg19&amp;lastVirtModeType=default&amp;lastVirtModeExtraState=&amp;virtModeType=default&amp;virtMode=0&amp;nonVirtPosition=&amp;position=chrX:46599250-46759172","chrX:46599250-46759172")</f>
        <v>chrX:46599250-46759172</v>
      </c>
      <c r="F248" t="s">
        <v>22</v>
      </c>
      <c r="G248">
        <v>-0.37463829115523201</v>
      </c>
      <c r="H248">
        <v>6.8657991834112905E-2</v>
      </c>
      <c r="I248">
        <v>-5.4565867883291697</v>
      </c>
      <c r="J248" s="1">
        <v>4.8537409066261602E-8</v>
      </c>
      <c r="K248" s="1">
        <v>2.7620001159116701E-6</v>
      </c>
      <c r="L248" t="s">
        <v>23</v>
      </c>
      <c r="M248" t="s">
        <v>24</v>
      </c>
      <c r="N248">
        <v>1426.27502016273</v>
      </c>
      <c r="O248">
        <v>1627.36451156983</v>
      </c>
      <c r="P248">
        <v>1225.18552875564</v>
      </c>
      <c r="Q248">
        <v>1572.60107694473</v>
      </c>
      <c r="R248">
        <v>1682.12794619492</v>
      </c>
      <c r="S248">
        <v>1256.8020598145599</v>
      </c>
      <c r="T248">
        <v>1193.5689976967201</v>
      </c>
    </row>
    <row r="249" spans="1:20" x14ac:dyDescent="0.2">
      <c r="A249" t="s">
        <v>509</v>
      </c>
      <c r="B249" s="3" t="str">
        <f>HYPERLINK("http://www.ncbi.nlm.nih.gov/gene/3880","KRT19")</f>
        <v>KRT19</v>
      </c>
      <c r="C249">
        <v>3880</v>
      </c>
      <c r="D249" t="s">
        <v>510</v>
      </c>
      <c r="E249" s="3" t="str">
        <f>HYPERLINK("http://genome.ucsc.edu/cgi-bin/hgTracks?db=hg19&amp;lastVirtModeType=default&amp;lastVirtModeExtraState=&amp;virtModeType=default&amp;virtMode=0&amp;nonVirtPosition=&amp;position=chr17:41523616-41528389","chr17:41523616-41528389")</f>
        <v>chr17:41523616-41528389</v>
      </c>
      <c r="F249" t="s">
        <v>22</v>
      </c>
      <c r="G249">
        <v>-0.51221355665813895</v>
      </c>
      <c r="H249">
        <v>9.4255406068793998E-2</v>
      </c>
      <c r="I249">
        <v>-5.4343148899522102</v>
      </c>
      <c r="J249" s="1">
        <v>5.5007367125860399E-8</v>
      </c>
      <c r="K249" s="1">
        <v>3.1172356725787101E-6</v>
      </c>
      <c r="L249" t="s">
        <v>23</v>
      </c>
      <c r="M249" t="s">
        <v>24</v>
      </c>
      <c r="N249">
        <v>742.17123936014195</v>
      </c>
      <c r="O249">
        <v>905.57328264656201</v>
      </c>
      <c r="P249">
        <v>578.76919607372201</v>
      </c>
      <c r="Q249">
        <v>912.19117586557797</v>
      </c>
      <c r="R249">
        <v>898.95538942754604</v>
      </c>
      <c r="S249">
        <v>501.142422594815</v>
      </c>
      <c r="T249">
        <v>656.39596955263005</v>
      </c>
    </row>
    <row r="250" spans="1:20" x14ac:dyDescent="0.2">
      <c r="A250" t="s">
        <v>511</v>
      </c>
      <c r="B250" s="3" t="str">
        <f>HYPERLINK("http://www.ncbi.nlm.nih.gov/gene/2746","GLUD1")</f>
        <v>GLUD1</v>
      </c>
      <c r="C250">
        <v>2746</v>
      </c>
      <c r="D250" t="s">
        <v>512</v>
      </c>
      <c r="E250" s="3" t="str">
        <f>HYPERLINK("http://genome.ucsc.edu/cgi-bin/hgTracks?db=hg19&amp;lastVirtModeType=default&amp;lastVirtModeExtraState=&amp;virtModeType=default&amp;virtMode=0&amp;nonVirtPosition=&amp;position=chr10:87050201-87095047","chr10:87050201-87095047")</f>
        <v>chr10:87050201-87095047</v>
      </c>
      <c r="F250" t="s">
        <v>22</v>
      </c>
      <c r="G250">
        <v>0.267103642256181</v>
      </c>
      <c r="H250">
        <v>4.9269711376022603E-2</v>
      </c>
      <c r="I250">
        <v>5.42125445423593</v>
      </c>
      <c r="J250" s="1">
        <v>5.9182247635858299E-8</v>
      </c>
      <c r="K250" s="1">
        <v>3.3400219920912E-6</v>
      </c>
      <c r="L250" t="s">
        <v>23</v>
      </c>
      <c r="M250" t="s">
        <v>24</v>
      </c>
      <c r="N250">
        <v>4321.6304660748901</v>
      </c>
      <c r="O250">
        <v>3903.2572778520798</v>
      </c>
      <c r="P250">
        <v>4740.0036542976904</v>
      </c>
      <c r="Q250">
        <v>3963.83526043549</v>
      </c>
      <c r="R250">
        <v>3842.6792952686601</v>
      </c>
      <c r="S250">
        <v>4862.4626003343401</v>
      </c>
      <c r="T250">
        <v>4617.5447082610499</v>
      </c>
    </row>
    <row r="251" spans="1:20" x14ac:dyDescent="0.2">
      <c r="A251" t="s">
        <v>513</v>
      </c>
      <c r="B251" s="3" t="str">
        <f>HYPERLINK("http://www.ncbi.nlm.nih.gov/gene/3491","CYR61")</f>
        <v>CYR61</v>
      </c>
      <c r="C251">
        <v>3491</v>
      </c>
      <c r="D251" t="s">
        <v>514</v>
      </c>
      <c r="E251" s="3" t="str">
        <f>HYPERLINK("http://genome.ucsc.edu/cgi-bin/hgTracks?db=hg19&amp;lastVirtModeType=default&amp;lastVirtModeExtraState=&amp;virtModeType=default&amp;virtMode=0&amp;nonVirtPosition=&amp;position=chr1:85580760-85583965","chr1:85580760-85583965")</f>
        <v>chr1:85580760-85583965</v>
      </c>
      <c r="F251" t="s">
        <v>27</v>
      </c>
      <c r="G251">
        <v>-0.450823597873937</v>
      </c>
      <c r="H251">
        <v>8.3259545619238998E-2</v>
      </c>
      <c r="I251">
        <v>-5.4146776146921898</v>
      </c>
      <c r="J251" s="1">
        <v>6.1399229276515801E-8</v>
      </c>
      <c r="K251" s="1">
        <v>3.4509386487628602E-6</v>
      </c>
      <c r="L251" t="s">
        <v>23</v>
      </c>
      <c r="M251" t="s">
        <v>24</v>
      </c>
      <c r="N251">
        <v>12713.3109123295</v>
      </c>
      <c r="O251">
        <v>15010.367552502499</v>
      </c>
      <c r="P251">
        <v>10416.254272156501</v>
      </c>
      <c r="Q251">
        <v>14819.323009424001</v>
      </c>
      <c r="R251">
        <v>15201.412095580999</v>
      </c>
      <c r="S251">
        <v>9719.99269650928</v>
      </c>
      <c r="T251">
        <v>11112.515847803799</v>
      </c>
    </row>
    <row r="252" spans="1:20" x14ac:dyDescent="0.2">
      <c r="A252" t="s">
        <v>515</v>
      </c>
      <c r="B252" s="3" t="str">
        <f>HYPERLINK("http://www.ncbi.nlm.nih.gov/gene/3910","LAMA4")</f>
        <v>LAMA4</v>
      </c>
      <c r="C252">
        <v>3910</v>
      </c>
      <c r="D252" t="s">
        <v>516</v>
      </c>
      <c r="E252" s="3" t="str">
        <f>HYPERLINK("http://genome.ucsc.edu/cgi-bin/hgTracks?db=hg19&amp;lastVirtModeType=default&amp;lastVirtModeExtraState=&amp;virtModeType=default&amp;virtMode=0&amp;nonVirtPosition=&amp;position=chr6:112253781-112254715","chr6:112253781-112254715")</f>
        <v>chr6:112253781-112254715</v>
      </c>
      <c r="F252" t="s">
        <v>22</v>
      </c>
      <c r="G252">
        <v>-0.27880569067167499</v>
      </c>
      <c r="H252">
        <v>5.1722195636626299E-2</v>
      </c>
      <c r="I252">
        <v>-5.3904457697507899</v>
      </c>
      <c r="J252" s="1">
        <v>7.0283123352049793E-8</v>
      </c>
      <c r="K252" s="1">
        <v>3.9341336883673899E-6</v>
      </c>
      <c r="L252" t="s">
        <v>23</v>
      </c>
      <c r="M252" t="s">
        <v>24</v>
      </c>
      <c r="N252">
        <v>5794.6829099162196</v>
      </c>
      <c r="O252">
        <v>6386.2224414226102</v>
      </c>
      <c r="P252">
        <v>5203.1433784098299</v>
      </c>
      <c r="Q252">
        <v>6520.1719191960401</v>
      </c>
      <c r="R252">
        <v>6252.2729636491804</v>
      </c>
      <c r="S252">
        <v>4937.4366635571896</v>
      </c>
      <c r="T252">
        <v>5468.8500932624702</v>
      </c>
    </row>
    <row r="253" spans="1:20" x14ac:dyDescent="0.2">
      <c r="A253" t="s">
        <v>517</v>
      </c>
      <c r="B253" s="3" t="str">
        <f>HYPERLINK("http://www.ncbi.nlm.nih.gov/gene/100500837","MIR3606")</f>
        <v>MIR3606</v>
      </c>
      <c r="C253">
        <v>100500837</v>
      </c>
      <c r="D253" t="s">
        <v>518</v>
      </c>
      <c r="E253" s="3" t="str">
        <f>HYPERLINK("http://genome.ucsc.edu/cgi-bin/hgTracks?db=hg19&amp;lastVirtModeType=default&amp;lastVirtModeExtraState=&amp;virtModeType=default&amp;virtMode=0&amp;nonVirtPosition=&amp;position=chr2:188995629-188995692","chr2:188995629-188995692")</f>
        <v>chr2:188995629-188995692</v>
      </c>
      <c r="F253" t="s">
        <v>27</v>
      </c>
      <c r="G253">
        <v>-0.27513079027561799</v>
      </c>
      <c r="H253">
        <v>5.10932143225667E-2</v>
      </c>
      <c r="I253">
        <v>-5.3848792628045503</v>
      </c>
      <c r="J253" s="1">
        <v>7.2493293347239294E-8</v>
      </c>
      <c r="K253" s="1">
        <v>4.0413537600164197E-6</v>
      </c>
      <c r="L253" t="s">
        <v>23</v>
      </c>
      <c r="M253" t="s">
        <v>24</v>
      </c>
      <c r="N253">
        <v>44152.967746524002</v>
      </c>
      <c r="O253">
        <v>48565.934411979302</v>
      </c>
      <c r="P253">
        <v>39740.001081068804</v>
      </c>
      <c r="Q253">
        <v>46796.920761260801</v>
      </c>
      <c r="R253">
        <v>50334.948062697702</v>
      </c>
      <c r="S253">
        <v>37884.591446670704</v>
      </c>
      <c r="T253">
        <v>41595.410715466802</v>
      </c>
    </row>
    <row r="254" spans="1:20" x14ac:dyDescent="0.2">
      <c r="A254" t="s">
        <v>517</v>
      </c>
      <c r="B254" s="3" t="str">
        <f>HYPERLINK("http://www.ncbi.nlm.nih.gov/gene/1281","COL3A1")</f>
        <v>COL3A1</v>
      </c>
      <c r="C254">
        <v>1281</v>
      </c>
      <c r="D254" t="s">
        <v>519</v>
      </c>
      <c r="E254" s="3" t="str">
        <f>HYPERLINK("http://genome.ucsc.edu/cgi-bin/hgTracks?db=hg19&amp;lastVirtModeType=default&amp;lastVirtModeExtraState=&amp;virtModeType=default&amp;virtMode=0&amp;nonVirtPosition=&amp;position=chr2:188974372-189012746","chr2:188974372-189012746")</f>
        <v>chr2:188974372-189012746</v>
      </c>
      <c r="F254" t="s">
        <v>27</v>
      </c>
      <c r="G254">
        <v>-0.27513079027561799</v>
      </c>
      <c r="H254">
        <v>5.10932143225667E-2</v>
      </c>
      <c r="I254">
        <v>-5.3848792628045503</v>
      </c>
      <c r="J254" s="1">
        <v>7.2493293347239294E-8</v>
      </c>
      <c r="K254" s="1">
        <v>4.0413537600164197E-6</v>
      </c>
      <c r="L254" t="s">
        <v>23</v>
      </c>
      <c r="M254" t="s">
        <v>24</v>
      </c>
      <c r="N254">
        <v>44152.967746524002</v>
      </c>
      <c r="O254">
        <v>48565.934411979302</v>
      </c>
      <c r="P254">
        <v>39740.001081068804</v>
      </c>
      <c r="Q254">
        <v>46796.920761260801</v>
      </c>
      <c r="R254">
        <v>50334.948062697702</v>
      </c>
      <c r="S254">
        <v>37884.591446670704</v>
      </c>
      <c r="T254">
        <v>41595.410715466802</v>
      </c>
    </row>
    <row r="255" spans="1:20" x14ac:dyDescent="0.2">
      <c r="A255" t="s">
        <v>520</v>
      </c>
      <c r="B255" s="3" t="str">
        <f>HYPERLINK("http://www.ncbi.nlm.nih.gov/gene/3710","ITPR3")</f>
        <v>ITPR3</v>
      </c>
      <c r="C255">
        <v>3710</v>
      </c>
      <c r="D255" t="s">
        <v>521</v>
      </c>
      <c r="E255" s="3" t="str">
        <f>HYPERLINK("http://genome.ucsc.edu/cgi-bin/hgTracks?db=hg19&amp;lastVirtModeType=default&amp;lastVirtModeExtraState=&amp;virtModeType=default&amp;virtMode=0&amp;nonVirtPosition=&amp;position=chr6:33621378-33696571","chr6:33621378-33696571")</f>
        <v>chr6:33621378-33696571</v>
      </c>
      <c r="F255" t="s">
        <v>27</v>
      </c>
      <c r="G255">
        <v>0.26898424428714801</v>
      </c>
      <c r="H255">
        <v>4.9965945135477301E-2</v>
      </c>
      <c r="I255">
        <v>5.3833514718439996</v>
      </c>
      <c r="J255" s="1">
        <v>7.3111579226010196E-8</v>
      </c>
      <c r="K255" s="1">
        <v>4.0593206376740998E-6</v>
      </c>
      <c r="L255" t="s">
        <v>23</v>
      </c>
      <c r="M255" t="s">
        <v>24</v>
      </c>
      <c r="N255">
        <v>4186.3251920940202</v>
      </c>
      <c r="O255">
        <v>3777.2986146442499</v>
      </c>
      <c r="P255">
        <v>4595.3517695437904</v>
      </c>
      <c r="Q255">
        <v>3658.39568118638</v>
      </c>
      <c r="R255">
        <v>3896.2015481021299</v>
      </c>
      <c r="S255">
        <v>4532.97132248657</v>
      </c>
      <c r="T255">
        <v>4657.7322166010099</v>
      </c>
    </row>
    <row r="256" spans="1:20" x14ac:dyDescent="0.2">
      <c r="A256" t="s">
        <v>522</v>
      </c>
      <c r="B256" s="3" t="str">
        <f>HYPERLINK("http://www.ncbi.nlm.nih.gov/gene/701","BUB1B")</f>
        <v>BUB1B</v>
      </c>
      <c r="C256">
        <v>701</v>
      </c>
      <c r="D256" t="s">
        <v>523</v>
      </c>
      <c r="E256" s="3" t="str">
        <f>HYPERLINK("http://genome.ucsc.edu/cgi-bin/hgTracks?db=hg19&amp;lastVirtModeType=default&amp;lastVirtModeExtraState=&amp;virtModeType=default&amp;virtMode=0&amp;nonVirtPosition=&amp;position=chr15:40161008-40221136","chr15:40161008-40221136")</f>
        <v>chr15:40161008-40221136</v>
      </c>
      <c r="F256" t="s">
        <v>27</v>
      </c>
      <c r="G256">
        <v>-0.51212019447950496</v>
      </c>
      <c r="H256">
        <v>9.5257159524266694E-2</v>
      </c>
      <c r="I256">
        <v>-5.3761858640036699</v>
      </c>
      <c r="J256" s="1">
        <v>7.6080256276157906E-8</v>
      </c>
      <c r="K256" s="1">
        <v>4.2071154619807701E-6</v>
      </c>
      <c r="L256" t="s">
        <v>23</v>
      </c>
      <c r="M256" t="s">
        <v>24</v>
      </c>
      <c r="N256">
        <v>510.79958182931802</v>
      </c>
      <c r="O256">
        <v>623.34326870632003</v>
      </c>
      <c r="P256">
        <v>398.255894952316</v>
      </c>
      <c r="Q256">
        <v>659.03404711857002</v>
      </c>
      <c r="R256">
        <v>587.65249029407005</v>
      </c>
      <c r="S256">
        <v>392.62733108806401</v>
      </c>
      <c r="T256">
        <v>403.88445881656702</v>
      </c>
    </row>
    <row r="257" spans="1:20" x14ac:dyDescent="0.2">
      <c r="A257" t="s">
        <v>524</v>
      </c>
      <c r="B257" s="3" t="str">
        <f>HYPERLINK("http://www.ncbi.nlm.nih.gov/gene/4734","NEDD4")</f>
        <v>NEDD4</v>
      </c>
      <c r="C257">
        <v>4734</v>
      </c>
      <c r="D257" t="s">
        <v>525</v>
      </c>
      <c r="E257" s="3" t="str">
        <f>HYPERLINK("http://genome.ucsc.edu/cgi-bin/hgTracks?db=hg19&amp;lastVirtModeType=default&amp;lastVirtModeExtraState=&amp;virtModeType=default&amp;virtMode=0&amp;nonVirtPosition=&amp;position=chr15:55826918-55917131","chr15:55826918-55917131")</f>
        <v>chr15:55826918-55917131</v>
      </c>
      <c r="F257" t="s">
        <v>22</v>
      </c>
      <c r="G257">
        <v>-0.30978993907112301</v>
      </c>
      <c r="H257">
        <v>5.76385789828361E-2</v>
      </c>
      <c r="I257">
        <v>-5.3746977204863704</v>
      </c>
      <c r="J257" s="1">
        <v>7.6711264697805895E-8</v>
      </c>
      <c r="K257" s="1">
        <v>4.2249730283763496E-6</v>
      </c>
      <c r="L257" t="s">
        <v>23</v>
      </c>
      <c r="M257" t="s">
        <v>24</v>
      </c>
      <c r="N257">
        <v>2184.3369571661301</v>
      </c>
      <c r="O257">
        <v>2433.1038128243499</v>
      </c>
      <c r="P257">
        <v>1935.5701015079001</v>
      </c>
      <c r="Q257">
        <v>2406.3685770571601</v>
      </c>
      <c r="R257">
        <v>2459.8390485915402</v>
      </c>
      <c r="S257">
        <v>1939.46063547521</v>
      </c>
      <c r="T257">
        <v>1931.6795675405999</v>
      </c>
    </row>
    <row r="258" spans="1:20" x14ac:dyDescent="0.2">
      <c r="A258" t="s">
        <v>526</v>
      </c>
      <c r="B258" s="3" t="str">
        <f>HYPERLINK("http://www.ncbi.nlm.nih.gov/gene/22871","NLGN1")</f>
        <v>NLGN1</v>
      </c>
      <c r="C258">
        <v>22871</v>
      </c>
      <c r="D258" t="s">
        <v>527</v>
      </c>
      <c r="E258" s="3" t="str">
        <f>HYPERLINK("http://genome.ucsc.edu/cgi-bin/hgTracks?db=hg19&amp;lastVirtModeType=default&amp;lastVirtModeExtraState=&amp;virtModeType=default&amp;virtMode=0&amp;nonVirtPosition=&amp;position=chr3:173398447-174283349","chr3:173398447-174283349")</f>
        <v>chr3:173398447-174283349</v>
      </c>
      <c r="F258" t="s">
        <v>27</v>
      </c>
      <c r="G258">
        <v>-0.63073963877554495</v>
      </c>
      <c r="H258">
        <v>0.117370849512877</v>
      </c>
      <c r="I258">
        <v>-5.3739036685284001</v>
      </c>
      <c r="J258" s="1">
        <v>7.7050032477742704E-8</v>
      </c>
      <c r="K258" s="1">
        <v>4.2266565815990501E-6</v>
      </c>
      <c r="L258" t="s">
        <v>23</v>
      </c>
      <c r="M258" t="s">
        <v>24</v>
      </c>
      <c r="N258">
        <v>156.26424846653001</v>
      </c>
      <c r="O258">
        <v>214.07755150588201</v>
      </c>
      <c r="P258">
        <v>98.450945427176407</v>
      </c>
      <c r="Q258">
        <v>211.88150992956099</v>
      </c>
      <c r="R258">
        <v>216.273593082204</v>
      </c>
      <c r="S258">
        <v>91.7445773647989</v>
      </c>
      <c r="T258">
        <v>105.157313489554</v>
      </c>
    </row>
    <row r="259" spans="1:20" x14ac:dyDescent="0.2">
      <c r="A259" t="s">
        <v>528</v>
      </c>
      <c r="B259" s="3" t="str">
        <f>HYPERLINK("http://www.ncbi.nlm.nih.gov/gene/5782","PTPN12")</f>
        <v>PTPN12</v>
      </c>
      <c r="C259">
        <v>5782</v>
      </c>
      <c r="D259" t="s">
        <v>529</v>
      </c>
      <c r="E259" s="3" t="str">
        <f>HYPERLINK("http://genome.ucsc.edu/cgi-bin/hgTracks?db=hg19&amp;lastVirtModeType=default&amp;lastVirtModeExtraState=&amp;virtModeType=default&amp;virtMode=0&amp;nonVirtPosition=&amp;position=chr7:77537455-77640071","chr7:77537455-77640071")</f>
        <v>chr7:77537455-77640071</v>
      </c>
      <c r="F259" t="s">
        <v>27</v>
      </c>
      <c r="G259">
        <v>0.266060296730602</v>
      </c>
      <c r="H259">
        <v>4.9529050727151303E-2</v>
      </c>
      <c r="I259">
        <v>5.37180286770064</v>
      </c>
      <c r="J259" s="1">
        <v>7.7953303015243096E-8</v>
      </c>
      <c r="K259" s="1">
        <v>4.2591697113587402E-6</v>
      </c>
      <c r="L259" t="s">
        <v>23</v>
      </c>
      <c r="M259" t="s">
        <v>24</v>
      </c>
      <c r="N259">
        <v>4369.4810516544903</v>
      </c>
      <c r="O259">
        <v>3946.9489128181699</v>
      </c>
      <c r="P259">
        <v>4792.0131904908003</v>
      </c>
      <c r="Q259">
        <v>3963.83526043549</v>
      </c>
      <c r="R259">
        <v>3930.0625652008598</v>
      </c>
      <c r="S259">
        <v>4942.3691677165798</v>
      </c>
      <c r="T259">
        <v>4641.6572132650299</v>
      </c>
    </row>
    <row r="260" spans="1:20" x14ac:dyDescent="0.2">
      <c r="A260" t="s">
        <v>530</v>
      </c>
      <c r="B260" s="3" t="str">
        <f>HYPERLINK("http://www.ncbi.nlm.nih.gov/gene/1508","CTSB")</f>
        <v>CTSB</v>
      </c>
      <c r="C260">
        <v>1508</v>
      </c>
      <c r="D260" t="s">
        <v>531</v>
      </c>
      <c r="E260" s="3" t="str">
        <f>HYPERLINK("http://genome.ucsc.edu/cgi-bin/hgTracks?db=hg19&amp;lastVirtModeType=default&amp;lastVirtModeExtraState=&amp;virtModeType=default&amp;virtMode=0&amp;nonVirtPosition=&amp;position=chr8:11842524-11868150","chr8:11842524-11868150")</f>
        <v>chr8:11842524-11868150</v>
      </c>
      <c r="F260" t="s">
        <v>22</v>
      </c>
      <c r="G260">
        <v>0.21513432584335199</v>
      </c>
      <c r="H260">
        <v>4.0072499041252298E-2</v>
      </c>
      <c r="I260">
        <v>5.3686276371704098</v>
      </c>
      <c r="J260" s="1">
        <v>7.9338033062743297E-8</v>
      </c>
      <c r="K260" s="1">
        <v>4.3176261326288198E-6</v>
      </c>
      <c r="L260" t="s">
        <v>23</v>
      </c>
      <c r="M260" t="s">
        <v>24</v>
      </c>
      <c r="N260">
        <v>70268.808592136498</v>
      </c>
      <c r="O260">
        <v>64881.628761645203</v>
      </c>
      <c r="P260">
        <v>75655.988422627794</v>
      </c>
      <c r="Q260">
        <v>64563.322954250601</v>
      </c>
      <c r="R260">
        <v>65199.934569039702</v>
      </c>
      <c r="S260">
        <v>74825.101597232599</v>
      </c>
      <c r="T260">
        <v>76486.875248023003</v>
      </c>
    </row>
    <row r="261" spans="1:20" x14ac:dyDescent="0.2">
      <c r="A261" t="s">
        <v>532</v>
      </c>
      <c r="B261" s="3" t="str">
        <f>HYPERLINK("http://www.ncbi.nlm.nih.gov/gene/9319","TRIP13")</f>
        <v>TRIP13</v>
      </c>
      <c r="C261">
        <v>9319</v>
      </c>
      <c r="D261" t="s">
        <v>533</v>
      </c>
      <c r="E261" s="3" t="str">
        <f>HYPERLINK("http://genome.ucsc.edu/cgi-bin/hgTracks?db=hg19&amp;lastVirtModeType=default&amp;lastVirtModeExtraState=&amp;virtModeType=default&amp;virtMode=0&amp;nonVirtPosition=&amp;position=chr5:892853-918049","chr5:892853-918049")</f>
        <v>chr5:892853-918049</v>
      </c>
      <c r="F261" t="s">
        <v>27</v>
      </c>
      <c r="G261">
        <v>-0.462213994644047</v>
      </c>
      <c r="H261">
        <v>8.6163474937228507E-2</v>
      </c>
      <c r="I261">
        <v>-5.3643843285194501</v>
      </c>
      <c r="J261" s="1">
        <v>8.1225791544055401E-8</v>
      </c>
      <c r="K261" s="1">
        <v>4.4028873724710496E-6</v>
      </c>
      <c r="L261" t="s">
        <v>23</v>
      </c>
      <c r="M261" t="s">
        <v>24</v>
      </c>
      <c r="N261">
        <v>692.30711415277301</v>
      </c>
      <c r="O261">
        <v>821.81403693734001</v>
      </c>
      <c r="P261">
        <v>562.80019136820601</v>
      </c>
      <c r="Q261">
        <v>788.36431941323701</v>
      </c>
      <c r="R261">
        <v>855.26375446144402</v>
      </c>
      <c r="S261">
        <v>562.30547417134801</v>
      </c>
      <c r="T261">
        <v>563.294908565063</v>
      </c>
    </row>
    <row r="262" spans="1:20" x14ac:dyDescent="0.2">
      <c r="A262" t="s">
        <v>534</v>
      </c>
      <c r="B262" s="3" t="str">
        <f>HYPERLINK("http://www.ncbi.nlm.nih.gov/gene/3939","LDHA")</f>
        <v>LDHA</v>
      </c>
      <c r="C262">
        <v>3939</v>
      </c>
      <c r="D262" t="s">
        <v>535</v>
      </c>
      <c r="E262" s="3" t="str">
        <f>HYPERLINK("http://genome.ucsc.edu/cgi-bin/hgTracks?db=hg19&amp;lastVirtModeType=default&amp;lastVirtModeExtraState=&amp;virtModeType=default&amp;virtMode=0&amp;nonVirtPosition=&amp;position=chr11:18394388-18408218","chr11:18394388-18408218")</f>
        <v>chr11:18394388-18408218</v>
      </c>
      <c r="F262" t="s">
        <v>27</v>
      </c>
      <c r="G262">
        <v>-0.27278350413579999</v>
      </c>
      <c r="H262">
        <v>5.0885185164559699E-2</v>
      </c>
      <c r="I262">
        <v>-5.3607646951393502</v>
      </c>
      <c r="J262" s="1">
        <v>8.2870403404242404E-8</v>
      </c>
      <c r="K262" s="1">
        <v>4.4743492609676403E-6</v>
      </c>
      <c r="L262" t="s">
        <v>23</v>
      </c>
      <c r="M262" t="s">
        <v>24</v>
      </c>
      <c r="N262">
        <v>34900.2774023561</v>
      </c>
      <c r="O262">
        <v>38360.915649908799</v>
      </c>
      <c r="P262">
        <v>31439.639154803201</v>
      </c>
      <c r="Q262">
        <v>39199.455190929402</v>
      </c>
      <c r="R262">
        <v>37522.376108888297</v>
      </c>
      <c r="S262">
        <v>29706.4995503891</v>
      </c>
      <c r="T262">
        <v>33172.778759217399</v>
      </c>
    </row>
    <row r="263" spans="1:20" x14ac:dyDescent="0.2">
      <c r="A263" t="s">
        <v>536</v>
      </c>
      <c r="B263" s="3" t="str">
        <f>HYPERLINK("http://www.ncbi.nlm.nih.gov/gene/2697","GJA1")</f>
        <v>GJA1</v>
      </c>
      <c r="C263">
        <v>2697</v>
      </c>
      <c r="D263" t="s">
        <v>537</v>
      </c>
      <c r="E263" s="3" t="str">
        <f>HYPERLINK("http://genome.ucsc.edu/cgi-bin/hgTracks?db=hg19&amp;lastVirtModeType=default&amp;lastVirtModeExtraState=&amp;virtModeType=default&amp;virtMode=0&amp;nonVirtPosition=&amp;position=chr6:121435576-121449744","chr6:121435576-121449744")</f>
        <v>chr6:121435576-121449744</v>
      </c>
      <c r="F263" t="s">
        <v>27</v>
      </c>
      <c r="G263">
        <v>0.230015320886683</v>
      </c>
      <c r="H263">
        <v>4.3031591211244502E-2</v>
      </c>
      <c r="I263">
        <v>5.3452664522100797</v>
      </c>
      <c r="J263" s="1">
        <v>9.0284141302113198E-8</v>
      </c>
      <c r="K263" s="1">
        <v>4.8555165247732603E-6</v>
      </c>
      <c r="L263" t="s">
        <v>23</v>
      </c>
      <c r="M263" t="s">
        <v>24</v>
      </c>
      <c r="N263">
        <v>13773.9495278994</v>
      </c>
      <c r="O263">
        <v>12641.2778267095</v>
      </c>
      <c r="P263">
        <v>14906.6212290892</v>
      </c>
      <c r="Q263">
        <v>12514.7676254499</v>
      </c>
      <c r="R263">
        <v>12767.7880279691</v>
      </c>
      <c r="S263">
        <v>14452.2371870355</v>
      </c>
      <c r="T263">
        <v>15361.0052711429</v>
      </c>
    </row>
    <row r="264" spans="1:20" x14ac:dyDescent="0.2">
      <c r="A264" t="s">
        <v>538</v>
      </c>
      <c r="B264" s="3" t="str">
        <f>HYPERLINK("http://www.ncbi.nlm.nih.gov/gene/23231","SEL1L3")</f>
        <v>SEL1L3</v>
      </c>
      <c r="C264">
        <v>23231</v>
      </c>
      <c r="D264" t="s">
        <v>539</v>
      </c>
      <c r="E264" s="3" t="str">
        <f>HYPERLINK("http://genome.ucsc.edu/cgi-bin/hgTracks?db=hg19&amp;lastVirtModeType=default&amp;lastVirtModeExtraState=&amp;virtModeType=default&amp;virtMode=0&amp;nonVirtPosition=&amp;position=chr4:25747426-25863595","chr4:25747426-25863595")</f>
        <v>chr4:25747426-25863595</v>
      </c>
      <c r="F264" t="s">
        <v>22</v>
      </c>
      <c r="G264">
        <v>-0.29782212583741102</v>
      </c>
      <c r="H264">
        <v>5.5754267307354499E-2</v>
      </c>
      <c r="I264">
        <v>-5.3416920393845002</v>
      </c>
      <c r="J264" s="1">
        <v>9.2082994889222702E-8</v>
      </c>
      <c r="K264" s="1">
        <v>4.9329148121515602E-6</v>
      </c>
      <c r="L264" t="s">
        <v>23</v>
      </c>
      <c r="M264" t="s">
        <v>24</v>
      </c>
      <c r="N264">
        <v>4318.9203192628502</v>
      </c>
      <c r="O264">
        <v>4786.6655946783503</v>
      </c>
      <c r="P264">
        <v>3851.17504384735</v>
      </c>
      <c r="Q264">
        <v>4613.2383298299901</v>
      </c>
      <c r="R264">
        <v>4960.0928595267196</v>
      </c>
      <c r="S264">
        <v>4046.6264123699498</v>
      </c>
      <c r="T264">
        <v>3655.7236753247498</v>
      </c>
    </row>
    <row r="265" spans="1:20" x14ac:dyDescent="0.2">
      <c r="A265" t="s">
        <v>540</v>
      </c>
      <c r="B265" s="3" t="str">
        <f>HYPERLINK("http://www.ncbi.nlm.nih.gov/gene/10383","TUBB4B")</f>
        <v>TUBB4B</v>
      </c>
      <c r="C265">
        <v>10383</v>
      </c>
      <c r="D265" t="s">
        <v>541</v>
      </c>
      <c r="E265" s="3" t="str">
        <f>HYPERLINK("http://genome.ucsc.edu/cgi-bin/hgTracks?db=hg19&amp;lastVirtModeType=default&amp;lastVirtModeExtraState=&amp;virtModeType=default&amp;virtMode=0&amp;nonVirtPosition=&amp;position=chr9:137241258-137243707","chr9:137241258-137243707")</f>
        <v>chr9:137241258-137243707</v>
      </c>
      <c r="F265" t="s">
        <v>27</v>
      </c>
      <c r="G265">
        <v>-0.248741918231625</v>
      </c>
      <c r="H265">
        <v>4.6592709626507398E-2</v>
      </c>
      <c r="I265">
        <v>-5.3386446125492499</v>
      </c>
      <c r="J265" s="1">
        <v>9.3643997871923001E-8</v>
      </c>
      <c r="K265" s="1">
        <v>4.9970186257414502E-6</v>
      </c>
      <c r="L265" t="s">
        <v>23</v>
      </c>
      <c r="M265" t="s">
        <v>24</v>
      </c>
      <c r="N265">
        <v>9839.32809911189</v>
      </c>
      <c r="O265">
        <v>10722.410288597101</v>
      </c>
      <c r="P265">
        <v>8956.2459096266102</v>
      </c>
      <c r="Q265">
        <v>10477.1279098286</v>
      </c>
      <c r="R265">
        <v>10967.6926673657</v>
      </c>
      <c r="S265">
        <v>8615.11176480418</v>
      </c>
      <c r="T265">
        <v>9297.3800544490405</v>
      </c>
    </row>
    <row r="266" spans="1:20" x14ac:dyDescent="0.2">
      <c r="A266" t="s">
        <v>542</v>
      </c>
      <c r="B266" s="3" t="str">
        <f>HYPERLINK("http://www.ncbi.nlm.nih.gov/gene/9314","KLF4")</f>
        <v>KLF4</v>
      </c>
      <c r="C266">
        <v>9314</v>
      </c>
      <c r="D266" t="s">
        <v>543</v>
      </c>
      <c r="E266" s="3" t="str">
        <f>HYPERLINK("http://genome.ucsc.edu/cgi-bin/hgTracks?db=hg19&amp;lastVirtModeType=default&amp;lastVirtModeExtraState=&amp;virtModeType=default&amp;virtMode=0&amp;nonVirtPosition=&amp;position=chr9:107484856-107489720","chr9:107484856-107489720")</f>
        <v>chr9:107484856-107489720</v>
      </c>
      <c r="F266" t="s">
        <v>22</v>
      </c>
      <c r="G266">
        <v>0.46760758217991399</v>
      </c>
      <c r="H266">
        <v>8.7676769395574297E-2</v>
      </c>
      <c r="I266">
        <v>5.3333121806780204</v>
      </c>
      <c r="J266" s="1">
        <v>9.6437305503917503E-8</v>
      </c>
      <c r="K266" s="1">
        <v>5.1261287119407999E-6</v>
      </c>
      <c r="L266" t="s">
        <v>23</v>
      </c>
      <c r="M266" t="s">
        <v>24</v>
      </c>
      <c r="N266">
        <v>644.11314398354398</v>
      </c>
      <c r="O266">
        <v>520.66857284273101</v>
      </c>
      <c r="P266">
        <v>767.55771512435604</v>
      </c>
      <c r="Q266">
        <v>515.94523521808696</v>
      </c>
      <c r="R266">
        <v>525.39191046737506</v>
      </c>
      <c r="S266">
        <v>765.52464553853702</v>
      </c>
      <c r="T266">
        <v>769.59078471017494</v>
      </c>
    </row>
    <row r="267" spans="1:20" x14ac:dyDescent="0.2">
      <c r="A267" t="s">
        <v>544</v>
      </c>
      <c r="B267" s="3" t="str">
        <f>HYPERLINK("http://www.ncbi.nlm.nih.gov/gene/9208","LRRFIP1")</f>
        <v>LRRFIP1</v>
      </c>
      <c r="C267">
        <v>9208</v>
      </c>
      <c r="D267" t="s">
        <v>545</v>
      </c>
      <c r="E267" s="3" t="str">
        <f>HYPERLINK("http://genome.ucsc.edu/cgi-bin/hgTracks?db=hg19&amp;lastVirtModeType=default&amp;lastVirtModeExtraState=&amp;virtModeType=default&amp;virtMode=0&amp;nonVirtPosition=&amp;position=chr2:237692163-237765915","chr2:237692163-237765915")</f>
        <v>chr2:237692163-237765915</v>
      </c>
      <c r="F267" t="s">
        <v>27</v>
      </c>
      <c r="G267">
        <v>0.24507465440246301</v>
      </c>
      <c r="H267">
        <v>4.5973949405569203E-2</v>
      </c>
      <c r="I267">
        <v>5.3307287620753199</v>
      </c>
      <c r="J267" s="1">
        <v>9.7819426456361097E-8</v>
      </c>
      <c r="K267" s="1">
        <v>5.1795197468051603E-6</v>
      </c>
      <c r="L267" t="s">
        <v>23</v>
      </c>
      <c r="M267" t="s">
        <v>24</v>
      </c>
      <c r="N267">
        <v>5026.85985355509</v>
      </c>
      <c r="O267">
        <v>4582.6278220909198</v>
      </c>
      <c r="P267">
        <v>5471.0918850192802</v>
      </c>
      <c r="Q267">
        <v>4599.4797902241799</v>
      </c>
      <c r="R267">
        <v>4565.7758539576498</v>
      </c>
      <c r="S267">
        <v>5569.7836967919802</v>
      </c>
      <c r="T267">
        <v>5372.4000732465802</v>
      </c>
    </row>
    <row r="268" spans="1:20" x14ac:dyDescent="0.2">
      <c r="A268" t="s">
        <v>546</v>
      </c>
      <c r="B268" s="3" t="str">
        <f>HYPERLINK("http://www.ncbi.nlm.nih.gov/gene/3241","HPCAL1")</f>
        <v>HPCAL1</v>
      </c>
      <c r="C268">
        <v>3241</v>
      </c>
      <c r="D268" t="s">
        <v>547</v>
      </c>
      <c r="E268" s="3" t="str">
        <f>HYPERLINK("http://genome.ucsc.edu/cgi-bin/hgTracks?db=hg19&amp;lastVirtModeType=default&amp;lastVirtModeExtraState=&amp;virtModeType=default&amp;virtMode=0&amp;nonVirtPosition=&amp;position=chr2:10302903-10427617","chr2:10302903-10427617")</f>
        <v>chr2:10302903-10427617</v>
      </c>
      <c r="F268" t="s">
        <v>27</v>
      </c>
      <c r="G268">
        <v>0.29600062160497997</v>
      </c>
      <c r="H268">
        <v>5.5577483419728103E-2</v>
      </c>
      <c r="I268">
        <v>5.3259090443075001</v>
      </c>
      <c r="J268" s="1">
        <v>1.00449389835659E-7</v>
      </c>
      <c r="K268" s="1">
        <v>5.2983189700239403E-6</v>
      </c>
      <c r="L268" t="s">
        <v>23</v>
      </c>
      <c r="M268" t="s">
        <v>24</v>
      </c>
      <c r="N268">
        <v>2614.5337536821098</v>
      </c>
      <c r="O268">
        <v>2331.1221275482999</v>
      </c>
      <c r="P268">
        <v>2897.9453798159202</v>
      </c>
      <c r="Q268">
        <v>2301.8036760529599</v>
      </c>
      <c r="R268">
        <v>2360.4405790436499</v>
      </c>
      <c r="S268">
        <v>2842.1088966450102</v>
      </c>
      <c r="T268">
        <v>2953.7818629868302</v>
      </c>
    </row>
    <row r="269" spans="1:20" x14ac:dyDescent="0.2">
      <c r="A269" t="s">
        <v>548</v>
      </c>
      <c r="B269" s="3" t="str">
        <f>HYPERLINK("http://www.ncbi.nlm.nih.gov/gene/81563","C1orf21")</f>
        <v>C1orf21</v>
      </c>
      <c r="C269">
        <v>81563</v>
      </c>
      <c r="D269" t="s">
        <v>549</v>
      </c>
      <c r="E269" s="3" t="str">
        <f>HYPERLINK("http://genome.ucsc.edu/cgi-bin/hgTracks?db=hg19&amp;lastVirtModeType=default&amp;lastVirtModeExtraState=&amp;virtModeType=default&amp;virtMode=0&amp;nonVirtPosition=&amp;position=chr1:184387015-184629021","chr1:184387015-184629021")</f>
        <v>chr1:184387015-184629021</v>
      </c>
      <c r="F269" t="s">
        <v>27</v>
      </c>
      <c r="G269">
        <v>-0.43191080273737698</v>
      </c>
      <c r="H269">
        <v>8.1163353203380001E-2</v>
      </c>
      <c r="I269">
        <v>-5.3215002299755998</v>
      </c>
      <c r="J269" s="1">
        <v>1.02914981024566E-7</v>
      </c>
      <c r="K269" s="1">
        <v>5.4075710719191403E-6</v>
      </c>
      <c r="L269" t="s">
        <v>23</v>
      </c>
      <c r="M269" t="s">
        <v>24</v>
      </c>
      <c r="N269">
        <v>858.35025233927502</v>
      </c>
      <c r="O269">
        <v>1006.80918234222</v>
      </c>
      <c r="P269">
        <v>709.89132233632495</v>
      </c>
      <c r="Q269">
        <v>1036.01803231792</v>
      </c>
      <c r="R269">
        <v>977.60033236652896</v>
      </c>
      <c r="S269">
        <v>681.67207482877404</v>
      </c>
      <c r="T269">
        <v>738.11056984387596</v>
      </c>
    </row>
    <row r="270" spans="1:20" x14ac:dyDescent="0.2">
      <c r="A270" t="s">
        <v>550</v>
      </c>
      <c r="B270" s="3" t="str">
        <f>HYPERLINK("http://www.ncbi.nlm.nih.gov/gene/51655","RASD1")</f>
        <v>RASD1</v>
      </c>
      <c r="C270">
        <v>51655</v>
      </c>
      <c r="D270" t="s">
        <v>551</v>
      </c>
      <c r="E270" s="3" t="str">
        <f>HYPERLINK("http://genome.ucsc.edu/cgi-bin/hgTracks?db=hg19&amp;lastVirtModeType=default&amp;lastVirtModeExtraState=&amp;virtModeType=default&amp;virtMode=0&amp;nonVirtPosition=&amp;position=chr17:17494438-17496395","chr17:17494438-17496395")</f>
        <v>chr17:17494438-17496395</v>
      </c>
      <c r="F270" t="s">
        <v>22</v>
      </c>
      <c r="G270">
        <v>0.61170506579635997</v>
      </c>
      <c r="H270">
        <v>0.11497315970305701</v>
      </c>
      <c r="I270">
        <v>5.3204162378090398</v>
      </c>
      <c r="J270" s="1">
        <v>1.03530107707236E-7</v>
      </c>
      <c r="K270" s="1">
        <v>5.4191293782329603E-6</v>
      </c>
      <c r="L270" t="s">
        <v>23</v>
      </c>
      <c r="M270" t="s">
        <v>24</v>
      </c>
      <c r="N270">
        <v>239.63720281540401</v>
      </c>
      <c r="O270">
        <v>161.15930270957199</v>
      </c>
      <c r="P270">
        <v>318.11510292123597</v>
      </c>
      <c r="Q270">
        <v>191.24370052083799</v>
      </c>
      <c r="R270">
        <v>131.07490489830599</v>
      </c>
      <c r="S270">
        <v>312.72076370581999</v>
      </c>
      <c r="T270">
        <v>323.50944213665298</v>
      </c>
    </row>
    <row r="271" spans="1:20" x14ac:dyDescent="0.2">
      <c r="A271" t="s">
        <v>552</v>
      </c>
      <c r="B271" s="3" t="str">
        <f>HYPERLINK("http://www.ncbi.nlm.nih.gov/gene/4751","NEK2")</f>
        <v>NEK2</v>
      </c>
      <c r="C271">
        <v>4751</v>
      </c>
      <c r="D271" t="s">
        <v>553</v>
      </c>
      <c r="E271" s="3" t="str">
        <f>HYPERLINK("http://genome.ucsc.edu/cgi-bin/hgTracks?db=hg19&amp;lastVirtModeType=default&amp;lastVirtModeExtraState=&amp;virtModeType=default&amp;virtMode=0&amp;nonVirtPosition=&amp;position=chr1:211666430-211675630","chr1:211666430-211675630")</f>
        <v>chr1:211666430-211675630</v>
      </c>
      <c r="F271" t="s">
        <v>22</v>
      </c>
      <c r="G271">
        <v>-0.61501873061666401</v>
      </c>
      <c r="H271">
        <v>0.115856773841001</v>
      </c>
      <c r="I271">
        <v>-5.3084399834980802</v>
      </c>
      <c r="J271" s="1">
        <v>1.10567479824797E-7</v>
      </c>
      <c r="K271" s="1">
        <v>5.76548448029381E-6</v>
      </c>
      <c r="L271" t="s">
        <v>23</v>
      </c>
      <c r="M271" t="s">
        <v>24</v>
      </c>
      <c r="N271">
        <v>194.33211816596801</v>
      </c>
      <c r="O271">
        <v>260.62579807205702</v>
      </c>
      <c r="P271">
        <v>128.03843825987801</v>
      </c>
      <c r="Q271">
        <v>244.90200498351899</v>
      </c>
      <c r="R271">
        <v>276.349591160594</v>
      </c>
      <c r="S271">
        <v>115.42059732990801</v>
      </c>
      <c r="T271">
        <v>140.65627918984899</v>
      </c>
    </row>
    <row r="272" spans="1:20" x14ac:dyDescent="0.2">
      <c r="A272" t="s">
        <v>554</v>
      </c>
      <c r="B272" s="3" t="str">
        <f>HYPERLINK("http://www.ncbi.nlm.nih.gov/gene/5214","PFKP")</f>
        <v>PFKP</v>
      </c>
      <c r="C272">
        <v>5214</v>
      </c>
      <c r="D272" t="s">
        <v>555</v>
      </c>
      <c r="E272" s="3" t="str">
        <f>HYPERLINK("http://genome.ucsc.edu/cgi-bin/hgTracks?db=hg19&amp;lastVirtModeType=default&amp;lastVirtModeExtraState=&amp;virtModeType=default&amp;virtMode=0&amp;nonVirtPosition=&amp;position=chr10:3067519-3136805","chr10:3067519-3136805")</f>
        <v>chr10:3067519-3136805</v>
      </c>
      <c r="F272" t="s">
        <v>27</v>
      </c>
      <c r="G272">
        <v>-0.25962484552114901</v>
      </c>
      <c r="H272">
        <v>4.8936545319545902E-2</v>
      </c>
      <c r="I272">
        <v>-5.3053366114393796</v>
      </c>
      <c r="J272" s="1">
        <v>1.12465265335581E-7</v>
      </c>
      <c r="K272" s="1">
        <v>5.84222973034909E-6</v>
      </c>
      <c r="L272" t="s">
        <v>23</v>
      </c>
      <c r="M272" t="s">
        <v>24</v>
      </c>
      <c r="N272">
        <v>15295.028300035299</v>
      </c>
      <c r="O272">
        <v>16734.399160128101</v>
      </c>
      <c r="P272">
        <v>13855.657439942401</v>
      </c>
      <c r="Q272">
        <v>16535.012898269299</v>
      </c>
      <c r="R272">
        <v>16933.7854219869</v>
      </c>
      <c r="S272">
        <v>13114.542059006801</v>
      </c>
      <c r="T272">
        <v>14596.772820878001</v>
      </c>
    </row>
    <row r="273" spans="1:20" x14ac:dyDescent="0.2">
      <c r="A273" t="s">
        <v>556</v>
      </c>
      <c r="B273" s="3" t="str">
        <f>HYPERLINK("http://www.ncbi.nlm.nih.gov/gene/157313","CDCA2")</f>
        <v>CDCA2</v>
      </c>
      <c r="C273">
        <v>157313</v>
      </c>
      <c r="D273" t="s">
        <v>557</v>
      </c>
      <c r="E273" s="3" t="str">
        <f>HYPERLINK("http://genome.ucsc.edu/cgi-bin/hgTracks?db=hg19&amp;lastVirtModeType=default&amp;lastVirtModeExtraState=&amp;virtModeType=default&amp;virtMode=0&amp;nonVirtPosition=&amp;position=chr8:25458930-25507917","chr8:25458930-25507917")</f>
        <v>chr8:25458930-25507917</v>
      </c>
      <c r="F273" t="s">
        <v>27</v>
      </c>
      <c r="G273">
        <v>-0.54058583065056198</v>
      </c>
      <c r="H273">
        <v>0.102167723102768</v>
      </c>
      <c r="I273">
        <v>-5.2911605958645298</v>
      </c>
      <c r="J273" s="1">
        <v>1.2154257839026601E-7</v>
      </c>
      <c r="K273" s="1">
        <v>6.2870696421470196E-6</v>
      </c>
      <c r="L273" t="s">
        <v>23</v>
      </c>
      <c r="M273" t="s">
        <v>24</v>
      </c>
      <c r="N273">
        <v>373.28965736606602</v>
      </c>
      <c r="O273">
        <v>464.30560553770903</v>
      </c>
      <c r="P273">
        <v>282.27370919442399</v>
      </c>
      <c r="Q273">
        <v>451.28009907075398</v>
      </c>
      <c r="R273">
        <v>477.331112004663</v>
      </c>
      <c r="S273">
        <v>277.20673375815602</v>
      </c>
      <c r="T273">
        <v>287.34068463069201</v>
      </c>
    </row>
    <row r="274" spans="1:20" x14ac:dyDescent="0.2">
      <c r="A274" t="s">
        <v>558</v>
      </c>
      <c r="B274" s="3" t="str">
        <f>HYPERLINK("http://www.ncbi.nlm.nih.gov/gene/81035","COLEC12")</f>
        <v>COLEC12</v>
      </c>
      <c r="C274">
        <v>81035</v>
      </c>
      <c r="D274" t="s">
        <v>559</v>
      </c>
      <c r="E274" s="3" t="str">
        <f>HYPERLINK("http://genome.ucsc.edu/cgi-bin/hgTracks?db=hg19&amp;lastVirtModeType=default&amp;lastVirtModeExtraState=&amp;virtModeType=default&amp;virtMode=0&amp;nonVirtPosition=&amp;position=chr18:319354-500729","chr18:319354-500729")</f>
        <v>chr18:319354-500729</v>
      </c>
      <c r="F274" t="s">
        <v>22</v>
      </c>
      <c r="G274">
        <v>-0.50060084058642695</v>
      </c>
      <c r="H274">
        <v>9.4621605009797605E-2</v>
      </c>
      <c r="I274">
        <v>-5.2905553708858797</v>
      </c>
      <c r="J274" s="1">
        <v>1.2194549546529899E-7</v>
      </c>
      <c r="K274" s="1">
        <v>6.2870696421470196E-6</v>
      </c>
      <c r="L274" t="s">
        <v>23</v>
      </c>
      <c r="M274" t="s">
        <v>24</v>
      </c>
      <c r="N274">
        <v>678.530870690965</v>
      </c>
      <c r="O274">
        <v>825.22187758174596</v>
      </c>
      <c r="P274">
        <v>531.83986380018302</v>
      </c>
      <c r="Q274">
        <v>858.53287140289694</v>
      </c>
      <c r="R274">
        <v>791.91088376059599</v>
      </c>
      <c r="S274">
        <v>469.57439597466998</v>
      </c>
      <c r="T274">
        <v>594.10533162569698</v>
      </c>
    </row>
    <row r="275" spans="1:20" x14ac:dyDescent="0.2">
      <c r="A275" t="s">
        <v>560</v>
      </c>
      <c r="B275" s="3" t="str">
        <f>HYPERLINK("http://www.ncbi.nlm.nih.gov/gene/399665","FAM102A")</f>
        <v>FAM102A</v>
      </c>
      <c r="C275">
        <v>399665</v>
      </c>
      <c r="D275" t="s">
        <v>561</v>
      </c>
      <c r="E275" s="3" t="str">
        <f>HYPERLINK("http://genome.ucsc.edu/cgi-bin/hgTracks?db=hg19&amp;lastVirtModeType=default&amp;lastVirtModeExtraState=&amp;virtModeType=default&amp;virtMode=0&amp;nonVirtPosition=&amp;position=chr9:127940581-127950714","chr9:127940581-127950714")</f>
        <v>chr9:127940581-127950714</v>
      </c>
      <c r="F275" t="s">
        <v>22</v>
      </c>
      <c r="G275">
        <v>0.31670246107453798</v>
      </c>
      <c r="H275">
        <v>5.9911614328070302E-2</v>
      </c>
      <c r="I275">
        <v>5.2861613666476304</v>
      </c>
      <c r="J275" s="1">
        <v>1.2490971780906999E-7</v>
      </c>
      <c r="K275" s="1">
        <v>6.4157747941332598E-6</v>
      </c>
      <c r="L275" t="s">
        <v>23</v>
      </c>
      <c r="M275" t="s">
        <v>24</v>
      </c>
      <c r="N275">
        <v>2322.0484097785802</v>
      </c>
      <c r="O275">
        <v>2047.36431088975</v>
      </c>
      <c r="P275">
        <v>2596.7325086674</v>
      </c>
      <c r="Q275">
        <v>1970.2228715527999</v>
      </c>
      <c r="R275">
        <v>2124.5057502267</v>
      </c>
      <c r="S275">
        <v>2657.6332410835298</v>
      </c>
      <c r="T275">
        <v>2535.8317762512802</v>
      </c>
    </row>
    <row r="276" spans="1:20" x14ac:dyDescent="0.2">
      <c r="A276" t="s">
        <v>562</v>
      </c>
      <c r="B276" s="3" t="str">
        <f>HYPERLINK("http://www.ncbi.nlm.nih.gov/gene/23310","NCAPD3")</f>
        <v>NCAPD3</v>
      </c>
      <c r="C276">
        <v>23310</v>
      </c>
      <c r="D276" t="s">
        <v>563</v>
      </c>
      <c r="E276" s="3" t="str">
        <f>HYPERLINK("http://genome.ucsc.edu/cgi-bin/hgTracks?db=hg19&amp;lastVirtModeType=default&amp;lastVirtModeExtraState=&amp;virtModeType=default&amp;virtMode=0&amp;nonVirtPosition=&amp;position=chr11:134152441-134224532","chr11:134152441-134224532")</f>
        <v>chr11:134152441-134224532</v>
      </c>
      <c r="F276" t="s">
        <v>22</v>
      </c>
      <c r="G276">
        <v>-0.35214802963727099</v>
      </c>
      <c r="H276">
        <v>6.6810956052371903E-2</v>
      </c>
      <c r="I276">
        <v>-5.2708126098544197</v>
      </c>
      <c r="J276" s="1">
        <v>1.35821082821211E-7</v>
      </c>
      <c r="K276" s="1">
        <v>6.9501877977988102E-6</v>
      </c>
      <c r="L276" t="s">
        <v>23</v>
      </c>
      <c r="M276" t="s">
        <v>24</v>
      </c>
      <c r="N276">
        <v>1463.1214119214701</v>
      </c>
      <c r="O276">
        <v>1656.44118775681</v>
      </c>
      <c r="P276">
        <v>1269.80163608612</v>
      </c>
      <c r="Q276">
        <v>1642.7696289343901</v>
      </c>
      <c r="R276">
        <v>1670.1127465792399</v>
      </c>
      <c r="S276">
        <v>1303.1675989129001</v>
      </c>
      <c r="T276">
        <v>1236.4356732593401</v>
      </c>
    </row>
    <row r="277" spans="1:20" x14ac:dyDescent="0.2">
      <c r="A277" t="s">
        <v>564</v>
      </c>
      <c r="B277" s="3" t="str">
        <f>HYPERLINK("http://www.ncbi.nlm.nih.gov/gene/4603","MYBL1")</f>
        <v>MYBL1</v>
      </c>
      <c r="C277">
        <v>4603</v>
      </c>
      <c r="D277" t="s">
        <v>565</v>
      </c>
      <c r="E277" s="3" t="str">
        <f>HYPERLINK("http://genome.ucsc.edu/cgi-bin/hgTracks?db=hg19&amp;lastVirtModeType=default&amp;lastVirtModeExtraState=&amp;virtModeType=default&amp;virtMode=0&amp;nonVirtPosition=&amp;position=chr8:66562174-66613249","chr8:66562174-66613249")</f>
        <v>chr8:66562174-66613249</v>
      </c>
      <c r="F277" t="s">
        <v>22</v>
      </c>
      <c r="G277">
        <v>-0.46838508561933401</v>
      </c>
      <c r="H277">
        <v>8.8881472075864595E-2</v>
      </c>
      <c r="I277">
        <v>-5.2697719184887601</v>
      </c>
      <c r="J277" s="1">
        <v>1.3659338097471899E-7</v>
      </c>
      <c r="K277" s="1">
        <v>6.9600418024626901E-6</v>
      </c>
      <c r="L277" t="s">
        <v>23</v>
      </c>
      <c r="M277" t="s">
        <v>24</v>
      </c>
      <c r="N277">
        <v>629.36198031754896</v>
      </c>
      <c r="O277">
        <v>751.47699275467596</v>
      </c>
      <c r="P277">
        <v>507.24696788042098</v>
      </c>
      <c r="Q277">
        <v>747.08870059578999</v>
      </c>
      <c r="R277">
        <v>755.86528491356205</v>
      </c>
      <c r="S277">
        <v>485.35840928474198</v>
      </c>
      <c r="T277">
        <v>529.13552647610004</v>
      </c>
    </row>
    <row r="278" spans="1:20" x14ac:dyDescent="0.2">
      <c r="A278" t="s">
        <v>566</v>
      </c>
      <c r="B278" s="3" t="str">
        <f>HYPERLINK("http://www.ncbi.nlm.nih.gov/gene/7043","TGFB3")</f>
        <v>TGFB3</v>
      </c>
      <c r="C278">
        <v>7043</v>
      </c>
      <c r="D278" t="s">
        <v>567</v>
      </c>
      <c r="E278" s="3" t="str">
        <f>HYPERLINK("http://genome.ucsc.edu/cgi-bin/hgTracks?db=hg19&amp;lastVirtModeType=default&amp;lastVirtModeExtraState=&amp;virtModeType=default&amp;virtMode=0&amp;nonVirtPosition=&amp;position=chr14:75958060-75983011","chr14:75958060-75983011")</f>
        <v>chr14:75958060-75983011</v>
      </c>
      <c r="F278" t="s">
        <v>22</v>
      </c>
      <c r="G278">
        <v>-0.49296793071592898</v>
      </c>
      <c r="H278">
        <v>9.3556719690552598E-2</v>
      </c>
      <c r="I278">
        <v>-5.2691878503913498</v>
      </c>
      <c r="J278" s="1">
        <v>1.37028677750104E-7</v>
      </c>
      <c r="K278" s="1">
        <v>6.9600418024626901E-6</v>
      </c>
      <c r="L278" t="s">
        <v>23</v>
      </c>
      <c r="M278" t="s">
        <v>24</v>
      </c>
      <c r="N278">
        <v>660.97768931138398</v>
      </c>
      <c r="O278">
        <v>800.61926857027504</v>
      </c>
      <c r="P278">
        <v>521.33611005249304</v>
      </c>
      <c r="Q278">
        <v>815.88139862486901</v>
      </c>
      <c r="R278">
        <v>785.35713851568096</v>
      </c>
      <c r="S278">
        <v>464.641891815272</v>
      </c>
      <c r="T278">
        <v>578.03032828971402</v>
      </c>
    </row>
    <row r="279" spans="1:20" x14ac:dyDescent="0.2">
      <c r="A279" t="s">
        <v>568</v>
      </c>
      <c r="B279" s="3" t="str">
        <f>HYPERLINK("http://www.ncbi.nlm.nih.gov/gene/10535","RNASEH2A")</f>
        <v>RNASEH2A</v>
      </c>
      <c r="C279">
        <v>10535</v>
      </c>
      <c r="D279" t="s">
        <v>569</v>
      </c>
      <c r="E279" s="3" t="str">
        <f>HYPERLINK("http://genome.ucsc.edu/cgi-bin/hgTracks?db=hg19&amp;lastVirtModeType=default&amp;lastVirtModeExtraState=&amp;virtModeType=default&amp;virtMode=0&amp;nonVirtPosition=&amp;position=chr19:12806613-12813648","chr19:12806613-12813648")</f>
        <v>chr19:12806613-12813648</v>
      </c>
      <c r="F279" t="s">
        <v>27</v>
      </c>
      <c r="G279">
        <v>-0.47013776292398901</v>
      </c>
      <c r="H279">
        <v>8.9290090784918397E-2</v>
      </c>
      <c r="I279">
        <v>-5.26528485738082</v>
      </c>
      <c r="J279" s="1">
        <v>1.3997215162433199E-7</v>
      </c>
      <c r="K279" s="1">
        <v>7.0833139755575001E-6</v>
      </c>
      <c r="L279" t="s">
        <v>23</v>
      </c>
      <c r="M279" t="s">
        <v>24</v>
      </c>
      <c r="N279">
        <v>633.445671349088</v>
      </c>
      <c r="O279">
        <v>755.86205337981096</v>
      </c>
      <c r="P279">
        <v>511.02928931836499</v>
      </c>
      <c r="Q279">
        <v>715.44405950241401</v>
      </c>
      <c r="R279">
        <v>796.280047257207</v>
      </c>
      <c r="S279">
        <v>511.00743091361102</v>
      </c>
      <c r="T279">
        <v>511.05114772311902</v>
      </c>
    </row>
    <row r="280" spans="1:20" x14ac:dyDescent="0.2">
      <c r="A280" t="s">
        <v>570</v>
      </c>
      <c r="B280" s="3" t="str">
        <f>HYPERLINK("http://www.ncbi.nlm.nih.gov/gene/57608","KIAA1462")</f>
        <v>KIAA1462</v>
      </c>
      <c r="C280">
        <v>57608</v>
      </c>
      <c r="D280" t="s">
        <v>571</v>
      </c>
      <c r="E280" s="3" t="str">
        <f>HYPERLINK("http://genome.ucsc.edu/cgi-bin/hgTracks?db=hg19&amp;lastVirtModeType=default&amp;lastVirtModeExtraState=&amp;virtModeType=default&amp;virtMode=0&amp;nonVirtPosition=&amp;position=chr10:30012799-30059559","chr10:30012799-30059559")</f>
        <v>chr10:30012799-30059559</v>
      </c>
      <c r="F280" t="s">
        <v>22</v>
      </c>
      <c r="G280">
        <v>0.28007383730951502</v>
      </c>
      <c r="H280">
        <v>5.3376206751161101E-2</v>
      </c>
      <c r="I280">
        <v>5.2471663753704698</v>
      </c>
      <c r="J280" s="1">
        <v>1.5445640456411899E-7</v>
      </c>
      <c r="K280" s="1">
        <v>7.7875556330600107E-6</v>
      </c>
      <c r="L280" t="s">
        <v>23</v>
      </c>
      <c r="M280" t="s">
        <v>24</v>
      </c>
      <c r="N280">
        <v>2853.6802231716401</v>
      </c>
      <c r="O280">
        <v>2561.3424405516098</v>
      </c>
      <c r="P280">
        <v>3146.01800579168</v>
      </c>
      <c r="Q280">
        <v>2521.9403097460099</v>
      </c>
      <c r="R280">
        <v>2600.7445713572101</v>
      </c>
      <c r="S280">
        <v>3142.00514953639</v>
      </c>
      <c r="T280">
        <v>3150.03086204696</v>
      </c>
    </row>
    <row r="281" spans="1:20" x14ac:dyDescent="0.2">
      <c r="A281" t="s">
        <v>572</v>
      </c>
      <c r="B281" s="3" t="str">
        <f>HYPERLINK("http://www.ncbi.nlm.nih.gov/gene/890","CCNA2")</f>
        <v>CCNA2</v>
      </c>
      <c r="C281">
        <v>890</v>
      </c>
      <c r="D281" t="s">
        <v>573</v>
      </c>
      <c r="E281" s="3" t="str">
        <f>HYPERLINK("http://genome.ucsc.edu/cgi-bin/hgTracks?db=hg19&amp;lastVirtModeType=default&amp;lastVirtModeExtraState=&amp;virtModeType=default&amp;virtMode=0&amp;nonVirtPosition=&amp;position=chr4:121816443-121824001","chr4:121816443-121824001")</f>
        <v>chr4:121816443-121824001</v>
      </c>
      <c r="F281" t="s">
        <v>22</v>
      </c>
      <c r="G281">
        <v>-0.47075174353416599</v>
      </c>
      <c r="H281">
        <v>8.9757697672781897E-2</v>
      </c>
      <c r="I281">
        <v>-5.24469494806256</v>
      </c>
      <c r="J281" s="1">
        <v>1.56541109946745E-7</v>
      </c>
      <c r="K281" s="1">
        <v>7.8637537795225805E-6</v>
      </c>
      <c r="L281" t="s">
        <v>23</v>
      </c>
      <c r="M281" t="s">
        <v>24</v>
      </c>
      <c r="N281">
        <v>646.79108968569597</v>
      </c>
      <c r="O281">
        <v>773.62735405993806</v>
      </c>
      <c r="P281">
        <v>519.95482531145501</v>
      </c>
      <c r="Q281">
        <v>755.34382435928001</v>
      </c>
      <c r="R281">
        <v>791.91088376059599</v>
      </c>
      <c r="S281">
        <v>487.33141094850203</v>
      </c>
      <c r="T281">
        <v>552.578239674408</v>
      </c>
    </row>
    <row r="282" spans="1:20" x14ac:dyDescent="0.2">
      <c r="A282" t="s">
        <v>574</v>
      </c>
      <c r="B282" s="3" t="str">
        <f>HYPERLINK("http://www.ncbi.nlm.nih.gov/gene/5673","PSG5")</f>
        <v>PSG5</v>
      </c>
      <c r="C282">
        <v>5673</v>
      </c>
      <c r="D282" t="s">
        <v>575</v>
      </c>
      <c r="E282" s="3" t="str">
        <f>HYPERLINK("http://genome.ucsc.edu/cgi-bin/hgTracks?db=hg19&amp;lastVirtModeType=default&amp;lastVirtModeExtraState=&amp;virtModeType=default&amp;virtMode=0&amp;nonVirtPosition=&amp;position=chr19:43167742-43186536","chr19:43167742-43186536")</f>
        <v>chr19:43167742-43186536</v>
      </c>
      <c r="F282" t="s">
        <v>22</v>
      </c>
      <c r="G282">
        <v>-0.46772497119692202</v>
      </c>
      <c r="H282">
        <v>8.9233846839950795E-2</v>
      </c>
      <c r="I282">
        <v>-5.2415645829528197</v>
      </c>
      <c r="J282" s="1">
        <v>1.5922072942459E-7</v>
      </c>
      <c r="K282" s="1">
        <v>7.9691718369665406E-6</v>
      </c>
      <c r="L282" t="s">
        <v>23</v>
      </c>
      <c r="M282" t="s">
        <v>24</v>
      </c>
      <c r="N282">
        <v>636.670099502472</v>
      </c>
      <c r="O282">
        <v>758.87634365162103</v>
      </c>
      <c r="P282">
        <v>514.46385535332399</v>
      </c>
      <c r="Q282">
        <v>718.19576742357799</v>
      </c>
      <c r="R282">
        <v>799.55691987966395</v>
      </c>
      <c r="S282">
        <v>519.88593840052704</v>
      </c>
      <c r="T282">
        <v>509.041772306121</v>
      </c>
    </row>
    <row r="283" spans="1:20" x14ac:dyDescent="0.2">
      <c r="A283" t="s">
        <v>576</v>
      </c>
      <c r="B283" s="3" t="str">
        <f>HYPERLINK("http://www.ncbi.nlm.nih.gov/gene/1009","CDH11")</f>
        <v>CDH11</v>
      </c>
      <c r="C283">
        <v>1009</v>
      </c>
      <c r="D283" t="s">
        <v>577</v>
      </c>
      <c r="E283" s="3" t="str">
        <f>HYPERLINK("http://genome.ucsc.edu/cgi-bin/hgTracks?db=hg19&amp;lastVirtModeType=default&amp;lastVirtModeExtraState=&amp;virtModeType=default&amp;virtMode=0&amp;nonVirtPosition=&amp;position=chr16:64943752-65122137","chr16:64943752-65122137")</f>
        <v>chr16:64943752-65122137</v>
      </c>
      <c r="F283" t="s">
        <v>22</v>
      </c>
      <c r="G283">
        <v>-0.26646285749044302</v>
      </c>
      <c r="H283">
        <v>5.1050488494256703E-2</v>
      </c>
      <c r="I283">
        <v>-5.2195946669623199</v>
      </c>
      <c r="J283" s="1">
        <v>1.7931514032536401E-7</v>
      </c>
      <c r="K283" s="1">
        <v>8.94228303426195E-6</v>
      </c>
      <c r="L283" t="s">
        <v>23</v>
      </c>
      <c r="M283" t="s">
        <v>24</v>
      </c>
      <c r="N283">
        <v>7841.43073385347</v>
      </c>
      <c r="O283">
        <v>8603.9993795019309</v>
      </c>
      <c r="P283">
        <v>7078.86208820501</v>
      </c>
      <c r="Q283">
        <v>8601.8389615559499</v>
      </c>
      <c r="R283">
        <v>8606.1597974479191</v>
      </c>
      <c r="S283">
        <v>6666.7726218420503</v>
      </c>
      <c r="T283">
        <v>7490.9515545679697</v>
      </c>
    </row>
    <row r="284" spans="1:20" x14ac:dyDescent="0.2">
      <c r="A284" t="s">
        <v>578</v>
      </c>
      <c r="B284" s="3" t="str">
        <f>HYPERLINK("http://www.ncbi.nlm.nih.gov/gene/100134259","LINC01119")</f>
        <v>LINC01119</v>
      </c>
      <c r="C284">
        <v>100134259</v>
      </c>
      <c r="D284" t="s">
        <v>579</v>
      </c>
      <c r="E284" s="3" t="str">
        <f>HYPERLINK("http://genome.ucsc.edu/cgi-bin/hgTracks?db=hg19&amp;lastVirtModeType=default&amp;lastVirtModeExtraState=&amp;virtModeType=default&amp;virtMode=0&amp;nonVirtPosition=&amp;position=chr2:46827863-46859006","chr2:46827863-46859006")</f>
        <v>chr2:46827863-46859006</v>
      </c>
      <c r="F284" t="s">
        <v>27</v>
      </c>
      <c r="G284">
        <v>0.41102367020929398</v>
      </c>
      <c r="H284">
        <v>7.8797919037812997E-2</v>
      </c>
      <c r="I284">
        <v>5.21617417348362</v>
      </c>
      <c r="J284" s="1">
        <v>1.8265643350519099E-7</v>
      </c>
      <c r="K284" s="1">
        <v>9.0759069894572297E-6</v>
      </c>
      <c r="L284" t="s">
        <v>23</v>
      </c>
      <c r="M284" t="s">
        <v>24</v>
      </c>
      <c r="N284">
        <v>888.67832892555896</v>
      </c>
      <c r="O284">
        <v>744.78146596654597</v>
      </c>
      <c r="P284">
        <v>1032.5751918845699</v>
      </c>
      <c r="Q284">
        <v>745.71284663520896</v>
      </c>
      <c r="R284">
        <v>743.85008529788399</v>
      </c>
      <c r="S284">
        <v>1043.71788012857</v>
      </c>
      <c r="T284">
        <v>1021.43250364057</v>
      </c>
    </row>
    <row r="285" spans="1:20" x14ac:dyDescent="0.2">
      <c r="A285" t="s">
        <v>580</v>
      </c>
      <c r="B285" s="3" t="str">
        <f>HYPERLINK("http://www.ncbi.nlm.nih.gov/gene/65062","TMEM237")</f>
        <v>TMEM237</v>
      </c>
      <c r="C285">
        <v>65062</v>
      </c>
      <c r="D285" t="s">
        <v>581</v>
      </c>
      <c r="E285" s="3" t="str">
        <f>HYPERLINK("http://genome.ucsc.edu/cgi-bin/hgTracks?db=hg19&amp;lastVirtModeType=default&amp;lastVirtModeExtraState=&amp;virtModeType=default&amp;virtMode=0&amp;nonVirtPosition=&amp;position=chr2:201620183-201642944","chr2:201620183-201642944")</f>
        <v>chr2:201620183-201642944</v>
      </c>
      <c r="F285" t="s">
        <v>22</v>
      </c>
      <c r="G285">
        <v>-0.34999691319086801</v>
      </c>
      <c r="H285">
        <v>6.7132402542197198E-2</v>
      </c>
      <c r="I285">
        <v>-5.2135317661373897</v>
      </c>
      <c r="J285" s="1">
        <v>1.8527878505410401E-7</v>
      </c>
      <c r="K285" s="1">
        <v>9.1729720513790096E-6</v>
      </c>
      <c r="L285" t="s">
        <v>23</v>
      </c>
      <c r="M285" t="s">
        <v>24</v>
      </c>
      <c r="N285">
        <v>1413.4542679548499</v>
      </c>
      <c r="O285">
        <v>1600.1780405234399</v>
      </c>
      <c r="P285">
        <v>1226.7304953862499</v>
      </c>
      <c r="Q285">
        <v>1568.4735150629899</v>
      </c>
      <c r="R285">
        <v>1631.8825659838999</v>
      </c>
      <c r="S285">
        <v>1216.35552570749</v>
      </c>
      <c r="T285">
        <v>1237.1054650650101</v>
      </c>
    </row>
    <row r="286" spans="1:20" x14ac:dyDescent="0.2">
      <c r="A286" t="s">
        <v>582</v>
      </c>
      <c r="B286" s="3" t="str">
        <f>HYPERLINK("http://www.ncbi.nlm.nih.gov/gene/340075","ARSI")</f>
        <v>ARSI</v>
      </c>
      <c r="C286">
        <v>340075</v>
      </c>
      <c r="D286" t="s">
        <v>583</v>
      </c>
      <c r="E286" s="3" t="str">
        <f>HYPERLINK("http://genome.ucsc.edu/cgi-bin/hgTracks?db=hg19&amp;lastVirtModeType=default&amp;lastVirtModeExtraState=&amp;virtModeType=default&amp;virtMode=0&amp;nonVirtPosition=&amp;position=chr5:150296338-150302962","chr5:150296338-150302962")</f>
        <v>chr5:150296338-150302962</v>
      </c>
      <c r="F286" t="s">
        <v>22</v>
      </c>
      <c r="G286">
        <v>-0.35821267644460097</v>
      </c>
      <c r="H286">
        <v>6.8884945494127298E-2</v>
      </c>
      <c r="I286">
        <v>-5.2001591040692601</v>
      </c>
      <c r="J286" s="1">
        <v>1.9911800438127299E-7</v>
      </c>
      <c r="K286" s="1">
        <v>9.8226773815999407E-6</v>
      </c>
      <c r="L286" t="s">
        <v>23</v>
      </c>
      <c r="M286" t="s">
        <v>24</v>
      </c>
      <c r="N286">
        <v>1411.04920663446</v>
      </c>
      <c r="O286">
        <v>1603.4129516743401</v>
      </c>
      <c r="P286">
        <v>1218.6854615945699</v>
      </c>
      <c r="Q286">
        <v>1557.4666833783299</v>
      </c>
      <c r="R286">
        <v>1649.3592199703501</v>
      </c>
      <c r="S286">
        <v>1180.84149575983</v>
      </c>
      <c r="T286">
        <v>1256.5294274293201</v>
      </c>
    </row>
    <row r="287" spans="1:20" x14ac:dyDescent="0.2">
      <c r="A287" t="s">
        <v>584</v>
      </c>
      <c r="B287" s="3" t="str">
        <f>HYPERLINK("http://www.ncbi.nlm.nih.gov/gene/10036","CHAF1A")</f>
        <v>CHAF1A</v>
      </c>
      <c r="C287">
        <v>10036</v>
      </c>
      <c r="D287" t="s">
        <v>585</v>
      </c>
      <c r="E287" s="3" t="str">
        <f>HYPERLINK("http://genome.ucsc.edu/cgi-bin/hgTracks?db=hg19&amp;lastVirtModeType=default&amp;lastVirtModeExtraState=&amp;virtModeType=default&amp;virtMode=0&amp;nonVirtPosition=&amp;position=chr19:4402662-4443397","chr19:4402662-4443397")</f>
        <v>chr19:4402662-4443397</v>
      </c>
      <c r="F287" t="s">
        <v>27</v>
      </c>
      <c r="G287">
        <v>-0.41559771327307499</v>
      </c>
      <c r="H287">
        <v>8.0042691329642202E-2</v>
      </c>
      <c r="I287">
        <v>-5.1922006415489799</v>
      </c>
      <c r="J287" s="1">
        <v>2.0782286024592701E-7</v>
      </c>
      <c r="K287" s="1">
        <v>1.02153501986116E-5</v>
      </c>
      <c r="L287" t="s">
        <v>23</v>
      </c>
      <c r="M287" t="s">
        <v>24</v>
      </c>
      <c r="N287">
        <v>840.26770621643004</v>
      </c>
      <c r="O287">
        <v>978.808899900862</v>
      </c>
      <c r="P287">
        <v>701.72651253199797</v>
      </c>
      <c r="Q287">
        <v>997.49412142163499</v>
      </c>
      <c r="R287">
        <v>960.12367838008902</v>
      </c>
      <c r="S287">
        <v>695.48308647508804</v>
      </c>
      <c r="T287">
        <v>707.96993858890801</v>
      </c>
    </row>
    <row r="288" spans="1:20" x14ac:dyDescent="0.2">
      <c r="A288" t="s">
        <v>586</v>
      </c>
      <c r="B288" s="3" t="str">
        <f>HYPERLINK("http://www.ncbi.nlm.nih.gov/gene/290","ANPEP")</f>
        <v>ANPEP</v>
      </c>
      <c r="C288">
        <v>290</v>
      </c>
      <c r="D288" t="s">
        <v>587</v>
      </c>
      <c r="E288" s="3" t="str">
        <f>HYPERLINK("http://genome.ucsc.edu/cgi-bin/hgTracks?db=hg19&amp;lastVirtModeType=default&amp;lastVirtModeExtraState=&amp;virtModeType=default&amp;virtMode=0&amp;nonVirtPosition=&amp;position=chr15:89784894-89814840","chr15:89784894-89814840")</f>
        <v>chr15:89784894-89814840</v>
      </c>
      <c r="F288" t="s">
        <v>22</v>
      </c>
      <c r="G288">
        <v>-0.25281270750566398</v>
      </c>
      <c r="H288">
        <v>4.8727249237855298E-2</v>
      </c>
      <c r="I288">
        <v>-5.1883229909325301</v>
      </c>
      <c r="J288" s="1">
        <v>2.1219632722912601E-7</v>
      </c>
      <c r="K288" s="1">
        <v>1.0361940927699099E-5</v>
      </c>
      <c r="L288" t="s">
        <v>23</v>
      </c>
      <c r="M288" t="s">
        <v>24</v>
      </c>
      <c r="N288">
        <v>30081.3530953462</v>
      </c>
      <c r="O288">
        <v>32831.923981657099</v>
      </c>
      <c r="P288">
        <v>27330.782209035198</v>
      </c>
      <c r="Q288">
        <v>34341.314856115903</v>
      </c>
      <c r="R288">
        <v>31322.5331071984</v>
      </c>
      <c r="S288">
        <v>28037.340142848901</v>
      </c>
      <c r="T288">
        <v>26624.224275221499</v>
      </c>
    </row>
    <row r="289" spans="1:20" x14ac:dyDescent="0.2">
      <c r="A289" t="s">
        <v>588</v>
      </c>
      <c r="B289" s="3" t="str">
        <f>HYPERLINK("http://www.ncbi.nlm.nih.gov/gene/23397","NCAPH")</f>
        <v>NCAPH</v>
      </c>
      <c r="C289">
        <v>23397</v>
      </c>
      <c r="D289" t="s">
        <v>589</v>
      </c>
      <c r="E289" s="3" t="str">
        <f>HYPERLINK("http://genome.ucsc.edu/cgi-bin/hgTracks?db=hg19&amp;lastVirtModeType=default&amp;lastVirtModeExtraState=&amp;virtModeType=default&amp;virtMode=0&amp;nonVirtPosition=&amp;position=chr2:96335740-96377095","chr2:96335740-96377095")</f>
        <v>chr2:96335740-96377095</v>
      </c>
      <c r="F289" t="s">
        <v>27</v>
      </c>
      <c r="G289">
        <v>-0.493517256677384</v>
      </c>
      <c r="H289">
        <v>9.5122695709359495E-2</v>
      </c>
      <c r="I289">
        <v>-5.1882177328667201</v>
      </c>
      <c r="J289" s="1">
        <v>2.1231627538890501E-7</v>
      </c>
      <c r="K289" s="1">
        <v>1.0361940927699099E-5</v>
      </c>
      <c r="L289" t="s">
        <v>23</v>
      </c>
      <c r="M289" t="s">
        <v>24</v>
      </c>
      <c r="N289">
        <v>493.84359248452699</v>
      </c>
      <c r="O289">
        <v>598.0476491073</v>
      </c>
      <c r="P289">
        <v>389.63953586175501</v>
      </c>
      <c r="Q289">
        <v>577.85866344425801</v>
      </c>
      <c r="R289">
        <v>618.23663477034199</v>
      </c>
      <c r="S289">
        <v>382.762322769268</v>
      </c>
      <c r="T289">
        <v>396.51674895424202</v>
      </c>
    </row>
    <row r="290" spans="1:20" x14ac:dyDescent="0.2">
      <c r="A290" t="s">
        <v>590</v>
      </c>
      <c r="B290" s="3" t="str">
        <f>HYPERLINK("http://www.ncbi.nlm.nih.gov/gene/4864","NPC1")</f>
        <v>NPC1</v>
      </c>
      <c r="C290">
        <v>4864</v>
      </c>
      <c r="D290" t="s">
        <v>591</v>
      </c>
      <c r="E290" s="3" t="str">
        <f>HYPERLINK("http://genome.ucsc.edu/cgi-bin/hgTracks?db=hg19&amp;lastVirtModeType=default&amp;lastVirtModeExtraState=&amp;virtModeType=default&amp;virtMode=0&amp;nonVirtPosition=&amp;position=chr18:23531498-23586617","chr18:23531498-23586617")</f>
        <v>chr18:23531498-23586617</v>
      </c>
      <c r="F290" t="s">
        <v>22</v>
      </c>
      <c r="G290">
        <v>0.27676993551923201</v>
      </c>
      <c r="H290">
        <v>5.3367407990332703E-2</v>
      </c>
      <c r="I290">
        <v>5.1861228780188799</v>
      </c>
      <c r="J290" s="1">
        <v>2.1471716735170801E-7</v>
      </c>
      <c r="K290" s="1">
        <v>1.0441954727167801E-5</v>
      </c>
      <c r="L290" t="s">
        <v>23</v>
      </c>
      <c r="M290" t="s">
        <v>24</v>
      </c>
      <c r="N290">
        <v>6996.0979465255195</v>
      </c>
      <c r="O290">
        <v>6285.0406093332804</v>
      </c>
      <c r="P290">
        <v>7707.1552837177596</v>
      </c>
      <c r="Q290">
        <v>6052.3815725983104</v>
      </c>
      <c r="R290">
        <v>6517.6996460682503</v>
      </c>
      <c r="S290">
        <v>8116.9288447050003</v>
      </c>
      <c r="T290">
        <v>7297.3817227305099</v>
      </c>
    </row>
    <row r="291" spans="1:20" x14ac:dyDescent="0.2">
      <c r="A291" t="s">
        <v>592</v>
      </c>
      <c r="B291" s="3" t="str">
        <f>HYPERLINK("http://www.ncbi.nlm.nih.gov/gene/79022","TMEM106C")</f>
        <v>TMEM106C</v>
      </c>
      <c r="C291">
        <v>79022</v>
      </c>
      <c r="D291" t="s">
        <v>593</v>
      </c>
      <c r="E291" s="3" t="str">
        <f>HYPERLINK("http://genome.ucsc.edu/cgi-bin/hgTracks?db=hg19&amp;lastVirtModeType=default&amp;lastVirtModeExtraState=&amp;virtModeType=default&amp;virtMode=0&amp;nonVirtPosition=&amp;position=chr12:47963546-47968878","chr12:47963546-47968878")</f>
        <v>chr12:47963546-47968878</v>
      </c>
      <c r="F291" t="s">
        <v>27</v>
      </c>
      <c r="G291">
        <v>-0.333973121923475</v>
      </c>
      <c r="H291">
        <v>6.4694965194093595E-2</v>
      </c>
      <c r="I291">
        <v>-5.1622737707874302</v>
      </c>
      <c r="J291" s="1">
        <v>2.4396813132540002E-7</v>
      </c>
      <c r="K291" s="1">
        <v>1.1822540469952401E-5</v>
      </c>
      <c r="L291" t="s">
        <v>23</v>
      </c>
      <c r="M291" t="s">
        <v>24</v>
      </c>
      <c r="N291">
        <v>1726.4502673023801</v>
      </c>
      <c r="O291">
        <v>1940.93462278124</v>
      </c>
      <c r="P291">
        <v>1511.96591182353</v>
      </c>
      <c r="Q291">
        <v>1880.7923641150001</v>
      </c>
      <c r="R291">
        <v>2001.07688144747</v>
      </c>
      <c r="S291">
        <v>1553.7388102103</v>
      </c>
      <c r="T291">
        <v>1470.1930134367601</v>
      </c>
    </row>
    <row r="292" spans="1:20" x14ac:dyDescent="0.2">
      <c r="A292" t="s">
        <v>594</v>
      </c>
      <c r="B292" s="3" t="str">
        <f>HYPERLINK("http://www.ncbi.nlm.nih.gov/gene/1017","CDK2")</f>
        <v>CDK2</v>
      </c>
      <c r="C292">
        <v>1017</v>
      </c>
      <c r="D292" t="s">
        <v>595</v>
      </c>
      <c r="E292" s="3" t="str">
        <f>HYPERLINK("http://genome.ucsc.edu/cgi-bin/hgTracks?db=hg19&amp;lastVirtModeType=default&amp;lastVirtModeExtraState=&amp;virtModeType=default&amp;virtMode=0&amp;nonVirtPosition=&amp;position=chr12:55966768-55972789","chr12:55966768-55972789")</f>
        <v>chr12:55966768-55972789</v>
      </c>
      <c r="F292" t="s">
        <v>27</v>
      </c>
      <c r="G292">
        <v>-0.38763697437478201</v>
      </c>
      <c r="H292">
        <v>7.5139224923030296E-2</v>
      </c>
      <c r="I292">
        <v>-5.15891632861348</v>
      </c>
      <c r="J292" s="1">
        <v>2.4838327350336301E-7</v>
      </c>
      <c r="K292" s="1">
        <v>1.19941134254406E-5</v>
      </c>
      <c r="L292" t="s">
        <v>23</v>
      </c>
      <c r="M292" t="s">
        <v>24</v>
      </c>
      <c r="N292">
        <v>1004.20350559677</v>
      </c>
      <c r="O292">
        <v>1154.92966668332</v>
      </c>
      <c r="P292">
        <v>853.47734451022495</v>
      </c>
      <c r="Q292">
        <v>1137.83122540096</v>
      </c>
      <c r="R292">
        <v>1172.02810796568</v>
      </c>
      <c r="S292">
        <v>854.309720407697</v>
      </c>
      <c r="T292">
        <v>852.64496861275302</v>
      </c>
    </row>
    <row r="293" spans="1:20" x14ac:dyDescent="0.2">
      <c r="A293" t="s">
        <v>596</v>
      </c>
      <c r="B293" s="3" t="str">
        <f>HYPERLINK("http://www.ncbi.nlm.nih.gov/gene/7503","XIST")</f>
        <v>XIST</v>
      </c>
      <c r="C293">
        <v>7503</v>
      </c>
      <c r="D293" t="s">
        <v>597</v>
      </c>
      <c r="E293" s="3" t="str">
        <f>HYPERLINK("http://genome.ucsc.edu/cgi-bin/hgTracks?db=hg19&amp;lastVirtModeType=default&amp;lastVirtModeExtraState=&amp;virtModeType=default&amp;virtMode=0&amp;nonVirtPosition=&amp;position=chrX:73820650-73852753","chrX:73820650-73852753")</f>
        <v>chrX:73820650-73852753</v>
      </c>
      <c r="F293" t="s">
        <v>22</v>
      </c>
      <c r="G293">
        <v>-0.256697875402641</v>
      </c>
      <c r="H293">
        <v>4.9766138479910099E-2</v>
      </c>
      <c r="I293">
        <v>-5.15808305091356</v>
      </c>
      <c r="J293" s="1">
        <v>2.49490958337891E-7</v>
      </c>
      <c r="K293" s="1">
        <v>1.2005329833844999E-5</v>
      </c>
      <c r="L293" t="s">
        <v>23</v>
      </c>
      <c r="M293" t="s">
        <v>24</v>
      </c>
      <c r="N293">
        <v>5259.6813038258397</v>
      </c>
      <c r="O293">
        <v>5745.6028051799003</v>
      </c>
      <c r="P293">
        <v>4773.7598024717799</v>
      </c>
      <c r="Q293">
        <v>5698.78710472885</v>
      </c>
      <c r="R293">
        <v>5792.4185056309598</v>
      </c>
      <c r="S293">
        <v>4978.8696984961298</v>
      </c>
      <c r="T293">
        <v>4568.6499064474401</v>
      </c>
    </row>
    <row r="294" spans="1:20" x14ac:dyDescent="0.2">
      <c r="A294" t="s">
        <v>598</v>
      </c>
      <c r="B294" s="3" t="str">
        <f>HYPERLINK("http://www.ncbi.nlm.nih.gov/gene/83540","NUF2")</f>
        <v>NUF2</v>
      </c>
      <c r="C294">
        <v>83540</v>
      </c>
      <c r="D294" t="s">
        <v>599</v>
      </c>
      <c r="E294" s="3" t="str">
        <f>HYPERLINK("http://genome.ucsc.edu/cgi-bin/hgTracks?db=hg19&amp;lastVirtModeType=default&amp;lastVirtModeExtraState=&amp;virtModeType=default&amp;virtMode=0&amp;nonVirtPosition=&amp;position=chr1:163321932-163355763","chr1:163321932-163355763")</f>
        <v>chr1:163321932-163355763</v>
      </c>
      <c r="F294" t="s">
        <v>27</v>
      </c>
      <c r="G294">
        <v>-0.53944883128808496</v>
      </c>
      <c r="H294">
        <v>0.105003607220193</v>
      </c>
      <c r="I294">
        <v>-5.1374314232544398</v>
      </c>
      <c r="J294" s="1">
        <v>2.78519052950081E-7</v>
      </c>
      <c r="K294" s="1">
        <v>1.33552807418091E-5</v>
      </c>
      <c r="L294" t="s">
        <v>23</v>
      </c>
      <c r="M294" t="s">
        <v>24</v>
      </c>
      <c r="N294">
        <v>359.07708117188002</v>
      </c>
      <c r="O294">
        <v>449.49673652930397</v>
      </c>
      <c r="P294">
        <v>268.65742581445602</v>
      </c>
      <c r="Q294">
        <v>434.76985154377502</v>
      </c>
      <c r="R294">
        <v>464.22362151483202</v>
      </c>
      <c r="S294">
        <v>246.625207969889</v>
      </c>
      <c r="T294">
        <v>290.68964365902201</v>
      </c>
    </row>
    <row r="295" spans="1:20" x14ac:dyDescent="0.2">
      <c r="A295" t="s">
        <v>600</v>
      </c>
      <c r="B295" s="3" t="str">
        <f>HYPERLINK("http://www.ncbi.nlm.nih.gov/gene/7378","UPP1")</f>
        <v>UPP1</v>
      </c>
      <c r="C295">
        <v>7378</v>
      </c>
      <c r="D295" t="s">
        <v>601</v>
      </c>
      <c r="E295" s="3" t="str">
        <f>HYPERLINK("http://genome.ucsc.edu/cgi-bin/hgTracks?db=hg19&amp;lastVirtModeType=default&amp;lastVirtModeExtraState=&amp;virtModeType=default&amp;virtMode=0&amp;nonVirtPosition=&amp;position=chr7:48088602-48108733","chr7:48088602-48108733")</f>
        <v>chr7:48088602-48108733</v>
      </c>
      <c r="F295" t="s">
        <v>27</v>
      </c>
      <c r="G295">
        <v>0.37214826275309598</v>
      </c>
      <c r="H295">
        <v>7.2544673624432093E-2</v>
      </c>
      <c r="I295">
        <v>5.1299184924275698</v>
      </c>
      <c r="J295" s="1">
        <v>2.8986766209646199E-7</v>
      </c>
      <c r="K295" s="1">
        <v>1.38510282856825E-5</v>
      </c>
      <c r="L295" t="s">
        <v>23</v>
      </c>
      <c r="M295" t="s">
        <v>24</v>
      </c>
      <c r="N295">
        <v>1191.7508554481301</v>
      </c>
      <c r="O295">
        <v>1020.39987606178</v>
      </c>
      <c r="P295">
        <v>1363.1018348344701</v>
      </c>
      <c r="Q295">
        <v>1019.50778479094</v>
      </c>
      <c r="R295">
        <v>1021.29196733263</v>
      </c>
      <c r="S295">
        <v>1408.7231879240101</v>
      </c>
      <c r="T295">
        <v>1317.4804817449201</v>
      </c>
    </row>
    <row r="296" spans="1:20" x14ac:dyDescent="0.2">
      <c r="A296" t="s">
        <v>602</v>
      </c>
      <c r="B296" s="3" t="str">
        <f>HYPERLINK("http://www.ncbi.nlm.nih.gov/gene/22824","HSPA4L")</f>
        <v>HSPA4L</v>
      </c>
      <c r="C296">
        <v>22824</v>
      </c>
      <c r="D296" t="s">
        <v>603</v>
      </c>
      <c r="E296" s="3" t="str">
        <f>HYPERLINK("http://genome.ucsc.edu/cgi-bin/hgTracks?db=hg19&amp;lastVirtModeType=default&amp;lastVirtModeExtraState=&amp;virtModeType=default&amp;virtMode=0&amp;nonVirtPosition=&amp;position=chr4:127781820-127834073","chr4:127781820-127834073")</f>
        <v>chr4:127781820-127834073</v>
      </c>
      <c r="F296" t="s">
        <v>27</v>
      </c>
      <c r="G296">
        <v>-0.46118983870028502</v>
      </c>
      <c r="H296">
        <v>8.9991418142713095E-2</v>
      </c>
      <c r="I296">
        <v>-5.12482021306639</v>
      </c>
      <c r="J296" s="1">
        <v>2.9782179342367598E-7</v>
      </c>
      <c r="K296" s="1">
        <v>1.4160374232670901E-5</v>
      </c>
      <c r="L296" t="s">
        <v>23</v>
      </c>
      <c r="M296" t="s">
        <v>24</v>
      </c>
      <c r="N296">
        <v>589.32606328007705</v>
      </c>
      <c r="O296">
        <v>701.66777069456896</v>
      </c>
      <c r="P296">
        <v>476.98435586558497</v>
      </c>
      <c r="Q296">
        <v>682.423564448457</v>
      </c>
      <c r="R296">
        <v>720.91197694068103</v>
      </c>
      <c r="S296">
        <v>480.42590512534503</v>
      </c>
      <c r="T296">
        <v>473.542806605826</v>
      </c>
    </row>
    <row r="297" spans="1:20" x14ac:dyDescent="0.2">
      <c r="A297" t="s">
        <v>604</v>
      </c>
      <c r="B297" s="3" t="str">
        <f>HYPERLINK("http://www.ncbi.nlm.nih.gov/gene/2531","KDSR")</f>
        <v>KDSR</v>
      </c>
      <c r="C297">
        <v>2531</v>
      </c>
      <c r="D297" t="s">
        <v>605</v>
      </c>
      <c r="E297" s="3" t="str">
        <f>HYPERLINK("http://genome.ucsc.edu/cgi-bin/hgTracks?db=hg19&amp;lastVirtModeType=default&amp;lastVirtModeExtraState=&amp;virtModeType=default&amp;virtMode=0&amp;nonVirtPosition=&amp;position=chr18:63327737-63367273","chr18:63327737-63367273")</f>
        <v>chr18:63327737-63367273</v>
      </c>
      <c r="F297" t="s">
        <v>22</v>
      </c>
      <c r="G297">
        <v>0.28489334130999899</v>
      </c>
      <c r="H297">
        <v>5.55981390307985E-2</v>
      </c>
      <c r="I297">
        <v>5.1241524676245502</v>
      </c>
      <c r="J297" s="1">
        <v>2.9887906467238802E-7</v>
      </c>
      <c r="K297" s="1">
        <v>1.4160374232670901E-5</v>
      </c>
      <c r="L297" t="s">
        <v>23</v>
      </c>
      <c r="M297" t="s">
        <v>24</v>
      </c>
      <c r="N297">
        <v>2939.2016840941101</v>
      </c>
      <c r="O297">
        <v>2630.7811040894198</v>
      </c>
      <c r="P297">
        <v>3247.6222640987999</v>
      </c>
      <c r="Q297">
        <v>2649.8947280800999</v>
      </c>
      <c r="R297">
        <v>2611.6674800987398</v>
      </c>
      <c r="S297">
        <v>3363.9678367092902</v>
      </c>
      <c r="T297">
        <v>3131.27669148831</v>
      </c>
    </row>
    <row r="298" spans="1:20" x14ac:dyDescent="0.2">
      <c r="A298" t="s">
        <v>606</v>
      </c>
      <c r="B298" s="3" t="str">
        <f>HYPERLINK("http://www.ncbi.nlm.nih.gov/gene/2683","B4GALT1")</f>
        <v>B4GALT1</v>
      </c>
      <c r="C298">
        <v>2683</v>
      </c>
      <c r="D298" t="s">
        <v>607</v>
      </c>
      <c r="E298" s="3" t="str">
        <f>HYPERLINK("http://genome.ucsc.edu/cgi-bin/hgTracks?db=hg19&amp;lastVirtModeType=default&amp;lastVirtModeExtraState=&amp;virtModeType=default&amp;virtMode=0&amp;nonVirtPosition=&amp;position=chr9:33110640-33167358","chr9:33110640-33167358")</f>
        <v>chr9:33110640-33167358</v>
      </c>
      <c r="F298" t="s">
        <v>22</v>
      </c>
      <c r="G298">
        <v>-0.20587614612809599</v>
      </c>
      <c r="H298">
        <v>4.0180366135968301E-2</v>
      </c>
      <c r="I298">
        <v>-5.1237996545731299</v>
      </c>
      <c r="J298" s="1">
        <v>2.9943915177735001E-7</v>
      </c>
      <c r="K298" s="1">
        <v>1.4160374232670901E-5</v>
      </c>
      <c r="L298" t="s">
        <v>23</v>
      </c>
      <c r="M298" t="s">
        <v>24</v>
      </c>
      <c r="N298">
        <v>17421.343254547701</v>
      </c>
      <c r="O298">
        <v>18702.009693769502</v>
      </c>
      <c r="P298">
        <v>16140.676815326</v>
      </c>
      <c r="Q298">
        <v>18679.9692228159</v>
      </c>
      <c r="R298">
        <v>18724.050164723001</v>
      </c>
      <c r="S298">
        <v>15818.540839188699</v>
      </c>
      <c r="T298">
        <v>16462.812791463399</v>
      </c>
    </row>
    <row r="299" spans="1:20" x14ac:dyDescent="0.2">
      <c r="A299" t="s">
        <v>608</v>
      </c>
      <c r="B299" s="3" t="str">
        <f>HYPERLINK("http://www.ncbi.nlm.nih.gov/gene/101928583","LOC101928583")</f>
        <v>LOC101928583</v>
      </c>
      <c r="C299">
        <v>101928583</v>
      </c>
      <c r="D299" t="s">
        <v>609</v>
      </c>
      <c r="E299" s="3" t="str">
        <f>HYPERLINK("http://genome.ucsc.edu/cgi-bin/hgTracks?db=hg19&amp;lastVirtModeType=default&amp;lastVirtModeExtraState=&amp;virtModeType=default&amp;virtMode=0&amp;nonVirtPosition=&amp;position=chr3:170467284-170662123","chr3:170467284-170662123")</f>
        <v>chr3:170467284-170662123</v>
      </c>
      <c r="F299" t="s">
        <v>27</v>
      </c>
      <c r="G299">
        <v>-0.55496348772992798</v>
      </c>
      <c r="H299">
        <v>0.10862588287892699</v>
      </c>
      <c r="I299">
        <v>-5.10894340300539</v>
      </c>
      <c r="J299" s="1">
        <v>3.23965369924414E-7</v>
      </c>
      <c r="K299" s="1">
        <v>1.5267563859599401E-5</v>
      </c>
      <c r="L299" t="s">
        <v>23</v>
      </c>
      <c r="M299" t="s">
        <v>24</v>
      </c>
      <c r="N299">
        <v>315.600671545208</v>
      </c>
      <c r="O299">
        <v>401.16827210868701</v>
      </c>
      <c r="P299">
        <v>230.03307098172999</v>
      </c>
      <c r="Q299">
        <v>400.37350252923602</v>
      </c>
      <c r="R299">
        <v>401.96304168813703</v>
      </c>
      <c r="S299">
        <v>204.205672199068</v>
      </c>
      <c r="T299">
        <v>255.86046976439201</v>
      </c>
    </row>
    <row r="300" spans="1:20" x14ac:dyDescent="0.2">
      <c r="A300" t="s">
        <v>608</v>
      </c>
      <c r="B300" s="3" t="str">
        <f>HYPERLINK("http://www.ncbi.nlm.nih.gov/gene/5010","CLDN11")</f>
        <v>CLDN11</v>
      </c>
      <c r="C300">
        <v>5010</v>
      </c>
      <c r="D300" t="s">
        <v>610</v>
      </c>
      <c r="E300" s="3" t="str">
        <f>HYPERLINK("http://genome.ucsc.edu/cgi-bin/hgTracks?db=hg19&amp;lastVirtModeType=default&amp;lastVirtModeExtraState=&amp;virtModeType=default&amp;virtMode=0&amp;nonVirtPosition=&amp;position=chr3:170418864-170434691","chr3:170418864-170434691")</f>
        <v>chr3:170418864-170434691</v>
      </c>
      <c r="F300" t="s">
        <v>27</v>
      </c>
      <c r="G300">
        <v>-0.55496348772992798</v>
      </c>
      <c r="H300">
        <v>0.10862588287892699</v>
      </c>
      <c r="I300">
        <v>-5.10894340300539</v>
      </c>
      <c r="J300" s="1">
        <v>3.23965369924414E-7</v>
      </c>
      <c r="K300" s="1">
        <v>1.5267563859599401E-5</v>
      </c>
      <c r="L300" t="s">
        <v>23</v>
      </c>
      <c r="M300" t="s">
        <v>24</v>
      </c>
      <c r="N300">
        <v>315.600671545208</v>
      </c>
      <c r="O300">
        <v>401.16827210868701</v>
      </c>
      <c r="P300">
        <v>230.03307098172999</v>
      </c>
      <c r="Q300">
        <v>400.37350252923602</v>
      </c>
      <c r="R300">
        <v>401.96304168813703</v>
      </c>
      <c r="S300">
        <v>204.205672199068</v>
      </c>
      <c r="T300">
        <v>255.86046976439201</v>
      </c>
    </row>
    <row r="301" spans="1:20" x14ac:dyDescent="0.2">
      <c r="A301" t="s">
        <v>611</v>
      </c>
      <c r="B301" s="3" t="str">
        <f>HYPERLINK("http://www.ncbi.nlm.nih.gov/gene/23594","ORC6")</f>
        <v>ORC6</v>
      </c>
      <c r="C301">
        <v>23594</v>
      </c>
      <c r="D301" t="s">
        <v>612</v>
      </c>
      <c r="E301" s="3" t="str">
        <f>HYPERLINK("http://genome.ucsc.edu/cgi-bin/hgTracks?db=hg19&amp;lastVirtModeType=default&amp;lastVirtModeExtraState=&amp;virtModeType=default&amp;virtMode=0&amp;nonVirtPosition=&amp;position=chr16:46689645-46698394","chr16:46689645-46698394")</f>
        <v>chr16:46689645-46698394</v>
      </c>
      <c r="F301" t="s">
        <v>27</v>
      </c>
      <c r="G301">
        <v>-0.50825223822335797</v>
      </c>
      <c r="H301">
        <v>9.9622269201082497E-2</v>
      </c>
      <c r="I301">
        <v>-5.10179342730566</v>
      </c>
      <c r="J301" s="1">
        <v>3.3644987430407698E-7</v>
      </c>
      <c r="K301" s="1">
        <v>1.5801621836322299E-5</v>
      </c>
      <c r="L301" t="s">
        <v>23</v>
      </c>
      <c r="M301" t="s">
        <v>24</v>
      </c>
      <c r="N301">
        <v>484.07229387570499</v>
      </c>
      <c r="O301">
        <v>591.69862761294405</v>
      </c>
      <c r="P301">
        <v>376.44596013846598</v>
      </c>
      <c r="Q301">
        <v>595.74476493181805</v>
      </c>
      <c r="R301">
        <v>587.65249029407005</v>
      </c>
      <c r="S301">
        <v>415.31685022129398</v>
      </c>
      <c r="T301">
        <v>337.57507005563798</v>
      </c>
    </row>
    <row r="302" spans="1:20" x14ac:dyDescent="0.2">
      <c r="A302" t="s">
        <v>613</v>
      </c>
      <c r="B302" s="3" t="str">
        <f>HYPERLINK("http://www.ncbi.nlm.nih.gov/gene/57552","NCEH1")</f>
        <v>NCEH1</v>
      </c>
      <c r="C302">
        <v>57552</v>
      </c>
      <c r="D302" t="s">
        <v>614</v>
      </c>
      <c r="E302" s="3" t="str">
        <f>HYPERLINK("http://genome.ucsc.edu/cgi-bin/hgTracks?db=hg19&amp;lastVirtModeType=default&amp;lastVirtModeExtraState=&amp;virtModeType=default&amp;virtMode=0&amp;nonVirtPosition=&amp;position=chr3:172630644-172711218","chr3:172630644-172711218")</f>
        <v>chr3:172630644-172711218</v>
      </c>
      <c r="F302" t="s">
        <v>22</v>
      </c>
      <c r="G302">
        <v>-0.339541693196518</v>
      </c>
      <c r="H302">
        <v>6.6600849374594998E-2</v>
      </c>
      <c r="I302">
        <v>-5.0981586028546504</v>
      </c>
      <c r="J302" s="1">
        <v>3.4297340737770298E-7</v>
      </c>
      <c r="K302" s="1">
        <v>1.6053028357603501E-5</v>
      </c>
      <c r="L302" t="s">
        <v>23</v>
      </c>
      <c r="M302" t="s">
        <v>24</v>
      </c>
      <c r="N302">
        <v>1416.54907791201</v>
      </c>
      <c r="O302">
        <v>1598.40290627626</v>
      </c>
      <c r="P302">
        <v>1234.6952495477601</v>
      </c>
      <c r="Q302">
        <v>1604.24571803811</v>
      </c>
      <c r="R302">
        <v>1592.5600945144099</v>
      </c>
      <c r="S302">
        <v>1224.2475323625299</v>
      </c>
      <c r="T302">
        <v>1245.1429667330001</v>
      </c>
    </row>
    <row r="303" spans="1:20" x14ac:dyDescent="0.2">
      <c r="A303" t="s">
        <v>615</v>
      </c>
      <c r="B303" s="3" t="str">
        <f>HYPERLINK("http://www.ncbi.nlm.nih.gov/gene/80174","DBF4B")</f>
        <v>DBF4B</v>
      </c>
      <c r="C303">
        <v>80174</v>
      </c>
      <c r="D303" t="s">
        <v>616</v>
      </c>
      <c r="E303" s="3" t="str">
        <f>HYPERLINK("http://genome.ucsc.edu/cgi-bin/hgTracks?db=hg19&amp;lastVirtModeType=default&amp;lastVirtModeExtraState=&amp;virtModeType=default&amp;virtMode=0&amp;nonVirtPosition=&amp;position=chr17:44708607-44752268","chr17:44708607-44752268")</f>
        <v>chr17:44708607-44752268</v>
      </c>
      <c r="F303" t="s">
        <v>27</v>
      </c>
      <c r="G303">
        <v>-0.57156354862494796</v>
      </c>
      <c r="H303">
        <v>0.11213328901144801</v>
      </c>
      <c r="I303">
        <v>-5.0971799156501598</v>
      </c>
      <c r="J303" s="1">
        <v>3.4475064643999802E-7</v>
      </c>
      <c r="K303" s="1">
        <v>1.6081327773054901E-5</v>
      </c>
      <c r="L303" t="s">
        <v>23</v>
      </c>
      <c r="M303" t="s">
        <v>24</v>
      </c>
      <c r="N303">
        <v>244.65417242807999</v>
      </c>
      <c r="O303">
        <v>315.392290537414</v>
      </c>
      <c r="P303">
        <v>173.91605431874601</v>
      </c>
      <c r="Q303">
        <v>320.57397281550499</v>
      </c>
      <c r="R303">
        <v>310.21060825932301</v>
      </c>
      <c r="S303">
        <v>188.42165888899601</v>
      </c>
      <c r="T303">
        <v>159.41044974849601</v>
      </c>
    </row>
    <row r="304" spans="1:20" x14ac:dyDescent="0.2">
      <c r="A304" t="s">
        <v>617</v>
      </c>
      <c r="B304" s="3" t="str">
        <f>HYPERLINK("http://www.ncbi.nlm.nih.gov/gene/22801","ITGA11")</f>
        <v>ITGA11</v>
      </c>
      <c r="C304">
        <v>22801</v>
      </c>
      <c r="D304" t="s">
        <v>618</v>
      </c>
      <c r="E304" s="3" t="str">
        <f>HYPERLINK("http://genome.ucsc.edu/cgi-bin/hgTracks?db=hg19&amp;lastVirtModeType=default&amp;lastVirtModeExtraState=&amp;virtModeType=default&amp;virtMode=0&amp;nonVirtPosition=&amp;position=chr15:68301703-68432153","chr15:68301703-68432153")</f>
        <v>chr15:68301703-68432153</v>
      </c>
      <c r="F304" t="s">
        <v>22</v>
      </c>
      <c r="G304">
        <v>0.242068940763628</v>
      </c>
      <c r="H304">
        <v>4.7546821080614199E-2</v>
      </c>
      <c r="I304">
        <v>5.0911698250700601</v>
      </c>
      <c r="J304" s="1">
        <v>3.5586111493997298E-7</v>
      </c>
      <c r="K304" s="1">
        <v>1.6498832551895599E-5</v>
      </c>
      <c r="L304" t="s">
        <v>23</v>
      </c>
      <c r="M304" t="s">
        <v>24</v>
      </c>
      <c r="N304">
        <v>10957.555011934501</v>
      </c>
      <c r="O304">
        <v>10001.9739328987</v>
      </c>
      <c r="P304">
        <v>11913.1360909704</v>
      </c>
      <c r="Q304">
        <v>9813.9663008283096</v>
      </c>
      <c r="R304">
        <v>10189.981564969101</v>
      </c>
      <c r="S304">
        <v>11384.219599890101</v>
      </c>
      <c r="T304">
        <v>12442.052582050699</v>
      </c>
    </row>
    <row r="305" spans="1:20" x14ac:dyDescent="0.2">
      <c r="A305" t="s">
        <v>619</v>
      </c>
      <c r="B305" s="3" t="str">
        <f>HYPERLINK("http://www.ncbi.nlm.nih.gov/gene/140766","ADAMTS14")</f>
        <v>ADAMTS14</v>
      </c>
      <c r="C305">
        <v>140766</v>
      </c>
      <c r="D305" t="s">
        <v>620</v>
      </c>
      <c r="E305" s="3" t="str">
        <f>HYPERLINK("http://genome.ucsc.edu/cgi-bin/hgTracks?db=hg19&amp;lastVirtModeType=default&amp;lastVirtModeExtraState=&amp;virtModeType=default&amp;virtMode=0&amp;nonVirtPosition=&amp;position=chr10:70672505-70762439","chr10:70672505-70762439")</f>
        <v>chr10:70672505-70762439</v>
      </c>
      <c r="F305" t="s">
        <v>27</v>
      </c>
      <c r="G305">
        <v>-0.28488410063636099</v>
      </c>
      <c r="H305">
        <v>5.59579516546155E-2</v>
      </c>
      <c r="I305">
        <v>-5.0910387570068103</v>
      </c>
      <c r="J305" s="1">
        <v>3.5610722147886003E-7</v>
      </c>
      <c r="K305" s="1">
        <v>1.6498832551895599E-5</v>
      </c>
      <c r="L305" t="s">
        <v>23</v>
      </c>
      <c r="M305" t="s">
        <v>24</v>
      </c>
      <c r="N305">
        <v>5694.56745503821</v>
      </c>
      <c r="O305">
        <v>6292.3159278890398</v>
      </c>
      <c r="P305">
        <v>5096.8189821873802</v>
      </c>
      <c r="Q305">
        <v>6743.0602608102599</v>
      </c>
      <c r="R305">
        <v>5841.5715949678197</v>
      </c>
      <c r="S305">
        <v>5136.7098315968597</v>
      </c>
      <c r="T305">
        <v>5056.9281327779099</v>
      </c>
    </row>
    <row r="306" spans="1:20" x14ac:dyDescent="0.2">
      <c r="A306" t="s">
        <v>621</v>
      </c>
      <c r="B306" s="3" t="str">
        <f>HYPERLINK("http://www.ncbi.nlm.nih.gov/gene/26504","CNNM4")</f>
        <v>CNNM4</v>
      </c>
      <c r="C306">
        <v>26504</v>
      </c>
      <c r="D306" t="s">
        <v>622</v>
      </c>
      <c r="E306" s="3" t="str">
        <f>HYPERLINK("http://genome.ucsc.edu/cgi-bin/hgTracks?db=hg19&amp;lastVirtModeType=default&amp;lastVirtModeExtraState=&amp;virtModeType=default&amp;virtMode=0&amp;nonVirtPosition=&amp;position=chr2:96760901-96811891","chr2:96760901-96811891")</f>
        <v>chr2:96760901-96811891</v>
      </c>
      <c r="F306" t="s">
        <v>27</v>
      </c>
      <c r="G306">
        <v>0.34606257429600401</v>
      </c>
      <c r="H306">
        <v>6.80335808186638E-2</v>
      </c>
      <c r="I306">
        <v>5.0866435388488096</v>
      </c>
      <c r="J306" s="1">
        <v>3.6445590861974701E-7</v>
      </c>
      <c r="K306" s="1">
        <v>1.6828782258623599E-5</v>
      </c>
      <c r="L306" t="s">
        <v>23</v>
      </c>
      <c r="M306" t="s">
        <v>24</v>
      </c>
      <c r="N306">
        <v>1909.07651223077</v>
      </c>
      <c r="O306">
        <v>1656.56198856425</v>
      </c>
      <c r="P306">
        <v>2161.5910358972901</v>
      </c>
      <c r="Q306">
        <v>1638.64206705265</v>
      </c>
      <c r="R306">
        <v>1674.48191007585</v>
      </c>
      <c r="S306">
        <v>2306.4389449344098</v>
      </c>
      <c r="T306">
        <v>2016.7431268601699</v>
      </c>
    </row>
    <row r="307" spans="1:20" x14ac:dyDescent="0.2">
      <c r="A307" t="s">
        <v>623</v>
      </c>
      <c r="B307" s="3" t="str">
        <f>HYPERLINK("http://www.ncbi.nlm.nih.gov/gene/387066","SNHG5")</f>
        <v>SNHG5</v>
      </c>
      <c r="C307">
        <v>387066</v>
      </c>
      <c r="D307" t="s">
        <v>624</v>
      </c>
      <c r="E307" s="3" t="str">
        <f>HYPERLINK("http://genome.ucsc.edu/cgi-bin/hgTracks?db=hg19&amp;lastVirtModeType=default&amp;lastVirtModeExtraState=&amp;virtModeType=default&amp;virtMode=0&amp;nonVirtPosition=&amp;position=chr6:85677006-85678733","chr6:85677006-85678733")</f>
        <v>chr6:85677006-85678733</v>
      </c>
      <c r="F307" t="s">
        <v>22</v>
      </c>
      <c r="G307">
        <v>0.40971656955156799</v>
      </c>
      <c r="H307">
        <v>8.0583069079564099E-2</v>
      </c>
      <c r="I307">
        <v>5.0844001628559496</v>
      </c>
      <c r="J307" s="1">
        <v>3.6878968819375899E-7</v>
      </c>
      <c r="K307" s="1">
        <v>1.69717509526484E-5</v>
      </c>
      <c r="L307" t="s">
        <v>23</v>
      </c>
      <c r="M307" t="s">
        <v>24</v>
      </c>
      <c r="N307">
        <v>857.69154814605599</v>
      </c>
      <c r="O307">
        <v>718.54550425110403</v>
      </c>
      <c r="P307">
        <v>996.83759204100602</v>
      </c>
      <c r="Q307">
        <v>740.20943079288304</v>
      </c>
      <c r="R307">
        <v>696.88157770932503</v>
      </c>
      <c r="S307">
        <v>1015.10935600406</v>
      </c>
      <c r="T307">
        <v>978.56582807795098</v>
      </c>
    </row>
    <row r="308" spans="1:20" x14ac:dyDescent="0.2">
      <c r="A308" t="s">
        <v>625</v>
      </c>
      <c r="B308" s="3" t="str">
        <f>HYPERLINK("http://www.ncbi.nlm.nih.gov/gene/3092","HIP1")</f>
        <v>HIP1</v>
      </c>
      <c r="C308">
        <v>3092</v>
      </c>
      <c r="D308" t="s">
        <v>626</v>
      </c>
      <c r="E308" s="3" t="str">
        <f>HYPERLINK("http://genome.ucsc.edu/cgi-bin/hgTracks?db=hg19&amp;lastVirtModeType=default&amp;lastVirtModeExtraState=&amp;virtModeType=default&amp;virtMode=0&amp;nonVirtPosition=&amp;position=chr7:75533297-75738972","chr7:75533297-75738972")</f>
        <v>chr7:75533297-75738972</v>
      </c>
      <c r="F308" t="s">
        <v>22</v>
      </c>
      <c r="G308">
        <v>-0.23505475950256399</v>
      </c>
      <c r="H308">
        <v>4.6302693101921401E-2</v>
      </c>
      <c r="I308">
        <v>-5.0764813827386197</v>
      </c>
      <c r="J308" s="1">
        <v>3.8448845207275401E-7</v>
      </c>
      <c r="K308" s="1">
        <v>1.7635032213129601E-5</v>
      </c>
      <c r="L308" t="s">
        <v>23</v>
      </c>
      <c r="M308" t="s">
        <v>24</v>
      </c>
      <c r="N308">
        <v>5895.3308155389796</v>
      </c>
      <c r="O308">
        <v>6396.0066605179099</v>
      </c>
      <c r="P308">
        <v>5394.6549705600501</v>
      </c>
      <c r="Q308">
        <v>6328.9282186751998</v>
      </c>
      <c r="R308">
        <v>6463.0851023606201</v>
      </c>
      <c r="S308">
        <v>5233.3869131210504</v>
      </c>
      <c r="T308">
        <v>5555.9230279990497</v>
      </c>
    </row>
    <row r="309" spans="1:20" x14ac:dyDescent="0.2">
      <c r="A309" t="s">
        <v>627</v>
      </c>
      <c r="B309" s="3" t="str">
        <f>HYPERLINK("http://www.ncbi.nlm.nih.gov/gene/57132","CHMP1B")</f>
        <v>CHMP1B</v>
      </c>
      <c r="C309">
        <v>57132</v>
      </c>
      <c r="D309" t="s">
        <v>628</v>
      </c>
      <c r="E309" s="3" t="str">
        <f>HYPERLINK("http://genome.ucsc.edu/cgi-bin/hgTracks?db=hg19&amp;lastVirtModeType=default&amp;lastVirtModeExtraState=&amp;virtModeType=default&amp;virtMode=0&amp;nonVirtPosition=&amp;position=chr18:11851389-11854449","chr18:11851389-11854449")</f>
        <v>chr18:11851389-11854449</v>
      </c>
      <c r="F309" t="s">
        <v>27</v>
      </c>
      <c r="G309">
        <v>0.230817518250614</v>
      </c>
      <c r="H309">
        <v>4.5492577288288899E-2</v>
      </c>
      <c r="I309">
        <v>5.0737402013500201</v>
      </c>
      <c r="J309" s="1">
        <v>3.9007153529032299E-7</v>
      </c>
      <c r="K309" s="1">
        <v>1.77929255881811E-5</v>
      </c>
      <c r="L309" t="s">
        <v>23</v>
      </c>
      <c r="M309" t="s">
        <v>24</v>
      </c>
      <c r="N309">
        <v>6139.8520410317697</v>
      </c>
      <c r="O309">
        <v>5629.2528463468798</v>
      </c>
      <c r="P309">
        <v>6650.4512357166604</v>
      </c>
      <c r="Q309">
        <v>5693.2836888865204</v>
      </c>
      <c r="R309">
        <v>5565.2220038072301</v>
      </c>
      <c r="S309">
        <v>6820.6667516152602</v>
      </c>
      <c r="T309">
        <v>6480.2357198180598</v>
      </c>
    </row>
    <row r="310" spans="1:20" x14ac:dyDescent="0.2">
      <c r="A310" t="s">
        <v>629</v>
      </c>
      <c r="B310" s="3" t="str">
        <f>HYPERLINK("http://www.ncbi.nlm.nih.gov/gene/445","ASS1")</f>
        <v>ASS1</v>
      </c>
      <c r="C310">
        <v>445</v>
      </c>
      <c r="D310" t="s">
        <v>630</v>
      </c>
      <c r="E310" s="3" t="str">
        <f>HYPERLINK("http://genome.ucsc.edu/cgi-bin/hgTracks?db=hg19&amp;lastVirtModeType=default&amp;lastVirtModeExtraState=&amp;virtModeType=default&amp;virtMode=0&amp;nonVirtPosition=&amp;position=chr9:130444706-130501274","chr9:130444706-130501274")</f>
        <v>chr9:130444706-130501274</v>
      </c>
      <c r="F310" t="s">
        <v>27</v>
      </c>
      <c r="G310">
        <v>-0.34750706765906098</v>
      </c>
      <c r="H310">
        <v>6.8494289353871904E-2</v>
      </c>
      <c r="I310">
        <v>-5.0735188427707598</v>
      </c>
      <c r="J310" s="1">
        <v>3.90525784019433E-7</v>
      </c>
      <c r="K310" s="1">
        <v>1.77929255881811E-5</v>
      </c>
      <c r="L310" t="s">
        <v>23</v>
      </c>
      <c r="M310" t="s">
        <v>24</v>
      </c>
      <c r="N310">
        <v>1404.16040943895</v>
      </c>
      <c r="O310">
        <v>1589.1292473672299</v>
      </c>
      <c r="P310">
        <v>1219.19157151067</v>
      </c>
      <c r="Q310">
        <v>1535.4530200090301</v>
      </c>
      <c r="R310">
        <v>1642.80547472543</v>
      </c>
      <c r="S310">
        <v>1198.5985107336601</v>
      </c>
      <c r="T310">
        <v>1239.7846322876701</v>
      </c>
    </row>
    <row r="311" spans="1:20" x14ac:dyDescent="0.2">
      <c r="A311" t="s">
        <v>631</v>
      </c>
      <c r="B311" s="3" t="str">
        <f>HYPERLINK("http://www.ncbi.nlm.nih.gov/gene/10082","GPC6")</f>
        <v>GPC6</v>
      </c>
      <c r="C311">
        <v>10082</v>
      </c>
      <c r="D311" t="s">
        <v>632</v>
      </c>
      <c r="E311" s="3" t="str">
        <f>HYPERLINK("http://genome.ucsc.edu/cgi-bin/hgTracks?db=hg19&amp;lastVirtModeType=default&amp;lastVirtModeExtraState=&amp;virtModeType=default&amp;virtMode=0&amp;nonVirtPosition=&amp;position=chr13:93226824-94408019","chr13:93226824-94408019")</f>
        <v>chr13:93226824-94408019</v>
      </c>
      <c r="F311" t="s">
        <v>27</v>
      </c>
      <c r="G311">
        <v>0.42218583083369199</v>
      </c>
      <c r="H311">
        <v>8.3243448713431506E-2</v>
      </c>
      <c r="I311">
        <v>5.0717003843399402</v>
      </c>
      <c r="J311" s="1">
        <v>3.9427680323264999E-7</v>
      </c>
      <c r="K311" s="1">
        <v>1.7904344634213799E-5</v>
      </c>
      <c r="L311" t="s">
        <v>23</v>
      </c>
      <c r="M311" t="s">
        <v>24</v>
      </c>
      <c r="N311">
        <v>776.83199948702304</v>
      </c>
      <c r="O311">
        <v>645.83505169809803</v>
      </c>
      <c r="P311">
        <v>907.82894727594896</v>
      </c>
      <c r="Q311">
        <v>649.40306939449897</v>
      </c>
      <c r="R311">
        <v>642.26703400169799</v>
      </c>
      <c r="S311">
        <v>879.95874203656604</v>
      </c>
      <c r="T311">
        <v>935.69915251533098</v>
      </c>
    </row>
    <row r="312" spans="1:20" x14ac:dyDescent="0.2">
      <c r="A312" t="s">
        <v>633</v>
      </c>
      <c r="B312" s="3" t="str">
        <f>HYPERLINK("http://www.ncbi.nlm.nih.gov/gene/9874","TLK1")</f>
        <v>TLK1</v>
      </c>
      <c r="C312">
        <v>9874</v>
      </c>
      <c r="D312" t="s">
        <v>634</v>
      </c>
      <c r="E312" s="3" t="str">
        <f>HYPERLINK("http://genome.ucsc.edu/cgi-bin/hgTracks?db=hg19&amp;lastVirtModeType=default&amp;lastVirtModeExtraState=&amp;virtModeType=default&amp;virtMode=0&amp;nonVirtPosition=&amp;position=chr2:170990822-171160900","chr2:170990822-171160900")</f>
        <v>chr2:170990822-171160900</v>
      </c>
      <c r="F312" t="s">
        <v>22</v>
      </c>
      <c r="G312">
        <v>0.24266160143472801</v>
      </c>
      <c r="H312">
        <v>4.7911162516287097E-2</v>
      </c>
      <c r="I312">
        <v>5.0648239092974698</v>
      </c>
      <c r="J312" s="1">
        <v>4.0877803249409199E-7</v>
      </c>
      <c r="K312" s="1">
        <v>1.8501590553214401E-5</v>
      </c>
      <c r="L312" t="s">
        <v>23</v>
      </c>
      <c r="M312" t="s">
        <v>24</v>
      </c>
      <c r="N312">
        <v>4014.4943809579099</v>
      </c>
      <c r="O312">
        <v>3663.31698057432</v>
      </c>
      <c r="P312">
        <v>4365.6717813415098</v>
      </c>
      <c r="Q312">
        <v>3665.2749509892901</v>
      </c>
      <c r="R312">
        <v>3661.35901015934</v>
      </c>
      <c r="S312">
        <v>4326.7926486237402</v>
      </c>
      <c r="T312">
        <v>4404.5509140592803</v>
      </c>
    </row>
    <row r="313" spans="1:20" x14ac:dyDescent="0.2">
      <c r="A313" t="s">
        <v>635</v>
      </c>
      <c r="B313" s="3" t="str">
        <f>HYPERLINK("http://www.ncbi.nlm.nih.gov/gene/57523","NYNRIN")</f>
        <v>NYNRIN</v>
      </c>
      <c r="C313">
        <v>57523</v>
      </c>
      <c r="D313" t="s">
        <v>636</v>
      </c>
      <c r="E313" s="3" t="str">
        <f>HYPERLINK("http://genome.ucsc.edu/cgi-bin/hgTracks?db=hg19&amp;lastVirtModeType=default&amp;lastVirtModeExtraState=&amp;virtModeType=default&amp;virtMode=0&amp;nonVirtPosition=&amp;position=chr14:24398785-24419288","chr14:24398785-24419288")</f>
        <v>chr14:24398785-24419288</v>
      </c>
      <c r="F313" t="s">
        <v>27</v>
      </c>
      <c r="G313">
        <v>-0.48305314445148401</v>
      </c>
      <c r="H313">
        <v>9.5399616254413899E-2</v>
      </c>
      <c r="I313">
        <v>-5.0634705192447198</v>
      </c>
      <c r="J313" s="1">
        <v>4.1169207174461798E-7</v>
      </c>
      <c r="K313" s="1">
        <v>1.8572187736531901E-5</v>
      </c>
      <c r="L313" t="s">
        <v>23</v>
      </c>
      <c r="M313" t="s">
        <v>24</v>
      </c>
      <c r="N313">
        <v>490.29452333843898</v>
      </c>
      <c r="O313">
        <v>592.04513290671798</v>
      </c>
      <c r="P313">
        <v>388.54391377015997</v>
      </c>
      <c r="Q313">
        <v>615.00672037996003</v>
      </c>
      <c r="R313">
        <v>569.08354543347696</v>
      </c>
      <c r="S313">
        <v>392.62733108806401</v>
      </c>
      <c r="T313">
        <v>384.46049645225497</v>
      </c>
    </row>
    <row r="314" spans="1:20" x14ac:dyDescent="0.2">
      <c r="A314" t="s">
        <v>637</v>
      </c>
      <c r="B314" s="3" t="str">
        <f>HYPERLINK("http://www.ncbi.nlm.nih.gov/gene/3835","KIF22")</f>
        <v>KIF22</v>
      </c>
      <c r="C314">
        <v>3835</v>
      </c>
      <c r="D314" t="s">
        <v>638</v>
      </c>
      <c r="E314" s="3" t="str">
        <f>HYPERLINK("http://genome.ucsc.edu/cgi-bin/hgTracks?db=hg19&amp;lastVirtModeType=default&amp;lastVirtModeExtraState=&amp;virtModeType=default&amp;virtMode=0&amp;nonVirtPosition=&amp;position=chr16:29790967-29805385","chr16:29790967-29805385")</f>
        <v>chr16:29790967-29805385</v>
      </c>
      <c r="F314" t="s">
        <v>27</v>
      </c>
      <c r="G314">
        <v>-0.405332609979902</v>
      </c>
      <c r="H314">
        <v>8.0141497295034406E-2</v>
      </c>
      <c r="I314">
        <v>-5.0577119677175801</v>
      </c>
      <c r="J314" s="1">
        <v>4.2431667202262603E-7</v>
      </c>
      <c r="K314" s="1">
        <v>1.9078947016781301E-5</v>
      </c>
      <c r="L314" t="s">
        <v>23</v>
      </c>
      <c r="M314" t="s">
        <v>24</v>
      </c>
      <c r="N314">
        <v>903.88057570997796</v>
      </c>
      <c r="O314">
        <v>1048.2901712169801</v>
      </c>
      <c r="P314">
        <v>759.47098020297403</v>
      </c>
      <c r="Q314">
        <v>993.366559539891</v>
      </c>
      <c r="R314">
        <v>1103.2137828940699</v>
      </c>
      <c r="S314">
        <v>752.70013472410301</v>
      </c>
      <c r="T314">
        <v>766.24182568184597</v>
      </c>
    </row>
    <row r="315" spans="1:20" x14ac:dyDescent="0.2">
      <c r="A315" t="s">
        <v>639</v>
      </c>
      <c r="B315" s="3" t="str">
        <f>HYPERLINK("http://www.ncbi.nlm.nih.gov/gene/375033","PEAR1")</f>
        <v>PEAR1</v>
      </c>
      <c r="C315">
        <v>375033</v>
      </c>
      <c r="D315" t="s">
        <v>640</v>
      </c>
      <c r="E315" s="3" t="str">
        <f>HYPERLINK("http://genome.ucsc.edu/cgi-bin/hgTracks?db=hg19&amp;lastVirtModeType=default&amp;lastVirtModeExtraState=&amp;virtModeType=default&amp;virtMode=0&amp;nonVirtPosition=&amp;position=chr1:156893730-156916434","chr1:156893730-156916434")</f>
        <v>chr1:156893730-156916434</v>
      </c>
      <c r="F315" t="s">
        <v>27</v>
      </c>
      <c r="G315">
        <v>-0.42885893107453799</v>
      </c>
      <c r="H315">
        <v>8.4947086606557198E-2</v>
      </c>
      <c r="I315">
        <v>-5.0485419595477197</v>
      </c>
      <c r="J315" s="1">
        <v>4.4519469943018001E-7</v>
      </c>
      <c r="K315" s="1">
        <v>1.9952287934593101E-5</v>
      </c>
      <c r="L315" t="s">
        <v>23</v>
      </c>
      <c r="M315" t="s">
        <v>24</v>
      </c>
      <c r="N315">
        <v>713.68916622295501</v>
      </c>
      <c r="O315">
        <v>836.706828888872</v>
      </c>
      <c r="P315">
        <v>590.67150355703598</v>
      </c>
      <c r="Q315">
        <v>826.88823030952096</v>
      </c>
      <c r="R315">
        <v>846.52542746822405</v>
      </c>
      <c r="S315">
        <v>608.67101326968702</v>
      </c>
      <c r="T315">
        <v>572.67199384438595</v>
      </c>
    </row>
    <row r="316" spans="1:20" x14ac:dyDescent="0.2">
      <c r="A316" t="s">
        <v>641</v>
      </c>
      <c r="B316" s="3" t="str">
        <f>HYPERLINK("http://www.ncbi.nlm.nih.gov/gene/11169","WDHD1")</f>
        <v>WDHD1</v>
      </c>
      <c r="C316">
        <v>11169</v>
      </c>
      <c r="D316" t="s">
        <v>642</v>
      </c>
      <c r="E316" s="3" t="str">
        <f>HYPERLINK("http://genome.ucsc.edu/cgi-bin/hgTracks?db=hg19&amp;lastVirtModeType=default&amp;lastVirtModeExtraState=&amp;virtModeType=default&amp;virtMode=0&amp;nonVirtPosition=&amp;position=chr14:54938937-55027101","chr14:54938937-55027101")</f>
        <v>chr14:54938937-55027101</v>
      </c>
      <c r="F316" t="s">
        <v>22</v>
      </c>
      <c r="G316">
        <v>-0.39170327731153398</v>
      </c>
      <c r="H316">
        <v>7.7801464397464007E-2</v>
      </c>
      <c r="I316">
        <v>-5.0346517298240103</v>
      </c>
      <c r="J316" s="1">
        <v>4.7871837140245003E-7</v>
      </c>
      <c r="K316" s="1">
        <v>2.1384833046948501E-5</v>
      </c>
      <c r="L316" t="s">
        <v>23</v>
      </c>
      <c r="M316" t="s">
        <v>24</v>
      </c>
      <c r="N316">
        <v>908.86409970086095</v>
      </c>
      <c r="O316">
        <v>1048.5997986464499</v>
      </c>
      <c r="P316">
        <v>769.12840075527197</v>
      </c>
      <c r="Q316">
        <v>1038.76974023908</v>
      </c>
      <c r="R316">
        <v>1058.4298570538199</v>
      </c>
      <c r="S316">
        <v>758.61913971538002</v>
      </c>
      <c r="T316">
        <v>779.63766179516404</v>
      </c>
    </row>
    <row r="317" spans="1:20" x14ac:dyDescent="0.2">
      <c r="A317" t="s">
        <v>643</v>
      </c>
      <c r="B317" s="3" t="str">
        <f>HYPERLINK("http://www.ncbi.nlm.nih.gov/gene/90865","IL33")</f>
        <v>IL33</v>
      </c>
      <c r="C317">
        <v>90865</v>
      </c>
      <c r="D317" t="s">
        <v>644</v>
      </c>
      <c r="E317" s="3" t="str">
        <f>HYPERLINK("http://genome.ucsc.edu/cgi-bin/hgTracks?db=hg19&amp;lastVirtModeType=default&amp;lastVirtModeExtraState=&amp;virtModeType=default&amp;virtMode=0&amp;nonVirtPosition=&amp;position=chr9:6237080-6257983","chr9:6237080-6257983")</f>
        <v>chr9:6237080-6257983</v>
      </c>
      <c r="F317" t="s">
        <v>27</v>
      </c>
      <c r="G317">
        <v>-0.55000259683892405</v>
      </c>
      <c r="H317">
        <v>0.109269357072592</v>
      </c>
      <c r="I317">
        <v>-5.0334568773342099</v>
      </c>
      <c r="J317" s="1">
        <v>4.8171321505055395E-7</v>
      </c>
      <c r="K317" s="1">
        <v>2.14487501013094E-5</v>
      </c>
      <c r="L317" t="s">
        <v>23</v>
      </c>
      <c r="M317" t="s">
        <v>24</v>
      </c>
      <c r="N317">
        <v>322.66377851365797</v>
      </c>
      <c r="O317">
        <v>410.25818800293899</v>
      </c>
      <c r="P317">
        <v>235.06936902437701</v>
      </c>
      <c r="Q317">
        <v>456.78351491308001</v>
      </c>
      <c r="R317">
        <v>363.73286109279798</v>
      </c>
      <c r="S317">
        <v>220.97618634102099</v>
      </c>
      <c r="T317">
        <v>249.162551707733</v>
      </c>
    </row>
    <row r="318" spans="1:20" x14ac:dyDescent="0.2">
      <c r="A318" t="s">
        <v>645</v>
      </c>
      <c r="B318" s="3" t="str">
        <f>HYPERLINK("http://www.ncbi.nlm.nih.gov/gene/8836","GGH")</f>
        <v>GGH</v>
      </c>
      <c r="C318">
        <v>8836</v>
      </c>
      <c r="D318" t="s">
        <v>646</v>
      </c>
      <c r="E318" s="3" t="str">
        <f>HYPERLINK("http://genome.ucsc.edu/cgi-bin/hgTracks?db=hg19&amp;lastVirtModeType=default&amp;lastVirtModeExtraState=&amp;virtModeType=default&amp;virtMode=0&amp;nonVirtPosition=&amp;position=chr8:63015079-63039051","chr8:63015079-63039051")</f>
        <v>chr8:63015079-63039051</v>
      </c>
      <c r="F318" t="s">
        <v>22</v>
      </c>
      <c r="G318">
        <v>-0.37460705898192898</v>
      </c>
      <c r="H318">
        <v>7.4450552872944303E-2</v>
      </c>
      <c r="I318">
        <v>-5.0316222583494499</v>
      </c>
      <c r="J318" s="1">
        <v>4.8634680617455101E-7</v>
      </c>
      <c r="K318" s="1">
        <v>2.1584984141999301E-5</v>
      </c>
      <c r="L318" t="s">
        <v>23</v>
      </c>
      <c r="M318" t="s">
        <v>24</v>
      </c>
      <c r="N318">
        <v>1043.7613546872201</v>
      </c>
      <c r="O318">
        <v>1195.6960179279899</v>
      </c>
      <c r="P318">
        <v>891.82669144644296</v>
      </c>
      <c r="Q318">
        <v>1194.2412377848</v>
      </c>
      <c r="R318">
        <v>1197.1507980711899</v>
      </c>
      <c r="S318">
        <v>872.06673538152904</v>
      </c>
      <c r="T318">
        <v>911.58664751135598</v>
      </c>
    </row>
    <row r="319" spans="1:20" x14ac:dyDescent="0.2">
      <c r="A319" t="s">
        <v>647</v>
      </c>
      <c r="B319" s="3" t="str">
        <f>HYPERLINK("http://www.ncbi.nlm.nih.gov/gene/1033","CDKN3")</f>
        <v>CDKN3</v>
      </c>
      <c r="C319">
        <v>1033</v>
      </c>
      <c r="D319" t="s">
        <v>648</v>
      </c>
      <c r="E319" s="3" t="str">
        <f>HYPERLINK("http://genome.ucsc.edu/cgi-bin/hgTracks?db=hg19&amp;lastVirtModeType=default&amp;lastVirtModeExtraState=&amp;virtModeType=default&amp;virtMode=0&amp;nonVirtPosition=&amp;position=chr14:54396867-54420216","chr14:54396867-54420216")</f>
        <v>chr14:54396867-54420216</v>
      </c>
      <c r="F319" t="s">
        <v>27</v>
      </c>
      <c r="G319">
        <v>-0.57604130338994897</v>
      </c>
      <c r="H319">
        <v>0.114558973272041</v>
      </c>
      <c r="I319">
        <v>-5.0283385660417599</v>
      </c>
      <c r="J319" s="1">
        <v>4.9474777589686303E-7</v>
      </c>
      <c r="K319" s="1">
        <v>2.1887003221450198E-5</v>
      </c>
      <c r="L319" t="s">
        <v>23</v>
      </c>
      <c r="M319" t="s">
        <v>24</v>
      </c>
      <c r="N319">
        <v>206.12080166031001</v>
      </c>
      <c r="O319">
        <v>269.14350418619301</v>
      </c>
      <c r="P319">
        <v>143.098099134428</v>
      </c>
      <c r="Q319">
        <v>258.66054458933399</v>
      </c>
      <c r="R319">
        <v>279.62646378305197</v>
      </c>
      <c r="S319">
        <v>152.90762894133101</v>
      </c>
      <c r="T319">
        <v>133.28856932752399</v>
      </c>
    </row>
    <row r="320" spans="1:20" x14ac:dyDescent="0.2">
      <c r="A320" t="s">
        <v>649</v>
      </c>
      <c r="B320" s="3" t="str">
        <f>HYPERLINK("http://www.ncbi.nlm.nih.gov/gene/27350","APOBEC3C")</f>
        <v>APOBEC3C</v>
      </c>
      <c r="C320">
        <v>27350</v>
      </c>
      <c r="D320" t="s">
        <v>650</v>
      </c>
      <c r="E320" s="3" t="str">
        <f>HYPERLINK("http://genome.ucsc.edu/cgi-bin/hgTracks?db=hg19&amp;lastVirtModeType=default&amp;lastVirtModeExtraState=&amp;virtModeType=default&amp;virtMode=0&amp;nonVirtPosition=&amp;position=chr22:39014259-39018820","chr22:39014259-39018820")</f>
        <v>chr22:39014259-39018820</v>
      </c>
      <c r="F320" t="s">
        <v>27</v>
      </c>
      <c r="G320">
        <v>-0.27932434112048998</v>
      </c>
      <c r="H320">
        <v>5.56138669806533E-2</v>
      </c>
      <c r="I320">
        <v>-5.0225664260616796</v>
      </c>
      <c r="J320" s="1">
        <v>5.0985554881291095E-7</v>
      </c>
      <c r="K320" s="1">
        <v>2.2482826355049098E-5</v>
      </c>
      <c r="L320" t="s">
        <v>23</v>
      </c>
      <c r="M320" t="s">
        <v>24</v>
      </c>
      <c r="N320">
        <v>2590.3749828856298</v>
      </c>
      <c r="O320">
        <v>2856.44342697408</v>
      </c>
      <c r="P320">
        <v>2324.3065387971901</v>
      </c>
      <c r="Q320">
        <v>2820.5006191922098</v>
      </c>
      <c r="R320">
        <v>2892.3862347559402</v>
      </c>
      <c r="S320">
        <v>2274.8709183142601</v>
      </c>
      <c r="T320">
        <v>2373.7421592801202</v>
      </c>
    </row>
    <row r="321" spans="1:20" x14ac:dyDescent="0.2">
      <c r="A321" t="s">
        <v>651</v>
      </c>
      <c r="B321" s="3" t="str">
        <f>HYPERLINK("http://www.ncbi.nlm.nih.gov/gene/91663","MYADM")</f>
        <v>MYADM</v>
      </c>
      <c r="C321">
        <v>91663</v>
      </c>
      <c r="D321" t="s">
        <v>652</v>
      </c>
      <c r="E321" s="3" t="str">
        <f>HYPERLINK("http://genome.ucsc.edu/cgi-bin/hgTracks?db=hg19&amp;lastVirtModeType=default&amp;lastVirtModeExtraState=&amp;virtModeType=default&amp;virtMode=0&amp;nonVirtPosition=&amp;position=chr19:53866157-53876435","chr19:53866157-53876435")</f>
        <v>chr19:53866157-53876435</v>
      </c>
      <c r="F321" t="s">
        <v>27</v>
      </c>
      <c r="G321">
        <v>0.20227588822671499</v>
      </c>
      <c r="H321">
        <v>4.0422882910479199E-2</v>
      </c>
      <c r="I321">
        <v>5.0039946105446402</v>
      </c>
      <c r="J321" s="1">
        <v>5.6154327546056104E-7</v>
      </c>
      <c r="K321" s="1">
        <v>2.4682706665596599E-5</v>
      </c>
      <c r="L321" t="s">
        <v>23</v>
      </c>
      <c r="M321" t="s">
        <v>24</v>
      </c>
      <c r="N321">
        <v>8729.0125358381392</v>
      </c>
      <c r="O321">
        <v>8098.53895595421</v>
      </c>
      <c r="P321">
        <v>9359.4861157220803</v>
      </c>
      <c r="Q321">
        <v>8063.8800629685602</v>
      </c>
      <c r="R321">
        <v>8133.1978489398598</v>
      </c>
      <c r="S321">
        <v>9393.4609211571496</v>
      </c>
      <c r="T321">
        <v>9325.5113102870091</v>
      </c>
    </row>
    <row r="322" spans="1:20" x14ac:dyDescent="0.2">
      <c r="A322" t="s">
        <v>653</v>
      </c>
      <c r="B322" s="3" t="str">
        <f>HYPERLINK("http://www.ncbi.nlm.nih.gov/gene/857","CAV1")</f>
        <v>CAV1</v>
      </c>
      <c r="C322">
        <v>857</v>
      </c>
      <c r="D322" t="s">
        <v>654</v>
      </c>
      <c r="E322" s="3" t="str">
        <f>HYPERLINK("http://genome.ucsc.edu/cgi-bin/hgTracks?db=hg19&amp;lastVirtModeType=default&amp;lastVirtModeExtraState=&amp;virtModeType=default&amp;virtMode=0&amp;nonVirtPosition=&amp;position=chr7:116526292-116561185","chr7:116526292-116561185")</f>
        <v>chr7:116526292-116561185</v>
      </c>
      <c r="F322" t="s">
        <v>27</v>
      </c>
      <c r="G322">
        <v>-0.25691698695163701</v>
      </c>
      <c r="H322">
        <v>5.14751129118644E-2</v>
      </c>
      <c r="I322">
        <v>-4.9910912753417298</v>
      </c>
      <c r="J322" s="1">
        <v>6.0039115954278804E-7</v>
      </c>
      <c r="K322" s="1">
        <v>2.6305956428018499E-5</v>
      </c>
      <c r="L322" t="s">
        <v>23</v>
      </c>
      <c r="M322" t="s">
        <v>24</v>
      </c>
      <c r="N322">
        <v>16202.009627773199</v>
      </c>
      <c r="O322">
        <v>17717.337560831002</v>
      </c>
      <c r="P322">
        <v>14686.6816947154</v>
      </c>
      <c r="Q322">
        <v>17111.4957077529</v>
      </c>
      <c r="R322">
        <v>18323.179413909002</v>
      </c>
      <c r="S322">
        <v>13897.8237195192</v>
      </c>
      <c r="T322">
        <v>15475.539669911699</v>
      </c>
    </row>
    <row r="323" spans="1:20" x14ac:dyDescent="0.2">
      <c r="A323" t="s">
        <v>655</v>
      </c>
      <c r="B323" s="3" t="str">
        <f>HYPERLINK("http://www.ncbi.nlm.nih.gov/gene/113130","CDCA5")</f>
        <v>CDCA5</v>
      </c>
      <c r="C323">
        <v>113130</v>
      </c>
      <c r="D323" t="s">
        <v>656</v>
      </c>
      <c r="E323" s="3" t="str">
        <f>HYPERLINK("http://genome.ucsc.edu/cgi-bin/hgTracks?db=hg19&amp;lastVirtModeType=default&amp;lastVirtModeExtraState=&amp;virtModeType=default&amp;virtMode=0&amp;nonVirtPosition=&amp;position=chr11:65077454-65084143","chr11:65077454-65084143")</f>
        <v>chr11:65077454-65084143</v>
      </c>
      <c r="F323" t="s">
        <v>22</v>
      </c>
      <c r="G323">
        <v>-0.44742148552194699</v>
      </c>
      <c r="H323">
        <v>8.9741041162602495E-2</v>
      </c>
      <c r="I323">
        <v>-4.9856952819531104</v>
      </c>
      <c r="J323" s="1">
        <v>6.1739384233793302E-7</v>
      </c>
      <c r="K323" s="1">
        <v>2.69647743752306E-5</v>
      </c>
      <c r="L323" t="s">
        <v>23</v>
      </c>
      <c r="M323" t="s">
        <v>24</v>
      </c>
      <c r="N323">
        <v>697.45703722950896</v>
      </c>
      <c r="O323">
        <v>825.88882382625604</v>
      </c>
      <c r="P323">
        <v>569.02525063276198</v>
      </c>
      <c r="Q323">
        <v>854.40530952115296</v>
      </c>
      <c r="R323">
        <v>797.37233813135902</v>
      </c>
      <c r="S323">
        <v>613.60351742908495</v>
      </c>
      <c r="T323">
        <v>524.44698383643799</v>
      </c>
    </row>
    <row r="324" spans="1:20" x14ac:dyDescent="0.2">
      <c r="A324" t="s">
        <v>657</v>
      </c>
      <c r="B324" s="3" t="str">
        <f>HYPERLINK("http://www.ncbi.nlm.nih.gov/gene/3187","HNRNPH1")</f>
        <v>HNRNPH1</v>
      </c>
      <c r="C324">
        <v>3187</v>
      </c>
      <c r="D324" t="s">
        <v>658</v>
      </c>
      <c r="E324" s="3" t="str">
        <f>HYPERLINK("http://genome.ucsc.edu/cgi-bin/hgTracks?db=hg19&amp;lastVirtModeType=default&amp;lastVirtModeExtraState=&amp;virtModeType=default&amp;virtMode=0&amp;nonVirtPosition=&amp;position=chr5:179614177-179623721","chr5:179614177-179623721")</f>
        <v>chr5:179614177-179623721</v>
      </c>
      <c r="F324" t="s">
        <v>22</v>
      </c>
      <c r="G324">
        <v>-0.256927239097621</v>
      </c>
      <c r="H324">
        <v>5.1542658636157701E-2</v>
      </c>
      <c r="I324">
        <v>-4.9847494463039697</v>
      </c>
      <c r="J324" s="1">
        <v>6.20421570712808E-7</v>
      </c>
      <c r="K324" s="1">
        <v>2.7010988637318899E-5</v>
      </c>
      <c r="L324" t="s">
        <v>23</v>
      </c>
      <c r="M324" t="s">
        <v>24</v>
      </c>
      <c r="N324">
        <v>7461.3699979436196</v>
      </c>
      <c r="O324">
        <v>8158.5812208552998</v>
      </c>
      <c r="P324">
        <v>6764.1587750319404</v>
      </c>
      <c r="Q324">
        <v>8556.4357808567602</v>
      </c>
      <c r="R324">
        <v>7760.7266608538403</v>
      </c>
      <c r="S324">
        <v>7001.1964038492197</v>
      </c>
      <c r="T324">
        <v>6527.1211462146703</v>
      </c>
    </row>
    <row r="325" spans="1:20" x14ac:dyDescent="0.2">
      <c r="A325" t="s">
        <v>659</v>
      </c>
      <c r="B325" s="3" t="str">
        <f>HYPERLINK("http://www.ncbi.nlm.nih.gov/gene/8492","PRSS12")</f>
        <v>PRSS12</v>
      </c>
      <c r="C325">
        <v>8492</v>
      </c>
      <c r="D325" t="s">
        <v>660</v>
      </c>
      <c r="E325" s="3" t="str">
        <f>HYPERLINK("http://genome.ucsc.edu/cgi-bin/hgTracks?db=hg19&amp;lastVirtModeType=default&amp;lastVirtModeExtraState=&amp;virtModeType=default&amp;virtMode=0&amp;nonVirtPosition=&amp;position=chr4:118280037-118352767","chr4:118280037-118352767")</f>
        <v>chr4:118280037-118352767</v>
      </c>
      <c r="F325" t="s">
        <v>22</v>
      </c>
      <c r="G325">
        <v>-0.505706384405471</v>
      </c>
      <c r="H325">
        <v>0.101781423983806</v>
      </c>
      <c r="I325">
        <v>-4.9685528519028397</v>
      </c>
      <c r="J325" s="1">
        <v>6.7454415969141198E-7</v>
      </c>
      <c r="K325" s="1">
        <v>2.9202292249775201E-5</v>
      </c>
      <c r="L325" t="s">
        <v>23</v>
      </c>
      <c r="M325" t="s">
        <v>24</v>
      </c>
      <c r="N325">
        <v>387.51167323069399</v>
      </c>
      <c r="O325">
        <v>475.93742199530698</v>
      </c>
      <c r="P325">
        <v>299.08592446608202</v>
      </c>
      <c r="Q325">
        <v>458.159368873662</v>
      </c>
      <c r="R325">
        <v>493.71547511695098</v>
      </c>
      <c r="S325">
        <v>288.05824290883101</v>
      </c>
      <c r="T325">
        <v>310.113606023334</v>
      </c>
    </row>
    <row r="326" spans="1:20" x14ac:dyDescent="0.2">
      <c r="A326" t="s">
        <v>661</v>
      </c>
      <c r="B326" s="3" t="str">
        <f>HYPERLINK("http://www.ncbi.nlm.nih.gov/gene/25914","RTTN")</f>
        <v>RTTN</v>
      </c>
      <c r="C326">
        <v>25914</v>
      </c>
      <c r="D326" t="s">
        <v>662</v>
      </c>
      <c r="E326" s="3" t="str">
        <f>HYPERLINK("http://genome.ucsc.edu/cgi-bin/hgTracks?db=hg19&amp;lastVirtModeType=default&amp;lastVirtModeExtraState=&amp;virtModeType=default&amp;virtMode=0&amp;nonVirtPosition=&amp;position=chr18:70003805-70205726","chr18:70003805-70205726")</f>
        <v>chr18:70003805-70205726</v>
      </c>
      <c r="F326" t="s">
        <v>22</v>
      </c>
      <c r="G326">
        <v>-0.39247780059869303</v>
      </c>
      <c r="H326">
        <v>7.8994519044783107E-2</v>
      </c>
      <c r="I326">
        <v>-4.9684181300754897</v>
      </c>
      <c r="J326" s="1">
        <v>6.7501288050012597E-7</v>
      </c>
      <c r="K326" s="1">
        <v>2.9202292249775201E-5</v>
      </c>
      <c r="L326" t="s">
        <v>23</v>
      </c>
      <c r="M326" t="s">
        <v>24</v>
      </c>
      <c r="N326">
        <v>881.52014856347205</v>
      </c>
      <c r="O326">
        <v>1017.15988130364</v>
      </c>
      <c r="P326">
        <v>745.88041582330902</v>
      </c>
      <c r="Q326">
        <v>993.366559539891</v>
      </c>
      <c r="R326">
        <v>1040.9532030673799</v>
      </c>
      <c r="S326">
        <v>755.65963721974094</v>
      </c>
      <c r="T326">
        <v>736.10119442687801</v>
      </c>
    </row>
    <row r="327" spans="1:20" x14ac:dyDescent="0.2">
      <c r="A327" t="s">
        <v>663</v>
      </c>
      <c r="B327" s="3" t="str">
        <f>HYPERLINK("http://www.ncbi.nlm.nih.gov/gene/7832","BTG2")</f>
        <v>BTG2</v>
      </c>
      <c r="C327">
        <v>7832</v>
      </c>
      <c r="D327" t="s">
        <v>664</v>
      </c>
      <c r="E327" s="3" t="str">
        <f>HYPERLINK("http://genome.ucsc.edu/cgi-bin/hgTracks?db=hg19&amp;lastVirtModeType=default&amp;lastVirtModeExtraState=&amp;virtModeType=default&amp;virtMode=0&amp;nonVirtPosition=&amp;position=chr1:203305535-203309601","chr1:203305535-203309601")</f>
        <v>chr1:203305535-203309601</v>
      </c>
      <c r="F327" t="s">
        <v>27</v>
      </c>
      <c r="G327">
        <v>-0.40388060659671698</v>
      </c>
      <c r="H327">
        <v>8.1354238710068694E-2</v>
      </c>
      <c r="I327">
        <v>-4.9644691290895402</v>
      </c>
      <c r="J327" s="1">
        <v>6.8889242380768596E-7</v>
      </c>
      <c r="K327" s="1">
        <v>2.9709027358800599E-5</v>
      </c>
      <c r="L327" t="s">
        <v>23</v>
      </c>
      <c r="M327" t="s">
        <v>24</v>
      </c>
      <c r="N327">
        <v>896.06129622379399</v>
      </c>
      <c r="O327">
        <v>1041.6467731149401</v>
      </c>
      <c r="P327">
        <v>750.47581933265701</v>
      </c>
      <c r="Q327">
        <v>1077.2936511353701</v>
      </c>
      <c r="R327">
        <v>1005.9998950944999</v>
      </c>
      <c r="S327">
        <v>711.26709978516101</v>
      </c>
      <c r="T327">
        <v>789.68453888015404</v>
      </c>
    </row>
    <row r="328" spans="1:20" x14ac:dyDescent="0.2">
      <c r="A328" t="s">
        <v>665</v>
      </c>
      <c r="B328" s="3" t="str">
        <f>HYPERLINK("http://www.ncbi.nlm.nih.gov/gene/1290","COL5A2")</f>
        <v>COL5A2</v>
      </c>
      <c r="C328">
        <v>1290</v>
      </c>
      <c r="D328" t="s">
        <v>666</v>
      </c>
      <c r="E328" s="3" t="str">
        <f>HYPERLINK("http://genome.ucsc.edu/cgi-bin/hgTracks?db=hg19&amp;lastVirtModeType=default&amp;lastVirtModeExtraState=&amp;virtModeType=default&amp;virtMode=0&amp;nonVirtPosition=&amp;position=chr2:189031914-189179879","chr2:189031914-189179879")</f>
        <v>chr2:189031914-189179879</v>
      </c>
      <c r="F328" t="s">
        <v>22</v>
      </c>
      <c r="G328">
        <v>-0.24145989877319801</v>
      </c>
      <c r="H328">
        <v>4.8716082159633897E-2</v>
      </c>
      <c r="I328">
        <v>-4.9564720328284402</v>
      </c>
      <c r="J328" s="1">
        <v>7.1784694675347802E-7</v>
      </c>
      <c r="K328" s="1">
        <v>3.08606677986746E-5</v>
      </c>
      <c r="L328" t="s">
        <v>23</v>
      </c>
      <c r="M328" t="s">
        <v>24</v>
      </c>
      <c r="N328">
        <v>15589.825306331701</v>
      </c>
      <c r="O328">
        <v>16952.988949287301</v>
      </c>
      <c r="P328">
        <v>14226.6616633761</v>
      </c>
      <c r="Q328">
        <v>16462.092638358401</v>
      </c>
      <c r="R328">
        <v>17443.885260216201</v>
      </c>
      <c r="S328">
        <v>13575.237947494599</v>
      </c>
      <c r="T328">
        <v>14878.0853792577</v>
      </c>
    </row>
    <row r="329" spans="1:20" x14ac:dyDescent="0.2">
      <c r="A329" t="s">
        <v>667</v>
      </c>
      <c r="B329" s="3" t="str">
        <f>HYPERLINK("http://www.ncbi.nlm.nih.gov/gene/55151","TMEM38B")</f>
        <v>TMEM38B</v>
      </c>
      <c r="C329">
        <v>55151</v>
      </c>
      <c r="D329" t="s">
        <v>668</v>
      </c>
      <c r="E329" s="3" t="str">
        <f>HYPERLINK("http://genome.ucsc.edu/cgi-bin/hgTracks?db=hg19&amp;lastVirtModeType=default&amp;lastVirtModeExtraState=&amp;virtModeType=default&amp;virtMode=0&amp;nonVirtPosition=&amp;position=chr9:105694524-105776611","chr9:105694524-105776611")</f>
        <v>chr9:105694524-105776611</v>
      </c>
      <c r="F329" t="s">
        <v>27</v>
      </c>
      <c r="G329">
        <v>0.32803750237032397</v>
      </c>
      <c r="H329">
        <v>6.6236875539401399E-2</v>
      </c>
      <c r="I329">
        <v>4.9524905832127999</v>
      </c>
      <c r="J329" s="1">
        <v>7.3269603135232896E-7</v>
      </c>
      <c r="K329" s="1">
        <v>3.1327869589112198E-5</v>
      </c>
      <c r="L329" t="s">
        <v>23</v>
      </c>
      <c r="M329" t="s">
        <v>24</v>
      </c>
      <c r="N329">
        <v>1465.76097168146</v>
      </c>
      <c r="O329">
        <v>1284.79083359329</v>
      </c>
      <c r="P329">
        <v>1646.7311097696199</v>
      </c>
      <c r="Q329">
        <v>1285.04759918318</v>
      </c>
      <c r="R329">
        <v>1284.5340680034001</v>
      </c>
      <c r="S329">
        <v>1629.69937426503</v>
      </c>
      <c r="T329">
        <v>1663.7628452742199</v>
      </c>
    </row>
    <row r="330" spans="1:20" x14ac:dyDescent="0.2">
      <c r="A330" t="s">
        <v>669</v>
      </c>
      <c r="B330" s="3" t="str">
        <f>HYPERLINK("http://www.ncbi.nlm.nih.gov/gene/25886","POC1A")</f>
        <v>POC1A</v>
      </c>
      <c r="C330">
        <v>25886</v>
      </c>
      <c r="D330" t="s">
        <v>670</v>
      </c>
      <c r="E330" s="3" t="str">
        <f>HYPERLINK("http://genome.ucsc.edu/cgi-bin/hgTracks?db=hg19&amp;lastVirtModeType=default&amp;lastVirtModeExtraState=&amp;virtModeType=default&amp;virtMode=0&amp;nonVirtPosition=&amp;position=chr3:52075232-52154690","chr3:52075232-52154690")</f>
        <v>chr3:52075232-52154690</v>
      </c>
      <c r="F330" t="s">
        <v>22</v>
      </c>
      <c r="G330">
        <v>-0.51590452208799198</v>
      </c>
      <c r="H330">
        <v>0.104174000514609</v>
      </c>
      <c r="I330">
        <v>-4.9523347432130604</v>
      </c>
      <c r="J330" s="1">
        <v>7.3328322430399701E-7</v>
      </c>
      <c r="K330" s="1">
        <v>3.1327869589112198E-5</v>
      </c>
      <c r="L330" t="s">
        <v>23</v>
      </c>
      <c r="M330" t="s">
        <v>24</v>
      </c>
      <c r="N330">
        <v>347.43887095853597</v>
      </c>
      <c r="O330">
        <v>429.48899550078397</v>
      </c>
      <c r="P330">
        <v>265.38874641628797</v>
      </c>
      <c r="Q330">
        <v>415.50789609563299</v>
      </c>
      <c r="R330">
        <v>443.47009490593399</v>
      </c>
      <c r="S330">
        <v>274.247231262517</v>
      </c>
      <c r="T330">
        <v>256.53026157005797</v>
      </c>
    </row>
    <row r="331" spans="1:20" x14ac:dyDescent="0.2">
      <c r="A331" t="s">
        <v>671</v>
      </c>
      <c r="B331" s="3" t="str">
        <f>HYPERLINK("http://www.ncbi.nlm.nih.gov/gene/2355","FOSL2")</f>
        <v>FOSL2</v>
      </c>
      <c r="C331">
        <v>2355</v>
      </c>
      <c r="D331" t="s">
        <v>672</v>
      </c>
      <c r="E331" s="3" t="str">
        <f>HYPERLINK("http://genome.ucsc.edu/cgi-bin/hgTracks?db=hg19&amp;lastVirtModeType=default&amp;lastVirtModeExtraState=&amp;virtModeType=default&amp;virtMode=0&amp;nonVirtPosition=&amp;position=chr2:28392911-28414649","chr2:28392911-28414649")</f>
        <v>chr2:28392911-28414649</v>
      </c>
      <c r="F331" t="s">
        <v>27</v>
      </c>
      <c r="G331">
        <v>-0.271871601054197</v>
      </c>
      <c r="H331">
        <v>5.4950669662575002E-2</v>
      </c>
      <c r="I331">
        <v>-4.9475575588728304</v>
      </c>
      <c r="J331" s="1">
        <v>7.5150485570376395E-7</v>
      </c>
      <c r="K331" s="1">
        <v>3.1921981184338498E-5</v>
      </c>
      <c r="L331" t="s">
        <v>23</v>
      </c>
      <c r="M331" t="s">
        <v>24</v>
      </c>
      <c r="N331">
        <v>6109.7962841961398</v>
      </c>
      <c r="O331">
        <v>6722.5729823194897</v>
      </c>
      <c r="P331">
        <v>5497.0195860727899</v>
      </c>
      <c r="Q331">
        <v>6858.6319934991097</v>
      </c>
      <c r="R331">
        <v>6586.5139711398597</v>
      </c>
      <c r="S331">
        <v>5136.7098315968597</v>
      </c>
      <c r="T331">
        <v>5857.3293405487202</v>
      </c>
    </row>
    <row r="332" spans="1:20" x14ac:dyDescent="0.2">
      <c r="A332" t="s">
        <v>673</v>
      </c>
      <c r="B332" s="3" t="str">
        <f>HYPERLINK("http://www.ncbi.nlm.nih.gov/gene/26011","TENM4")</f>
        <v>TENM4</v>
      </c>
      <c r="C332">
        <v>26011</v>
      </c>
      <c r="D332" t="s">
        <v>674</v>
      </c>
      <c r="E332" s="3" t="str">
        <f>HYPERLINK("http://genome.ucsc.edu/cgi-bin/hgTracks?db=hg19&amp;lastVirtModeType=default&amp;lastVirtModeExtraState=&amp;virtModeType=default&amp;virtMode=0&amp;nonVirtPosition=&amp;position=chr11:78653282-79440651","chr11:78653282-79440651")</f>
        <v>chr11:78653282-79440651</v>
      </c>
      <c r="F332" t="s">
        <v>22</v>
      </c>
      <c r="G332">
        <v>-0.45909526418201402</v>
      </c>
      <c r="H332">
        <v>9.2799396222140298E-2</v>
      </c>
      <c r="I332">
        <v>-4.9471794308127404</v>
      </c>
      <c r="J332" s="1">
        <v>7.5296563414983895E-7</v>
      </c>
      <c r="K332" s="1">
        <v>3.1921981184338498E-5</v>
      </c>
      <c r="L332" t="s">
        <v>23</v>
      </c>
      <c r="M332" t="s">
        <v>24</v>
      </c>
      <c r="N332">
        <v>831.81903338550399</v>
      </c>
      <c r="O332">
        <v>994.66301470459996</v>
      </c>
      <c r="P332">
        <v>668.97505206640994</v>
      </c>
      <c r="Q332">
        <v>965.84948032825901</v>
      </c>
      <c r="R332">
        <v>1023.47654908094</v>
      </c>
      <c r="S332">
        <v>579.07598831329994</v>
      </c>
      <c r="T332">
        <v>758.87411581951994</v>
      </c>
    </row>
    <row r="333" spans="1:20" x14ac:dyDescent="0.2">
      <c r="A333" t="s">
        <v>675</v>
      </c>
      <c r="B333" s="3" t="str">
        <f>HYPERLINK("http://www.ncbi.nlm.nih.gov/gene/5836","PYGL")</f>
        <v>PYGL</v>
      </c>
      <c r="C333">
        <v>5836</v>
      </c>
      <c r="D333" t="s">
        <v>676</v>
      </c>
      <c r="E333" s="3" t="str">
        <f>HYPERLINK("http://genome.ucsc.edu/cgi-bin/hgTracks?db=hg19&amp;lastVirtModeType=default&amp;lastVirtModeExtraState=&amp;virtModeType=default&amp;virtMode=0&amp;nonVirtPosition=&amp;position=chr14:50905216-50944530","chr14:50905216-50944530")</f>
        <v>chr14:50905216-50944530</v>
      </c>
      <c r="F333" t="s">
        <v>22</v>
      </c>
      <c r="G333">
        <v>-0.39860451696970001</v>
      </c>
      <c r="H333">
        <v>8.0577155615794399E-2</v>
      </c>
      <c r="I333">
        <v>-4.94686755723066</v>
      </c>
      <c r="J333" s="1">
        <v>7.5417251740744303E-7</v>
      </c>
      <c r="K333" s="1">
        <v>3.1921981184338498E-5</v>
      </c>
      <c r="L333" t="s">
        <v>23</v>
      </c>
      <c r="M333" t="s">
        <v>24</v>
      </c>
      <c r="N333">
        <v>1032.5608935575201</v>
      </c>
      <c r="O333">
        <v>1197.0877690171101</v>
      </c>
      <c r="P333">
        <v>868.03401809793297</v>
      </c>
      <c r="Q333">
        <v>1165.34830461259</v>
      </c>
      <c r="R333">
        <v>1228.8272334216199</v>
      </c>
      <c r="S333">
        <v>801.03867548620099</v>
      </c>
      <c r="T333">
        <v>935.02936070966496</v>
      </c>
    </row>
    <row r="334" spans="1:20" x14ac:dyDescent="0.2">
      <c r="A334" t="s">
        <v>677</v>
      </c>
      <c r="B334" s="3" t="str">
        <f>HYPERLINK("http://www.ncbi.nlm.nih.gov/gene/26037","SIPA1L1")</f>
        <v>SIPA1L1</v>
      </c>
      <c r="C334">
        <v>26037</v>
      </c>
      <c r="D334" t="s">
        <v>678</v>
      </c>
      <c r="E334" s="3" t="str">
        <f>HYPERLINK("http://genome.ucsc.edu/cgi-bin/hgTracks?db=hg19&amp;lastVirtModeType=default&amp;lastVirtModeExtraState=&amp;virtModeType=default&amp;virtMode=0&amp;nonVirtPosition=&amp;position=chr14:71529311-71741229","chr14:71529311-71741229")</f>
        <v>chr14:71529311-71741229</v>
      </c>
      <c r="F334" t="s">
        <v>27</v>
      </c>
      <c r="G334">
        <v>-0.22211048185255</v>
      </c>
      <c r="H334">
        <v>4.4921279308695897E-2</v>
      </c>
      <c r="I334">
        <v>-4.9444380318339096</v>
      </c>
      <c r="J334" s="1">
        <v>7.6363826835790095E-7</v>
      </c>
      <c r="K334" s="1">
        <v>3.2154000187677203E-5</v>
      </c>
      <c r="L334" t="s">
        <v>23</v>
      </c>
      <c r="M334" t="s">
        <v>24</v>
      </c>
      <c r="N334">
        <v>6212.8085867714599</v>
      </c>
      <c r="O334">
        <v>6710.2278208452999</v>
      </c>
      <c r="P334">
        <v>5715.3893526976299</v>
      </c>
      <c r="Q334">
        <v>6664.6365850571101</v>
      </c>
      <c r="R334">
        <v>6755.8190566334997</v>
      </c>
      <c r="S334">
        <v>5570.7701976238604</v>
      </c>
      <c r="T334">
        <v>5860.0085077713902</v>
      </c>
    </row>
    <row r="335" spans="1:20" x14ac:dyDescent="0.2">
      <c r="A335" t="s">
        <v>679</v>
      </c>
      <c r="B335" s="3" t="str">
        <f>HYPERLINK("http://www.ncbi.nlm.nih.gov/gene/7422","VEGFA")</f>
        <v>VEGFA</v>
      </c>
      <c r="C335">
        <v>7422</v>
      </c>
      <c r="D335" t="s">
        <v>680</v>
      </c>
      <c r="E335" s="3" t="str">
        <f>HYPERLINK("http://genome.ucsc.edu/cgi-bin/hgTracks?db=hg19&amp;lastVirtModeType=default&amp;lastVirtModeExtraState=&amp;virtModeType=default&amp;virtMode=0&amp;nonVirtPosition=&amp;position=chr6:43770208-43786486","chr6:43770208-43786486")</f>
        <v>chr6:43770208-43786486</v>
      </c>
      <c r="F335" t="s">
        <v>27</v>
      </c>
      <c r="G335">
        <v>0.23476151424078801</v>
      </c>
      <c r="H335">
        <v>4.74816449699276E-2</v>
      </c>
      <c r="I335">
        <v>4.9442582368297003</v>
      </c>
      <c r="J335" s="1">
        <v>7.6434330328006201E-7</v>
      </c>
      <c r="K335" s="1">
        <v>3.2154000187677203E-5</v>
      </c>
      <c r="L335" t="s">
        <v>23</v>
      </c>
      <c r="M335" t="s">
        <v>24</v>
      </c>
      <c r="N335">
        <v>8085.90586266021</v>
      </c>
      <c r="O335">
        <v>7402.5411543747196</v>
      </c>
      <c r="P335">
        <v>8769.2705709457005</v>
      </c>
      <c r="Q335">
        <v>7722.6682807443303</v>
      </c>
      <c r="R335">
        <v>7082.4140280051097</v>
      </c>
      <c r="S335">
        <v>8916.9810193593203</v>
      </c>
      <c r="T335">
        <v>8621.5601225320897</v>
      </c>
    </row>
    <row r="336" spans="1:20" x14ac:dyDescent="0.2">
      <c r="A336" t="s">
        <v>681</v>
      </c>
      <c r="B336" s="3" t="str">
        <f>HYPERLINK("http://www.ncbi.nlm.nih.gov/gene/84790","TUBA1C")</f>
        <v>TUBA1C</v>
      </c>
      <c r="C336">
        <v>84790</v>
      </c>
      <c r="D336" t="s">
        <v>682</v>
      </c>
      <c r="E336" s="3" t="str">
        <f>HYPERLINK("http://genome.ucsc.edu/cgi-bin/hgTracks?db=hg19&amp;lastVirtModeType=default&amp;lastVirtModeExtraState=&amp;virtModeType=default&amp;virtMode=0&amp;nonVirtPosition=&amp;position=chr12:49227925-49273338","chr12:49227925-49273338")</f>
        <v>chr12:49227925-49273338</v>
      </c>
      <c r="F336" t="s">
        <v>27</v>
      </c>
      <c r="G336">
        <v>-0.21188304927240501</v>
      </c>
      <c r="H336">
        <v>4.2875488813176203E-2</v>
      </c>
      <c r="I336">
        <v>-4.9418223590558901</v>
      </c>
      <c r="J336" s="1">
        <v>7.7395718896462404E-7</v>
      </c>
      <c r="K336" s="1">
        <v>3.2383520507722703E-5</v>
      </c>
      <c r="L336" t="s">
        <v>23</v>
      </c>
      <c r="M336" t="s">
        <v>24</v>
      </c>
      <c r="N336">
        <v>8301.4116343749993</v>
      </c>
      <c r="O336">
        <v>8929.3335678063795</v>
      </c>
      <c r="P336">
        <v>7673.4897009436199</v>
      </c>
      <c r="Q336">
        <v>8700.9004467178202</v>
      </c>
      <c r="R336">
        <v>9157.7666888949498</v>
      </c>
      <c r="S336">
        <v>7681.8819778461202</v>
      </c>
      <c r="T336">
        <v>7665.0974240411197</v>
      </c>
    </row>
    <row r="337" spans="1:20" x14ac:dyDescent="0.2">
      <c r="A337" t="s">
        <v>683</v>
      </c>
      <c r="B337" s="3" t="str">
        <f>HYPERLINK("http://www.ncbi.nlm.nih.gov/gene/6546","SLC8A1")</f>
        <v>SLC8A1</v>
      </c>
      <c r="C337">
        <v>6546</v>
      </c>
      <c r="D337" t="s">
        <v>684</v>
      </c>
      <c r="E337" s="3" t="str">
        <f>HYPERLINK("http://genome.ucsc.edu/cgi-bin/hgTracks?db=hg19&amp;lastVirtModeType=default&amp;lastVirtModeExtraState=&amp;virtModeType=default&amp;virtMode=0&amp;nonVirtPosition=&amp;position=chr2:40112145-40512435","chr2:40112145-40512435")</f>
        <v>chr2:40112145-40512435</v>
      </c>
      <c r="F337" t="s">
        <v>22</v>
      </c>
      <c r="G337">
        <v>-0.52715580028375697</v>
      </c>
      <c r="H337">
        <v>0.10667541872493</v>
      </c>
      <c r="I337">
        <v>-4.9416801601038198</v>
      </c>
      <c r="J337" s="1">
        <v>7.7452200135139695E-7</v>
      </c>
      <c r="K337" s="1">
        <v>3.2383520507722703E-5</v>
      </c>
      <c r="L337" t="s">
        <v>23</v>
      </c>
      <c r="M337" t="s">
        <v>24</v>
      </c>
      <c r="N337">
        <v>333.19337502910099</v>
      </c>
      <c r="O337">
        <v>415.97205750983301</v>
      </c>
      <c r="P337">
        <v>250.414692548369</v>
      </c>
      <c r="Q337">
        <v>379.735693120512</v>
      </c>
      <c r="R337">
        <v>452.20842189915402</v>
      </c>
      <c r="S337">
        <v>245.63870713801001</v>
      </c>
      <c r="T337">
        <v>255.19067795872701</v>
      </c>
    </row>
    <row r="338" spans="1:20" x14ac:dyDescent="0.2">
      <c r="A338" t="s">
        <v>685</v>
      </c>
      <c r="B338" s="3" t="str">
        <f>HYPERLINK("http://www.ncbi.nlm.nih.gov/gene/10733","PLK4")</f>
        <v>PLK4</v>
      </c>
      <c r="C338">
        <v>10733</v>
      </c>
      <c r="D338" t="s">
        <v>686</v>
      </c>
      <c r="E338" s="3" t="str">
        <f>HYPERLINK("http://genome.ucsc.edu/cgi-bin/hgTracks?db=hg19&amp;lastVirtModeType=default&amp;lastVirtModeExtraState=&amp;virtModeType=default&amp;virtMode=0&amp;nonVirtPosition=&amp;position=chr4:127880860-127899222","chr4:127880860-127899222")</f>
        <v>chr4:127880860-127899222</v>
      </c>
      <c r="F338" t="s">
        <v>27</v>
      </c>
      <c r="G338">
        <v>-0.48021948217795801</v>
      </c>
      <c r="H338">
        <v>9.7304452110029305E-2</v>
      </c>
      <c r="I338">
        <v>-4.9352262076861404</v>
      </c>
      <c r="J338" s="1">
        <v>8.0057916152404596E-7</v>
      </c>
      <c r="K338" s="1">
        <v>3.3371254167601099E-5</v>
      </c>
      <c r="L338" t="s">
        <v>23</v>
      </c>
      <c r="M338" t="s">
        <v>24</v>
      </c>
      <c r="N338">
        <v>449.49861784985899</v>
      </c>
      <c r="O338">
        <v>543.24427877763605</v>
      </c>
      <c r="P338">
        <v>355.75295692208198</v>
      </c>
      <c r="Q338">
        <v>528.32792086332097</v>
      </c>
      <c r="R338">
        <v>558.16063669195103</v>
      </c>
      <c r="S338">
        <v>353.167297812882</v>
      </c>
      <c r="T338">
        <v>358.33861603128298</v>
      </c>
    </row>
    <row r="339" spans="1:20" x14ac:dyDescent="0.2">
      <c r="A339" t="s">
        <v>687</v>
      </c>
      <c r="B339" s="3" t="str">
        <f>HYPERLINK("http://www.ncbi.nlm.nih.gov/gene/57650","KIAA1524")</f>
        <v>KIAA1524</v>
      </c>
      <c r="C339">
        <v>57650</v>
      </c>
      <c r="D339" t="s">
        <v>688</v>
      </c>
      <c r="E339" s="3" t="str">
        <f>HYPERLINK("http://genome.ucsc.edu/cgi-bin/hgTracks?db=hg19&amp;lastVirtModeType=default&amp;lastVirtModeExtraState=&amp;virtModeType=default&amp;virtMode=0&amp;nonVirtPosition=&amp;position=chr3:108549870-108589644","chr3:108549870-108589644")</f>
        <v>chr3:108549870-108589644</v>
      </c>
      <c r="F339" t="s">
        <v>22</v>
      </c>
      <c r="G339">
        <v>-0.43527576944708302</v>
      </c>
      <c r="H339">
        <v>8.8441023621474296E-2</v>
      </c>
      <c r="I339">
        <v>-4.9216500626457496</v>
      </c>
      <c r="J339" s="1">
        <v>8.5817561751999602E-7</v>
      </c>
      <c r="K339" s="1">
        <v>3.5663698238391599E-5</v>
      </c>
      <c r="L339" t="s">
        <v>23</v>
      </c>
      <c r="M339" t="s">
        <v>24</v>
      </c>
      <c r="N339">
        <v>626.56050821331803</v>
      </c>
      <c r="O339">
        <v>739.46179313899802</v>
      </c>
      <c r="P339">
        <v>513.65922328763804</v>
      </c>
      <c r="Q339">
        <v>747.08870059578999</v>
      </c>
      <c r="R339">
        <v>731.83488568220605</v>
      </c>
      <c r="S339">
        <v>498.18292009917701</v>
      </c>
      <c r="T339">
        <v>529.13552647610004</v>
      </c>
    </row>
    <row r="340" spans="1:20" x14ac:dyDescent="0.2">
      <c r="A340" t="s">
        <v>689</v>
      </c>
      <c r="B340" s="3" t="str">
        <f>HYPERLINK("http://www.ncbi.nlm.nih.gov/gene/4281","MID1")</f>
        <v>MID1</v>
      </c>
      <c r="C340">
        <v>4281</v>
      </c>
      <c r="D340" t="s">
        <v>690</v>
      </c>
      <c r="E340" s="3" t="str">
        <f>HYPERLINK("http://genome.ucsc.edu/cgi-bin/hgTracks?db=hg19&amp;lastVirtModeType=default&amp;lastVirtModeExtraState=&amp;virtModeType=default&amp;virtMode=0&amp;nonVirtPosition=&amp;position=chrX:10445309-10677739","chrX:10445309-10677739")</f>
        <v>chrX:10445309-10677739</v>
      </c>
      <c r="F340" t="s">
        <v>22</v>
      </c>
      <c r="G340">
        <v>-0.344385124522742</v>
      </c>
      <c r="H340">
        <v>6.9996937289369301E-2</v>
      </c>
      <c r="I340">
        <v>-4.9200027581070298</v>
      </c>
      <c r="J340" s="1">
        <v>8.6542992834564899E-7</v>
      </c>
      <c r="K340" s="1">
        <v>3.5856513707952401E-5</v>
      </c>
      <c r="L340" t="s">
        <v>23</v>
      </c>
      <c r="M340" t="s">
        <v>24</v>
      </c>
      <c r="N340">
        <v>1419.9351152105701</v>
      </c>
      <c r="O340">
        <v>1608.42235076567</v>
      </c>
      <c r="P340">
        <v>1231.4478796554599</v>
      </c>
      <c r="Q340">
        <v>1653.7764606190401</v>
      </c>
      <c r="R340">
        <v>1563.0682409122901</v>
      </c>
      <c r="S340">
        <v>1176.89549243231</v>
      </c>
      <c r="T340">
        <v>1286.0002668786201</v>
      </c>
    </row>
    <row r="341" spans="1:20" x14ac:dyDescent="0.2">
      <c r="A341" t="s">
        <v>691</v>
      </c>
      <c r="B341" s="3" t="str">
        <f>HYPERLINK("http://www.ncbi.nlm.nih.gov/gene/5713","PSMD7")</f>
        <v>PSMD7</v>
      </c>
      <c r="C341">
        <v>5713</v>
      </c>
      <c r="D341" t="s">
        <v>692</v>
      </c>
      <c r="E341" s="3" t="str">
        <f>HYPERLINK("http://genome.ucsc.edu/cgi-bin/hgTracks?db=hg19&amp;lastVirtModeType=default&amp;lastVirtModeExtraState=&amp;virtModeType=default&amp;virtMode=0&amp;nonVirtPosition=&amp;position=chr16:74296774-74306288","chr16:74296774-74306288")</f>
        <v>chr16:74296774-74306288</v>
      </c>
      <c r="F341" t="s">
        <v>27</v>
      </c>
      <c r="G341">
        <v>0.22975025481865699</v>
      </c>
      <c r="H341">
        <v>4.7048308599006501E-2</v>
      </c>
      <c r="I341">
        <v>4.8832840469744001</v>
      </c>
      <c r="J341" s="1">
        <v>1.04333405253136E-6</v>
      </c>
      <c r="K341" s="1">
        <v>4.3097238543418699E-5</v>
      </c>
      <c r="L341" t="s">
        <v>23</v>
      </c>
      <c r="M341" t="s">
        <v>24</v>
      </c>
      <c r="N341">
        <v>4221.19662778572</v>
      </c>
      <c r="O341">
        <v>3871.7124568303502</v>
      </c>
      <c r="P341">
        <v>4570.6807987410803</v>
      </c>
      <c r="Q341">
        <v>3890.9150005246702</v>
      </c>
      <c r="R341">
        <v>3852.5099131360298</v>
      </c>
      <c r="S341">
        <v>4575.3908582573904</v>
      </c>
      <c r="T341">
        <v>4565.9707392247701</v>
      </c>
    </row>
    <row r="342" spans="1:20" x14ac:dyDescent="0.2">
      <c r="A342" t="s">
        <v>693</v>
      </c>
      <c r="B342" s="3" t="str">
        <f>HYPERLINK("http://www.ncbi.nlm.nih.gov/gene/10019","SH2B3")</f>
        <v>SH2B3</v>
      </c>
      <c r="C342">
        <v>10019</v>
      </c>
      <c r="D342" t="s">
        <v>694</v>
      </c>
      <c r="E342" s="3" t="str">
        <f>HYPERLINK("http://genome.ucsc.edu/cgi-bin/hgTracks?db=hg19&amp;lastVirtModeType=default&amp;lastVirtModeExtraState=&amp;virtModeType=default&amp;virtMode=0&amp;nonVirtPosition=&amp;position=chr12:111405947-111451623","chr12:111405947-111451623")</f>
        <v>chr12:111405947-111451623</v>
      </c>
      <c r="F342" t="s">
        <v>27</v>
      </c>
      <c r="G342">
        <v>0.271498551827632</v>
      </c>
      <c r="H342">
        <v>5.5668939672928602E-2</v>
      </c>
      <c r="I342">
        <v>4.8770203532304697</v>
      </c>
      <c r="J342" s="1">
        <v>1.0770032642546799E-6</v>
      </c>
      <c r="K342" s="1">
        <v>4.4354422720686799E-5</v>
      </c>
      <c r="L342" t="s">
        <v>23</v>
      </c>
      <c r="M342" t="s">
        <v>24</v>
      </c>
      <c r="N342">
        <v>3739.3388653520801</v>
      </c>
      <c r="O342">
        <v>3363.4481966753801</v>
      </c>
      <c r="P342">
        <v>4115.2295340287701</v>
      </c>
      <c r="Q342">
        <v>3262.14974053889</v>
      </c>
      <c r="R342">
        <v>3464.7466528118798</v>
      </c>
      <c r="S342">
        <v>4302.1301278267501</v>
      </c>
      <c r="T342">
        <v>3928.3289402307901</v>
      </c>
    </row>
    <row r="343" spans="1:20" x14ac:dyDescent="0.2">
      <c r="A343" t="s">
        <v>695</v>
      </c>
      <c r="B343" s="3" t="str">
        <f>HYPERLINK("http://www.ncbi.nlm.nih.gov/gene/1307","COL16A1")</f>
        <v>COL16A1</v>
      </c>
      <c r="C343">
        <v>1307</v>
      </c>
      <c r="D343" t="s">
        <v>696</v>
      </c>
      <c r="E343" s="3" t="str">
        <f>HYPERLINK("http://genome.ucsc.edu/cgi-bin/hgTracks?db=hg19&amp;lastVirtModeType=default&amp;lastVirtModeExtraState=&amp;virtModeType=default&amp;virtMode=0&amp;nonVirtPosition=&amp;position=chr1:31652246-31704167","chr1:31652246-31704167")</f>
        <v>chr1:31652246-31704167</v>
      </c>
      <c r="F343" t="s">
        <v>22</v>
      </c>
      <c r="G343">
        <v>-0.213260061901935</v>
      </c>
      <c r="H343">
        <v>4.3780914545973298E-2</v>
      </c>
      <c r="I343">
        <v>-4.8710737113085001</v>
      </c>
      <c r="J343" s="1">
        <v>1.10993418893261E-6</v>
      </c>
      <c r="K343" s="1">
        <v>4.5573764871322602E-5</v>
      </c>
      <c r="L343" t="s">
        <v>23</v>
      </c>
      <c r="M343" t="s">
        <v>24</v>
      </c>
      <c r="N343">
        <v>7180.1794598120096</v>
      </c>
      <c r="O343">
        <v>7729.2194023827096</v>
      </c>
      <c r="P343">
        <v>6631.1395172413104</v>
      </c>
      <c r="Q343">
        <v>7887.7707560141198</v>
      </c>
      <c r="R343">
        <v>7570.6680487513004</v>
      </c>
      <c r="S343">
        <v>6735.8276800736203</v>
      </c>
      <c r="T343">
        <v>6526.4513544090096</v>
      </c>
    </row>
    <row r="344" spans="1:20" x14ac:dyDescent="0.2">
      <c r="A344" t="s">
        <v>697</v>
      </c>
      <c r="B344" s="3" t="str">
        <f>HYPERLINK("http://www.ncbi.nlm.nih.gov/gene/56925","LXN")</f>
        <v>LXN</v>
      </c>
      <c r="C344">
        <v>56925</v>
      </c>
      <c r="D344" t="s">
        <v>698</v>
      </c>
      <c r="E344" s="3" t="str">
        <f>HYPERLINK("http://genome.ucsc.edu/cgi-bin/hgTracks?db=hg19&amp;lastVirtModeType=default&amp;lastVirtModeExtraState=&amp;virtModeType=default&amp;virtMode=0&amp;nonVirtPosition=&amp;position=chr3:158666413-158672693","chr3:158666413-158672693")</f>
        <v>chr3:158666413-158672693</v>
      </c>
      <c r="F344" t="s">
        <v>22</v>
      </c>
      <c r="G344">
        <v>-0.438557027848263</v>
      </c>
      <c r="H344">
        <v>9.0130039229548098E-2</v>
      </c>
      <c r="I344">
        <v>-4.86582532968084</v>
      </c>
      <c r="J344" s="1">
        <v>1.13980150162954E-6</v>
      </c>
      <c r="K344" s="1">
        <v>4.66604113234256E-5</v>
      </c>
      <c r="L344" t="s">
        <v>23</v>
      </c>
      <c r="M344" t="s">
        <v>24</v>
      </c>
      <c r="N344">
        <v>582.74364079065197</v>
      </c>
      <c r="O344">
        <v>688.53929946895698</v>
      </c>
      <c r="P344">
        <v>476.94798211234598</v>
      </c>
      <c r="Q344">
        <v>676.92014860613097</v>
      </c>
      <c r="R344">
        <v>700.158450331783</v>
      </c>
      <c r="S344">
        <v>484.37190845286301</v>
      </c>
      <c r="T344">
        <v>469.52405577182998</v>
      </c>
    </row>
    <row r="345" spans="1:20" x14ac:dyDescent="0.2">
      <c r="A345" t="s">
        <v>699</v>
      </c>
      <c r="B345" s="3" t="str">
        <f>HYPERLINK("http://www.ncbi.nlm.nih.gov/gene/7499","XG")</f>
        <v>XG</v>
      </c>
      <c r="C345">
        <v>7499</v>
      </c>
      <c r="D345" t="s">
        <v>700</v>
      </c>
      <c r="E345" s="3" t="str">
        <f>HYPERLINK("http://genome.ucsc.edu/cgi-bin/hgTracks?db=hg19&amp;lastVirtModeType=default&amp;lastVirtModeExtraState=&amp;virtModeType=default&amp;virtMode=0&amp;nonVirtPosition=&amp;position=chrX:2752051-2816501","chrX:2752051-2816501")</f>
        <v>chrX:2752051-2816501</v>
      </c>
      <c r="F345" t="s">
        <v>27</v>
      </c>
      <c r="G345">
        <v>-0.52280613689380495</v>
      </c>
      <c r="H345">
        <v>0.107556636220888</v>
      </c>
      <c r="I345">
        <v>-4.86075202110377</v>
      </c>
      <c r="J345" s="1">
        <v>1.16940665100251E-6</v>
      </c>
      <c r="K345" s="1">
        <v>4.7729889320977398E-5</v>
      </c>
      <c r="L345" t="s">
        <v>23</v>
      </c>
      <c r="M345" t="s">
        <v>24</v>
      </c>
      <c r="N345">
        <v>294.33555439477601</v>
      </c>
      <c r="O345">
        <v>367.68555456078002</v>
      </c>
      <c r="P345">
        <v>220.985554228773</v>
      </c>
      <c r="Q345">
        <v>356.34617579062598</v>
      </c>
      <c r="R345">
        <v>379.024933330934</v>
      </c>
      <c r="S345">
        <v>222.94918800478001</v>
      </c>
      <c r="T345">
        <v>219.02192045276499</v>
      </c>
    </row>
    <row r="346" spans="1:20" x14ac:dyDescent="0.2">
      <c r="A346" t="s">
        <v>699</v>
      </c>
      <c r="B346" s="3" t="str">
        <f>HYPERLINK("http://www.ncbi.nlm.nih.gov/gene/100132596","XGY2")</f>
        <v>XGY2</v>
      </c>
      <c r="C346">
        <v>100132596</v>
      </c>
      <c r="D346" t="s">
        <v>701</v>
      </c>
      <c r="E346" s="3" t="str">
        <f>HYPERLINK("http://genome.ucsc.edu/cgi-bin/hgTracks?db=hg19&amp;lastVirtModeType=default&amp;lastVirtModeExtraState=&amp;virtModeType=default&amp;virtMode=0&amp;nonVirtPosition=&amp;position=chrX:2752295-2774996","chrX:2752295-2774996")</f>
        <v>chrX:2752295-2774996</v>
      </c>
      <c r="F346" t="s">
        <v>27</v>
      </c>
      <c r="G346">
        <v>-0.52280613689380495</v>
      </c>
      <c r="H346">
        <v>0.107556636220888</v>
      </c>
      <c r="I346">
        <v>-4.86075202110377</v>
      </c>
      <c r="J346" s="1">
        <v>1.16940665100251E-6</v>
      </c>
      <c r="K346" s="1">
        <v>4.7729889320977398E-5</v>
      </c>
      <c r="L346" t="s">
        <v>23</v>
      </c>
      <c r="M346" t="s">
        <v>24</v>
      </c>
      <c r="N346">
        <v>294.33555439477601</v>
      </c>
      <c r="O346">
        <v>367.68555456078002</v>
      </c>
      <c r="P346">
        <v>220.985554228773</v>
      </c>
      <c r="Q346">
        <v>356.34617579062598</v>
      </c>
      <c r="R346">
        <v>379.024933330934</v>
      </c>
      <c r="S346">
        <v>222.94918800478001</v>
      </c>
      <c r="T346">
        <v>219.02192045276499</v>
      </c>
    </row>
    <row r="347" spans="1:20" x14ac:dyDescent="0.2">
      <c r="A347" t="s">
        <v>702</v>
      </c>
      <c r="B347" s="3" t="str">
        <f>HYPERLINK("http://www.ncbi.nlm.nih.gov/gene/332","BIRC5")</f>
        <v>BIRC5</v>
      </c>
      <c r="C347">
        <v>332</v>
      </c>
      <c r="D347" t="s">
        <v>703</v>
      </c>
      <c r="E347" s="3" t="str">
        <f>HYPERLINK("http://genome.ucsc.edu/cgi-bin/hgTracks?db=hg19&amp;lastVirtModeType=default&amp;lastVirtModeExtraState=&amp;virtModeType=default&amp;virtMode=0&amp;nonVirtPosition=&amp;position=chr17:78214195-78225635","chr17:78214195-78225635")</f>
        <v>chr17:78214195-78225635</v>
      </c>
      <c r="F347" t="s">
        <v>27</v>
      </c>
      <c r="G347">
        <v>-0.55087229680733196</v>
      </c>
      <c r="H347">
        <v>0.113417772087472</v>
      </c>
      <c r="I347">
        <v>-4.8570192013865396</v>
      </c>
      <c r="J347" s="1">
        <v>1.19166042349222E-6</v>
      </c>
      <c r="K347" s="1">
        <v>4.8493860675882199E-5</v>
      </c>
      <c r="L347" t="s">
        <v>23</v>
      </c>
      <c r="M347" t="s">
        <v>24</v>
      </c>
      <c r="N347">
        <v>215.789886104331</v>
      </c>
      <c r="O347">
        <v>277.66121030033003</v>
      </c>
      <c r="P347">
        <v>153.91856190833201</v>
      </c>
      <c r="Q347">
        <v>272.41908419514999</v>
      </c>
      <c r="R347">
        <v>282.90333640551</v>
      </c>
      <c r="S347">
        <v>159.81313476448801</v>
      </c>
      <c r="T347">
        <v>148.02398905217501</v>
      </c>
    </row>
    <row r="348" spans="1:20" x14ac:dyDescent="0.2">
      <c r="A348" t="s">
        <v>704</v>
      </c>
      <c r="B348" s="3" t="str">
        <f>HYPERLINK("http://www.ncbi.nlm.nih.gov/gene/26156","RSL1D1")</f>
        <v>RSL1D1</v>
      </c>
      <c r="C348">
        <v>26156</v>
      </c>
      <c r="D348" t="s">
        <v>705</v>
      </c>
      <c r="E348" s="3" t="str">
        <f>HYPERLINK("http://genome.ucsc.edu/cgi-bin/hgTracks?db=hg19&amp;lastVirtModeType=default&amp;lastVirtModeExtraState=&amp;virtModeType=default&amp;virtMode=0&amp;nonVirtPosition=&amp;position=chr16:11834195-11851585","chr16:11834195-11851585")</f>
        <v>chr16:11834195-11851585</v>
      </c>
      <c r="F348" t="s">
        <v>22</v>
      </c>
      <c r="G348">
        <v>0.22246986381704001</v>
      </c>
      <c r="H348">
        <v>4.5814618836331103E-2</v>
      </c>
      <c r="I348">
        <v>4.8558706689625701</v>
      </c>
      <c r="J348" s="1">
        <v>1.1985891547503999E-6</v>
      </c>
      <c r="K348" s="1">
        <v>4.8631513811381499E-5</v>
      </c>
      <c r="L348" t="s">
        <v>23</v>
      </c>
      <c r="M348" t="s">
        <v>24</v>
      </c>
      <c r="N348">
        <v>4725.0361250747201</v>
      </c>
      <c r="O348">
        <v>4345.8855580997397</v>
      </c>
      <c r="P348">
        <v>5104.1866920497096</v>
      </c>
      <c r="Q348">
        <v>4316.0538743443703</v>
      </c>
      <c r="R348">
        <v>4375.7172418550999</v>
      </c>
      <c r="S348">
        <v>5136.7098315968597</v>
      </c>
      <c r="T348">
        <v>5071.6635525025604</v>
      </c>
    </row>
    <row r="349" spans="1:20" x14ac:dyDescent="0.2">
      <c r="A349" t="s">
        <v>706</v>
      </c>
      <c r="B349" s="3" t="str">
        <f>HYPERLINK("http://www.ncbi.nlm.nih.gov/gene/55055","ZWILCH")</f>
        <v>ZWILCH</v>
      </c>
      <c r="C349">
        <v>55055</v>
      </c>
      <c r="D349" t="s">
        <v>707</v>
      </c>
      <c r="E349" s="3" t="str">
        <f>HYPERLINK("http://genome.ucsc.edu/cgi-bin/hgTracks?db=hg19&amp;lastVirtModeType=default&amp;lastVirtModeExtraState=&amp;virtModeType=default&amp;virtMode=0&amp;nonVirtPosition=&amp;position=chr15:66505082-66549484","chr15:66505082-66549484")</f>
        <v>chr15:66505082-66549484</v>
      </c>
      <c r="F349" t="s">
        <v>27</v>
      </c>
      <c r="G349">
        <v>-0.36831394244010301</v>
      </c>
      <c r="H349">
        <v>7.5904907521433695E-2</v>
      </c>
      <c r="I349">
        <v>-4.8523073733552797</v>
      </c>
      <c r="J349" s="1">
        <v>1.2203329160164E-6</v>
      </c>
      <c r="K349" s="1">
        <v>4.9367686165926199E-5</v>
      </c>
      <c r="L349" t="s">
        <v>23</v>
      </c>
      <c r="M349" t="s">
        <v>24</v>
      </c>
      <c r="N349">
        <v>1178.9184775240999</v>
      </c>
      <c r="O349">
        <v>1346.35267291843</v>
      </c>
      <c r="P349">
        <v>1011.48428212978</v>
      </c>
      <c r="Q349">
        <v>1352.46444325168</v>
      </c>
      <c r="R349">
        <v>1340.24090258518</v>
      </c>
      <c r="S349">
        <v>1079.23191007624</v>
      </c>
      <c r="T349">
        <v>943.736654183322</v>
      </c>
    </row>
    <row r="350" spans="1:20" x14ac:dyDescent="0.2">
      <c r="A350" t="s">
        <v>708</v>
      </c>
      <c r="B350" s="3" t="str">
        <f>HYPERLINK("http://www.ncbi.nlm.nih.gov/gene/10721","POLQ")</f>
        <v>POLQ</v>
      </c>
      <c r="C350">
        <v>10721</v>
      </c>
      <c r="D350" t="s">
        <v>709</v>
      </c>
      <c r="E350" s="3" t="str">
        <f>HYPERLINK("http://genome.ucsc.edu/cgi-bin/hgTracks?db=hg19&amp;lastVirtModeType=default&amp;lastVirtModeExtraState=&amp;virtModeType=default&amp;virtMode=0&amp;nonVirtPosition=&amp;position=chr3:121431425-121546006","chr3:121431425-121546006")</f>
        <v>chr3:121431425-121546006</v>
      </c>
      <c r="F350" t="s">
        <v>22</v>
      </c>
      <c r="G350">
        <v>-0.51018107758315601</v>
      </c>
      <c r="H350">
        <v>0.10522772373814</v>
      </c>
      <c r="I350">
        <v>-4.8483523111527802</v>
      </c>
      <c r="J350" s="1">
        <v>1.2449116212267601E-6</v>
      </c>
      <c r="K350" s="1">
        <v>5.0213876392658397E-5</v>
      </c>
      <c r="L350" t="s">
        <v>23</v>
      </c>
      <c r="M350" t="s">
        <v>24</v>
      </c>
      <c r="N350">
        <v>337.23460784839102</v>
      </c>
      <c r="O350">
        <v>416.76488816903299</v>
      </c>
      <c r="P350">
        <v>257.70432752774798</v>
      </c>
      <c r="Q350">
        <v>408.62862629272502</v>
      </c>
      <c r="R350">
        <v>424.90115004534101</v>
      </c>
      <c r="S350">
        <v>272.27422959875798</v>
      </c>
      <c r="T350">
        <v>243.134425456739</v>
      </c>
    </row>
    <row r="351" spans="1:20" x14ac:dyDescent="0.2">
      <c r="A351" t="s">
        <v>710</v>
      </c>
      <c r="B351" s="3" t="str">
        <f>HYPERLINK("http://www.ncbi.nlm.nih.gov/gene/427","ASAH1")</f>
        <v>ASAH1</v>
      </c>
      <c r="C351">
        <v>427</v>
      </c>
      <c r="D351" t="s">
        <v>711</v>
      </c>
      <c r="E351" s="3" t="str">
        <f>HYPERLINK("http://genome.ucsc.edu/cgi-bin/hgTracks?db=hg19&amp;lastVirtModeType=default&amp;lastVirtModeExtraState=&amp;virtModeType=default&amp;virtMode=0&amp;nonVirtPosition=&amp;position=chr8:18056298-18084370","chr8:18056298-18084370")</f>
        <v>chr8:18056298-18084370</v>
      </c>
      <c r="F351" t="s">
        <v>22</v>
      </c>
      <c r="G351">
        <v>0.24032802106654499</v>
      </c>
      <c r="H351">
        <v>4.96162240957626E-2</v>
      </c>
      <c r="I351">
        <v>4.8437386247429197</v>
      </c>
      <c r="J351" s="1">
        <v>1.27418527727803E-6</v>
      </c>
      <c r="K351" s="1">
        <v>5.1243920506131799E-5</v>
      </c>
      <c r="L351" t="s">
        <v>23</v>
      </c>
      <c r="M351" t="s">
        <v>24</v>
      </c>
      <c r="N351">
        <v>4210.4357787141698</v>
      </c>
      <c r="O351">
        <v>3842.8252535721399</v>
      </c>
      <c r="P351">
        <v>4578.0463038561902</v>
      </c>
      <c r="Q351">
        <v>3727.1883792154599</v>
      </c>
      <c r="R351">
        <v>3958.4621279288299</v>
      </c>
      <c r="S351">
        <v>4521.1333125040101</v>
      </c>
      <c r="T351">
        <v>4634.9592952083703</v>
      </c>
    </row>
    <row r="352" spans="1:20" x14ac:dyDescent="0.2">
      <c r="A352" t="s">
        <v>712</v>
      </c>
      <c r="B352" s="3" t="str">
        <f>HYPERLINK("http://www.ncbi.nlm.nih.gov/gene/88455","ANKRD13A")</f>
        <v>ANKRD13A</v>
      </c>
      <c r="C352">
        <v>88455</v>
      </c>
      <c r="D352" t="s">
        <v>713</v>
      </c>
      <c r="E352" s="3" t="str">
        <f>HYPERLINK("http://genome.ucsc.edu/cgi-bin/hgTracks?db=hg19&amp;lastVirtModeType=default&amp;lastVirtModeExtraState=&amp;virtModeType=default&amp;virtMode=0&amp;nonVirtPosition=&amp;position=chr12:109999429-110039430","chr12:109999429-110039430")</f>
        <v>chr12:109999429-110039430</v>
      </c>
      <c r="F352" t="s">
        <v>27</v>
      </c>
      <c r="G352">
        <v>-0.25816490547410498</v>
      </c>
      <c r="H352">
        <v>5.33128683542776E-2</v>
      </c>
      <c r="I352">
        <v>-4.8424501146427499</v>
      </c>
      <c r="J352" s="1">
        <v>1.28247839359793E-6</v>
      </c>
      <c r="K352" s="1">
        <v>5.1426633595912402E-5</v>
      </c>
      <c r="L352" t="s">
        <v>23</v>
      </c>
      <c r="M352" t="s">
        <v>24</v>
      </c>
      <c r="N352">
        <v>4201.44160382468</v>
      </c>
      <c r="O352">
        <v>4597.9574185001002</v>
      </c>
      <c r="P352">
        <v>3804.9257891492598</v>
      </c>
      <c r="Q352">
        <v>4430.2497530726396</v>
      </c>
      <c r="R352">
        <v>4765.6650839275599</v>
      </c>
      <c r="S352">
        <v>3668.7965937600802</v>
      </c>
      <c r="T352">
        <v>3941.0549845384398</v>
      </c>
    </row>
    <row r="353" spans="1:20" x14ac:dyDescent="0.2">
      <c r="A353" t="s">
        <v>714</v>
      </c>
      <c r="B353" s="3" t="str">
        <f>HYPERLINK("http://www.ncbi.nlm.nih.gov/gene/51447","IP6K2")</f>
        <v>IP6K2</v>
      </c>
      <c r="C353">
        <v>51447</v>
      </c>
      <c r="D353" t="s">
        <v>715</v>
      </c>
      <c r="E353" s="3" t="str">
        <f>HYPERLINK("http://genome.ucsc.edu/cgi-bin/hgTracks?db=hg19&amp;lastVirtModeType=default&amp;lastVirtModeExtraState=&amp;virtModeType=default&amp;virtMode=0&amp;nonVirtPosition=&amp;position=chr3:48693450-48717278","chr3:48693450-48717278")</f>
        <v>chr3:48693450-48717278</v>
      </c>
      <c r="F353" t="s">
        <v>22</v>
      </c>
      <c r="G353">
        <v>-0.28411055749366099</v>
      </c>
      <c r="H353">
        <v>5.9050395043297399E-2</v>
      </c>
      <c r="I353">
        <v>-4.8113235700682901</v>
      </c>
      <c r="J353" s="1">
        <v>1.49934053744043E-6</v>
      </c>
      <c r="K353" s="1">
        <v>5.9947393966350198E-5</v>
      </c>
      <c r="L353" t="s">
        <v>23</v>
      </c>
      <c r="M353" t="s">
        <v>24</v>
      </c>
      <c r="N353">
        <v>2097.7998378102702</v>
      </c>
      <c r="O353">
        <v>2317.43161375709</v>
      </c>
      <c r="P353">
        <v>1878.16806186345</v>
      </c>
      <c r="Q353">
        <v>2327.9449013040098</v>
      </c>
      <c r="R353">
        <v>2306.9183262101801</v>
      </c>
      <c r="S353">
        <v>1917.7576171738599</v>
      </c>
      <c r="T353">
        <v>1838.5785065530299</v>
      </c>
    </row>
    <row r="354" spans="1:20" x14ac:dyDescent="0.2">
      <c r="A354" t="s">
        <v>716</v>
      </c>
      <c r="B354" s="3" t="str">
        <f>HYPERLINK("http://www.ncbi.nlm.nih.gov/gene/64208","POPDC3")</f>
        <v>POPDC3</v>
      </c>
      <c r="C354">
        <v>64208</v>
      </c>
      <c r="D354" t="s">
        <v>717</v>
      </c>
      <c r="E354" s="3" t="str">
        <f>HYPERLINK("http://genome.ucsc.edu/cgi-bin/hgTracks?db=hg19&amp;lastVirtModeType=default&amp;lastVirtModeExtraState=&amp;virtModeType=default&amp;virtMode=0&amp;nonVirtPosition=&amp;position=chr6:105157899-105179983","chr6:105157899-105179983")</f>
        <v>chr6:105157899-105179983</v>
      </c>
      <c r="F354" t="s">
        <v>22</v>
      </c>
      <c r="G354">
        <v>0.29220643828194898</v>
      </c>
      <c r="H354">
        <v>6.0830602387566997E-2</v>
      </c>
      <c r="I354">
        <v>4.8036091508716101</v>
      </c>
      <c r="J354" s="1">
        <v>1.5583087678726399E-6</v>
      </c>
      <c r="K354" s="1">
        <v>6.2091569291855599E-5</v>
      </c>
      <c r="L354" t="s">
        <v>23</v>
      </c>
      <c r="M354" t="s">
        <v>24</v>
      </c>
      <c r="N354">
        <v>1967.65487590972</v>
      </c>
      <c r="O354">
        <v>1753.2869432200901</v>
      </c>
      <c r="P354">
        <v>2182.0228085993499</v>
      </c>
      <c r="Q354">
        <v>1761.0930695443999</v>
      </c>
      <c r="R354">
        <v>1745.48081689577</v>
      </c>
      <c r="S354">
        <v>2233.4378833753199</v>
      </c>
      <c r="T354">
        <v>2130.6077338233799</v>
      </c>
    </row>
    <row r="355" spans="1:20" x14ac:dyDescent="0.2">
      <c r="A355" t="s">
        <v>718</v>
      </c>
      <c r="B355" s="3" t="str">
        <f>HYPERLINK("http://www.ncbi.nlm.nih.gov/gene/3908","LAMA2")</f>
        <v>LAMA2</v>
      </c>
      <c r="C355">
        <v>3908</v>
      </c>
      <c r="D355" t="s">
        <v>719</v>
      </c>
      <c r="E355" s="3" t="str">
        <f>HYPERLINK("http://genome.ucsc.edu/cgi-bin/hgTracks?db=hg19&amp;lastVirtModeType=default&amp;lastVirtModeExtraState=&amp;virtModeType=default&amp;virtMode=0&amp;nonVirtPosition=&amp;position=chr6:128883140-129516565","chr6:128883140-129516565")</f>
        <v>chr6:128883140-129516565</v>
      </c>
      <c r="F355" t="s">
        <v>27</v>
      </c>
      <c r="G355">
        <v>-0.47343593993470301</v>
      </c>
      <c r="H355">
        <v>9.8568159206470801E-2</v>
      </c>
      <c r="I355">
        <v>-4.8031326114450099</v>
      </c>
      <c r="J355" s="1">
        <v>1.5620235821561999E-6</v>
      </c>
      <c r="K355" s="1">
        <v>6.2091569291855599E-5</v>
      </c>
      <c r="L355" t="s">
        <v>23</v>
      </c>
      <c r="M355" t="s">
        <v>24</v>
      </c>
      <c r="N355">
        <v>466.923310224727</v>
      </c>
      <c r="O355">
        <v>564.60689303095603</v>
      </c>
      <c r="P355">
        <v>369.23972741849798</v>
      </c>
      <c r="Q355">
        <v>544.83816839029998</v>
      </c>
      <c r="R355">
        <v>584.37561767161299</v>
      </c>
      <c r="S355">
        <v>343.30228949408598</v>
      </c>
      <c r="T355">
        <v>395.17716534290997</v>
      </c>
    </row>
    <row r="356" spans="1:20" x14ac:dyDescent="0.2">
      <c r="A356" t="s">
        <v>720</v>
      </c>
      <c r="B356" s="3" t="str">
        <f>HYPERLINK("http://www.ncbi.nlm.nih.gov/gene/85450","ITPRIP")</f>
        <v>ITPRIP</v>
      </c>
      <c r="C356">
        <v>85450</v>
      </c>
      <c r="D356" t="s">
        <v>721</v>
      </c>
      <c r="E356" s="3" t="str">
        <f>HYPERLINK("http://genome.ucsc.edu/cgi-bin/hgTracks?db=hg19&amp;lastVirtModeType=default&amp;lastVirtModeExtraState=&amp;virtModeType=default&amp;virtMode=0&amp;nonVirtPosition=&amp;position=chr10:104309695-104338493","chr10:104309695-104338493")</f>
        <v>chr10:104309695-104338493</v>
      </c>
      <c r="F356" t="s">
        <v>22</v>
      </c>
      <c r="G356">
        <v>0.274965733779092</v>
      </c>
      <c r="H356">
        <v>5.73197443149406E-2</v>
      </c>
      <c r="I356">
        <v>4.79705094754621</v>
      </c>
      <c r="J356" s="1">
        <v>1.6101865754777299E-6</v>
      </c>
      <c r="K356" s="1">
        <v>6.3821094497403403E-5</v>
      </c>
      <c r="L356" t="s">
        <v>23</v>
      </c>
      <c r="M356" t="s">
        <v>24</v>
      </c>
      <c r="N356">
        <v>3475.3477864717602</v>
      </c>
      <c r="O356">
        <v>3120.1203931822502</v>
      </c>
      <c r="P356">
        <v>3830.5751797612702</v>
      </c>
      <c r="Q356">
        <v>3042.01310684584</v>
      </c>
      <c r="R356">
        <v>3198.2276795186599</v>
      </c>
      <c r="S356">
        <v>4028.8693973961099</v>
      </c>
      <c r="T356">
        <v>3632.28096212644</v>
      </c>
    </row>
    <row r="357" spans="1:20" x14ac:dyDescent="0.2">
      <c r="A357" t="s">
        <v>722</v>
      </c>
      <c r="B357" s="3" t="str">
        <f>HYPERLINK("http://www.ncbi.nlm.nih.gov/gene/84913","ATOH8")</f>
        <v>ATOH8</v>
      </c>
      <c r="C357">
        <v>84913</v>
      </c>
      <c r="D357" t="s">
        <v>723</v>
      </c>
      <c r="E357" s="3" t="str">
        <f>HYPERLINK("http://genome.ucsc.edu/cgi-bin/hgTracks?db=hg19&amp;lastVirtModeType=default&amp;lastVirtModeExtraState=&amp;virtModeType=default&amp;virtMode=0&amp;nonVirtPosition=&amp;position=chr2:85753785-85791383","chr2:85753785-85791383")</f>
        <v>chr2:85753785-85791383</v>
      </c>
      <c r="F357" t="s">
        <v>27</v>
      </c>
      <c r="G357">
        <v>-0.33357518251482199</v>
      </c>
      <c r="H357">
        <v>6.9805548895885097E-2</v>
      </c>
      <c r="I357">
        <v>-4.7786341886996597</v>
      </c>
      <c r="J357" s="1">
        <v>1.76489958347856E-6</v>
      </c>
      <c r="K357" s="1">
        <v>6.9751679792002695E-5</v>
      </c>
      <c r="L357" t="s">
        <v>23</v>
      </c>
      <c r="M357" t="s">
        <v>24</v>
      </c>
      <c r="N357">
        <v>1444.5965826479</v>
      </c>
      <c r="O357">
        <v>1630.2891489844999</v>
      </c>
      <c r="P357">
        <v>1258.9040163113</v>
      </c>
      <c r="Q357">
        <v>1659.2798764613699</v>
      </c>
      <c r="R357">
        <v>1601.2984215076301</v>
      </c>
      <c r="S357">
        <v>1195.6390082380201</v>
      </c>
      <c r="T357">
        <v>1322.1690243845801</v>
      </c>
    </row>
    <row r="358" spans="1:20" x14ac:dyDescent="0.2">
      <c r="A358" t="s">
        <v>724</v>
      </c>
      <c r="B358" s="3" t="str">
        <f>HYPERLINK("http://www.ncbi.nlm.nih.gov/gene/7423","VEGFB")</f>
        <v>VEGFB</v>
      </c>
      <c r="C358">
        <v>7423</v>
      </c>
      <c r="D358" t="s">
        <v>725</v>
      </c>
      <c r="E358" s="3" t="str">
        <f>HYPERLINK("http://genome.ucsc.edu/cgi-bin/hgTracks?db=hg19&amp;lastVirtModeType=default&amp;lastVirtModeExtraState=&amp;virtModeType=default&amp;virtMode=0&amp;nonVirtPosition=&amp;position=chr11:64234583-64239264","chr11:64234583-64239264")</f>
        <v>chr11:64234583-64239264</v>
      </c>
      <c r="F358" t="s">
        <v>27</v>
      </c>
      <c r="G358">
        <v>0.298520917246969</v>
      </c>
      <c r="H358">
        <v>6.2664399336873802E-2</v>
      </c>
      <c r="I358">
        <v>4.7638040164107904</v>
      </c>
      <c r="J358" s="1">
        <v>1.8997702852541699E-6</v>
      </c>
      <c r="K358" s="1">
        <v>7.4866234747056494E-5</v>
      </c>
      <c r="L358" t="s">
        <v>23</v>
      </c>
      <c r="M358" t="s">
        <v>24</v>
      </c>
      <c r="N358">
        <v>1849.67961686075</v>
      </c>
      <c r="O358">
        <v>1644.93525571391</v>
      </c>
      <c r="P358">
        <v>2054.42397800758</v>
      </c>
      <c r="Q358">
        <v>1668.91085418544</v>
      </c>
      <c r="R358">
        <v>1620.95965724238</v>
      </c>
      <c r="S358">
        <v>1997.6641845561001</v>
      </c>
      <c r="T358">
        <v>2111.1837714590702</v>
      </c>
    </row>
    <row r="359" spans="1:20" x14ac:dyDescent="0.2">
      <c r="A359" t="s">
        <v>726</v>
      </c>
      <c r="B359" s="3" t="str">
        <f>HYPERLINK("http://www.ncbi.nlm.nih.gov/gene/5993","RFX5")</f>
        <v>RFX5</v>
      </c>
      <c r="C359">
        <v>5993</v>
      </c>
      <c r="D359" t="s">
        <v>727</v>
      </c>
      <c r="E359" s="3" t="str">
        <f>HYPERLINK("http://genome.ucsc.edu/cgi-bin/hgTracks?db=hg19&amp;lastVirtModeType=default&amp;lastVirtModeExtraState=&amp;virtModeType=default&amp;virtMode=0&amp;nonVirtPosition=&amp;position=chr1:151340639-151347293","chr1:151340639-151347293")</f>
        <v>chr1:151340639-151347293</v>
      </c>
      <c r="F359" t="s">
        <v>22</v>
      </c>
      <c r="G359">
        <v>-0.34083050735308901</v>
      </c>
      <c r="H359">
        <v>7.1692613846188899E-2</v>
      </c>
      <c r="I359">
        <v>-4.75405329877238</v>
      </c>
      <c r="J359" s="1">
        <v>1.99378439383364E-6</v>
      </c>
      <c r="K359" s="1">
        <v>7.8346014833909707E-5</v>
      </c>
      <c r="L359" t="s">
        <v>23</v>
      </c>
      <c r="M359" t="s">
        <v>24</v>
      </c>
      <c r="N359">
        <v>1233.8121588177801</v>
      </c>
      <c r="O359">
        <v>1395.3162893265101</v>
      </c>
      <c r="P359">
        <v>1072.3080283090501</v>
      </c>
      <c r="Q359">
        <v>1446.02251257123</v>
      </c>
      <c r="R359">
        <v>1344.6100660817899</v>
      </c>
      <c r="S359">
        <v>1093.0429217225501</v>
      </c>
      <c r="T359">
        <v>1051.5731348955401</v>
      </c>
    </row>
    <row r="360" spans="1:20" x14ac:dyDescent="0.2">
      <c r="A360" t="s">
        <v>728</v>
      </c>
      <c r="B360" s="3" t="str">
        <f>HYPERLINK("http://www.ncbi.nlm.nih.gov/gene/900","CCNG1")</f>
        <v>CCNG1</v>
      </c>
      <c r="C360">
        <v>900</v>
      </c>
      <c r="D360" t="s">
        <v>729</v>
      </c>
      <c r="E360" s="3" t="str">
        <f>HYPERLINK("http://genome.ucsc.edu/cgi-bin/hgTracks?db=hg19&amp;lastVirtModeType=default&amp;lastVirtModeExtraState=&amp;virtModeType=default&amp;virtMode=0&amp;nonVirtPosition=&amp;position=chr5:163437570-163445016","chr5:163437570-163445016")</f>
        <v>chr5:163437570-163445016</v>
      </c>
      <c r="F360" t="s">
        <v>27</v>
      </c>
      <c r="G360">
        <v>-0.226289463041628</v>
      </c>
      <c r="H360">
        <v>4.7623175293420902E-2</v>
      </c>
      <c r="I360">
        <v>-4.7516668438714902</v>
      </c>
      <c r="J360" s="1">
        <v>2.0174658868905801E-6</v>
      </c>
      <c r="K360" s="1">
        <v>7.9050077636621006E-5</v>
      </c>
      <c r="L360" t="s">
        <v>23</v>
      </c>
      <c r="M360" t="s">
        <v>24</v>
      </c>
      <c r="N360">
        <v>4106.8057725091003</v>
      </c>
      <c r="O360">
        <v>4443.4453048863397</v>
      </c>
      <c r="P360">
        <v>3770.1662401318599</v>
      </c>
      <c r="Q360">
        <v>4478.4046416929996</v>
      </c>
      <c r="R360">
        <v>4408.4859680796799</v>
      </c>
      <c r="S360">
        <v>3733.9056486641298</v>
      </c>
      <c r="T360">
        <v>3806.4268315995901</v>
      </c>
    </row>
    <row r="361" spans="1:20" x14ac:dyDescent="0.2">
      <c r="A361" t="s">
        <v>730</v>
      </c>
      <c r="B361" s="3" t="str">
        <f>HYPERLINK("http://www.ncbi.nlm.nih.gov/gene/80381","CD276")</f>
        <v>CD276</v>
      </c>
      <c r="C361">
        <v>80381</v>
      </c>
      <c r="D361" t="s">
        <v>731</v>
      </c>
      <c r="E361" s="3" t="str">
        <f>HYPERLINK("http://genome.ucsc.edu/cgi-bin/hgTracks?db=hg19&amp;lastVirtModeType=default&amp;lastVirtModeExtraState=&amp;virtModeType=default&amp;virtMode=0&amp;nonVirtPosition=&amp;position=chr15:73684730-73714518","chr15:73684730-73714518")</f>
        <v>chr15:73684730-73714518</v>
      </c>
      <c r="F361" t="s">
        <v>27</v>
      </c>
      <c r="G361">
        <v>0.190188403652993</v>
      </c>
      <c r="H361">
        <v>4.0052489149497002E-2</v>
      </c>
      <c r="I361">
        <v>4.7484790007210202</v>
      </c>
      <c r="J361" s="1">
        <v>2.0495216348885299E-6</v>
      </c>
      <c r="K361" s="1">
        <v>8.0077321085075099E-5</v>
      </c>
      <c r="L361" t="s">
        <v>23</v>
      </c>
      <c r="M361" t="s">
        <v>24</v>
      </c>
      <c r="N361">
        <v>13889.9851719203</v>
      </c>
      <c r="O361">
        <v>12948.761498777199</v>
      </c>
      <c r="P361">
        <v>14831.2088450635</v>
      </c>
      <c r="Q361">
        <v>12838.0933061866</v>
      </c>
      <c r="R361">
        <v>13059.429691367801</v>
      </c>
      <c r="S361">
        <v>14604.158315145</v>
      </c>
      <c r="T361">
        <v>15058.259374981901</v>
      </c>
    </row>
    <row r="362" spans="1:20" x14ac:dyDescent="0.2">
      <c r="A362" t="s">
        <v>732</v>
      </c>
      <c r="B362" s="3" t="str">
        <f>HYPERLINK("http://www.ncbi.nlm.nih.gov/gene/5959","RDH5")</f>
        <v>RDH5</v>
      </c>
      <c r="C362">
        <v>5959</v>
      </c>
      <c r="D362" t="s">
        <v>733</v>
      </c>
      <c r="E362" s="3" t="str">
        <f>HYPERLINK("http://genome.ucsc.edu/cgi-bin/hgTracks?db=hg19&amp;lastVirtModeType=default&amp;lastVirtModeExtraState=&amp;virtModeType=default&amp;virtMode=0&amp;nonVirtPosition=&amp;position=chr12:55720366-55724742","chr12:55720366-55724742")</f>
        <v>chr12:55720366-55724742</v>
      </c>
      <c r="F362" t="s">
        <v>27</v>
      </c>
      <c r="G362">
        <v>-0.49924728801990298</v>
      </c>
      <c r="H362">
        <v>0.10524556552164401</v>
      </c>
      <c r="I362">
        <v>-4.7436420294328698</v>
      </c>
      <c r="J362" s="1">
        <v>2.09909648943547E-6</v>
      </c>
      <c r="K362" s="1">
        <v>8.1781276295789696E-5</v>
      </c>
      <c r="L362" t="s">
        <v>23</v>
      </c>
      <c r="M362" t="s">
        <v>24</v>
      </c>
      <c r="N362">
        <v>340.85408025279099</v>
      </c>
      <c r="O362">
        <v>419.86310138396999</v>
      </c>
      <c r="P362">
        <v>261.84505912161302</v>
      </c>
      <c r="Q362">
        <v>433.39399758319303</v>
      </c>
      <c r="R362">
        <v>406.33220518474701</v>
      </c>
      <c r="S362">
        <v>277.20673375815602</v>
      </c>
      <c r="T362">
        <v>246.483384485069</v>
      </c>
    </row>
    <row r="363" spans="1:20" x14ac:dyDescent="0.2">
      <c r="A363" t="s">
        <v>734</v>
      </c>
      <c r="B363" s="3" t="str">
        <f>HYPERLINK("http://www.ncbi.nlm.nih.gov/gene/5915","RARB")</f>
        <v>RARB</v>
      </c>
      <c r="C363">
        <v>5915</v>
      </c>
      <c r="D363" t="s">
        <v>735</v>
      </c>
      <c r="E363" s="3" t="str">
        <f>HYPERLINK("http://genome.ucsc.edu/cgi-bin/hgTracks?db=hg19&amp;lastVirtModeType=default&amp;lastVirtModeExtraState=&amp;virtModeType=default&amp;virtMode=0&amp;nonVirtPosition=&amp;position=chr3:25428262-25597931","chr3:25428262-25597931")</f>
        <v>chr3:25428262-25597931</v>
      </c>
      <c r="F363" t="s">
        <v>27</v>
      </c>
      <c r="G363">
        <v>-0.54044814253453</v>
      </c>
      <c r="H363">
        <v>0.113950276714311</v>
      </c>
      <c r="I363">
        <v>-4.74284186153848</v>
      </c>
      <c r="J363" s="1">
        <v>2.10740777249815E-6</v>
      </c>
      <c r="K363" s="1">
        <v>8.1872493461868499E-5</v>
      </c>
      <c r="L363" t="s">
        <v>23</v>
      </c>
      <c r="M363" t="s">
        <v>24</v>
      </c>
      <c r="N363">
        <v>214.96722318395101</v>
      </c>
      <c r="O363">
        <v>277.01524479160298</v>
      </c>
      <c r="P363">
        <v>152.9192015763</v>
      </c>
      <c r="Q363">
        <v>282.05006191922098</v>
      </c>
      <c r="R363">
        <v>271.98042766398402</v>
      </c>
      <c r="S363">
        <v>141.069618958777</v>
      </c>
      <c r="T363">
        <v>164.768784193823</v>
      </c>
    </row>
    <row r="364" spans="1:20" x14ac:dyDescent="0.2">
      <c r="A364" t="s">
        <v>736</v>
      </c>
      <c r="B364" s="3" t="str">
        <f>HYPERLINK("http://www.ncbi.nlm.nih.gov/gene/7358","UGDH")</f>
        <v>UGDH</v>
      </c>
      <c r="C364">
        <v>7358</v>
      </c>
      <c r="D364" t="s">
        <v>737</v>
      </c>
      <c r="E364" s="3" t="str">
        <f>HYPERLINK("http://genome.ucsc.edu/cgi-bin/hgTracks?db=hg19&amp;lastVirtModeType=default&amp;lastVirtModeExtraState=&amp;virtModeType=default&amp;virtMode=0&amp;nonVirtPosition=&amp;position=chr4:39498754-39527598","chr4:39498754-39527598")</f>
        <v>chr4:39498754-39527598</v>
      </c>
      <c r="F364" t="s">
        <v>22</v>
      </c>
      <c r="G364">
        <v>0.20797651103362699</v>
      </c>
      <c r="H364">
        <v>4.3911471546929703E-2</v>
      </c>
      <c r="I364">
        <v>4.7362683077326597</v>
      </c>
      <c r="J364" s="1">
        <v>2.1768934915120899E-6</v>
      </c>
      <c r="K364" s="1">
        <v>8.4333099837844E-5</v>
      </c>
      <c r="L364" t="s">
        <v>23</v>
      </c>
      <c r="M364" t="s">
        <v>24</v>
      </c>
      <c r="N364">
        <v>12183.680672730499</v>
      </c>
      <c r="O364">
        <v>11271.142732395399</v>
      </c>
      <c r="P364">
        <v>13096.218613065699</v>
      </c>
      <c r="Q364">
        <v>10905.018491569501</v>
      </c>
      <c r="R364">
        <v>11637.2669732212</v>
      </c>
      <c r="S364">
        <v>13302.9637178958</v>
      </c>
      <c r="T364">
        <v>12889.4735082355</v>
      </c>
    </row>
    <row r="365" spans="1:20" x14ac:dyDescent="0.2">
      <c r="A365" t="s">
        <v>738</v>
      </c>
      <c r="B365" s="3" t="str">
        <f>HYPERLINK("http://www.ncbi.nlm.nih.gov/gene/9469","CHST3")</f>
        <v>CHST3</v>
      </c>
      <c r="C365">
        <v>9469</v>
      </c>
      <c r="D365" t="s">
        <v>739</v>
      </c>
      <c r="E365" s="3" t="str">
        <f>HYPERLINK("http://genome.ucsc.edu/cgi-bin/hgTracks?db=hg19&amp;lastVirtModeType=default&amp;lastVirtModeExtraState=&amp;virtModeType=default&amp;virtMode=0&amp;nonVirtPosition=&amp;position=chr10:71964361-72013564","chr10:71964361-72013564")</f>
        <v>chr10:71964361-72013564</v>
      </c>
      <c r="F365" t="s">
        <v>27</v>
      </c>
      <c r="G365">
        <v>0.20969852314581799</v>
      </c>
      <c r="H365">
        <v>4.4309477859334701E-2</v>
      </c>
      <c r="I365">
        <v>4.7325884500722104</v>
      </c>
      <c r="J365" s="1">
        <v>2.2167465567925702E-6</v>
      </c>
      <c r="K365" s="1">
        <v>8.5509603401978703E-5</v>
      </c>
      <c r="L365" t="s">
        <v>23</v>
      </c>
      <c r="M365" t="s">
        <v>24</v>
      </c>
      <c r="N365">
        <v>7795.5240717245697</v>
      </c>
      <c r="O365">
        <v>7210.3005457508798</v>
      </c>
      <c r="P365">
        <v>8380.7475976982696</v>
      </c>
      <c r="Q365">
        <v>7150.3130331423999</v>
      </c>
      <c r="R365">
        <v>7270.2880583593496</v>
      </c>
      <c r="S365">
        <v>8140.6048646701101</v>
      </c>
      <c r="T365">
        <v>8620.89033072643</v>
      </c>
    </row>
    <row r="366" spans="1:20" x14ac:dyDescent="0.2">
      <c r="A366" t="s">
        <v>740</v>
      </c>
      <c r="B366" s="3" t="str">
        <f>HYPERLINK("http://www.ncbi.nlm.nih.gov/gene/9768","KIAA0101")</f>
        <v>KIAA0101</v>
      </c>
      <c r="C366">
        <v>9768</v>
      </c>
      <c r="D366" t="s">
        <v>741</v>
      </c>
      <c r="E366" s="3" t="str">
        <f>HYPERLINK("http://genome.ucsc.edu/cgi-bin/hgTracks?db=hg19&amp;lastVirtModeType=default&amp;lastVirtModeExtraState=&amp;virtModeType=default&amp;virtMode=0&amp;nonVirtPosition=&amp;position=chr15:64365011-64381510","chr15:64365011-64381510")</f>
        <v>chr15:64365011-64381510</v>
      </c>
      <c r="F366" t="s">
        <v>22</v>
      </c>
      <c r="G366">
        <v>-0.50592041488070505</v>
      </c>
      <c r="H366">
        <v>0.10690758908735901</v>
      </c>
      <c r="I366">
        <v>-4.7323152565651503</v>
      </c>
      <c r="J366" s="1">
        <v>2.2197330327478802E-6</v>
      </c>
      <c r="K366" s="1">
        <v>8.5509603401978703E-5</v>
      </c>
      <c r="L366" t="s">
        <v>23</v>
      </c>
      <c r="M366" t="s">
        <v>24</v>
      </c>
      <c r="N366">
        <v>339.87640418008101</v>
      </c>
      <c r="O366">
        <v>420.97637299390499</v>
      </c>
      <c r="P366">
        <v>258.77643536625698</v>
      </c>
      <c r="Q366">
        <v>438.89741342552003</v>
      </c>
      <c r="R366">
        <v>403.05533256229</v>
      </c>
      <c r="S366">
        <v>283.12573874943303</v>
      </c>
      <c r="T366">
        <v>234.42713198308201</v>
      </c>
    </row>
    <row r="367" spans="1:20" x14ac:dyDescent="0.2">
      <c r="A367" t="s">
        <v>742</v>
      </c>
      <c r="B367" s="3" t="str">
        <f>HYPERLINK("http://www.ncbi.nlm.nih.gov/gene/23649","POLA2")</f>
        <v>POLA2</v>
      </c>
      <c r="C367">
        <v>23649</v>
      </c>
      <c r="D367" t="s">
        <v>743</v>
      </c>
      <c r="E367" s="3" t="str">
        <f>HYPERLINK("http://genome.ucsc.edu/cgi-bin/hgTracks?db=hg19&amp;lastVirtModeType=default&amp;lastVirtModeExtraState=&amp;virtModeType=default&amp;virtMode=0&amp;nonVirtPosition=&amp;position=chr11:65261851-65298685","chr11:65261851-65298685")</f>
        <v>chr11:65261851-65298685</v>
      </c>
      <c r="F367" t="s">
        <v>27</v>
      </c>
      <c r="G367">
        <v>-0.36460847452530898</v>
      </c>
      <c r="H367">
        <v>7.7079391298728997E-2</v>
      </c>
      <c r="I367">
        <v>-4.7302977927294698</v>
      </c>
      <c r="J367" s="1">
        <v>2.2419073183795298E-6</v>
      </c>
      <c r="K367" s="1">
        <v>8.61218962584227E-5</v>
      </c>
      <c r="L367" t="s">
        <v>23</v>
      </c>
      <c r="M367" t="s">
        <v>24</v>
      </c>
      <c r="N367">
        <v>1004.16258277065</v>
      </c>
      <c r="O367">
        <v>1146.55882571966</v>
      </c>
      <c r="P367">
        <v>861.76633982163696</v>
      </c>
      <c r="Q367">
        <v>1162.59659669142</v>
      </c>
      <c r="R367">
        <v>1130.52105474789</v>
      </c>
      <c r="S367">
        <v>899.68875867415704</v>
      </c>
      <c r="T367">
        <v>823.84392096911699</v>
      </c>
    </row>
    <row r="368" spans="1:20" x14ac:dyDescent="0.2">
      <c r="A368" t="s">
        <v>744</v>
      </c>
      <c r="B368" s="3" t="str">
        <f>HYPERLINK("http://www.ncbi.nlm.nih.gov/gene/4343","MOV10")</f>
        <v>MOV10</v>
      </c>
      <c r="C368">
        <v>4343</v>
      </c>
      <c r="D368" t="s">
        <v>745</v>
      </c>
      <c r="E368" s="3" t="str">
        <f>HYPERLINK("http://genome.ucsc.edu/cgi-bin/hgTracks?db=hg19&amp;lastVirtModeType=default&amp;lastVirtModeExtraState=&amp;virtModeType=default&amp;virtMode=0&amp;nonVirtPosition=&amp;position=chr1:112674311-112700746","chr1:112674311-112700746")</f>
        <v>chr1:112674311-112700746</v>
      </c>
      <c r="F368" t="s">
        <v>27</v>
      </c>
      <c r="G368">
        <v>-0.32859439080073499</v>
      </c>
      <c r="H368">
        <v>6.9588270311472203E-2</v>
      </c>
      <c r="I368">
        <v>-4.7219795711255603</v>
      </c>
      <c r="J368" s="1">
        <v>2.3356014708082098E-6</v>
      </c>
      <c r="K368" s="1">
        <v>8.9470498800736794E-5</v>
      </c>
      <c r="L368" t="s">
        <v>23</v>
      </c>
      <c r="M368" t="s">
        <v>24</v>
      </c>
      <c r="N368">
        <v>1472.63114931208</v>
      </c>
      <c r="O368">
        <v>1658.35745724047</v>
      </c>
      <c r="P368">
        <v>1286.9048413836899</v>
      </c>
      <c r="Q368">
        <v>1751.46209182033</v>
      </c>
      <c r="R368">
        <v>1565.2528226606</v>
      </c>
      <c r="S368">
        <v>1282.45108144343</v>
      </c>
      <c r="T368">
        <v>1291.3586013239501</v>
      </c>
    </row>
    <row r="369" spans="1:20" x14ac:dyDescent="0.2">
      <c r="A369" t="s">
        <v>746</v>
      </c>
      <c r="B369" s="3" t="str">
        <f>HYPERLINK("http://www.ncbi.nlm.nih.gov/gene/55355","HJURP")</f>
        <v>HJURP</v>
      </c>
      <c r="C369">
        <v>55355</v>
      </c>
      <c r="D369" t="s">
        <v>747</v>
      </c>
      <c r="E369" s="3" t="str">
        <f>HYPERLINK("http://genome.ucsc.edu/cgi-bin/hgTracks?db=hg19&amp;lastVirtModeType=default&amp;lastVirtModeExtraState=&amp;virtModeType=default&amp;virtMode=0&amp;nonVirtPosition=&amp;position=chr2:233836700-233854566","chr2:233836700-233854566")</f>
        <v>chr2:233836700-233854566</v>
      </c>
      <c r="F369" t="s">
        <v>22</v>
      </c>
      <c r="G369">
        <v>-0.47826634636595899</v>
      </c>
      <c r="H369">
        <v>0.10130613360934999</v>
      </c>
      <c r="I369">
        <v>-4.7210008844106097</v>
      </c>
      <c r="J369" s="1">
        <v>2.3468691837798099E-6</v>
      </c>
      <c r="K369" s="1">
        <v>8.9651710268401805E-5</v>
      </c>
      <c r="L369" t="s">
        <v>23</v>
      </c>
      <c r="M369" t="s">
        <v>24</v>
      </c>
      <c r="N369">
        <v>390.76102913868402</v>
      </c>
      <c r="O369">
        <v>474.17818487664499</v>
      </c>
      <c r="P369">
        <v>307.343873400723</v>
      </c>
      <c r="Q369">
        <v>462.28693075540599</v>
      </c>
      <c r="R369">
        <v>486.06943899788303</v>
      </c>
      <c r="S369">
        <v>318.639768697097</v>
      </c>
      <c r="T369">
        <v>296.047978104349</v>
      </c>
    </row>
    <row r="370" spans="1:20" x14ac:dyDescent="0.2">
      <c r="A370" t="s">
        <v>748</v>
      </c>
      <c r="B370" s="3" t="str">
        <f>HYPERLINK("http://www.ncbi.nlm.nih.gov/gene/92999","ZBTB47")</f>
        <v>ZBTB47</v>
      </c>
      <c r="C370">
        <v>92999</v>
      </c>
      <c r="D370" t="s">
        <v>749</v>
      </c>
      <c r="E370" s="3" t="str">
        <f>HYPERLINK("http://genome.ucsc.edu/cgi-bin/hgTracks?db=hg19&amp;lastVirtModeType=default&amp;lastVirtModeExtraState=&amp;virtModeType=default&amp;virtMode=0&amp;nonVirtPosition=&amp;position=chr3:42653683-42667580","chr3:42653683-42667580")</f>
        <v>chr3:42653683-42667580</v>
      </c>
      <c r="F370" t="s">
        <v>27</v>
      </c>
      <c r="G370">
        <v>0.25459884801659</v>
      </c>
      <c r="H370">
        <v>5.4004424126623297E-2</v>
      </c>
      <c r="I370">
        <v>4.7144072385557996</v>
      </c>
      <c r="J370" s="1">
        <v>2.42415406431294E-6</v>
      </c>
      <c r="K370" s="1">
        <v>9.2346802327743495E-5</v>
      </c>
      <c r="L370" t="s">
        <v>23</v>
      </c>
      <c r="M370" t="s">
        <v>24</v>
      </c>
      <c r="N370">
        <v>2830.2026033839602</v>
      </c>
      <c r="O370">
        <v>2566.3785502927299</v>
      </c>
      <c r="P370">
        <v>3094.0266564751801</v>
      </c>
      <c r="Q370">
        <v>2517.81274786427</v>
      </c>
      <c r="R370">
        <v>2614.9443527212002</v>
      </c>
      <c r="S370">
        <v>3060.1255804903899</v>
      </c>
      <c r="T370">
        <v>3127.9277324599798</v>
      </c>
    </row>
    <row r="371" spans="1:20" x14ac:dyDescent="0.2">
      <c r="A371" t="s">
        <v>750</v>
      </c>
      <c r="B371" s="3" t="str">
        <f>HYPERLINK("http://www.ncbi.nlm.nih.gov/gene/3987","LIMS1")</f>
        <v>LIMS1</v>
      </c>
      <c r="C371">
        <v>3987</v>
      </c>
      <c r="D371" t="s">
        <v>751</v>
      </c>
      <c r="E371" s="3" t="str">
        <f>HYPERLINK("http://genome.ucsc.edu/cgi-bin/hgTracks?db=hg19&amp;lastVirtModeType=default&amp;lastVirtModeExtraState=&amp;virtModeType=default&amp;virtMode=0&amp;nonVirtPosition=&amp;position=chr2:108588465-108687246","chr2:108588465-108687246")</f>
        <v>chr2:108588465-108687246</v>
      </c>
      <c r="F371" t="s">
        <v>27</v>
      </c>
      <c r="G371">
        <v>0.24470635668040899</v>
      </c>
      <c r="H371">
        <v>5.19503077771283E-2</v>
      </c>
      <c r="I371">
        <v>4.7103928186570601</v>
      </c>
      <c r="J371" s="1">
        <v>2.4723979589542299E-6</v>
      </c>
      <c r="K371" s="1">
        <v>9.3923727449025905E-5</v>
      </c>
      <c r="L371" t="s">
        <v>23</v>
      </c>
      <c r="M371" t="s">
        <v>24</v>
      </c>
      <c r="N371">
        <v>3142.50672394</v>
      </c>
      <c r="O371">
        <v>2863.2120631840698</v>
      </c>
      <c r="P371">
        <v>3421.8013846959302</v>
      </c>
      <c r="Q371">
        <v>2912.6828345511799</v>
      </c>
      <c r="R371">
        <v>2813.7412918169598</v>
      </c>
      <c r="S371">
        <v>3433.0228949408602</v>
      </c>
      <c r="T371">
        <v>3410.5798744510098</v>
      </c>
    </row>
    <row r="372" spans="1:20" x14ac:dyDescent="0.2">
      <c r="A372" t="s">
        <v>752</v>
      </c>
      <c r="B372" s="3" t="str">
        <f>HYPERLINK("http://www.ncbi.nlm.nih.gov/gene/8496","PPFIBP1")</f>
        <v>PPFIBP1</v>
      </c>
      <c r="C372">
        <v>8496</v>
      </c>
      <c r="D372" t="s">
        <v>753</v>
      </c>
      <c r="E372" s="3" t="str">
        <f>HYPERLINK("http://genome.ucsc.edu/cgi-bin/hgTracks?db=hg19&amp;lastVirtModeType=default&amp;lastVirtModeExtraState=&amp;virtModeType=default&amp;virtMode=0&amp;nonVirtPosition=&amp;position=chr12:27524111-27695564","chr12:27524111-27695564")</f>
        <v>chr12:27524111-27695564</v>
      </c>
      <c r="F372" t="s">
        <v>27</v>
      </c>
      <c r="G372">
        <v>0.189883056563799</v>
      </c>
      <c r="H372">
        <v>4.0333620106757298E-2</v>
      </c>
      <c r="I372">
        <v>4.7078109046796701</v>
      </c>
      <c r="J372" s="1">
        <v>2.5039120849904899E-6</v>
      </c>
      <c r="K372" s="1">
        <v>9.4858150092706105E-5</v>
      </c>
      <c r="L372" t="s">
        <v>23</v>
      </c>
      <c r="M372" t="s">
        <v>24</v>
      </c>
      <c r="N372">
        <v>10198.0629224186</v>
      </c>
      <c r="O372">
        <v>9505.6135924597493</v>
      </c>
      <c r="P372">
        <v>10890.512252377501</v>
      </c>
      <c r="Q372">
        <v>9406.7135284961696</v>
      </c>
      <c r="R372">
        <v>9604.5136564233399</v>
      </c>
      <c r="S372">
        <v>10986.6597646426</v>
      </c>
      <c r="T372">
        <v>10794.3647401124</v>
      </c>
    </row>
    <row r="373" spans="1:20" x14ac:dyDescent="0.2">
      <c r="A373" t="s">
        <v>754</v>
      </c>
      <c r="B373" s="3" t="str">
        <f>HYPERLINK("http://www.ncbi.nlm.nih.gov/gene/5228","PGF")</f>
        <v>PGF</v>
      </c>
      <c r="C373">
        <v>5228</v>
      </c>
      <c r="D373" t="s">
        <v>755</v>
      </c>
      <c r="E373" s="3" t="str">
        <f>HYPERLINK("http://genome.ucsc.edu/cgi-bin/hgTracks?db=hg19&amp;lastVirtModeType=default&amp;lastVirtModeExtraState=&amp;virtModeType=default&amp;virtMode=0&amp;nonVirtPosition=&amp;position=chr14:74941829-74955764","chr14:74941829-74955764")</f>
        <v>chr14:74941829-74955764</v>
      </c>
      <c r="F373" t="s">
        <v>22</v>
      </c>
      <c r="G373">
        <v>-0.24721650043853999</v>
      </c>
      <c r="H373">
        <v>5.25671243345779E-2</v>
      </c>
      <c r="I373">
        <v>-4.7028728234221697</v>
      </c>
      <c r="J373" s="1">
        <v>2.5652621666253399E-6</v>
      </c>
      <c r="K373" s="1">
        <v>9.6914615297796099E-5</v>
      </c>
      <c r="L373" t="s">
        <v>23</v>
      </c>
      <c r="M373" t="s">
        <v>24</v>
      </c>
      <c r="N373">
        <v>3344.3150758183201</v>
      </c>
      <c r="O373">
        <v>3643.6983526178801</v>
      </c>
      <c r="P373">
        <v>3044.9317990187601</v>
      </c>
      <c r="Q373">
        <v>3533.1929707734598</v>
      </c>
      <c r="R373">
        <v>3754.2037344623</v>
      </c>
      <c r="S373">
        <v>3081.8285987917402</v>
      </c>
      <c r="T373">
        <v>3008.03499924578</v>
      </c>
    </row>
    <row r="374" spans="1:20" x14ac:dyDescent="0.2">
      <c r="A374" t="s">
        <v>756</v>
      </c>
      <c r="B374" s="3" t="str">
        <f>HYPERLINK("http://www.ncbi.nlm.nih.gov/gene/58504","ARHGAP22")</f>
        <v>ARHGAP22</v>
      </c>
      <c r="C374">
        <v>58504</v>
      </c>
      <c r="D374" t="s">
        <v>757</v>
      </c>
      <c r="E374" s="3" t="str">
        <f>HYPERLINK("http://genome.ucsc.edu/cgi-bin/hgTracks?db=hg19&amp;lastVirtModeType=default&amp;lastVirtModeExtraState=&amp;virtModeType=default&amp;virtMode=0&amp;nonVirtPosition=&amp;position=chr10:48446024-48493649","chr10:48446024-48493649")</f>
        <v>chr10:48446024-48493649</v>
      </c>
      <c r="F374" t="s">
        <v>22</v>
      </c>
      <c r="G374">
        <v>0.22942837540481001</v>
      </c>
      <c r="H374">
        <v>4.8795952934763097E-2</v>
      </c>
      <c r="I374">
        <v>4.7017910627043298</v>
      </c>
      <c r="J374" s="1">
        <v>2.5788931772668401E-6</v>
      </c>
      <c r="K374" s="1">
        <v>9.7161925914937902E-5</v>
      </c>
      <c r="L374" t="s">
        <v>23</v>
      </c>
      <c r="M374" t="s">
        <v>24</v>
      </c>
      <c r="N374">
        <v>4579.0575146189103</v>
      </c>
      <c r="O374">
        <v>4201.12013941022</v>
      </c>
      <c r="P374">
        <v>4956.9948898275898</v>
      </c>
      <c r="Q374">
        <v>4342.1950995954203</v>
      </c>
      <c r="R374">
        <v>4060.0451792250201</v>
      </c>
      <c r="S374">
        <v>4937.4366635571896</v>
      </c>
      <c r="T374">
        <v>4976.5531160979999</v>
      </c>
    </row>
    <row r="375" spans="1:20" x14ac:dyDescent="0.2">
      <c r="A375" t="s">
        <v>758</v>
      </c>
      <c r="B375" s="3" t="str">
        <f>HYPERLINK("http://www.ncbi.nlm.nih.gov/gene/23645","PPP1R15A")</f>
        <v>PPP1R15A</v>
      </c>
      <c r="C375">
        <v>23645</v>
      </c>
      <c r="D375" t="s">
        <v>759</v>
      </c>
      <c r="E375" s="3" t="str">
        <f>HYPERLINK("http://genome.ucsc.edu/cgi-bin/hgTracks?db=hg19&amp;lastVirtModeType=default&amp;lastVirtModeExtraState=&amp;virtModeType=default&amp;virtMode=0&amp;nonVirtPosition=&amp;position=chr19:48872391-48876062","chr19:48872391-48876062")</f>
        <v>chr19:48872391-48876062</v>
      </c>
      <c r="F375" t="s">
        <v>27</v>
      </c>
      <c r="G375">
        <v>0.272819242559171</v>
      </c>
      <c r="H375">
        <v>5.8127383263411499E-2</v>
      </c>
      <c r="I375">
        <v>4.6934719445886</v>
      </c>
      <c r="J375" s="1">
        <v>2.6860684264994301E-6</v>
      </c>
      <c r="K375">
        <v>1.0092258192058401E-4</v>
      </c>
      <c r="L375" t="s">
        <v>23</v>
      </c>
      <c r="M375" t="s">
        <v>24</v>
      </c>
      <c r="N375">
        <v>2458.5729791999402</v>
      </c>
      <c r="O375">
        <v>2209.8676733028601</v>
      </c>
      <c r="P375">
        <v>2707.2782850970202</v>
      </c>
      <c r="Q375">
        <v>2227.5075621815599</v>
      </c>
      <c r="R375">
        <v>2192.2277844241598</v>
      </c>
      <c r="S375">
        <v>2799.6893608741798</v>
      </c>
      <c r="T375">
        <v>2614.8672093198602</v>
      </c>
    </row>
    <row r="376" spans="1:20" x14ac:dyDescent="0.2">
      <c r="A376" t="s">
        <v>760</v>
      </c>
      <c r="B376" s="3" t="str">
        <f>HYPERLINK("http://www.ncbi.nlm.nih.gov/gene/2004","ELK3")</f>
        <v>ELK3</v>
      </c>
      <c r="C376">
        <v>2004</v>
      </c>
      <c r="D376" t="s">
        <v>761</v>
      </c>
      <c r="E376" s="3" t="str">
        <f>HYPERLINK("http://genome.ucsc.edu/cgi-bin/hgTracks?db=hg19&amp;lastVirtModeType=default&amp;lastVirtModeExtraState=&amp;virtModeType=default&amp;virtMode=0&amp;nonVirtPosition=&amp;position=chr12:96194381-96269835","chr12:96194381-96269835")</f>
        <v>chr12:96194381-96269835</v>
      </c>
      <c r="F376" t="s">
        <v>27</v>
      </c>
      <c r="G376">
        <v>0.19739369482944999</v>
      </c>
      <c r="H376">
        <v>4.2142844491904197E-2</v>
      </c>
      <c r="I376">
        <v>4.6839195884693998</v>
      </c>
      <c r="J376" s="1">
        <v>2.8144045550751401E-6</v>
      </c>
      <c r="K376">
        <v>1.05455584886067E-4</v>
      </c>
      <c r="L376" t="s">
        <v>23</v>
      </c>
      <c r="M376" t="s">
        <v>24</v>
      </c>
      <c r="N376">
        <v>7352.0392807062799</v>
      </c>
      <c r="O376">
        <v>6831.3404935475401</v>
      </c>
      <c r="P376">
        <v>7872.7380678650197</v>
      </c>
      <c r="Q376">
        <v>6737.5568449679304</v>
      </c>
      <c r="R376">
        <v>6925.1241421271498</v>
      </c>
      <c r="S376">
        <v>7919.6286783290898</v>
      </c>
      <c r="T376">
        <v>7825.8474574009497</v>
      </c>
    </row>
    <row r="377" spans="1:20" x14ac:dyDescent="0.2">
      <c r="A377" t="s">
        <v>762</v>
      </c>
      <c r="B377" s="3" t="str">
        <f>HYPERLINK("http://www.ncbi.nlm.nih.gov/gene/3320","HSP90AA1")</f>
        <v>HSP90AA1</v>
      </c>
      <c r="C377">
        <v>3320</v>
      </c>
      <c r="D377" t="s">
        <v>763</v>
      </c>
      <c r="E377" s="3" t="str">
        <f>HYPERLINK("http://genome.ucsc.edu/cgi-bin/hgTracks?db=hg19&amp;lastVirtModeType=default&amp;lastVirtModeExtraState=&amp;virtModeType=default&amp;virtMode=0&amp;nonVirtPosition=&amp;position=chr14:102080737-102139749","chr14:102080737-102139749")</f>
        <v>chr14:102080737-102139749</v>
      </c>
      <c r="F377" t="s">
        <v>22</v>
      </c>
      <c r="G377">
        <v>0.181810680546661</v>
      </c>
      <c r="H377">
        <v>3.8836771452453803E-2</v>
      </c>
      <c r="I377">
        <v>4.6814056304665801</v>
      </c>
      <c r="J377" s="1">
        <v>2.8491454862238001E-6</v>
      </c>
      <c r="K377">
        <v>1.0646643378221601E-4</v>
      </c>
      <c r="L377" t="s">
        <v>23</v>
      </c>
      <c r="M377" t="s">
        <v>24</v>
      </c>
      <c r="N377">
        <v>50536.011162192102</v>
      </c>
      <c r="O377">
        <v>47265.507412387597</v>
      </c>
      <c r="P377">
        <v>53806.514911996703</v>
      </c>
      <c r="Q377">
        <v>47283.973063306701</v>
      </c>
      <c r="R377">
        <v>47247.041761468397</v>
      </c>
      <c r="S377">
        <v>53992.177029600098</v>
      </c>
      <c r="T377">
        <v>53620.852794393199</v>
      </c>
    </row>
    <row r="378" spans="1:20" x14ac:dyDescent="0.2">
      <c r="A378" t="s">
        <v>764</v>
      </c>
      <c r="B378" s="3" t="str">
        <f>HYPERLINK("http://www.ncbi.nlm.nih.gov/gene/79971","WLS")</f>
        <v>WLS</v>
      </c>
      <c r="C378">
        <v>79971</v>
      </c>
      <c r="D378" t="s">
        <v>765</v>
      </c>
      <c r="E378" s="3" t="str">
        <f>HYPERLINK("http://genome.ucsc.edu/cgi-bin/hgTracks?db=hg19&amp;lastVirtModeType=default&amp;lastVirtModeExtraState=&amp;virtModeType=default&amp;virtMode=0&amp;nonVirtPosition=&amp;position=chr1:68098458-68232546","chr1:68098458-68232546")</f>
        <v>chr1:68098458-68232546</v>
      </c>
      <c r="F378" t="s">
        <v>22</v>
      </c>
      <c r="G378">
        <v>0.21268577747996401</v>
      </c>
      <c r="H378">
        <v>4.5527936114972599E-2</v>
      </c>
      <c r="I378">
        <v>4.6715444544392399</v>
      </c>
      <c r="J378" s="1">
        <v>2.9894338133883801E-6</v>
      </c>
      <c r="K378">
        <v>1.11405150317414E-4</v>
      </c>
      <c r="L378" t="s">
        <v>23</v>
      </c>
      <c r="M378" t="s">
        <v>24</v>
      </c>
      <c r="N378">
        <v>4884.5876348148004</v>
      </c>
      <c r="O378">
        <v>4511.9442726144798</v>
      </c>
      <c r="P378">
        <v>5257.23099701513</v>
      </c>
      <c r="Q378">
        <v>4538.9422159585902</v>
      </c>
      <c r="R378">
        <v>4484.9463292703604</v>
      </c>
      <c r="S378">
        <v>5209.7108931559496</v>
      </c>
      <c r="T378">
        <v>5304.7511008743104</v>
      </c>
    </row>
    <row r="379" spans="1:20" x14ac:dyDescent="0.2">
      <c r="A379" t="s">
        <v>766</v>
      </c>
      <c r="B379" s="3" t="str">
        <f>HYPERLINK("http://www.ncbi.nlm.nih.gov/gene/9582","APOBEC3B")</f>
        <v>APOBEC3B</v>
      </c>
      <c r="C379">
        <v>9582</v>
      </c>
      <c r="D379" t="s">
        <v>767</v>
      </c>
      <c r="E379" s="3" t="str">
        <f>HYPERLINK("http://genome.ucsc.edu/cgi-bin/hgTracks?db=hg19&amp;lastVirtModeType=default&amp;lastVirtModeExtraState=&amp;virtModeType=default&amp;virtMode=0&amp;nonVirtPosition=&amp;position=chr22:38982398-38992779","chr22:38982398-38992779")</f>
        <v>chr22:38982398-38992779</v>
      </c>
      <c r="F379" t="s">
        <v>27</v>
      </c>
      <c r="G379">
        <v>-0.55166118719592305</v>
      </c>
      <c r="H379">
        <v>0.118403511742058</v>
      </c>
      <c r="I379">
        <v>-4.6591623768534598</v>
      </c>
      <c r="J379" s="1">
        <v>3.1749868362798501E-6</v>
      </c>
      <c r="K379">
        <v>1.17999375264883E-4</v>
      </c>
      <c r="L379" t="s">
        <v>23</v>
      </c>
      <c r="M379" t="s">
        <v>24</v>
      </c>
      <c r="N379">
        <v>128.002107588065</v>
      </c>
      <c r="O379">
        <v>173.79948709819499</v>
      </c>
      <c r="P379">
        <v>82.204728077935002</v>
      </c>
      <c r="Q379">
        <v>176.10930695444</v>
      </c>
      <c r="R379">
        <v>171.48966724195</v>
      </c>
      <c r="S379">
        <v>73.987562390966801</v>
      </c>
      <c r="T379">
        <v>90.421893764903103</v>
      </c>
    </row>
    <row r="380" spans="1:20" x14ac:dyDescent="0.2">
      <c r="A380" t="s">
        <v>768</v>
      </c>
      <c r="B380" s="3" t="str">
        <f>HYPERLINK("http://www.ncbi.nlm.nih.gov/gene/4854","NOTCH3")</f>
        <v>NOTCH3</v>
      </c>
      <c r="C380">
        <v>4854</v>
      </c>
      <c r="D380" t="s">
        <v>769</v>
      </c>
      <c r="E380" s="3" t="str">
        <f>HYPERLINK("http://genome.ucsc.edu/cgi-bin/hgTracks?db=hg19&amp;lastVirtModeType=default&amp;lastVirtModeExtraState=&amp;virtModeType=default&amp;virtMode=0&amp;nonVirtPosition=&amp;position=chr19:15159632-15200981","chr19:15159632-15200981")</f>
        <v>chr19:15159632-15200981</v>
      </c>
      <c r="F380" t="s">
        <v>22</v>
      </c>
      <c r="G380">
        <v>0.20808699427716701</v>
      </c>
      <c r="H380">
        <v>4.4733833312047798E-2</v>
      </c>
      <c r="I380">
        <v>4.6516691924348104</v>
      </c>
      <c r="J380" s="1">
        <v>3.2925896978253199E-6</v>
      </c>
      <c r="K380">
        <v>1.22039392205342E-4</v>
      </c>
      <c r="L380" t="s">
        <v>23</v>
      </c>
      <c r="M380" t="s">
        <v>24</v>
      </c>
      <c r="N380">
        <v>12705.691787657899</v>
      </c>
      <c r="O380">
        <v>11758.642006113399</v>
      </c>
      <c r="P380">
        <v>13652.741569202401</v>
      </c>
      <c r="Q380">
        <v>11745.665261484801</v>
      </c>
      <c r="R380">
        <v>11771.618750742</v>
      </c>
      <c r="S380">
        <v>13129.339571484999</v>
      </c>
      <c r="T380">
        <v>14176.1435669198</v>
      </c>
    </row>
    <row r="381" spans="1:20" x14ac:dyDescent="0.2">
      <c r="A381" t="s">
        <v>770</v>
      </c>
      <c r="B381" s="3" t="str">
        <f>HYPERLINK("http://www.ncbi.nlm.nih.gov/gene/55761","TTC17")</f>
        <v>TTC17</v>
      </c>
      <c r="C381">
        <v>55761</v>
      </c>
      <c r="D381" t="s">
        <v>771</v>
      </c>
      <c r="E381" s="3" t="str">
        <f>HYPERLINK("http://genome.ucsc.edu/cgi-bin/hgTracks?db=hg19&amp;lastVirtModeType=default&amp;lastVirtModeExtraState=&amp;virtModeType=default&amp;virtMode=0&amp;nonVirtPosition=&amp;position=chr11:43358884-43494933","chr11:43358884-43494933")</f>
        <v>chr11:43358884-43494933</v>
      </c>
      <c r="F381" t="s">
        <v>27</v>
      </c>
      <c r="G381">
        <v>0.21321029568102201</v>
      </c>
      <c r="H381">
        <v>4.58873589997588E-2</v>
      </c>
      <c r="I381">
        <v>4.6463841094481504</v>
      </c>
      <c r="J381" s="1">
        <v>3.3780376220337399E-6</v>
      </c>
      <c r="K381">
        <v>1.2486902412013701E-4</v>
      </c>
      <c r="L381" t="s">
        <v>23</v>
      </c>
      <c r="M381" t="s">
        <v>24</v>
      </c>
      <c r="N381">
        <v>4690.2502957490096</v>
      </c>
      <c r="O381">
        <v>4331.1866763774997</v>
      </c>
      <c r="P381">
        <v>5049.3139151205296</v>
      </c>
      <c r="Q381">
        <v>4364.2087629647303</v>
      </c>
      <c r="R381">
        <v>4298.1645897902699</v>
      </c>
      <c r="S381">
        <v>5022.2757350988304</v>
      </c>
      <c r="T381">
        <v>5076.3520951422297</v>
      </c>
    </row>
    <row r="382" spans="1:20" x14ac:dyDescent="0.2">
      <c r="A382" t="s">
        <v>772</v>
      </c>
      <c r="B382" s="3" t="str">
        <f>HYPERLINK("http://www.ncbi.nlm.nih.gov/gene/155370","SBDSP1")</f>
        <v>SBDSP1</v>
      </c>
      <c r="C382">
        <v>155370</v>
      </c>
      <c r="D382" t="s">
        <v>773</v>
      </c>
      <c r="E382" s="3" t="str">
        <f>HYPERLINK("http://genome.ucsc.edu/cgi-bin/hgTracks?db=hg19&amp;lastVirtModeType=default&amp;lastVirtModeExtraState=&amp;virtModeType=default&amp;virtMode=0&amp;nonVirtPosition=&amp;position=chr7:72829372-72834006","chr7:72829372-72834006")</f>
        <v>chr7:72829372-72834006</v>
      </c>
      <c r="F382" t="s">
        <v>27</v>
      </c>
      <c r="G382">
        <v>0.33707800632627699</v>
      </c>
      <c r="H382">
        <v>7.2643468952431595E-2</v>
      </c>
      <c r="I382">
        <v>4.6401694630938097</v>
      </c>
      <c r="J382" s="1">
        <v>3.4812358266249599E-6</v>
      </c>
      <c r="K382">
        <v>1.2833781754391E-4</v>
      </c>
      <c r="L382" t="s">
        <v>23</v>
      </c>
      <c r="M382" t="s">
        <v>24</v>
      </c>
      <c r="N382">
        <v>1138.85792804282</v>
      </c>
      <c r="O382">
        <v>991.29140561774602</v>
      </c>
      <c r="P382">
        <v>1286.4244504679</v>
      </c>
      <c r="Q382">
        <v>1012.62851498803</v>
      </c>
      <c r="R382">
        <v>969.95429624746203</v>
      </c>
      <c r="S382">
        <v>1298.2350947535001</v>
      </c>
      <c r="T382">
        <v>1274.6138061823001</v>
      </c>
    </row>
    <row r="383" spans="1:20" x14ac:dyDescent="0.2">
      <c r="A383" t="s">
        <v>774</v>
      </c>
      <c r="B383" s="3" t="str">
        <f>HYPERLINK("http://www.ncbi.nlm.nih.gov/gene/101928143","LOC101928143")</f>
        <v>LOC101928143</v>
      </c>
      <c r="C383">
        <v>101928143</v>
      </c>
      <c r="D383" t="s">
        <v>775</v>
      </c>
      <c r="E383" s="3" t="str">
        <f>HYPERLINK("http://genome.ucsc.edu/cgi-bin/hgTracks?db=hg19&amp;lastVirtModeType=default&amp;lastVirtModeExtraState=&amp;virtModeType=default&amp;virtMode=0&amp;nonVirtPosition=&amp;position=chr14:73460934-73463642","chr14:73460934-73463642")</f>
        <v>chr14:73460934-73463642</v>
      </c>
      <c r="F383" t="s">
        <v>22</v>
      </c>
      <c r="G383">
        <v>0.231205017849473</v>
      </c>
      <c r="H383">
        <v>4.9844054071968E-2</v>
      </c>
      <c r="I383">
        <v>4.6385676717958102</v>
      </c>
      <c r="J383" s="1">
        <v>3.5083206517178998E-6</v>
      </c>
      <c r="K383">
        <v>1.2898956948434101E-4</v>
      </c>
      <c r="L383" t="s">
        <v>23</v>
      </c>
      <c r="M383" t="s">
        <v>24</v>
      </c>
      <c r="N383">
        <v>5347.6603384383798</v>
      </c>
      <c r="O383">
        <v>4896.1458046162397</v>
      </c>
      <c r="P383">
        <v>5799.1748722605298</v>
      </c>
      <c r="Q383">
        <v>4822.3681318383897</v>
      </c>
      <c r="R383">
        <v>4969.9234773940898</v>
      </c>
      <c r="S383">
        <v>6036.3985902710101</v>
      </c>
      <c r="T383">
        <v>5561.9511542500404</v>
      </c>
    </row>
    <row r="384" spans="1:20" x14ac:dyDescent="0.2">
      <c r="A384" t="s">
        <v>774</v>
      </c>
      <c r="B384" s="3" t="str">
        <f>HYPERLINK("http://www.ncbi.nlm.nih.gov/gene/8650","NUMB")</f>
        <v>NUMB</v>
      </c>
      <c r="C384">
        <v>8650</v>
      </c>
      <c r="D384" t="s">
        <v>776</v>
      </c>
      <c r="E384" s="3" t="str">
        <f>HYPERLINK("http://genome.ucsc.edu/cgi-bin/hgTracks?db=hg19&amp;lastVirtModeType=default&amp;lastVirtModeExtraState=&amp;virtModeType=default&amp;virtMode=0&amp;nonVirtPosition=&amp;position=chr14:73275209-73458580","chr14:73275209-73458580")</f>
        <v>chr14:73275209-73458580</v>
      </c>
      <c r="F384" t="s">
        <v>22</v>
      </c>
      <c r="G384">
        <v>0.231205017849473</v>
      </c>
      <c r="H384">
        <v>4.9844054071968E-2</v>
      </c>
      <c r="I384">
        <v>4.6385676717958102</v>
      </c>
      <c r="J384" s="1">
        <v>3.5083206517178998E-6</v>
      </c>
      <c r="K384">
        <v>1.2898956948434101E-4</v>
      </c>
      <c r="L384" t="s">
        <v>23</v>
      </c>
      <c r="M384" t="s">
        <v>24</v>
      </c>
      <c r="N384">
        <v>5347.6603384383798</v>
      </c>
      <c r="O384">
        <v>4896.1458046162397</v>
      </c>
      <c r="P384">
        <v>5799.1748722605298</v>
      </c>
      <c r="Q384">
        <v>4822.3681318383897</v>
      </c>
      <c r="R384">
        <v>4969.9234773940898</v>
      </c>
      <c r="S384">
        <v>6036.3985902710101</v>
      </c>
      <c r="T384">
        <v>5561.9511542500404</v>
      </c>
    </row>
    <row r="385" spans="1:20" x14ac:dyDescent="0.2">
      <c r="A385" t="s">
        <v>777</v>
      </c>
      <c r="B385" s="3" t="str">
        <f>HYPERLINK("http://www.ncbi.nlm.nih.gov/gene/3148","HMGB2")</f>
        <v>HMGB2</v>
      </c>
      <c r="C385">
        <v>3148</v>
      </c>
      <c r="D385" t="s">
        <v>778</v>
      </c>
      <c r="E385" s="3" t="str">
        <f>HYPERLINK("http://genome.ucsc.edu/cgi-bin/hgTracks?db=hg19&amp;lastVirtModeType=default&amp;lastVirtModeExtraState=&amp;virtModeType=default&amp;virtMode=0&amp;nonVirtPosition=&amp;position=chr4:173331375-173334358","chr4:173331375-173334358")</f>
        <v>chr4:173331375-173334358</v>
      </c>
      <c r="F385" t="s">
        <v>22</v>
      </c>
      <c r="G385">
        <v>-0.36674958029404198</v>
      </c>
      <c r="H385">
        <v>7.9152417201182407E-2</v>
      </c>
      <c r="I385">
        <v>-4.6334602689627502</v>
      </c>
      <c r="J385" s="1">
        <v>3.59603800361691E-6</v>
      </c>
      <c r="K385">
        <v>1.31861136849204E-4</v>
      </c>
      <c r="L385" t="s">
        <v>23</v>
      </c>
      <c r="M385" t="s">
        <v>24</v>
      </c>
      <c r="N385">
        <v>912.41301000040198</v>
      </c>
      <c r="O385">
        <v>1044.22555154258</v>
      </c>
      <c r="P385">
        <v>780.60046845822296</v>
      </c>
      <c r="Q385">
        <v>1001.62168330338</v>
      </c>
      <c r="R385">
        <v>1086.82941978178</v>
      </c>
      <c r="S385">
        <v>767.49764720229598</v>
      </c>
      <c r="T385">
        <v>793.70328971414904</v>
      </c>
    </row>
    <row r="386" spans="1:20" x14ac:dyDescent="0.2">
      <c r="A386" t="s">
        <v>779</v>
      </c>
      <c r="B386" s="3" t="str">
        <f>HYPERLINK("http://www.ncbi.nlm.nih.gov/gene/84296","GINS4")</f>
        <v>GINS4</v>
      </c>
      <c r="C386">
        <v>84296</v>
      </c>
      <c r="D386" t="s">
        <v>780</v>
      </c>
      <c r="E386" s="3" t="str">
        <f>HYPERLINK("http://genome.ucsc.edu/cgi-bin/hgTracks?db=hg19&amp;lastVirtModeType=default&amp;lastVirtModeExtraState=&amp;virtModeType=default&amp;virtMode=0&amp;nonVirtPosition=&amp;position=chr8:41529205-41545046","chr8:41529205-41545046")</f>
        <v>chr8:41529205-41545046</v>
      </c>
      <c r="F386" t="s">
        <v>27</v>
      </c>
      <c r="G386">
        <v>-0.457806147543591</v>
      </c>
      <c r="H386">
        <v>9.8952202379034293E-2</v>
      </c>
      <c r="I386">
        <v>-4.6265382329740801</v>
      </c>
      <c r="J386" s="1">
        <v>3.7182825379376999E-6</v>
      </c>
      <c r="K386">
        <v>1.35501424888852E-4</v>
      </c>
      <c r="L386" t="s">
        <v>23</v>
      </c>
      <c r="M386" t="s">
        <v>24</v>
      </c>
      <c r="N386">
        <v>436.44149074670401</v>
      </c>
      <c r="O386">
        <v>523.88250325784304</v>
      </c>
      <c r="P386">
        <v>349.00047823556503</v>
      </c>
      <c r="Q386">
        <v>499.43498769110897</v>
      </c>
      <c r="R386">
        <v>548.33001882457802</v>
      </c>
      <c r="S386">
        <v>359.086302804159</v>
      </c>
      <c r="T386">
        <v>338.91465366697003</v>
      </c>
    </row>
    <row r="387" spans="1:20" x14ac:dyDescent="0.2">
      <c r="A387" t="s">
        <v>781</v>
      </c>
      <c r="B387" s="3" t="str">
        <f>HYPERLINK("http://www.ncbi.nlm.nih.gov/gene/2052","EPHX1")</f>
        <v>EPHX1</v>
      </c>
      <c r="C387">
        <v>2052</v>
      </c>
      <c r="D387" t="s">
        <v>782</v>
      </c>
      <c r="E387" s="3" t="str">
        <f>HYPERLINK("http://genome.ucsc.edu/cgi-bin/hgTracks?db=hg19&amp;lastVirtModeType=default&amp;lastVirtModeExtraState=&amp;virtModeType=default&amp;virtMode=0&amp;nonVirtPosition=&amp;position=chr1:225810133-225845561","chr1:225810133-225845561")</f>
        <v>chr1:225810133-225845561</v>
      </c>
      <c r="F387" t="s">
        <v>27</v>
      </c>
      <c r="G387">
        <v>0.21239878253546199</v>
      </c>
      <c r="H387">
        <v>4.5913236459882302E-2</v>
      </c>
      <c r="I387">
        <v>4.62609040251498</v>
      </c>
      <c r="J387" s="1">
        <v>3.7263270227072498E-6</v>
      </c>
      <c r="K387">
        <v>1.35501424888852E-4</v>
      </c>
      <c r="L387" t="s">
        <v>23</v>
      </c>
      <c r="M387" t="s">
        <v>24</v>
      </c>
      <c r="N387">
        <v>5534.1519664815496</v>
      </c>
      <c r="O387">
        <v>5113.3469873733502</v>
      </c>
      <c r="P387">
        <v>5954.9569455897499</v>
      </c>
      <c r="Q387">
        <v>5244.7552977369296</v>
      </c>
      <c r="R387">
        <v>4981.9386770097699</v>
      </c>
      <c r="S387">
        <v>5903.2209779672703</v>
      </c>
      <c r="T387">
        <v>6006.6929132122305</v>
      </c>
    </row>
    <row r="388" spans="1:20" x14ac:dyDescent="0.2">
      <c r="A388" t="s">
        <v>783</v>
      </c>
      <c r="B388" s="3" t="str">
        <f>HYPERLINK("http://www.ncbi.nlm.nih.gov/gene/145508","CEP128")</f>
        <v>CEP128</v>
      </c>
      <c r="C388">
        <v>145508</v>
      </c>
      <c r="D388" t="s">
        <v>784</v>
      </c>
      <c r="E388" s="3" t="str">
        <f>HYPERLINK("http://genome.ucsc.edu/cgi-bin/hgTracks?db=hg19&amp;lastVirtModeType=default&amp;lastVirtModeExtraState=&amp;virtModeType=default&amp;virtMode=0&amp;nonVirtPosition=&amp;position=chr14:80496477-80939540","chr14:80496477-80939540")</f>
        <v>chr14:80496477-80939540</v>
      </c>
      <c r="F388" t="s">
        <v>22</v>
      </c>
      <c r="G388">
        <v>-0.52107592398842895</v>
      </c>
      <c r="H388">
        <v>0.11263907977811</v>
      </c>
      <c r="I388">
        <v>-4.6260669477672298</v>
      </c>
      <c r="J388" s="1">
        <v>3.7267488053802502E-6</v>
      </c>
      <c r="K388">
        <v>1.35501424888852E-4</v>
      </c>
      <c r="L388" t="s">
        <v>23</v>
      </c>
      <c r="M388" t="s">
        <v>24</v>
      </c>
      <c r="N388">
        <v>237.855285710993</v>
      </c>
      <c r="O388">
        <v>302.52640166244998</v>
      </c>
      <c r="P388">
        <v>173.18416975953701</v>
      </c>
      <c r="Q388">
        <v>312.31884905201599</v>
      </c>
      <c r="R388">
        <v>292.73395427288301</v>
      </c>
      <c r="S388">
        <v>158.82663393260901</v>
      </c>
      <c r="T388">
        <v>187.54170558646601</v>
      </c>
    </row>
    <row r="389" spans="1:20" x14ac:dyDescent="0.2">
      <c r="A389" t="s">
        <v>785</v>
      </c>
      <c r="B389" s="3" t="str">
        <f>HYPERLINK("http://www.ncbi.nlm.nih.gov/gene/9212","AURKB")</f>
        <v>AURKB</v>
      </c>
      <c r="C389">
        <v>9212</v>
      </c>
      <c r="D389" t="s">
        <v>786</v>
      </c>
      <c r="E389" s="3" t="str">
        <f>HYPERLINK("http://genome.ucsc.edu/cgi-bin/hgTracks?db=hg19&amp;lastVirtModeType=default&amp;lastVirtModeExtraState=&amp;virtModeType=default&amp;virtMode=0&amp;nonVirtPosition=&amp;position=chr17:8204730-8210626","chr17:8204730-8210626")</f>
        <v>chr17:8204730-8210626</v>
      </c>
      <c r="F389" t="s">
        <v>22</v>
      </c>
      <c r="G389">
        <v>-0.504059930460384</v>
      </c>
      <c r="H389">
        <v>0.108971376318728</v>
      </c>
      <c r="I389">
        <v>-4.62561773089908</v>
      </c>
      <c r="J389" s="1">
        <v>3.7348358325788401E-6</v>
      </c>
      <c r="K389">
        <v>1.35501424888852E-4</v>
      </c>
      <c r="L389" t="s">
        <v>23</v>
      </c>
      <c r="M389" t="s">
        <v>24</v>
      </c>
      <c r="N389">
        <v>280.90386891854502</v>
      </c>
      <c r="O389">
        <v>350.49246366076801</v>
      </c>
      <c r="P389">
        <v>211.31527417632199</v>
      </c>
      <c r="Q389">
        <v>359.097883711789</v>
      </c>
      <c r="R389">
        <v>341.88704360974702</v>
      </c>
      <c r="S389">
        <v>200.25966887154999</v>
      </c>
      <c r="T389">
        <v>222.37087948109499</v>
      </c>
    </row>
    <row r="390" spans="1:20" x14ac:dyDescent="0.2">
      <c r="A390" t="s">
        <v>787</v>
      </c>
      <c r="B390" s="3" t="str">
        <f>HYPERLINK("http://www.ncbi.nlm.nih.gov/gene/3487","IGFBP4")</f>
        <v>IGFBP4</v>
      </c>
      <c r="C390">
        <v>3487</v>
      </c>
      <c r="D390" t="s">
        <v>788</v>
      </c>
      <c r="E390" s="3" t="str">
        <f>HYPERLINK("http://genome.ucsc.edu/cgi-bin/hgTracks?db=hg19&amp;lastVirtModeType=default&amp;lastVirtModeExtraState=&amp;virtModeType=default&amp;virtMode=0&amp;nonVirtPosition=&amp;position=chr17:40443423-40457730","chr17:40443423-40457730")</f>
        <v>chr17:40443423-40457730</v>
      </c>
      <c r="F390" t="s">
        <v>27</v>
      </c>
      <c r="G390">
        <v>-0.23470207578959701</v>
      </c>
      <c r="H390">
        <v>5.0813243998694697E-2</v>
      </c>
      <c r="I390">
        <v>-4.6189154110220896</v>
      </c>
      <c r="J390" s="1">
        <v>3.8575106278698897E-6</v>
      </c>
      <c r="K390">
        <v>1.3958285158471699E-4</v>
      </c>
      <c r="L390" t="s">
        <v>23</v>
      </c>
      <c r="M390" t="s">
        <v>24</v>
      </c>
      <c r="N390">
        <v>23179.0406591953</v>
      </c>
      <c r="O390">
        <v>25159.995223101101</v>
      </c>
      <c r="P390">
        <v>21198.0860952894</v>
      </c>
      <c r="Q390">
        <v>25758.737850008099</v>
      </c>
      <c r="R390">
        <v>24561.252596194201</v>
      </c>
      <c r="S390">
        <v>20017.088379668101</v>
      </c>
      <c r="T390">
        <v>22379.083810910699</v>
      </c>
    </row>
    <row r="391" spans="1:20" x14ac:dyDescent="0.2">
      <c r="A391" t="s">
        <v>789</v>
      </c>
      <c r="B391" s="3" t="str">
        <f>HYPERLINK("http://www.ncbi.nlm.nih.gov/gene/30011","SH3KBP1")</f>
        <v>SH3KBP1</v>
      </c>
      <c r="C391">
        <v>30011</v>
      </c>
      <c r="D391" t="s">
        <v>790</v>
      </c>
      <c r="E391" s="3" t="str">
        <f>HYPERLINK("http://genome.ucsc.edu/cgi-bin/hgTracks?db=hg19&amp;lastVirtModeType=default&amp;lastVirtModeExtraState=&amp;virtModeType=default&amp;virtMode=0&amp;nonVirtPosition=&amp;position=chrX:19533964-19799799","chrX:19533964-19799799")</f>
        <v>chrX:19533964-19799799</v>
      </c>
      <c r="F391" t="s">
        <v>22</v>
      </c>
      <c r="G391">
        <v>0.20068708138261701</v>
      </c>
      <c r="H391">
        <v>4.3573862588462201E-2</v>
      </c>
      <c r="I391">
        <v>4.6056757299215398</v>
      </c>
      <c r="J391" s="1">
        <v>4.1112862550961498E-6</v>
      </c>
      <c r="K391">
        <v>1.48374157111549E-4</v>
      </c>
      <c r="L391" t="s">
        <v>23</v>
      </c>
      <c r="M391" t="s">
        <v>24</v>
      </c>
      <c r="N391">
        <v>6491.0394540360803</v>
      </c>
      <c r="O391">
        <v>6022.2766282849898</v>
      </c>
      <c r="P391">
        <v>6959.8022797871599</v>
      </c>
      <c r="Q391">
        <v>5998.72326813563</v>
      </c>
      <c r="R391">
        <v>6045.8299884343496</v>
      </c>
      <c r="S391">
        <v>7085.0489745589803</v>
      </c>
      <c r="T391">
        <v>6834.5555850153396</v>
      </c>
    </row>
    <row r="392" spans="1:20" x14ac:dyDescent="0.2">
      <c r="A392" t="s">
        <v>791</v>
      </c>
      <c r="B392" s="3" t="str">
        <f>HYPERLINK("http://www.ncbi.nlm.nih.gov/gene/129642","MBOAT2")</f>
        <v>MBOAT2</v>
      </c>
      <c r="C392">
        <v>129642</v>
      </c>
      <c r="D392" t="s">
        <v>792</v>
      </c>
      <c r="E392" s="3" t="str">
        <f>HYPERLINK("http://genome.ucsc.edu/cgi-bin/hgTracks?db=hg19&amp;lastVirtModeType=default&amp;lastVirtModeExtraState=&amp;virtModeType=default&amp;virtMode=0&amp;nonVirtPosition=&amp;position=chr2:8852689-9003750","chr2:8852689-9003750")</f>
        <v>chr2:8852689-9003750</v>
      </c>
      <c r="F392" t="s">
        <v>22</v>
      </c>
      <c r="G392">
        <v>-0.22822563117981801</v>
      </c>
      <c r="H392">
        <v>4.9736004683779901E-2</v>
      </c>
      <c r="I392">
        <v>-4.5887407448762803</v>
      </c>
      <c r="J392" s="1">
        <v>4.4592782945230997E-6</v>
      </c>
      <c r="K392">
        <v>1.6051061031782099E-4</v>
      </c>
      <c r="L392" t="s">
        <v>23</v>
      </c>
      <c r="M392" t="s">
        <v>24</v>
      </c>
      <c r="N392">
        <v>3457.23912488518</v>
      </c>
      <c r="O392">
        <v>3743.6105270390499</v>
      </c>
      <c r="P392">
        <v>3170.8677227313301</v>
      </c>
      <c r="Q392">
        <v>3739.5710648607001</v>
      </c>
      <c r="R392">
        <v>3747.6499892173902</v>
      </c>
      <c r="S392">
        <v>3152.8566586870702</v>
      </c>
      <c r="T392">
        <v>3188.87878677558</v>
      </c>
    </row>
    <row r="393" spans="1:20" x14ac:dyDescent="0.2">
      <c r="A393" t="s">
        <v>793</v>
      </c>
      <c r="B393" s="3" t="str">
        <f>HYPERLINK("http://www.ncbi.nlm.nih.gov/gene/2650","GCNT1")</f>
        <v>GCNT1</v>
      </c>
      <c r="C393">
        <v>2650</v>
      </c>
      <c r="D393" t="s">
        <v>794</v>
      </c>
      <c r="E393" s="3" t="str">
        <f>HYPERLINK("http://genome.ucsc.edu/cgi-bin/hgTracks?db=hg19&amp;lastVirtModeType=default&amp;lastVirtModeExtraState=&amp;virtModeType=default&amp;virtMode=0&amp;nonVirtPosition=&amp;position=chr9:76459151-76507416","chr9:76459151-76507416")</f>
        <v>chr9:76459151-76507416</v>
      </c>
      <c r="F393" t="s">
        <v>27</v>
      </c>
      <c r="G393">
        <v>-0.29714172509491399</v>
      </c>
      <c r="H393">
        <v>6.4842011062097304E-2</v>
      </c>
      <c r="I393">
        <v>-4.5825494957327901</v>
      </c>
      <c r="J393" s="1">
        <v>4.5934093670236802E-6</v>
      </c>
      <c r="K393">
        <v>1.6490580120252001E-4</v>
      </c>
      <c r="L393" t="s">
        <v>23</v>
      </c>
      <c r="M393" t="s">
        <v>24</v>
      </c>
      <c r="N393">
        <v>3032.7230235895299</v>
      </c>
      <c r="O393">
        <v>3374.3234140313398</v>
      </c>
      <c r="P393">
        <v>2691.1226331477401</v>
      </c>
      <c r="Q393">
        <v>3357.0836638190199</v>
      </c>
      <c r="R393">
        <v>3391.5631642436601</v>
      </c>
      <c r="S393">
        <v>2463.29257720326</v>
      </c>
      <c r="T393">
        <v>2918.9526890922102</v>
      </c>
    </row>
    <row r="394" spans="1:20" x14ac:dyDescent="0.2">
      <c r="A394" t="s">
        <v>795</v>
      </c>
      <c r="B394" s="3" t="str">
        <f>HYPERLINK("http://www.ncbi.nlm.nih.gov/gene/55752","SEPT11")</f>
        <v>SEPT11</v>
      </c>
      <c r="C394">
        <v>55752</v>
      </c>
      <c r="D394" t="s">
        <v>796</v>
      </c>
      <c r="E394" s="3" t="str">
        <f>HYPERLINK("http://genome.ucsc.edu/cgi-bin/hgTracks?db=hg19&amp;lastVirtModeType=default&amp;lastVirtModeExtraState=&amp;virtModeType=default&amp;virtMode=0&amp;nonVirtPosition=&amp;position=chr4:76949713-77038615","chr4:76949713-77038615")</f>
        <v>chr4:76949713-77038615</v>
      </c>
      <c r="F394" t="s">
        <v>27</v>
      </c>
      <c r="G394">
        <v>-0.18756023056836499</v>
      </c>
      <c r="H394">
        <v>4.09889910584358E-2</v>
      </c>
      <c r="I394">
        <v>-4.5758684399177101</v>
      </c>
      <c r="J394" s="1">
        <v>4.74248518028586E-6</v>
      </c>
      <c r="K394">
        <v>1.69613613903727E-4</v>
      </c>
      <c r="L394" t="s">
        <v>23</v>
      </c>
      <c r="M394" t="s">
        <v>24</v>
      </c>
      <c r="N394">
        <v>11689.984831685</v>
      </c>
      <c r="O394">
        <v>12470.2987196538</v>
      </c>
      <c r="P394">
        <v>10909.670943716201</v>
      </c>
      <c r="Q394">
        <v>12254.731226899999</v>
      </c>
      <c r="R394">
        <v>12685.8662124077</v>
      </c>
      <c r="S394">
        <v>11051.7688195467</v>
      </c>
      <c r="T394">
        <v>10767.5730678858</v>
      </c>
    </row>
    <row r="395" spans="1:20" x14ac:dyDescent="0.2">
      <c r="A395" t="s">
        <v>797</v>
      </c>
      <c r="B395" s="3" t="str">
        <f>HYPERLINK("http://www.ncbi.nlm.nih.gov/gene/10486","CAP2")</f>
        <v>CAP2</v>
      </c>
      <c r="C395">
        <v>10486</v>
      </c>
      <c r="D395" t="s">
        <v>798</v>
      </c>
      <c r="E395" s="3" t="str">
        <f>HYPERLINK("http://genome.ucsc.edu/cgi-bin/hgTracks?db=hg19&amp;lastVirtModeType=default&amp;lastVirtModeExtraState=&amp;virtModeType=default&amp;virtMode=0&amp;nonVirtPosition=&amp;position=chr6:17393504-17557792","chr6:17393504-17557792")</f>
        <v>chr6:17393504-17557792</v>
      </c>
      <c r="F395" t="s">
        <v>27</v>
      </c>
      <c r="G395">
        <v>-0.43102925870939202</v>
      </c>
      <c r="H395">
        <v>9.4202335093052203E-2</v>
      </c>
      <c r="I395">
        <v>-4.5755687296246403</v>
      </c>
      <c r="J395" s="1">
        <v>4.74928013264045E-6</v>
      </c>
      <c r="K395">
        <v>1.69613613903727E-4</v>
      </c>
      <c r="L395" t="s">
        <v>23</v>
      </c>
      <c r="M395" t="s">
        <v>24</v>
      </c>
      <c r="N395">
        <v>547.587135388359</v>
      </c>
      <c r="O395">
        <v>649.06996284899299</v>
      </c>
      <c r="P395">
        <v>446.10430792772502</v>
      </c>
      <c r="Q395">
        <v>638.39623770984701</v>
      </c>
      <c r="R395">
        <v>659.74368798813805</v>
      </c>
      <c r="S395">
        <v>415.31685022129398</v>
      </c>
      <c r="T395">
        <v>476.891765634156</v>
      </c>
    </row>
    <row r="396" spans="1:20" x14ac:dyDescent="0.2">
      <c r="A396" t="s">
        <v>799</v>
      </c>
      <c r="B396" s="3" t="str">
        <f>HYPERLINK("http://www.ncbi.nlm.nih.gov/gene/118429","ANTXR2")</f>
        <v>ANTXR2</v>
      </c>
      <c r="C396">
        <v>118429</v>
      </c>
      <c r="D396" t="s">
        <v>800</v>
      </c>
      <c r="E396" s="3" t="str">
        <f>HYPERLINK("http://genome.ucsc.edu/cgi-bin/hgTracks?db=hg19&amp;lastVirtModeType=default&amp;lastVirtModeExtraState=&amp;virtModeType=default&amp;virtMode=0&amp;nonVirtPosition=&amp;position=chr4:79901616-80073323","chr4:79901616-80073323")</f>
        <v>chr4:79901616-80073323</v>
      </c>
      <c r="F396" t="s">
        <v>22</v>
      </c>
      <c r="G396">
        <v>0.20374627396957801</v>
      </c>
      <c r="H396">
        <v>4.4571324129194199E-2</v>
      </c>
      <c r="I396">
        <v>4.5712412173127301</v>
      </c>
      <c r="J396" s="1">
        <v>4.8484377891341402E-6</v>
      </c>
      <c r="K396">
        <v>1.7270513205242999E-4</v>
      </c>
      <c r="L396" t="s">
        <v>23</v>
      </c>
      <c r="M396" t="s">
        <v>24</v>
      </c>
      <c r="N396">
        <v>6153.0445865915999</v>
      </c>
      <c r="O396">
        <v>5700.6510334533996</v>
      </c>
      <c r="P396">
        <v>6605.4381397298002</v>
      </c>
      <c r="Q396">
        <v>5654.7597779902399</v>
      </c>
      <c r="R396">
        <v>5746.5422889165502</v>
      </c>
      <c r="S396">
        <v>6744.7061875605395</v>
      </c>
      <c r="T396">
        <v>6466.17009189907</v>
      </c>
    </row>
    <row r="397" spans="1:20" x14ac:dyDescent="0.2">
      <c r="A397" t="s">
        <v>801</v>
      </c>
      <c r="B397" s="3" t="str">
        <f>HYPERLINK("http://www.ncbi.nlm.nih.gov/gene/5447","POR")</f>
        <v>POR</v>
      </c>
      <c r="C397">
        <v>5447</v>
      </c>
      <c r="D397" t="s">
        <v>802</v>
      </c>
      <c r="E397" s="3" t="str">
        <f>HYPERLINK("http://genome.ucsc.edu/cgi-bin/hgTracks?db=hg19&amp;lastVirtModeType=default&amp;lastVirtModeExtraState=&amp;virtModeType=default&amp;virtMode=0&amp;nonVirtPosition=&amp;position=chr7:75915101-75986855","chr7:75915101-75986855")</f>
        <v>chr7:75915101-75986855</v>
      </c>
      <c r="F397" t="s">
        <v>27</v>
      </c>
      <c r="G397">
        <v>0.246996226816704</v>
      </c>
      <c r="H397">
        <v>5.4060128630115403E-2</v>
      </c>
      <c r="I397">
        <v>4.5689167428119903</v>
      </c>
      <c r="J397" s="1">
        <v>4.9025146688504502E-6</v>
      </c>
      <c r="K397">
        <v>1.74124585755468E-4</v>
      </c>
      <c r="L397" t="s">
        <v>23</v>
      </c>
      <c r="M397" t="s">
        <v>24</v>
      </c>
      <c r="N397">
        <v>2763.84683881299</v>
      </c>
      <c r="O397">
        <v>2515.2875644296901</v>
      </c>
      <c r="P397">
        <v>3012.4061131962899</v>
      </c>
      <c r="Q397">
        <v>2546.7056810364802</v>
      </c>
      <c r="R397">
        <v>2483.8694478228899</v>
      </c>
      <c r="S397">
        <v>2977.25951061251</v>
      </c>
      <c r="T397">
        <v>3047.5527157800698</v>
      </c>
    </row>
    <row r="398" spans="1:20" x14ac:dyDescent="0.2">
      <c r="A398" t="s">
        <v>801</v>
      </c>
      <c r="B398" s="3" t="str">
        <f>HYPERLINK("http://www.ncbi.nlm.nih.gov/gene/100616270","MIR4651")</f>
        <v>MIR4651</v>
      </c>
      <c r="C398">
        <v>100616270</v>
      </c>
      <c r="D398" t="s">
        <v>803</v>
      </c>
      <c r="E398" s="3" t="str">
        <f>HYPERLINK("http://genome.ucsc.edu/cgi-bin/hgTracks?db=hg19&amp;lastVirtModeType=default&amp;lastVirtModeExtraState=&amp;virtModeType=default&amp;virtMode=0&amp;nonVirtPosition=&amp;position=chr7:75915196-75915269","chr7:75915196-75915269")</f>
        <v>chr7:75915196-75915269</v>
      </c>
      <c r="F398" t="s">
        <v>27</v>
      </c>
      <c r="G398">
        <v>0.246996226816704</v>
      </c>
      <c r="H398">
        <v>5.4060128630115403E-2</v>
      </c>
      <c r="I398">
        <v>4.5689167428119903</v>
      </c>
      <c r="J398" s="1">
        <v>4.9025146688504502E-6</v>
      </c>
      <c r="K398">
        <v>1.74124585755468E-4</v>
      </c>
      <c r="L398" t="s">
        <v>23</v>
      </c>
      <c r="M398" t="s">
        <v>24</v>
      </c>
      <c r="N398">
        <v>2763.84683881299</v>
      </c>
      <c r="O398">
        <v>2515.2875644296901</v>
      </c>
      <c r="P398">
        <v>3012.4061131962899</v>
      </c>
      <c r="Q398">
        <v>2546.7056810364802</v>
      </c>
      <c r="R398">
        <v>2483.8694478228899</v>
      </c>
      <c r="S398">
        <v>2977.25951061251</v>
      </c>
      <c r="T398">
        <v>3047.5527157800698</v>
      </c>
    </row>
    <row r="399" spans="1:20" x14ac:dyDescent="0.2">
      <c r="A399" t="s">
        <v>804</v>
      </c>
      <c r="B399" s="3" t="str">
        <f>HYPERLINK("http://www.ncbi.nlm.nih.gov/gene/6197","RPS6KA3")</f>
        <v>RPS6KA3</v>
      </c>
      <c r="C399">
        <v>6197</v>
      </c>
      <c r="D399" t="s">
        <v>805</v>
      </c>
      <c r="E399" s="3" t="str">
        <f>HYPERLINK("http://genome.ucsc.edu/cgi-bin/hgTracks?db=hg19&amp;lastVirtModeType=default&amp;lastVirtModeExtraState=&amp;virtModeType=default&amp;virtMode=0&amp;nonVirtPosition=&amp;position=chrX:20149910-20266632","chrX:20149910-20266632")</f>
        <v>chrX:20149910-20266632</v>
      </c>
      <c r="F399" t="s">
        <v>22</v>
      </c>
      <c r="G399">
        <v>0.25881109088204501</v>
      </c>
      <c r="H399">
        <v>5.6651964300572198E-2</v>
      </c>
      <c r="I399">
        <v>4.5684398427722499</v>
      </c>
      <c r="J399" s="1">
        <v>4.9136805226313499E-6</v>
      </c>
      <c r="K399">
        <v>1.74124585755468E-4</v>
      </c>
      <c r="L399" t="s">
        <v>23</v>
      </c>
      <c r="M399" t="s">
        <v>24</v>
      </c>
      <c r="N399">
        <v>2345.5842790305201</v>
      </c>
      <c r="O399">
        <v>2121.4557010106</v>
      </c>
      <c r="P399">
        <v>2569.7128570504401</v>
      </c>
      <c r="Q399">
        <v>2100.9289978080501</v>
      </c>
      <c r="R399">
        <v>2141.9824042131399</v>
      </c>
      <c r="S399">
        <v>2591.5376853476</v>
      </c>
      <c r="T399">
        <v>2547.8880287532702</v>
      </c>
    </row>
    <row r="400" spans="1:20" x14ac:dyDescent="0.2">
      <c r="A400" t="s">
        <v>806</v>
      </c>
      <c r="B400" s="3" t="str">
        <f>HYPERLINK("http://www.ncbi.nlm.nih.gov/gene/1462","VCAN")</f>
        <v>VCAN</v>
      </c>
      <c r="C400">
        <v>1462</v>
      </c>
      <c r="D400" t="s">
        <v>807</v>
      </c>
      <c r="E400" s="3" t="str">
        <f>HYPERLINK("http://genome.ucsc.edu/cgi-bin/hgTracks?db=hg19&amp;lastVirtModeType=default&amp;lastVirtModeExtraState=&amp;virtModeType=default&amp;virtMode=0&amp;nonVirtPosition=&amp;position=chr5:83471673-83582303","chr5:83471673-83582303")</f>
        <v>chr5:83471673-83582303</v>
      </c>
      <c r="F400" t="s">
        <v>27</v>
      </c>
      <c r="G400">
        <v>-0.45283213369351999</v>
      </c>
      <c r="H400">
        <v>9.91476086680564E-2</v>
      </c>
      <c r="I400">
        <v>-4.56725219878565</v>
      </c>
      <c r="J400" s="1">
        <v>4.94159326330301E-6</v>
      </c>
      <c r="K400">
        <v>1.74662396940561E-4</v>
      </c>
      <c r="L400" t="s">
        <v>23</v>
      </c>
      <c r="M400" t="s">
        <v>24</v>
      </c>
      <c r="N400">
        <v>20506.598875120399</v>
      </c>
      <c r="O400">
        <v>24611.581368180199</v>
      </c>
      <c r="P400">
        <v>16401.616382060602</v>
      </c>
      <c r="Q400">
        <v>24554.865634499201</v>
      </c>
      <c r="R400">
        <v>24668.297101861099</v>
      </c>
      <c r="S400">
        <v>14940.555098815899</v>
      </c>
      <c r="T400">
        <v>17862.6776653052</v>
      </c>
    </row>
    <row r="401" spans="1:20" x14ac:dyDescent="0.2">
      <c r="A401" t="s">
        <v>808</v>
      </c>
      <c r="B401" s="3" t="str">
        <f>HYPERLINK("http://www.ncbi.nlm.nih.gov/gene/7058","THBS2")</f>
        <v>THBS2</v>
      </c>
      <c r="C401">
        <v>7058</v>
      </c>
      <c r="D401" t="s">
        <v>809</v>
      </c>
      <c r="E401" s="3" t="str">
        <f>HYPERLINK("http://genome.ucsc.edu/cgi-bin/hgTracks?db=hg19&amp;lastVirtModeType=default&amp;lastVirtModeExtraState=&amp;virtModeType=default&amp;virtMode=0&amp;nonVirtPosition=&amp;position=chr6:169215779-169254114","chr6:169215779-169254114")</f>
        <v>chr6:169215779-169254114</v>
      </c>
      <c r="F401" t="s">
        <v>22</v>
      </c>
      <c r="G401">
        <v>0.220221390627134</v>
      </c>
      <c r="H401">
        <v>4.8274830146465997E-2</v>
      </c>
      <c r="I401">
        <v>4.5618263173372497</v>
      </c>
      <c r="J401" s="1">
        <v>5.0710587821923402E-6</v>
      </c>
      <c r="K401">
        <v>1.7877763531872899E-4</v>
      </c>
      <c r="L401" t="s">
        <v>23</v>
      </c>
      <c r="M401" t="s">
        <v>24</v>
      </c>
      <c r="N401">
        <v>12903.5517999165</v>
      </c>
      <c r="O401">
        <v>11879.171655514299</v>
      </c>
      <c r="P401">
        <v>13927.9319443187</v>
      </c>
      <c r="Q401">
        <v>11844.7267466467</v>
      </c>
      <c r="R401">
        <v>11913.6165643818</v>
      </c>
      <c r="S401">
        <v>13212.2056413629</v>
      </c>
      <c r="T401">
        <v>14643.658247274599</v>
      </c>
    </row>
    <row r="402" spans="1:20" x14ac:dyDescent="0.2">
      <c r="A402" t="s">
        <v>810</v>
      </c>
      <c r="B402" s="3" t="str">
        <f>HYPERLINK("http://www.ncbi.nlm.nih.gov/gene/123920","CMTM3")</f>
        <v>CMTM3</v>
      </c>
      <c r="C402">
        <v>123920</v>
      </c>
      <c r="D402" t="s">
        <v>811</v>
      </c>
      <c r="E402" s="3" t="str">
        <f>HYPERLINK("http://genome.ucsc.edu/cgi-bin/hgTracks?db=hg19&amp;lastVirtModeType=default&amp;lastVirtModeExtraState=&amp;virtModeType=default&amp;virtMode=0&amp;nonVirtPosition=&amp;position=chr16:66604663-66613893","chr16:66604663-66613893")</f>
        <v>chr16:66604663-66613893</v>
      </c>
      <c r="F402" t="s">
        <v>27</v>
      </c>
      <c r="G402">
        <v>0.27830509942099202</v>
      </c>
      <c r="H402">
        <v>6.1021841488550797E-2</v>
      </c>
      <c r="I402">
        <v>4.5607456712562398</v>
      </c>
      <c r="J402" s="1">
        <v>5.0972287972927501E-6</v>
      </c>
      <c r="K402">
        <v>1.7923947622070001E-4</v>
      </c>
      <c r="L402" t="s">
        <v>23</v>
      </c>
      <c r="M402" t="s">
        <v>24</v>
      </c>
      <c r="N402">
        <v>1974.6638498249599</v>
      </c>
      <c r="O402">
        <v>1770.39611117697</v>
      </c>
      <c r="P402">
        <v>2178.9315884729399</v>
      </c>
      <c r="Q402">
        <v>1736.3276982539401</v>
      </c>
      <c r="R402">
        <v>1804.4645241000101</v>
      </c>
      <c r="S402">
        <v>2132.8147985236001</v>
      </c>
      <c r="T402">
        <v>2225.0483784222802</v>
      </c>
    </row>
    <row r="403" spans="1:20" x14ac:dyDescent="0.2">
      <c r="A403" t="s">
        <v>812</v>
      </c>
      <c r="B403" s="3" t="str">
        <f>HYPERLINK("http://www.ncbi.nlm.nih.gov/gene/55959","SULF2")</f>
        <v>SULF2</v>
      </c>
      <c r="C403">
        <v>55959</v>
      </c>
      <c r="D403" t="s">
        <v>813</v>
      </c>
      <c r="E403" s="3" t="str">
        <f>HYPERLINK("http://genome.ucsc.edu/cgi-bin/hgTracks?db=hg19&amp;lastVirtModeType=default&amp;lastVirtModeExtraState=&amp;virtModeType=default&amp;virtMode=0&amp;nonVirtPosition=&amp;position=chr20:47657405-47786064","chr20:47657405-47786064")</f>
        <v>chr20:47657405-47786064</v>
      </c>
      <c r="F403" t="s">
        <v>22</v>
      </c>
      <c r="G403">
        <v>-0.41021336991830298</v>
      </c>
      <c r="H403">
        <v>9.0031798278209493E-2</v>
      </c>
      <c r="I403">
        <v>-4.55631652108839</v>
      </c>
      <c r="J403" s="1">
        <v>5.2058471325265001E-6</v>
      </c>
      <c r="K403">
        <v>1.82590761062579E-4</v>
      </c>
      <c r="L403" t="s">
        <v>23</v>
      </c>
      <c r="M403" t="s">
        <v>24</v>
      </c>
      <c r="N403">
        <v>681.93439392659002</v>
      </c>
      <c r="O403">
        <v>798.75004416544698</v>
      </c>
      <c r="P403">
        <v>565.11874368773204</v>
      </c>
      <c r="Q403">
        <v>755.34382435928001</v>
      </c>
      <c r="R403">
        <v>842.15626397161395</v>
      </c>
      <c r="S403">
        <v>528.764445887443</v>
      </c>
      <c r="T403">
        <v>601.47304148802198</v>
      </c>
    </row>
    <row r="404" spans="1:20" x14ac:dyDescent="0.2">
      <c r="A404" t="s">
        <v>814</v>
      </c>
      <c r="B404" s="3" t="str">
        <f>HYPERLINK("http://www.ncbi.nlm.nih.gov/gene/3978","LIG1")</f>
        <v>LIG1</v>
      </c>
      <c r="C404">
        <v>3978</v>
      </c>
      <c r="D404" t="s">
        <v>815</v>
      </c>
      <c r="E404" s="3" t="str">
        <f>HYPERLINK("http://genome.ucsc.edu/cgi-bin/hgTracks?db=hg19&amp;lastVirtModeType=default&amp;lastVirtModeExtraState=&amp;virtModeType=default&amp;virtMode=0&amp;nonVirtPosition=&amp;position=chr19:48115444-48170603","chr19:48115444-48170603")</f>
        <v>chr19:48115444-48170603</v>
      </c>
      <c r="F404" t="s">
        <v>22</v>
      </c>
      <c r="G404">
        <v>-0.41161189610459997</v>
      </c>
      <c r="H404">
        <v>9.0390234902841399E-2</v>
      </c>
      <c r="I404">
        <v>-4.5537208366261304</v>
      </c>
      <c r="J404" s="1">
        <v>5.2705287738656599E-6</v>
      </c>
      <c r="K404">
        <v>1.8425915875904E-4</v>
      </c>
      <c r="L404" t="s">
        <v>23</v>
      </c>
      <c r="M404" t="s">
        <v>24</v>
      </c>
      <c r="N404">
        <v>634.99440027585501</v>
      </c>
      <c r="O404">
        <v>744.42414715150596</v>
      </c>
      <c r="P404">
        <v>525.56465340020304</v>
      </c>
      <c r="Q404">
        <v>795.24358921614498</v>
      </c>
      <c r="R404">
        <v>693.60470508686706</v>
      </c>
      <c r="S404">
        <v>532.71044921496105</v>
      </c>
      <c r="T404">
        <v>518.41885758544402</v>
      </c>
    </row>
    <row r="405" spans="1:20" x14ac:dyDescent="0.2">
      <c r="A405" t="s">
        <v>816</v>
      </c>
      <c r="B405" s="3" t="str">
        <f>HYPERLINK("http://www.ncbi.nlm.nih.gov/gene/80851","SH3BP5L")</f>
        <v>SH3BP5L</v>
      </c>
      <c r="C405">
        <v>80851</v>
      </c>
      <c r="D405" t="s">
        <v>817</v>
      </c>
      <c r="E405" s="3" t="str">
        <f>HYPERLINK("http://genome.ucsc.edu/cgi-bin/hgTracks?db=hg19&amp;lastVirtModeType=default&amp;lastVirtModeExtraState=&amp;virtModeType=default&amp;virtMode=0&amp;nonVirtPosition=&amp;position=chr1:248810451-248825955","chr1:248810451-248825955")</f>
        <v>chr1:248810451-248825955</v>
      </c>
      <c r="F405" t="s">
        <v>22</v>
      </c>
      <c r="G405">
        <v>-0.23346316884424401</v>
      </c>
      <c r="H405">
        <v>5.1273039968276597E-2</v>
      </c>
      <c r="I405">
        <v>-4.5533319067621303</v>
      </c>
      <c r="J405" s="1">
        <v>5.2802865241580003E-6</v>
      </c>
      <c r="K405">
        <v>1.8425915875904E-4</v>
      </c>
      <c r="L405" t="s">
        <v>23</v>
      </c>
      <c r="M405" t="s">
        <v>24</v>
      </c>
      <c r="N405">
        <v>3697.62809197349</v>
      </c>
      <c r="O405">
        <v>4012.91170989698</v>
      </c>
      <c r="P405">
        <v>3382.3444740499999</v>
      </c>
      <c r="Q405">
        <v>3967.9628223172399</v>
      </c>
      <c r="R405">
        <v>4057.8605974767102</v>
      </c>
      <c r="S405">
        <v>3281.1017668314098</v>
      </c>
      <c r="T405">
        <v>3483.5871812686</v>
      </c>
    </row>
    <row r="406" spans="1:20" x14ac:dyDescent="0.2">
      <c r="A406" t="s">
        <v>818</v>
      </c>
      <c r="B406" s="3" t="str">
        <f>HYPERLINK("http://www.ncbi.nlm.nih.gov/gene/8825","LIN7A")</f>
        <v>LIN7A</v>
      </c>
      <c r="C406">
        <v>8825</v>
      </c>
      <c r="D406" t="s">
        <v>819</v>
      </c>
      <c r="E406" s="3" t="str">
        <f>HYPERLINK("http://genome.ucsc.edu/cgi-bin/hgTracks?db=hg19&amp;lastVirtModeType=default&amp;lastVirtModeExtraState=&amp;virtModeType=default&amp;virtMode=0&amp;nonVirtPosition=&amp;position=chr12:80792520-80937915","chr12:80792520-80937915")</f>
        <v>chr12:80792520-80937915</v>
      </c>
      <c r="F406" t="s">
        <v>22</v>
      </c>
      <c r="G406">
        <v>-0.37968740434021803</v>
      </c>
      <c r="H406">
        <v>8.3401062589810906E-2</v>
      </c>
      <c r="I406">
        <v>-4.5525487631689296</v>
      </c>
      <c r="J406" s="1">
        <v>5.2999870957731297E-6</v>
      </c>
      <c r="K406">
        <v>1.8447721581581899E-4</v>
      </c>
      <c r="L406" t="s">
        <v>23</v>
      </c>
      <c r="M406" t="s">
        <v>24</v>
      </c>
      <c r="N406">
        <v>907.61918979336394</v>
      </c>
      <c r="O406">
        <v>1047.6283085797299</v>
      </c>
      <c r="P406">
        <v>767.61007100699703</v>
      </c>
      <c r="Q406">
        <v>1034.6421783573401</v>
      </c>
      <c r="R406">
        <v>1060.61443880212</v>
      </c>
      <c r="S406">
        <v>705.348094793884</v>
      </c>
      <c r="T406">
        <v>829.87204722011097</v>
      </c>
    </row>
    <row r="407" spans="1:20" x14ac:dyDescent="0.2">
      <c r="A407" t="s">
        <v>820</v>
      </c>
      <c r="B407" s="3" t="str">
        <f>HYPERLINK("http://www.ncbi.nlm.nih.gov/gene/84929","FIBCD1")</f>
        <v>FIBCD1</v>
      </c>
      <c r="C407">
        <v>84929</v>
      </c>
      <c r="D407" t="s">
        <v>821</v>
      </c>
      <c r="E407" s="3" t="str">
        <f>HYPERLINK("http://genome.ucsc.edu/cgi-bin/hgTracks?db=hg19&amp;lastVirtModeType=default&amp;lastVirtModeExtraState=&amp;virtModeType=default&amp;virtMode=0&amp;nonVirtPosition=&amp;position=chr9:130902437-130939068","chr9:130902437-130939068")</f>
        <v>chr9:130902437-130939068</v>
      </c>
      <c r="F407" t="s">
        <v>22</v>
      </c>
      <c r="G407">
        <v>-0.38574894389866599</v>
      </c>
      <c r="H407">
        <v>8.4744787685357897E-2</v>
      </c>
      <c r="I407">
        <v>-4.5518899089213898</v>
      </c>
      <c r="J407" s="1">
        <v>5.3166155639879503E-6</v>
      </c>
      <c r="K407">
        <v>1.84587508467167E-4</v>
      </c>
      <c r="L407" t="s">
        <v>23</v>
      </c>
      <c r="M407" t="s">
        <v>24</v>
      </c>
      <c r="N407">
        <v>735.61351919943604</v>
      </c>
      <c r="O407">
        <v>851.27409628241196</v>
      </c>
      <c r="P407">
        <v>619.95294211646001</v>
      </c>
      <c r="Q407">
        <v>851.65360159998897</v>
      </c>
      <c r="R407">
        <v>850.89459096483404</v>
      </c>
      <c r="S407">
        <v>592.88699995961395</v>
      </c>
      <c r="T407">
        <v>647.01888427330698</v>
      </c>
    </row>
    <row r="408" spans="1:20" x14ac:dyDescent="0.2">
      <c r="A408" t="s">
        <v>822</v>
      </c>
      <c r="B408" s="3" t="str">
        <f>HYPERLINK("http://www.ncbi.nlm.nih.gov/gene/22891","ZNF365")</f>
        <v>ZNF365</v>
      </c>
      <c r="C408">
        <v>22891</v>
      </c>
      <c r="D408" t="s">
        <v>823</v>
      </c>
      <c r="E408" s="3" t="str">
        <f>HYPERLINK("http://genome.ucsc.edu/cgi-bin/hgTracks?db=hg19&amp;lastVirtModeType=default&amp;lastVirtModeExtraState=&amp;virtModeType=default&amp;virtMode=0&amp;nonVirtPosition=&amp;position=chr10:62374156-62402458","chr10:62374156-62402458")</f>
        <v>chr10:62374156-62402458</v>
      </c>
      <c r="F408" t="s">
        <v>27</v>
      </c>
      <c r="G408">
        <v>0.30087212736114</v>
      </c>
      <c r="H408">
        <v>6.6201308389555E-2</v>
      </c>
      <c r="I408">
        <v>4.5448063592744798</v>
      </c>
      <c r="J408" s="1">
        <v>5.4985779754857798E-6</v>
      </c>
      <c r="K408">
        <v>1.9042297564599001E-4</v>
      </c>
      <c r="L408" t="s">
        <v>23</v>
      </c>
      <c r="M408" t="s">
        <v>24</v>
      </c>
      <c r="N408">
        <v>1608.5882633799199</v>
      </c>
      <c r="O408">
        <v>1424.8660015287101</v>
      </c>
      <c r="P408">
        <v>1792.31052523112</v>
      </c>
      <c r="Q408">
        <v>1425.3847031625</v>
      </c>
      <c r="R408">
        <v>1424.3472998949201</v>
      </c>
      <c r="S408">
        <v>1858.5675672610901</v>
      </c>
      <c r="T408">
        <v>1726.0534832011499</v>
      </c>
    </row>
    <row r="409" spans="1:20" x14ac:dyDescent="0.2">
      <c r="A409" t="s">
        <v>824</v>
      </c>
      <c r="B409" s="3" t="str">
        <f>HYPERLINK("http://www.ncbi.nlm.nih.gov/gene/120","ADD3")</f>
        <v>ADD3</v>
      </c>
      <c r="C409">
        <v>120</v>
      </c>
      <c r="D409" t="s">
        <v>825</v>
      </c>
      <c r="E409" s="3" t="str">
        <f>HYPERLINK("http://genome.ucsc.edu/cgi-bin/hgTracks?db=hg19&amp;lastVirtModeType=default&amp;lastVirtModeExtraState=&amp;virtModeType=default&amp;virtMode=0&amp;nonVirtPosition=&amp;position=chr10:110005803-110135565","chr10:110005803-110135565")</f>
        <v>chr10:110005803-110135565</v>
      </c>
      <c r="F409" t="s">
        <v>27</v>
      </c>
      <c r="G409">
        <v>-0.34428099425900199</v>
      </c>
      <c r="H409">
        <v>7.5763385200029607E-2</v>
      </c>
      <c r="I409">
        <v>-4.54416065689297</v>
      </c>
      <c r="J409" s="1">
        <v>5.5154581154018203E-6</v>
      </c>
      <c r="K409">
        <v>1.9052642970937201E-4</v>
      </c>
      <c r="L409" t="s">
        <v>23</v>
      </c>
      <c r="M409" t="s">
        <v>24</v>
      </c>
      <c r="N409">
        <v>1213.4588469826899</v>
      </c>
      <c r="O409">
        <v>1376.7899522442301</v>
      </c>
      <c r="P409">
        <v>1050.12774172116</v>
      </c>
      <c r="Q409">
        <v>1313.9405323553999</v>
      </c>
      <c r="R409">
        <v>1439.6393721330601</v>
      </c>
      <c r="S409">
        <v>992.41983687083496</v>
      </c>
      <c r="T409">
        <v>1107.8356465714801</v>
      </c>
    </row>
    <row r="410" spans="1:20" x14ac:dyDescent="0.2">
      <c r="A410" t="s">
        <v>826</v>
      </c>
      <c r="B410" s="3" t="str">
        <f>HYPERLINK("http://www.ncbi.nlm.nih.gov/gene/151246","SGO2")</f>
        <v>SGO2</v>
      </c>
      <c r="C410">
        <v>151246</v>
      </c>
      <c r="D410" t="s">
        <v>827</v>
      </c>
      <c r="E410" s="3" t="str">
        <f>HYPERLINK("http://genome.ucsc.edu/cgi-bin/hgTracks?db=hg19&amp;lastVirtModeType=default&amp;lastVirtModeExtraState=&amp;virtModeType=default&amp;virtMode=0&amp;nonVirtPosition=&amp;position=chr2:200526141-200584095","chr2:200526141-200584095")</f>
        <v>chr2:200526141-200584095</v>
      </c>
      <c r="F410" t="s">
        <v>27</v>
      </c>
      <c r="G410">
        <v>-0.41671182633620102</v>
      </c>
      <c r="H410">
        <v>9.1768961013854997E-2</v>
      </c>
      <c r="I410">
        <v>-4.5408798544998996</v>
      </c>
      <c r="J410" s="1">
        <v>5.6019950142189104E-6</v>
      </c>
      <c r="K410">
        <v>1.9302954679647799E-4</v>
      </c>
      <c r="L410" t="s">
        <v>23</v>
      </c>
      <c r="M410" t="s">
        <v>24</v>
      </c>
      <c r="N410">
        <v>544.02647344910099</v>
      </c>
      <c r="O410">
        <v>639.40210726061605</v>
      </c>
      <c r="P410">
        <v>448.65083963758502</v>
      </c>
      <c r="Q410">
        <v>645.27550751275498</v>
      </c>
      <c r="R410">
        <v>633.528707008477</v>
      </c>
      <c r="S410">
        <v>447.87137767331899</v>
      </c>
      <c r="T410">
        <v>449.43030160185202</v>
      </c>
    </row>
    <row r="411" spans="1:20" x14ac:dyDescent="0.2">
      <c r="A411" t="s">
        <v>828</v>
      </c>
      <c r="B411" s="3" t="str">
        <f>HYPERLINK("http://www.ncbi.nlm.nih.gov/gene/56243","KIAA1217")</f>
        <v>KIAA1217</v>
      </c>
      <c r="C411">
        <v>56243</v>
      </c>
      <c r="D411" t="s">
        <v>829</v>
      </c>
      <c r="E411" s="3" t="str">
        <f>HYPERLINK("http://genome.ucsc.edu/cgi-bin/hgTracks?db=hg19&amp;lastVirtModeType=default&amp;lastVirtModeExtraState=&amp;virtModeType=default&amp;virtMode=0&amp;nonVirtPosition=&amp;position=chr10:24449432-24547843","chr10:24449432-24547843")</f>
        <v>chr10:24449432-24547843</v>
      </c>
      <c r="F411" t="s">
        <v>27</v>
      </c>
      <c r="G411">
        <v>0.25874279478649498</v>
      </c>
      <c r="H411">
        <v>5.7350622691991197E-2</v>
      </c>
      <c r="I411">
        <v>4.5115952127687704</v>
      </c>
      <c r="J411" s="1">
        <v>6.4341889414306296E-6</v>
      </c>
      <c r="K411">
        <v>2.2114904045809401E-4</v>
      </c>
      <c r="L411" t="s">
        <v>23</v>
      </c>
      <c r="M411" t="s">
        <v>24</v>
      </c>
      <c r="N411">
        <v>2530.2165060795101</v>
      </c>
      <c r="O411">
        <v>2286.8741799306099</v>
      </c>
      <c r="P411">
        <v>2773.5588322284002</v>
      </c>
      <c r="Q411">
        <v>2227.5075621815599</v>
      </c>
      <c r="R411">
        <v>2346.2407976796699</v>
      </c>
      <c r="S411">
        <v>2839.14939414937</v>
      </c>
      <c r="T411">
        <v>2707.96827030743</v>
      </c>
    </row>
    <row r="412" spans="1:20" x14ac:dyDescent="0.2">
      <c r="A412" t="s">
        <v>830</v>
      </c>
      <c r="B412" s="3" t="str">
        <f>HYPERLINK("http://www.ncbi.nlm.nih.gov/gene/25912","C1orf43")</f>
        <v>C1orf43</v>
      </c>
      <c r="C412">
        <v>25912</v>
      </c>
      <c r="D412" t="s">
        <v>831</v>
      </c>
      <c r="E412" s="3" t="str">
        <f>HYPERLINK("http://genome.ucsc.edu/cgi-bin/hgTracks?db=hg19&amp;lastVirtModeType=default&amp;lastVirtModeExtraState=&amp;virtModeType=default&amp;virtMode=0&amp;nonVirtPosition=&amp;position=chr1:154206700-154220797","chr1:154206700-154220797")</f>
        <v>chr1:154206700-154220797</v>
      </c>
      <c r="F412" t="s">
        <v>22</v>
      </c>
      <c r="G412">
        <v>0.209845764781139</v>
      </c>
      <c r="H412">
        <v>4.6593547378153598E-2</v>
      </c>
      <c r="I412">
        <v>4.5037516263363599</v>
      </c>
      <c r="J412" s="1">
        <v>6.6764231547398097E-6</v>
      </c>
      <c r="K412">
        <v>2.2890116786025401E-4</v>
      </c>
      <c r="L412" t="s">
        <v>23</v>
      </c>
      <c r="M412" t="s">
        <v>24</v>
      </c>
      <c r="N412">
        <v>5209.9152673716499</v>
      </c>
      <c r="O412">
        <v>4814.4077320695797</v>
      </c>
      <c r="P412">
        <v>5605.4228026737201</v>
      </c>
      <c r="Q412">
        <v>4834.7508174836203</v>
      </c>
      <c r="R412">
        <v>4794.0646466555299</v>
      </c>
      <c r="S412">
        <v>5747.3538465303</v>
      </c>
      <c r="T412">
        <v>5463.4917588171402</v>
      </c>
    </row>
    <row r="413" spans="1:20" x14ac:dyDescent="0.2">
      <c r="A413" t="s">
        <v>832</v>
      </c>
      <c r="B413" s="3" t="str">
        <f>HYPERLINK("http://www.ncbi.nlm.nih.gov/gene/79191","IRX3")</f>
        <v>IRX3</v>
      </c>
      <c r="C413">
        <v>79191</v>
      </c>
      <c r="D413" t="s">
        <v>833</v>
      </c>
      <c r="E413" s="3" t="str">
        <f>HYPERLINK("http://genome.ucsc.edu/cgi-bin/hgTracks?db=hg19&amp;lastVirtModeType=default&amp;lastVirtModeExtraState=&amp;virtModeType=default&amp;virtMode=0&amp;nonVirtPosition=&amp;position=chr16:54283299-54286466","chr16:54283299-54286466")</f>
        <v>chr16:54283299-54286466</v>
      </c>
      <c r="F413" t="s">
        <v>22</v>
      </c>
      <c r="G413">
        <v>0.365220760819225</v>
      </c>
      <c r="H413">
        <v>8.1202340717779403E-2</v>
      </c>
      <c r="I413">
        <v>4.4976629687136498</v>
      </c>
      <c r="J413" s="1">
        <v>6.8704494116458398E-6</v>
      </c>
      <c r="K413">
        <v>2.34965943220227E-4</v>
      </c>
      <c r="L413" t="s">
        <v>23</v>
      </c>
      <c r="M413" t="s">
        <v>24</v>
      </c>
      <c r="N413">
        <v>1205.5546490007901</v>
      </c>
      <c r="O413">
        <v>1032.11561546251</v>
      </c>
      <c r="P413">
        <v>1378.9936825390701</v>
      </c>
      <c r="Q413">
        <v>1048.4007179631501</v>
      </c>
      <c r="R413">
        <v>1015.83051296187</v>
      </c>
      <c r="S413">
        <v>1246.93705149576</v>
      </c>
      <c r="T413">
        <v>1511.0503135823801</v>
      </c>
    </row>
    <row r="414" spans="1:20" x14ac:dyDescent="0.2">
      <c r="A414" t="s">
        <v>834</v>
      </c>
      <c r="B414" s="3" t="str">
        <f>HYPERLINK("http://www.ncbi.nlm.nih.gov/gene/54541","DDIT4")</f>
        <v>DDIT4</v>
      </c>
      <c r="C414">
        <v>54541</v>
      </c>
      <c r="D414" t="s">
        <v>835</v>
      </c>
      <c r="E414" s="3" t="str">
        <f>HYPERLINK("http://genome.ucsc.edu/cgi-bin/hgTracks?db=hg19&amp;lastVirtModeType=default&amp;lastVirtModeExtraState=&amp;virtModeType=default&amp;virtMode=0&amp;nonVirtPosition=&amp;position=chr10:72273918-72276039","chr10:72273918-72276039")</f>
        <v>chr10:72273918-72276039</v>
      </c>
      <c r="F414" t="s">
        <v>27</v>
      </c>
      <c r="G414">
        <v>0.39692584080390397</v>
      </c>
      <c r="H414">
        <v>8.8373838585270703E-2</v>
      </c>
      <c r="I414">
        <v>4.4914405344169301</v>
      </c>
      <c r="J414" s="1">
        <v>7.0743053692140398E-6</v>
      </c>
      <c r="K414">
        <v>2.4133588018259E-4</v>
      </c>
      <c r="L414" t="s">
        <v>23</v>
      </c>
      <c r="M414" t="s">
        <v>24</v>
      </c>
      <c r="N414">
        <v>932.00437230432794</v>
      </c>
      <c r="O414">
        <v>779.02078261609802</v>
      </c>
      <c r="P414">
        <v>1084.98796199256</v>
      </c>
      <c r="Q414">
        <v>701.68551989659898</v>
      </c>
      <c r="R414">
        <v>856.35604533559695</v>
      </c>
      <c r="S414">
        <v>1007.21734934903</v>
      </c>
      <c r="T414">
        <v>1162.7585746360901</v>
      </c>
    </row>
    <row r="415" spans="1:20" x14ac:dyDescent="0.2">
      <c r="A415" t="s">
        <v>836</v>
      </c>
      <c r="B415" s="3" t="str">
        <f>HYPERLINK("http://www.ncbi.nlm.nih.gov/gene/29028","ATAD2")</f>
        <v>ATAD2</v>
      </c>
      <c r="C415">
        <v>29028</v>
      </c>
      <c r="D415" t="s">
        <v>837</v>
      </c>
      <c r="E415" s="3" t="str">
        <f>HYPERLINK("http://genome.ucsc.edu/cgi-bin/hgTracks?db=hg19&amp;lastVirtModeType=default&amp;lastVirtModeExtraState=&amp;virtModeType=default&amp;virtMode=0&amp;nonVirtPosition=&amp;position=chr8:123319850-123396465","chr8:123319850-123396465")</f>
        <v>chr8:123319850-123396465</v>
      </c>
      <c r="F415" t="s">
        <v>22</v>
      </c>
      <c r="G415">
        <v>-0.309813925200567</v>
      </c>
      <c r="H415">
        <v>6.9020255858332505E-2</v>
      </c>
      <c r="I415">
        <v>-4.4887391584939298</v>
      </c>
      <c r="J415" s="1">
        <v>7.1645959243862902E-6</v>
      </c>
      <c r="K415">
        <v>2.43809599273036E-4</v>
      </c>
      <c r="L415" t="s">
        <v>23</v>
      </c>
      <c r="M415" t="s">
        <v>24</v>
      </c>
      <c r="N415">
        <v>1386.4318268878901</v>
      </c>
      <c r="O415">
        <v>1551.4134179519201</v>
      </c>
      <c r="P415">
        <v>1221.4502358238699</v>
      </c>
      <c r="Q415">
        <v>1598.74230219578</v>
      </c>
      <c r="R415">
        <v>1504.08453370806</v>
      </c>
      <c r="S415">
        <v>1189.7200032467499</v>
      </c>
      <c r="T415">
        <v>1253.1804684009901</v>
      </c>
    </row>
    <row r="416" spans="1:20" x14ac:dyDescent="0.2">
      <c r="A416" t="s">
        <v>838</v>
      </c>
      <c r="B416" s="3" t="str">
        <f>HYPERLINK("http://www.ncbi.nlm.nih.gov/gene/55143","CDCA8")</f>
        <v>CDCA8</v>
      </c>
      <c r="C416">
        <v>55143</v>
      </c>
      <c r="D416" t="s">
        <v>839</v>
      </c>
      <c r="E416" s="3" t="str">
        <f>HYPERLINK("http://genome.ucsc.edu/cgi-bin/hgTracks?db=hg19&amp;lastVirtModeType=default&amp;lastVirtModeExtraState=&amp;virtModeType=default&amp;virtMode=0&amp;nonVirtPosition=&amp;position=chr1:37692400-37709719","chr1:37692400-37709719")</f>
        <v>chr1:37692400-37709719</v>
      </c>
      <c r="F416" t="s">
        <v>27</v>
      </c>
      <c r="G416">
        <v>-0.47328366045583597</v>
      </c>
      <c r="H416">
        <v>0.105626325279999</v>
      </c>
      <c r="I416">
        <v>-4.4807358317279</v>
      </c>
      <c r="J416" s="1">
        <v>7.4386135182890597E-6</v>
      </c>
      <c r="K416">
        <v>2.5250778660845601E-4</v>
      </c>
      <c r="L416" t="s">
        <v>23</v>
      </c>
      <c r="M416" t="s">
        <v>24</v>
      </c>
      <c r="N416">
        <v>347.95760402691002</v>
      </c>
      <c r="O416">
        <v>424.82037178922099</v>
      </c>
      <c r="P416">
        <v>271.09483626460099</v>
      </c>
      <c r="Q416">
        <v>444.40082926784601</v>
      </c>
      <c r="R416">
        <v>405.239914310595</v>
      </c>
      <c r="S416">
        <v>291.01774540447002</v>
      </c>
      <c r="T416">
        <v>251.17192712473101</v>
      </c>
    </row>
    <row r="417" spans="1:20" x14ac:dyDescent="0.2">
      <c r="A417" t="s">
        <v>840</v>
      </c>
      <c r="B417" s="3" t="str">
        <f>HYPERLINK("http://www.ncbi.nlm.nih.gov/gene/7168","TPM1")</f>
        <v>TPM1</v>
      </c>
      <c r="C417">
        <v>7168</v>
      </c>
      <c r="D417" t="s">
        <v>841</v>
      </c>
      <c r="E417" s="3" t="str">
        <f>HYPERLINK("http://genome.ucsc.edu/cgi-bin/hgTracks?db=hg19&amp;lastVirtModeType=default&amp;lastVirtModeExtraState=&amp;virtModeType=default&amp;virtMode=0&amp;nonVirtPosition=&amp;position=chr15:63042638-63066093","chr15:63042638-63066093")</f>
        <v>chr15:63042638-63066093</v>
      </c>
      <c r="F417" t="s">
        <v>27</v>
      </c>
      <c r="G417">
        <v>-0.45036775431987103</v>
      </c>
      <c r="H417">
        <v>0.100571573533591</v>
      </c>
      <c r="I417">
        <v>-4.4780820116078601</v>
      </c>
      <c r="J417" s="1">
        <v>7.5316668523095201E-6</v>
      </c>
      <c r="K417">
        <v>2.5503525731499399E-4</v>
      </c>
      <c r="L417" t="s">
        <v>23</v>
      </c>
      <c r="M417" t="s">
        <v>24</v>
      </c>
      <c r="N417">
        <v>21134.279864127999</v>
      </c>
      <c r="O417">
        <v>25393.000977202901</v>
      </c>
      <c r="P417">
        <v>16875.558751053199</v>
      </c>
      <c r="Q417">
        <v>25491.822181655301</v>
      </c>
      <c r="R417">
        <v>25294.1797727505</v>
      </c>
      <c r="S417">
        <v>15333.182429904</v>
      </c>
      <c r="T417">
        <v>18417.935072202301</v>
      </c>
    </row>
    <row r="418" spans="1:20" x14ac:dyDescent="0.2">
      <c r="A418" t="s">
        <v>842</v>
      </c>
      <c r="B418" s="3" t="str">
        <f>HYPERLINK("http://www.ncbi.nlm.nih.gov/gene/55083","KIF26B")</f>
        <v>KIF26B</v>
      </c>
      <c r="C418">
        <v>55083</v>
      </c>
      <c r="D418" t="s">
        <v>843</v>
      </c>
      <c r="E418" s="3" t="str">
        <f>HYPERLINK("http://genome.ucsc.edu/cgi-bin/hgTracks?db=hg19&amp;lastVirtModeType=default&amp;lastVirtModeExtraState=&amp;virtModeType=default&amp;virtMode=0&amp;nonVirtPosition=&amp;position=chr1:245154984-245703126","chr1:245154984-245703126")</f>
        <v>chr1:245154984-245703126</v>
      </c>
      <c r="F418" t="s">
        <v>27</v>
      </c>
      <c r="G418">
        <v>-0.46689702422582502</v>
      </c>
      <c r="H418">
        <v>0.10434045669700499</v>
      </c>
      <c r="I418">
        <v>-4.47474583690631</v>
      </c>
      <c r="J418" s="1">
        <v>7.6502260121792508E-6</v>
      </c>
      <c r="K418">
        <v>2.5841182150499099E-4</v>
      </c>
      <c r="L418" t="s">
        <v>23</v>
      </c>
      <c r="M418" t="s">
        <v>24</v>
      </c>
      <c r="N418">
        <v>387.47073383263103</v>
      </c>
      <c r="O418">
        <v>472.36108915789498</v>
      </c>
      <c r="P418">
        <v>302.58037850736798</v>
      </c>
      <c r="Q418">
        <v>487.052302045874</v>
      </c>
      <c r="R418">
        <v>457.66987626991698</v>
      </c>
      <c r="S418">
        <v>272.27422959875798</v>
      </c>
      <c r="T418">
        <v>332.88652741597701</v>
      </c>
    </row>
    <row r="419" spans="1:20" x14ac:dyDescent="0.2">
      <c r="A419" t="s">
        <v>844</v>
      </c>
      <c r="B419" s="3" t="str">
        <f>HYPERLINK("http://www.ncbi.nlm.nih.gov/gene/7045","TGFBI")</f>
        <v>TGFBI</v>
      </c>
      <c r="C419">
        <v>7045</v>
      </c>
      <c r="D419" t="s">
        <v>845</v>
      </c>
      <c r="E419" s="3" t="str">
        <f>HYPERLINK("http://genome.ucsc.edu/cgi-bin/hgTracks?db=hg19&amp;lastVirtModeType=default&amp;lastVirtModeExtraState=&amp;virtModeType=default&amp;virtMode=0&amp;nonVirtPosition=&amp;position=chr5:136028894-136063818","chr5:136028894-136063818")</f>
        <v>chr5:136028894-136063818</v>
      </c>
      <c r="F419" t="s">
        <v>27</v>
      </c>
      <c r="G419">
        <v>-0.24576721698756401</v>
      </c>
      <c r="H419">
        <v>5.4942560937688199E-2</v>
      </c>
      <c r="I419">
        <v>-4.4731663903743799</v>
      </c>
      <c r="J419" s="1">
        <v>7.7069759192009108E-6</v>
      </c>
      <c r="K419">
        <v>2.5968910996540903E-4</v>
      </c>
      <c r="L419" t="s">
        <v>23</v>
      </c>
      <c r="M419" t="s">
        <v>24</v>
      </c>
      <c r="N419">
        <v>212279.348052841</v>
      </c>
      <c r="O419">
        <v>231403.75251892299</v>
      </c>
      <c r="P419">
        <v>193154.94358676</v>
      </c>
      <c r="Q419">
        <v>225923.47545125699</v>
      </c>
      <c r="R419">
        <v>236884.02958658899</v>
      </c>
      <c r="S419">
        <v>182340.86776128999</v>
      </c>
      <c r="T419">
        <v>203969.01941222901</v>
      </c>
    </row>
    <row r="420" spans="1:20" x14ac:dyDescent="0.2">
      <c r="A420" t="s">
        <v>846</v>
      </c>
      <c r="B420" s="3" t="str">
        <f>HYPERLINK("http://www.ncbi.nlm.nih.gov/gene/3597","IL13RA1")</f>
        <v>IL13RA1</v>
      </c>
      <c r="C420">
        <v>3597</v>
      </c>
      <c r="D420" t="s">
        <v>847</v>
      </c>
      <c r="E420" s="3" t="str">
        <f>HYPERLINK("http://genome.ucsc.edu/cgi-bin/hgTracks?db=hg19&amp;lastVirtModeType=default&amp;lastVirtModeExtraState=&amp;virtModeType=default&amp;virtMode=0&amp;nonVirtPosition=&amp;position=chrX:118727595-118794533","chrX:118727595-118794533")</f>
        <v>chrX:118727595-118794533</v>
      </c>
      <c r="F420" t="s">
        <v>27</v>
      </c>
      <c r="G420">
        <v>-0.192278704482123</v>
      </c>
      <c r="H420">
        <v>4.3002010189344603E-2</v>
      </c>
      <c r="I420">
        <v>-4.4713887475373699</v>
      </c>
      <c r="J420" s="1">
        <v>7.7713284729215994E-6</v>
      </c>
      <c r="K420">
        <v>2.6121568303344802E-4</v>
      </c>
      <c r="L420" t="s">
        <v>23</v>
      </c>
      <c r="M420" t="s">
        <v>24</v>
      </c>
      <c r="N420">
        <v>6297.10689661171</v>
      </c>
      <c r="O420">
        <v>6730.6341958536796</v>
      </c>
      <c r="P420">
        <v>5863.5795973697404</v>
      </c>
      <c r="Q420">
        <v>6788.4634415094497</v>
      </c>
      <c r="R420">
        <v>6672.8049501979103</v>
      </c>
      <c r="S420">
        <v>5916.0454887817104</v>
      </c>
      <c r="T420">
        <v>5811.1137059577704</v>
      </c>
    </row>
    <row r="421" spans="1:20" x14ac:dyDescent="0.2">
      <c r="A421" t="s">
        <v>848</v>
      </c>
      <c r="B421" s="3" t="str">
        <f>HYPERLINK("http://www.ncbi.nlm.nih.gov/gene/441094","NR2F1-AS1")</f>
        <v>NR2F1-AS1</v>
      </c>
      <c r="C421">
        <v>441094</v>
      </c>
      <c r="D421" t="s">
        <v>849</v>
      </c>
      <c r="E421" s="3" t="str">
        <f>HYPERLINK("http://genome.ucsc.edu/cgi-bin/hgTracks?db=hg19&amp;lastVirtModeType=default&amp;lastVirtModeExtraState=&amp;virtModeType=default&amp;virtMode=0&amp;nonVirtPosition=&amp;position=chr5:93409355-93581320","chr5:93409355-93581320")</f>
        <v>chr5:93409355-93581320</v>
      </c>
      <c r="F421" t="s">
        <v>22</v>
      </c>
      <c r="G421">
        <v>0.32383325956398601</v>
      </c>
      <c r="H421">
        <v>7.2440952686764898E-2</v>
      </c>
      <c r="I421">
        <v>4.47030647104053</v>
      </c>
      <c r="J421" s="1">
        <v>7.8107592891928599E-6</v>
      </c>
      <c r="K421">
        <v>2.6189915132516101E-4</v>
      </c>
      <c r="L421" t="s">
        <v>23</v>
      </c>
      <c r="M421" t="s">
        <v>24</v>
      </c>
      <c r="N421">
        <v>1169.85393431441</v>
      </c>
      <c r="O421">
        <v>1023.28828191891</v>
      </c>
      <c r="P421">
        <v>1316.4195867099099</v>
      </c>
      <c r="Q421">
        <v>989.23899765814599</v>
      </c>
      <c r="R421">
        <v>1057.3375661796699</v>
      </c>
      <c r="S421">
        <v>1314.01910806357</v>
      </c>
      <c r="T421">
        <v>1318.8200653562501</v>
      </c>
    </row>
    <row r="422" spans="1:20" x14ac:dyDescent="0.2">
      <c r="A422" t="s">
        <v>850</v>
      </c>
      <c r="B422" s="3" t="str">
        <f>HYPERLINK("http://www.ncbi.nlm.nih.gov/gene/4173","MCM4")</f>
        <v>MCM4</v>
      </c>
      <c r="C422">
        <v>4173</v>
      </c>
      <c r="D422" t="s">
        <v>851</v>
      </c>
      <c r="E422" s="3" t="str">
        <f>HYPERLINK("http://genome.ucsc.edu/cgi-bin/hgTracks?db=hg19&amp;lastVirtModeType=default&amp;lastVirtModeExtraState=&amp;virtModeType=default&amp;virtMode=0&amp;nonVirtPosition=&amp;position=chr8:47960202-47978159","chr8:47960202-47978159")</f>
        <v>chr8:47960202-47978159</v>
      </c>
      <c r="F422" t="s">
        <v>27</v>
      </c>
      <c r="G422">
        <v>-0.27631904391911299</v>
      </c>
      <c r="H422">
        <v>6.1948116614556202E-2</v>
      </c>
      <c r="I422">
        <v>-4.4604914405773002</v>
      </c>
      <c r="J422" s="1">
        <v>8.1771924896745393E-6</v>
      </c>
      <c r="K422">
        <v>2.7351711659365002E-4</v>
      </c>
      <c r="L422" t="s">
        <v>23</v>
      </c>
      <c r="M422" t="s">
        <v>24</v>
      </c>
      <c r="N422">
        <v>2209.11471789596</v>
      </c>
      <c r="O422">
        <v>2436.6331005829402</v>
      </c>
      <c r="P422">
        <v>1981.59633520898</v>
      </c>
      <c r="Q422">
        <v>2329.3207552645899</v>
      </c>
      <c r="R422">
        <v>2543.94544590128</v>
      </c>
      <c r="S422">
        <v>1923.6766221651401</v>
      </c>
      <c r="T422">
        <v>2039.5160482528099</v>
      </c>
    </row>
    <row r="423" spans="1:20" x14ac:dyDescent="0.2">
      <c r="A423" t="s">
        <v>852</v>
      </c>
      <c r="B423" s="3" t="str">
        <f>HYPERLINK("http://www.ncbi.nlm.nih.gov/gene/64781","CERK")</f>
        <v>CERK</v>
      </c>
      <c r="C423">
        <v>64781</v>
      </c>
      <c r="D423" t="s">
        <v>853</v>
      </c>
      <c r="E423" s="3" t="str">
        <f>HYPERLINK("http://genome.ucsc.edu/cgi-bin/hgTracks?db=hg19&amp;lastVirtModeType=default&amp;lastVirtModeExtraState=&amp;virtModeType=default&amp;virtMode=0&amp;nonVirtPosition=&amp;position=chr22:46684409-46738255","chr22:46684409-46738255")</f>
        <v>chr22:46684409-46738255</v>
      </c>
      <c r="F423" t="s">
        <v>22</v>
      </c>
      <c r="G423">
        <v>0.201437322270999</v>
      </c>
      <c r="H423">
        <v>4.5252446341016397E-2</v>
      </c>
      <c r="I423">
        <v>4.4514128750740696</v>
      </c>
      <c r="J423" s="1">
        <v>8.5307143548913308E-6</v>
      </c>
      <c r="K423">
        <v>2.8464772910700699E-4</v>
      </c>
      <c r="L423" t="s">
        <v>23</v>
      </c>
      <c r="M423" t="s">
        <v>24</v>
      </c>
      <c r="N423">
        <v>4933.5326764433003</v>
      </c>
      <c r="O423">
        <v>4576.1478325746102</v>
      </c>
      <c r="P423">
        <v>5290.9175203119903</v>
      </c>
      <c r="Q423">
        <v>4547.19733972208</v>
      </c>
      <c r="R423">
        <v>4605.0983254271396</v>
      </c>
      <c r="S423">
        <v>5261.0089364136802</v>
      </c>
      <c r="T423">
        <v>5320.8261042103004</v>
      </c>
    </row>
    <row r="424" spans="1:20" x14ac:dyDescent="0.2">
      <c r="A424" t="s">
        <v>854</v>
      </c>
      <c r="B424" s="3" t="str">
        <f>HYPERLINK("http://www.ncbi.nlm.nih.gov/gene/6426","SRSF1")</f>
        <v>SRSF1</v>
      </c>
      <c r="C424">
        <v>6426</v>
      </c>
      <c r="D424" t="s">
        <v>855</v>
      </c>
      <c r="E424" s="3" t="str">
        <f>HYPERLINK("http://genome.ucsc.edu/cgi-bin/hgTracks?db=hg19&amp;lastVirtModeType=default&amp;lastVirtModeExtraState=&amp;virtModeType=default&amp;virtMode=0&amp;nonVirtPosition=&amp;position=chr17:58000918-58007346","chr17:58000918-58007346")</f>
        <v>chr17:58000918-58007346</v>
      </c>
      <c r="F424" t="s">
        <v>22</v>
      </c>
      <c r="G424">
        <v>-0.19201444449444999</v>
      </c>
      <c r="H424">
        <v>4.3141338735739297E-2</v>
      </c>
      <c r="I424">
        <v>-4.4508225780990998</v>
      </c>
      <c r="J424" s="1">
        <v>8.5541994377865401E-6</v>
      </c>
      <c r="K424">
        <v>2.84738570606322E-4</v>
      </c>
      <c r="L424" t="s">
        <v>23</v>
      </c>
      <c r="M424" t="s">
        <v>24</v>
      </c>
      <c r="N424">
        <v>5852.0877760233698</v>
      </c>
      <c r="O424">
        <v>6254.9911504660604</v>
      </c>
      <c r="P424">
        <v>5449.1844015806801</v>
      </c>
      <c r="Q424">
        <v>6264.2630825278702</v>
      </c>
      <c r="R424">
        <v>6245.7192184042597</v>
      </c>
      <c r="S424">
        <v>5439.5655869838802</v>
      </c>
      <c r="T424">
        <v>5458.80321617748</v>
      </c>
    </row>
    <row r="425" spans="1:20" x14ac:dyDescent="0.2">
      <c r="A425" t="s">
        <v>856</v>
      </c>
      <c r="B425" s="3" t="str">
        <f>HYPERLINK("http://www.ncbi.nlm.nih.gov/gene/3418","IDH2")</f>
        <v>IDH2</v>
      </c>
      <c r="C425">
        <v>3418</v>
      </c>
      <c r="D425" t="s">
        <v>857</v>
      </c>
      <c r="E425" s="3" t="str">
        <f>HYPERLINK("http://genome.ucsc.edu/cgi-bin/hgTracks?db=hg19&amp;lastVirtModeType=default&amp;lastVirtModeExtraState=&amp;virtModeType=default&amp;virtMode=0&amp;nonVirtPosition=&amp;position=chr15:90083979-90102554","chr15:90083979-90102554")</f>
        <v>chr15:90083979-90102554</v>
      </c>
      <c r="F425" t="s">
        <v>22</v>
      </c>
      <c r="G425">
        <v>-0.34227381446254102</v>
      </c>
      <c r="H425">
        <v>7.6925267698733604E-2</v>
      </c>
      <c r="I425">
        <v>-4.44943286779327</v>
      </c>
      <c r="J425" s="1">
        <v>8.6097335605026993E-6</v>
      </c>
      <c r="K425">
        <v>2.8589318655867802E-4</v>
      </c>
      <c r="L425" t="s">
        <v>23</v>
      </c>
      <c r="M425" t="s">
        <v>24</v>
      </c>
      <c r="N425">
        <v>1168.7521827283299</v>
      </c>
      <c r="O425">
        <v>1326.4396683543</v>
      </c>
      <c r="P425">
        <v>1011.06469710235</v>
      </c>
      <c r="Q425">
        <v>1286.4234531437601</v>
      </c>
      <c r="R425">
        <v>1366.45588356484</v>
      </c>
      <c r="S425">
        <v>943.09479527685698</v>
      </c>
      <c r="T425">
        <v>1079.0345989278401</v>
      </c>
    </row>
    <row r="426" spans="1:20" x14ac:dyDescent="0.2">
      <c r="A426" t="s">
        <v>858</v>
      </c>
      <c r="B426" s="3" t="str">
        <f>HYPERLINK("http://www.ncbi.nlm.nih.gov/gene/83895","KRTAP1-5")</f>
        <v>KRTAP1-5</v>
      </c>
      <c r="C426">
        <v>83895</v>
      </c>
      <c r="D426" t="s">
        <v>859</v>
      </c>
      <c r="E426" s="3" t="str">
        <f>HYPERLINK("http://genome.ucsc.edu/cgi-bin/hgTracks?db=hg19&amp;lastVirtModeType=default&amp;lastVirtModeExtraState=&amp;virtModeType=default&amp;virtMode=0&amp;nonVirtPosition=&amp;position=chr17:41026025-41027202","chr17:41026025-41027202")</f>
        <v>chr17:41026025-41027202</v>
      </c>
      <c r="F426" t="s">
        <v>22</v>
      </c>
      <c r="G426">
        <v>-0.485670516294955</v>
      </c>
      <c r="H426">
        <v>0.109255100743231</v>
      </c>
      <c r="I426">
        <v>-4.44528917177393</v>
      </c>
      <c r="J426" s="1">
        <v>8.7773722101551203E-6</v>
      </c>
      <c r="K426">
        <v>2.9075575480692602E-4</v>
      </c>
      <c r="L426" t="s">
        <v>23</v>
      </c>
      <c r="M426" t="s">
        <v>24</v>
      </c>
      <c r="N426">
        <v>329.692957497468</v>
      </c>
      <c r="O426">
        <v>408.89314756362398</v>
      </c>
      <c r="P426">
        <v>250.49276743131301</v>
      </c>
      <c r="Q426">
        <v>385.239108962839</v>
      </c>
      <c r="R426">
        <v>432.54718616440903</v>
      </c>
      <c r="S426">
        <v>219.003184677262</v>
      </c>
      <c r="T426">
        <v>281.982350185364</v>
      </c>
    </row>
    <row r="427" spans="1:20" x14ac:dyDescent="0.2">
      <c r="A427" t="s">
        <v>860</v>
      </c>
      <c r="B427" s="3" t="str">
        <f>HYPERLINK("http://www.ncbi.nlm.nih.gov/gene/3149","HMGB3")</f>
        <v>HMGB3</v>
      </c>
      <c r="C427">
        <v>3149</v>
      </c>
      <c r="D427" t="s">
        <v>861</v>
      </c>
      <c r="E427" s="3" t="str">
        <f>HYPERLINK("http://genome.ucsc.edu/cgi-bin/hgTracks?db=hg19&amp;lastVirtModeType=default&amp;lastVirtModeExtraState=&amp;virtModeType=default&amp;virtMode=0&amp;nonVirtPosition=&amp;position=chrX:150983384-150990775","chrX:150983384-150990775")</f>
        <v>chrX:150983384-150990775</v>
      </c>
      <c r="F427" t="s">
        <v>27</v>
      </c>
      <c r="G427">
        <v>-0.37590756727299302</v>
      </c>
      <c r="H427">
        <v>8.45903071107761E-2</v>
      </c>
      <c r="I427">
        <v>-4.4438610062110202</v>
      </c>
      <c r="J427" s="1">
        <v>8.8358699276281201E-6</v>
      </c>
      <c r="K427">
        <v>2.9178914894093698E-4</v>
      </c>
      <c r="L427" t="s">
        <v>23</v>
      </c>
      <c r="M427" t="s">
        <v>24</v>
      </c>
      <c r="N427">
        <v>710.39144854830602</v>
      </c>
      <c r="O427">
        <v>817.93316027771903</v>
      </c>
      <c r="P427">
        <v>602.84973681889198</v>
      </c>
      <c r="Q427">
        <v>809.00212882196104</v>
      </c>
      <c r="R427">
        <v>826.86419173347804</v>
      </c>
      <c r="S427">
        <v>613.60351742908495</v>
      </c>
      <c r="T427">
        <v>592.09595620869902</v>
      </c>
    </row>
    <row r="428" spans="1:20" x14ac:dyDescent="0.2">
      <c r="A428" t="s">
        <v>862</v>
      </c>
      <c r="B428" s="3" t="str">
        <f>HYPERLINK("http://www.ncbi.nlm.nih.gov/gene/6167","RPL37")</f>
        <v>RPL37</v>
      </c>
      <c r="C428">
        <v>6167</v>
      </c>
      <c r="D428" t="s">
        <v>863</v>
      </c>
      <c r="E428" s="3" t="str">
        <f>HYPERLINK("http://genome.ucsc.edu/cgi-bin/hgTracks?db=hg19&amp;lastVirtModeType=default&amp;lastVirtModeExtraState=&amp;virtModeType=default&amp;virtMode=0&amp;nonVirtPosition=&amp;position=chr5:40831327-40835285","chr5:40831327-40835285")</f>
        <v>chr5:40831327-40835285</v>
      </c>
      <c r="F428" t="s">
        <v>22</v>
      </c>
      <c r="G428">
        <v>0.175858599523676</v>
      </c>
      <c r="H428">
        <v>3.9576682840373502E-2</v>
      </c>
      <c r="I428">
        <v>4.4434901285935098</v>
      </c>
      <c r="J428" s="1">
        <v>8.8511219162483392E-6</v>
      </c>
      <c r="K428">
        <v>2.9178914894093698E-4</v>
      </c>
      <c r="L428" t="s">
        <v>23</v>
      </c>
      <c r="M428" t="s">
        <v>24</v>
      </c>
      <c r="N428">
        <v>10857.169427684399</v>
      </c>
      <c r="O428">
        <v>10176.0302724335</v>
      </c>
      <c r="P428">
        <v>11538.3085829353</v>
      </c>
      <c r="Q428">
        <v>10093.2646548264</v>
      </c>
      <c r="R428">
        <v>10258.795890040699</v>
      </c>
      <c r="S428">
        <v>11538.113729663301</v>
      </c>
      <c r="T428">
        <v>11538.5034362073</v>
      </c>
    </row>
    <row r="429" spans="1:20" x14ac:dyDescent="0.2">
      <c r="A429" t="s">
        <v>864</v>
      </c>
      <c r="B429" s="3" t="str">
        <f>HYPERLINK("http://www.ncbi.nlm.nih.gov/gene/55654","TMEM127")</f>
        <v>TMEM127</v>
      </c>
      <c r="C429">
        <v>55654</v>
      </c>
      <c r="D429" t="s">
        <v>865</v>
      </c>
      <c r="E429" s="3" t="str">
        <f>HYPERLINK("http://genome.ucsc.edu/cgi-bin/hgTracks?db=hg19&amp;lastVirtModeType=default&amp;lastVirtModeExtraState=&amp;virtModeType=default&amp;virtMode=0&amp;nonVirtPosition=&amp;position=chr2:96250207-96266013","chr2:96250207-96266013")</f>
        <v>chr2:96250207-96266013</v>
      </c>
      <c r="F429" t="s">
        <v>22</v>
      </c>
      <c r="G429">
        <v>0.20171065307481201</v>
      </c>
      <c r="H429">
        <v>4.5443901002063199E-2</v>
      </c>
      <c r="I429">
        <v>4.4386738071991996</v>
      </c>
      <c r="J429" s="1">
        <v>9.0514874204452295E-6</v>
      </c>
      <c r="K429">
        <v>2.9767889324696902E-4</v>
      </c>
      <c r="L429" t="s">
        <v>23</v>
      </c>
      <c r="M429" t="s">
        <v>24</v>
      </c>
      <c r="N429">
        <v>5748.6872922431803</v>
      </c>
      <c r="O429">
        <v>5329.8151369916004</v>
      </c>
      <c r="P429">
        <v>6167.5594474947602</v>
      </c>
      <c r="Q429">
        <v>5188.3452853530898</v>
      </c>
      <c r="R429">
        <v>5471.2849886301101</v>
      </c>
      <c r="S429">
        <v>6163.6571975834804</v>
      </c>
      <c r="T429">
        <v>6171.46169740605</v>
      </c>
    </row>
    <row r="430" spans="1:20" x14ac:dyDescent="0.2">
      <c r="A430" t="s">
        <v>866</v>
      </c>
      <c r="B430" s="3" t="str">
        <f>HYPERLINK("http://www.ncbi.nlm.nih.gov/gene/994","CDC25B")</f>
        <v>CDC25B</v>
      </c>
      <c r="C430">
        <v>994</v>
      </c>
      <c r="D430" t="s">
        <v>867</v>
      </c>
      <c r="E430" s="3" t="str">
        <f>HYPERLINK("http://genome.ucsc.edu/cgi-bin/hgTracks?db=hg19&amp;lastVirtModeType=default&amp;lastVirtModeExtraState=&amp;virtModeType=default&amp;virtMode=0&amp;nonVirtPosition=&amp;position=chr20:3800061-3806121","chr20:3800061-3806121")</f>
        <v>chr20:3800061-3806121</v>
      </c>
      <c r="F430" t="s">
        <v>27</v>
      </c>
      <c r="G430">
        <v>-0.30015706335900999</v>
      </c>
      <c r="H430">
        <v>6.7663022818464105E-2</v>
      </c>
      <c r="I430">
        <v>-4.4360575519115297</v>
      </c>
      <c r="J430" s="1">
        <v>9.16213624734842E-6</v>
      </c>
      <c r="K430">
        <v>3.0014867142185201E-4</v>
      </c>
      <c r="L430" t="s">
        <v>23</v>
      </c>
      <c r="M430" t="s">
        <v>24</v>
      </c>
      <c r="N430">
        <v>1358.44312433082</v>
      </c>
      <c r="O430">
        <v>1512.9104877914201</v>
      </c>
      <c r="P430">
        <v>1203.97576087023</v>
      </c>
      <c r="Q430">
        <v>1527.1978962455401</v>
      </c>
      <c r="R430">
        <v>1498.6230793372899</v>
      </c>
      <c r="S430">
        <v>1214.38252404374</v>
      </c>
      <c r="T430">
        <v>1193.5689976967201</v>
      </c>
    </row>
    <row r="431" spans="1:20" x14ac:dyDescent="0.2">
      <c r="A431" t="s">
        <v>868</v>
      </c>
      <c r="B431" s="3" t="str">
        <f>HYPERLINK("http://www.ncbi.nlm.nih.gov/gene/2617","GARS")</f>
        <v>GARS</v>
      </c>
      <c r="C431">
        <v>2617</v>
      </c>
      <c r="D431" t="s">
        <v>869</v>
      </c>
      <c r="E431" s="3" t="str">
        <f>HYPERLINK("http://genome.ucsc.edu/cgi-bin/hgTracks?db=hg19&amp;lastVirtModeType=default&amp;lastVirtModeExtraState=&amp;virtModeType=default&amp;virtMode=0&amp;nonVirtPosition=&amp;position=chr7:30594734-30634032","chr7:30594734-30634032")</f>
        <v>chr7:30594734-30634032</v>
      </c>
      <c r="F431" t="s">
        <v>27</v>
      </c>
      <c r="G431">
        <v>0.19152708452455999</v>
      </c>
      <c r="H431">
        <v>4.3176948017453302E-2</v>
      </c>
      <c r="I431">
        <v>4.4358643516706904</v>
      </c>
      <c r="J431" s="1">
        <v>9.1703582708003393E-6</v>
      </c>
      <c r="K431">
        <v>3.0014867142185201E-4</v>
      </c>
      <c r="L431" t="s">
        <v>23</v>
      </c>
      <c r="M431" t="s">
        <v>24</v>
      </c>
      <c r="N431">
        <v>10325.9071914079</v>
      </c>
      <c r="O431">
        <v>9614.4860073667205</v>
      </c>
      <c r="P431">
        <v>11037.3283754491</v>
      </c>
      <c r="Q431">
        <v>9313.1554591766198</v>
      </c>
      <c r="R431">
        <v>9915.8165555568194</v>
      </c>
      <c r="S431">
        <v>11081.363844503099</v>
      </c>
      <c r="T431">
        <v>10993.2929063952</v>
      </c>
    </row>
    <row r="432" spans="1:20" x14ac:dyDescent="0.2">
      <c r="A432" t="s">
        <v>870</v>
      </c>
      <c r="B432" s="3" t="str">
        <f>HYPERLINK("http://www.ncbi.nlm.nih.gov/gene/22993","HMGXB3")</f>
        <v>HMGXB3</v>
      </c>
      <c r="C432">
        <v>22993</v>
      </c>
      <c r="D432" t="s">
        <v>871</v>
      </c>
      <c r="E432" s="3" t="str">
        <f>HYPERLINK("http://genome.ucsc.edu/cgi-bin/hgTracks?db=hg19&amp;lastVirtModeType=default&amp;lastVirtModeExtraState=&amp;virtModeType=default&amp;virtMode=0&amp;nonVirtPosition=&amp;position=chr5:150000605-150053143","chr5:150000605-150053143")</f>
        <v>chr5:150000605-150053143</v>
      </c>
      <c r="F432" t="s">
        <v>27</v>
      </c>
      <c r="G432">
        <v>0.21611735949855901</v>
      </c>
      <c r="H432">
        <v>4.8739044848845399E-2</v>
      </c>
      <c r="I432">
        <v>4.4341730571209199</v>
      </c>
      <c r="J432" s="1">
        <v>9.2426363013451207E-6</v>
      </c>
      <c r="K432">
        <v>3.01404118506947E-4</v>
      </c>
      <c r="L432" t="s">
        <v>23</v>
      </c>
      <c r="M432" t="s">
        <v>24</v>
      </c>
      <c r="N432">
        <v>4300.8969410377404</v>
      </c>
      <c r="O432">
        <v>3963.17624356548</v>
      </c>
      <c r="P432">
        <v>4638.6176385099998</v>
      </c>
      <c r="Q432">
        <v>3851.0152356678</v>
      </c>
      <c r="R432">
        <v>4075.3372514631501</v>
      </c>
      <c r="S432">
        <v>4616.8238931963297</v>
      </c>
      <c r="T432">
        <v>4660.4113838236699</v>
      </c>
    </row>
    <row r="433" spans="1:20" x14ac:dyDescent="0.2">
      <c r="A433" t="s">
        <v>872</v>
      </c>
      <c r="B433" s="3" t="str">
        <f>HYPERLINK("http://www.ncbi.nlm.nih.gov/gene/50854","C6orf48")</f>
        <v>C6orf48</v>
      </c>
      <c r="C433">
        <v>50854</v>
      </c>
      <c r="D433" t="s">
        <v>873</v>
      </c>
      <c r="E433" s="3" t="str">
        <f>HYPERLINK("http://genome.ucsc.edu/cgi-bin/hgTracks?db=hg19&amp;lastVirtModeType=default&amp;lastVirtModeExtraState=&amp;virtModeType=default&amp;virtMode=0&amp;nonVirtPosition=&amp;position=chr6:31834914-31839766","chr6:31834914-31839766")</f>
        <v>chr6:31834914-31839766</v>
      </c>
      <c r="F433" t="s">
        <v>27</v>
      </c>
      <c r="G433">
        <v>0.234332720536295</v>
      </c>
      <c r="H433">
        <v>5.2849781617572901E-2</v>
      </c>
      <c r="I433">
        <v>4.4339392399377102</v>
      </c>
      <c r="J433" s="1">
        <v>9.2526712769013108E-6</v>
      </c>
      <c r="K433">
        <v>3.01404118506947E-4</v>
      </c>
      <c r="L433" t="s">
        <v>23</v>
      </c>
      <c r="M433" t="s">
        <v>24</v>
      </c>
      <c r="N433">
        <v>2999.7883863765001</v>
      </c>
      <c r="O433">
        <v>2742.7561695118202</v>
      </c>
      <c r="P433">
        <v>3256.8206032411799</v>
      </c>
      <c r="Q433">
        <v>2761.3388988871998</v>
      </c>
      <c r="R433">
        <v>2724.1734401364502</v>
      </c>
      <c r="S433">
        <v>3310.6967917878001</v>
      </c>
      <c r="T433">
        <v>3202.9444146945698</v>
      </c>
    </row>
    <row r="434" spans="1:20" x14ac:dyDescent="0.2">
      <c r="A434" t="s">
        <v>874</v>
      </c>
      <c r="B434" s="3" t="str">
        <f>HYPERLINK("http://www.ncbi.nlm.nih.gov/gene/501","ALDH7A1")</f>
        <v>ALDH7A1</v>
      </c>
      <c r="C434">
        <v>501</v>
      </c>
      <c r="D434" t="s">
        <v>875</v>
      </c>
      <c r="E434" s="3" t="str">
        <f>HYPERLINK("http://genome.ucsc.edu/cgi-bin/hgTracks?db=hg19&amp;lastVirtModeType=default&amp;lastVirtModeExtraState=&amp;virtModeType=default&amp;virtMode=0&amp;nonVirtPosition=&amp;position=chr5:126541840-126595390","chr5:126541840-126595390")</f>
        <v>chr5:126541840-126595390</v>
      </c>
      <c r="F434" t="s">
        <v>22</v>
      </c>
      <c r="G434">
        <v>-0.37392171908441602</v>
      </c>
      <c r="H434">
        <v>8.4374779630366104E-2</v>
      </c>
      <c r="I434">
        <v>-4.4316763933786198</v>
      </c>
      <c r="J434" s="1">
        <v>9.3503275772306696E-6</v>
      </c>
      <c r="K434">
        <v>3.03863489085643E-4</v>
      </c>
      <c r="L434" t="s">
        <v>23</v>
      </c>
      <c r="M434" t="s">
        <v>24</v>
      </c>
      <c r="N434">
        <v>728.43434783106704</v>
      </c>
      <c r="O434">
        <v>838.00384351358502</v>
      </c>
      <c r="P434">
        <v>618.86485214854895</v>
      </c>
      <c r="Q434">
        <v>844.77433179708203</v>
      </c>
      <c r="R434">
        <v>831.23335523008802</v>
      </c>
      <c r="S434">
        <v>638.26603822607399</v>
      </c>
      <c r="T434">
        <v>599.46366607102402</v>
      </c>
    </row>
    <row r="435" spans="1:20" x14ac:dyDescent="0.2">
      <c r="A435" t="s">
        <v>876</v>
      </c>
      <c r="B435" s="3" t="str">
        <f>HYPERLINK("http://www.ncbi.nlm.nih.gov/gene/9735","KNTC1")</f>
        <v>KNTC1</v>
      </c>
      <c r="C435">
        <v>9735</v>
      </c>
      <c r="D435" t="s">
        <v>877</v>
      </c>
      <c r="E435" s="3" t="str">
        <f>HYPERLINK("http://genome.ucsc.edu/cgi-bin/hgTracks?db=hg19&amp;lastVirtModeType=default&amp;lastVirtModeExtraState=&amp;virtModeType=default&amp;virtMode=0&amp;nonVirtPosition=&amp;position=chr12:122527261-122626400","chr12:122527261-122626400")</f>
        <v>chr12:122527261-122626400</v>
      </c>
      <c r="F435" t="s">
        <v>27</v>
      </c>
      <c r="G435">
        <v>-0.36118106596518501</v>
      </c>
      <c r="H435">
        <v>8.1553693970549804E-2</v>
      </c>
      <c r="I435">
        <v>-4.42875176317105</v>
      </c>
      <c r="J435" s="1">
        <v>9.4780035385647995E-6</v>
      </c>
      <c r="K435">
        <v>3.0728449297370603E-4</v>
      </c>
      <c r="L435" t="s">
        <v>23</v>
      </c>
      <c r="M435" t="s">
        <v>24</v>
      </c>
      <c r="N435">
        <v>833.88046988924896</v>
      </c>
      <c r="O435">
        <v>953.087935672198</v>
      </c>
      <c r="P435">
        <v>714.67300410630003</v>
      </c>
      <c r="Q435">
        <v>912.19117586557797</v>
      </c>
      <c r="R435">
        <v>993.98469547881803</v>
      </c>
      <c r="S435">
        <v>726.064612263355</v>
      </c>
      <c r="T435">
        <v>703.28139594924596</v>
      </c>
    </row>
    <row r="436" spans="1:20" x14ac:dyDescent="0.2">
      <c r="A436" t="s">
        <v>878</v>
      </c>
      <c r="B436" s="3" t="str">
        <f>HYPERLINK("http://www.ncbi.nlm.nih.gov/gene/220134","SKA1")</f>
        <v>SKA1</v>
      </c>
      <c r="C436">
        <v>220134</v>
      </c>
      <c r="D436" t="s">
        <v>879</v>
      </c>
      <c r="E436" s="3" t="str">
        <f>HYPERLINK("http://genome.ucsc.edu/cgi-bin/hgTracks?db=hg19&amp;lastVirtModeType=default&amp;lastVirtModeExtraState=&amp;virtModeType=default&amp;virtMode=0&amp;nonVirtPosition=&amp;position=chr18:50375021-50394168","chr18:50375021-50394168")</f>
        <v>chr18:50375021-50394168</v>
      </c>
      <c r="F436" t="s">
        <v>27</v>
      </c>
      <c r="G436">
        <v>-0.46533564597039401</v>
      </c>
      <c r="H436">
        <v>0.105084647861843</v>
      </c>
      <c r="I436">
        <v>-4.4281981758380304</v>
      </c>
      <c r="J436" s="1">
        <v>9.5023573510904892E-6</v>
      </c>
      <c r="K436">
        <v>3.07347473379375E-4</v>
      </c>
      <c r="L436" t="s">
        <v>23</v>
      </c>
      <c r="M436" t="s">
        <v>24</v>
      </c>
      <c r="N436">
        <v>384.02193714143101</v>
      </c>
      <c r="O436">
        <v>466.18564346380299</v>
      </c>
      <c r="P436">
        <v>301.85823081906</v>
      </c>
      <c r="Q436">
        <v>443.02497530726401</v>
      </c>
      <c r="R436">
        <v>489.346311620341</v>
      </c>
      <c r="S436">
        <v>332.450780343411</v>
      </c>
      <c r="T436">
        <v>271.265681294709</v>
      </c>
    </row>
    <row r="437" spans="1:20" x14ac:dyDescent="0.2">
      <c r="A437" t="s">
        <v>880</v>
      </c>
      <c r="B437" s="3" t="str">
        <f>HYPERLINK("http://www.ncbi.nlm.nih.gov/gene/63922","CHTF18")</f>
        <v>CHTF18</v>
      </c>
      <c r="C437">
        <v>63922</v>
      </c>
      <c r="D437" t="s">
        <v>881</v>
      </c>
      <c r="E437" s="3" t="str">
        <f>HYPERLINK("http://genome.ucsc.edu/cgi-bin/hgTracks?db=hg19&amp;lastVirtModeType=default&amp;lastVirtModeExtraState=&amp;virtModeType=default&amp;virtMode=0&amp;nonVirtPosition=&amp;position=chr16:788621-798074","chr16:788621-798074")</f>
        <v>chr16:788621-798074</v>
      </c>
      <c r="F437" t="s">
        <v>27</v>
      </c>
      <c r="G437">
        <v>-0.43996799980490398</v>
      </c>
      <c r="H437">
        <v>9.9385836042457695E-2</v>
      </c>
      <c r="I437">
        <v>-4.4268682271480699</v>
      </c>
      <c r="J437" s="1">
        <v>9.5611099749627493E-6</v>
      </c>
      <c r="K437">
        <v>3.08520146345033E-4</v>
      </c>
      <c r="L437" t="s">
        <v>23</v>
      </c>
      <c r="M437" t="s">
        <v>24</v>
      </c>
      <c r="N437">
        <v>434.66449145248902</v>
      </c>
      <c r="O437">
        <v>518.60479190185902</v>
      </c>
      <c r="P437">
        <v>350.72419100311998</v>
      </c>
      <c r="Q437">
        <v>511.81767333634298</v>
      </c>
      <c r="R437">
        <v>525.39191046737506</v>
      </c>
      <c r="S437">
        <v>371.91081361859301</v>
      </c>
      <c r="T437">
        <v>329.53756838764701</v>
      </c>
    </row>
    <row r="438" spans="1:20" x14ac:dyDescent="0.2">
      <c r="A438" t="s">
        <v>882</v>
      </c>
      <c r="B438" s="3" t="str">
        <f>HYPERLINK("http://www.ncbi.nlm.nih.gov/gene/3310","HSPA6")</f>
        <v>HSPA6</v>
      </c>
      <c r="C438">
        <v>3310</v>
      </c>
      <c r="D438" t="s">
        <v>883</v>
      </c>
      <c r="E438" s="3" t="str">
        <f>HYPERLINK("http://genome.ucsc.edu/cgi-bin/hgTracks?db=hg19&amp;lastVirtModeType=default&amp;lastVirtModeExtraState=&amp;virtModeType=default&amp;virtMode=0&amp;nonVirtPosition=&amp;position=chr1:161524539-161526897","chr1:161524539-161526897")</f>
        <v>chr1:161524539-161526897</v>
      </c>
      <c r="F438" t="s">
        <v>27</v>
      </c>
      <c r="G438">
        <v>0.48871449110020898</v>
      </c>
      <c r="H438">
        <v>0.11050185530432</v>
      </c>
      <c r="I438">
        <v>4.4226813183751297</v>
      </c>
      <c r="J438" s="1">
        <v>9.7483477960516805E-6</v>
      </c>
      <c r="K438">
        <v>3.1382357200716599E-4</v>
      </c>
      <c r="L438" t="s">
        <v>23</v>
      </c>
      <c r="M438" t="s">
        <v>24</v>
      </c>
      <c r="N438">
        <v>77.438457891653897</v>
      </c>
      <c r="O438">
        <v>38.214283466815203</v>
      </c>
      <c r="P438">
        <v>116.662632316493</v>
      </c>
      <c r="Q438">
        <v>31.644641093375999</v>
      </c>
      <c r="R438">
        <v>44.783925840254398</v>
      </c>
      <c r="S438">
        <v>77.933565718485099</v>
      </c>
      <c r="T438">
        <v>155.39169891450001</v>
      </c>
    </row>
    <row r="439" spans="1:20" x14ac:dyDescent="0.2">
      <c r="A439" t="s">
        <v>884</v>
      </c>
      <c r="B439" s="3" t="str">
        <f>HYPERLINK("http://www.ncbi.nlm.nih.gov/gene/2590","GALNT2")</f>
        <v>GALNT2</v>
      </c>
      <c r="C439">
        <v>2590</v>
      </c>
      <c r="D439" t="s">
        <v>885</v>
      </c>
      <c r="E439" s="3" t="str">
        <f>HYPERLINK("http://genome.ucsc.edu/cgi-bin/hgTracks?db=hg19&amp;lastVirtModeType=default&amp;lastVirtModeExtraState=&amp;virtModeType=default&amp;virtMode=0&amp;nonVirtPosition=&amp;position=chr1:230067194-230282130","chr1:230067194-230282130")</f>
        <v>chr1:230067194-230282130</v>
      </c>
      <c r="F439" t="s">
        <v>27</v>
      </c>
      <c r="G439">
        <v>-0.18519129290558201</v>
      </c>
      <c r="H439">
        <v>4.1887097948554601E-2</v>
      </c>
      <c r="I439">
        <v>-4.4212013239263399</v>
      </c>
      <c r="J439" s="1">
        <v>9.8153668329423403E-6</v>
      </c>
      <c r="K439">
        <v>3.1524107903272E-4</v>
      </c>
      <c r="L439" t="s">
        <v>23</v>
      </c>
      <c r="M439" t="s">
        <v>24</v>
      </c>
      <c r="N439">
        <v>13650.017664564</v>
      </c>
      <c r="O439">
        <v>14556.626890584501</v>
      </c>
      <c r="P439">
        <v>12743.4084385435</v>
      </c>
      <c r="Q439">
        <v>14560.662464834701</v>
      </c>
      <c r="R439">
        <v>14552.591316334399</v>
      </c>
      <c r="S439">
        <v>12394.396451734799</v>
      </c>
      <c r="T439">
        <v>13092.4204253523</v>
      </c>
    </row>
    <row r="440" spans="1:20" x14ac:dyDescent="0.2">
      <c r="A440" t="s">
        <v>886</v>
      </c>
      <c r="B440" s="3" t="str">
        <f>HYPERLINK("http://www.ncbi.nlm.nih.gov/gene/203","AK1")</f>
        <v>AK1</v>
      </c>
      <c r="C440">
        <v>203</v>
      </c>
      <c r="D440" t="s">
        <v>887</v>
      </c>
      <c r="E440" s="3" t="str">
        <f>HYPERLINK("http://genome.ucsc.edu/cgi-bin/hgTracks?db=hg19&amp;lastVirtModeType=default&amp;lastVirtModeExtraState=&amp;virtModeType=default&amp;virtMode=0&amp;nonVirtPosition=&amp;position=chr9:127866479-127879621","chr9:127866479-127879621")</f>
        <v>chr9:127866479-127879621</v>
      </c>
      <c r="F440" t="s">
        <v>22</v>
      </c>
      <c r="G440">
        <v>-0.21943100091839501</v>
      </c>
      <c r="H440">
        <v>4.9700975911189903E-2</v>
      </c>
      <c r="I440">
        <v>-4.4150239888748501</v>
      </c>
      <c r="J440" s="1">
        <v>1.0099878962052399E-5</v>
      </c>
      <c r="K440">
        <v>3.23620888050437E-4</v>
      </c>
      <c r="L440" t="s">
        <v>23</v>
      </c>
      <c r="M440" t="s">
        <v>24</v>
      </c>
      <c r="N440">
        <v>3983.5024127358702</v>
      </c>
      <c r="O440">
        <v>4299.4848229907902</v>
      </c>
      <c r="P440">
        <v>3667.5200024809601</v>
      </c>
      <c r="Q440">
        <v>4178.4684782862196</v>
      </c>
      <c r="R440">
        <v>4420.50116769536</v>
      </c>
      <c r="S440">
        <v>3643.1475721312099</v>
      </c>
      <c r="T440">
        <v>3691.8924328307098</v>
      </c>
    </row>
    <row r="441" spans="1:20" x14ac:dyDescent="0.2">
      <c r="A441" t="s">
        <v>888</v>
      </c>
      <c r="B441" s="3" t="str">
        <f>HYPERLINK("http://www.ncbi.nlm.nih.gov/gene/5998","RGS3")</f>
        <v>RGS3</v>
      </c>
      <c r="C441">
        <v>5998</v>
      </c>
      <c r="D441" t="s">
        <v>889</v>
      </c>
      <c r="E441" s="3" t="str">
        <f>HYPERLINK("http://genome.ucsc.edu/cgi-bin/hgTracks?db=hg19&amp;lastVirtModeType=default&amp;lastVirtModeExtraState=&amp;virtModeType=default&amp;virtMode=0&amp;nonVirtPosition=&amp;position=chr9:113463699-113597743","chr9:113463699-113597743")</f>
        <v>chr9:113463699-113597743</v>
      </c>
      <c r="F441" t="s">
        <v>27</v>
      </c>
      <c r="G441">
        <v>0.24722605278708101</v>
      </c>
      <c r="H441">
        <v>5.6019974645730899E-2</v>
      </c>
      <c r="I441">
        <v>4.4131768061398402</v>
      </c>
      <c r="J441" s="1">
        <v>1.01864739818703E-5</v>
      </c>
      <c r="K441">
        <v>3.2563474169550102E-4</v>
      </c>
      <c r="L441" t="s">
        <v>23</v>
      </c>
      <c r="M441" t="s">
        <v>24</v>
      </c>
      <c r="N441">
        <v>3554.4300166615599</v>
      </c>
      <c r="O441">
        <v>3228.94511670364</v>
      </c>
      <c r="P441">
        <v>3879.9149166194702</v>
      </c>
      <c r="Q441">
        <v>3043.3889608064201</v>
      </c>
      <c r="R441">
        <v>3414.5012726008599</v>
      </c>
      <c r="S441">
        <v>3889.7727801011001</v>
      </c>
      <c r="T441">
        <v>3870.0570531378498</v>
      </c>
    </row>
    <row r="442" spans="1:20" x14ac:dyDescent="0.2">
      <c r="A442" t="s">
        <v>890</v>
      </c>
      <c r="B442" s="3" t="str">
        <f>HYPERLINK("http://www.ncbi.nlm.nih.gov/gene/6804","STX1A")</f>
        <v>STX1A</v>
      </c>
      <c r="C442">
        <v>6804</v>
      </c>
      <c r="D442" t="s">
        <v>891</v>
      </c>
      <c r="E442" s="3" t="str">
        <f>HYPERLINK("http://genome.ucsc.edu/cgi-bin/hgTracks?db=hg19&amp;lastVirtModeType=default&amp;lastVirtModeExtraState=&amp;virtModeType=default&amp;virtMode=0&amp;nonVirtPosition=&amp;position=chr7:73699204-73719687","chr7:73699204-73719687")</f>
        <v>chr7:73699204-73719687</v>
      </c>
      <c r="F442" t="s">
        <v>22</v>
      </c>
      <c r="G442">
        <v>0.31679706412782399</v>
      </c>
      <c r="H442">
        <v>7.1877075344105396E-2</v>
      </c>
      <c r="I442">
        <v>4.4074840637461303</v>
      </c>
      <c r="J442" s="1">
        <v>1.04578292585222E-5</v>
      </c>
      <c r="K442">
        <v>3.3353179174737998E-4</v>
      </c>
      <c r="L442" t="s">
        <v>23</v>
      </c>
      <c r="M442" t="s">
        <v>24</v>
      </c>
      <c r="N442">
        <v>1766.9727660742601</v>
      </c>
      <c r="O442">
        <v>1550.0324803840699</v>
      </c>
      <c r="P442">
        <v>1983.9130517644301</v>
      </c>
      <c r="Q442">
        <v>1558.84253733891</v>
      </c>
      <c r="R442">
        <v>1541.2224234292401</v>
      </c>
      <c r="S442">
        <v>2144.65280850616</v>
      </c>
      <c r="T442">
        <v>1823.1732950227099</v>
      </c>
    </row>
    <row r="443" spans="1:20" x14ac:dyDescent="0.2">
      <c r="A443" t="s">
        <v>892</v>
      </c>
      <c r="B443" s="3" t="str">
        <f>HYPERLINK("http://www.ncbi.nlm.nih.gov/gene/9060","PAPSS2")</f>
        <v>PAPSS2</v>
      </c>
      <c r="C443">
        <v>9060</v>
      </c>
      <c r="D443" t="s">
        <v>893</v>
      </c>
      <c r="E443" s="3" t="str">
        <f>HYPERLINK("http://genome.ucsc.edu/cgi-bin/hgTracks?db=hg19&amp;lastVirtModeType=default&amp;lastVirtModeExtraState=&amp;virtModeType=default&amp;virtMode=0&amp;nonVirtPosition=&amp;position=chr10:87659718-87747705","chr10:87659718-87747705")</f>
        <v>chr10:87659718-87747705</v>
      </c>
      <c r="F443" t="s">
        <v>27</v>
      </c>
      <c r="G443">
        <v>-0.19517628995998201</v>
      </c>
      <c r="H443">
        <v>4.4290426170652798E-2</v>
      </c>
      <c r="I443">
        <v>-4.4067376820434996</v>
      </c>
      <c r="J443" s="1">
        <v>1.04939146590502E-5</v>
      </c>
      <c r="K443">
        <v>3.3390613836244598E-4</v>
      </c>
      <c r="L443" t="s">
        <v>23</v>
      </c>
      <c r="M443" t="s">
        <v>24</v>
      </c>
      <c r="N443">
        <v>6782.9964448290903</v>
      </c>
      <c r="O443">
        <v>7256.7915800237197</v>
      </c>
      <c r="P443">
        <v>6309.2013096344599</v>
      </c>
      <c r="Q443">
        <v>7060.8825257046001</v>
      </c>
      <c r="R443">
        <v>7452.7006343428302</v>
      </c>
      <c r="S443">
        <v>6292.8888065597002</v>
      </c>
      <c r="T443">
        <v>6325.5138127092196</v>
      </c>
    </row>
    <row r="444" spans="1:20" x14ac:dyDescent="0.2">
      <c r="A444" t="s">
        <v>894</v>
      </c>
      <c r="B444" s="3" t="str">
        <f>HYPERLINK("http://www.ncbi.nlm.nih.gov/gene/3099","HK2")</f>
        <v>HK2</v>
      </c>
      <c r="C444">
        <v>3099</v>
      </c>
      <c r="D444" t="s">
        <v>895</v>
      </c>
      <c r="E444" s="3" t="str">
        <f>HYPERLINK("http://genome.ucsc.edu/cgi-bin/hgTracks?db=hg19&amp;lastVirtModeType=default&amp;lastVirtModeExtraState=&amp;virtModeType=default&amp;virtMode=0&amp;nonVirtPosition=&amp;position=chr2:74832654-74893354","chr2:74832654-74893354")</f>
        <v>chr2:74832654-74893354</v>
      </c>
      <c r="F444" t="s">
        <v>27</v>
      </c>
      <c r="G444">
        <v>0.23982592072605</v>
      </c>
      <c r="H444">
        <v>5.4437000397125297E-2</v>
      </c>
      <c r="I444">
        <v>4.4055682527782096</v>
      </c>
      <c r="J444" s="1">
        <v>1.05506923844766E-5</v>
      </c>
      <c r="K444">
        <v>3.34935637409056E-4</v>
      </c>
      <c r="L444" t="s">
        <v>23</v>
      </c>
      <c r="M444" t="s">
        <v>24</v>
      </c>
      <c r="N444">
        <v>2674.5430729477198</v>
      </c>
      <c r="O444">
        <v>2440.4764530715001</v>
      </c>
      <c r="P444">
        <v>2908.6096928239299</v>
      </c>
      <c r="Q444">
        <v>2477.9129830073998</v>
      </c>
      <c r="R444">
        <v>2403.0399231356</v>
      </c>
      <c r="S444">
        <v>2902.28544738966</v>
      </c>
      <c r="T444">
        <v>2914.9339382582102</v>
      </c>
    </row>
    <row r="445" spans="1:20" x14ac:dyDescent="0.2">
      <c r="A445" t="s">
        <v>896</v>
      </c>
      <c r="B445" s="3" t="str">
        <f>HYPERLINK("http://www.ncbi.nlm.nih.gov/gene/56262","LRRC8A")</f>
        <v>LRRC8A</v>
      </c>
      <c r="C445">
        <v>56262</v>
      </c>
      <c r="D445" t="s">
        <v>897</v>
      </c>
      <c r="E445" s="3" t="str">
        <f>HYPERLINK("http://genome.ucsc.edu/cgi-bin/hgTracks?db=hg19&amp;lastVirtModeType=default&amp;lastVirtModeExtraState=&amp;virtModeType=default&amp;virtMode=0&amp;nonVirtPosition=&amp;position=chr9:128882501-128918038","chr9:128882501-128918038")</f>
        <v>chr9:128882501-128918038</v>
      </c>
      <c r="F445" t="s">
        <v>27</v>
      </c>
      <c r="G445">
        <v>0.23370305339678801</v>
      </c>
      <c r="H445">
        <v>5.3152674288791099E-2</v>
      </c>
      <c r="I445">
        <v>4.3968258704543102</v>
      </c>
      <c r="J445" s="1">
        <v>1.09845396929373E-5</v>
      </c>
      <c r="K445">
        <v>3.4790294999755602E-4</v>
      </c>
      <c r="L445" t="s">
        <v>23</v>
      </c>
      <c r="M445" t="s">
        <v>24</v>
      </c>
      <c r="N445">
        <v>3233.71040335312</v>
      </c>
      <c r="O445">
        <v>2956.5349071095102</v>
      </c>
      <c r="P445">
        <v>3510.8858995967198</v>
      </c>
      <c r="Q445">
        <v>2859.0245300884899</v>
      </c>
      <c r="R445">
        <v>3054.04528413052</v>
      </c>
      <c r="S445">
        <v>3487.28044069424</v>
      </c>
      <c r="T445">
        <v>3534.49135849921</v>
      </c>
    </row>
    <row r="446" spans="1:20" x14ac:dyDescent="0.2">
      <c r="A446" t="s">
        <v>898</v>
      </c>
      <c r="B446" s="3" t="str">
        <f>HYPERLINK("http://www.ncbi.nlm.nih.gov/gene/1841","DTYMK")</f>
        <v>DTYMK</v>
      </c>
      <c r="C446">
        <v>1841</v>
      </c>
      <c r="D446" t="s">
        <v>899</v>
      </c>
      <c r="E446" s="3" t="str">
        <f>HYPERLINK("http://genome.ucsc.edu/cgi-bin/hgTracks?db=hg19&amp;lastVirtModeType=default&amp;lastVirtModeExtraState=&amp;virtModeType=default&amp;virtMode=0&amp;nonVirtPosition=&amp;position=chr2:241675741-241686968","chr2:241675741-241686968")</f>
        <v>chr2:241675741-241686968</v>
      </c>
      <c r="F446" t="s">
        <v>22</v>
      </c>
      <c r="G446">
        <v>-0.34494928780824202</v>
      </c>
      <c r="H446">
        <v>7.8529773047502999E-2</v>
      </c>
      <c r="I446">
        <v>-4.3925924451555503</v>
      </c>
      <c r="J446" s="1">
        <v>1.1200697778716201E-5</v>
      </c>
      <c r="K446">
        <v>3.5393172658367098E-4</v>
      </c>
      <c r="L446" t="s">
        <v>23</v>
      </c>
      <c r="M446" t="s">
        <v>24</v>
      </c>
      <c r="N446">
        <v>888.60523891809999</v>
      </c>
      <c r="O446">
        <v>1009.86035047834</v>
      </c>
      <c r="P446">
        <v>767.35012735785904</v>
      </c>
      <c r="Q446">
        <v>1012.62851498803</v>
      </c>
      <c r="R446">
        <v>1007.09218596865</v>
      </c>
      <c r="S446">
        <v>751.71363389222302</v>
      </c>
      <c r="T446">
        <v>782.98662082349404</v>
      </c>
    </row>
    <row r="447" spans="1:20" x14ac:dyDescent="0.2">
      <c r="A447" t="s">
        <v>900</v>
      </c>
      <c r="B447" s="3" t="str">
        <f>HYPERLINK("http://www.ncbi.nlm.nih.gov/gene/9903","KLHL21")</f>
        <v>KLHL21</v>
      </c>
      <c r="C447">
        <v>9903</v>
      </c>
      <c r="D447" t="s">
        <v>901</v>
      </c>
      <c r="E447" s="3" t="str">
        <f>HYPERLINK("http://genome.ucsc.edu/cgi-bin/hgTracks?db=hg19&amp;lastVirtModeType=default&amp;lastVirtModeExtraState=&amp;virtModeType=default&amp;virtMode=0&amp;nonVirtPosition=&amp;position=chr1:6590723-6602898","chr1:6590723-6602898")</f>
        <v>chr1:6590723-6602898</v>
      </c>
      <c r="F447" t="s">
        <v>22</v>
      </c>
      <c r="G447">
        <v>0.19471113521484901</v>
      </c>
      <c r="H447">
        <v>4.4343213175556701E-2</v>
      </c>
      <c r="I447">
        <v>4.3910019430477201</v>
      </c>
      <c r="J447" s="1">
        <v>1.1282953224151E-5</v>
      </c>
      <c r="K447">
        <v>3.5571131153105099E-4</v>
      </c>
      <c r="L447" t="s">
        <v>23</v>
      </c>
      <c r="M447" t="s">
        <v>24</v>
      </c>
      <c r="N447">
        <v>6227.13079133671</v>
      </c>
      <c r="O447">
        <v>5790.5857248567099</v>
      </c>
      <c r="P447">
        <v>6663.6758578167201</v>
      </c>
      <c r="Q447">
        <v>5822.6139611811896</v>
      </c>
      <c r="R447">
        <v>5758.5574885322303</v>
      </c>
      <c r="S447">
        <v>6802.9097366414298</v>
      </c>
      <c r="T447">
        <v>6524.4419789920103</v>
      </c>
    </row>
    <row r="448" spans="1:20" x14ac:dyDescent="0.2">
      <c r="A448" t="s">
        <v>902</v>
      </c>
      <c r="B448" s="3" t="str">
        <f>HYPERLINK("http://www.ncbi.nlm.nih.gov/gene/8754","ADAM9")</f>
        <v>ADAM9</v>
      </c>
      <c r="C448">
        <v>8754</v>
      </c>
      <c r="D448" t="s">
        <v>903</v>
      </c>
      <c r="E448" s="3" t="str">
        <f>HYPERLINK("http://genome.ucsc.edu/cgi-bin/hgTracks?db=hg19&amp;lastVirtModeType=default&amp;lastVirtModeExtraState=&amp;virtModeType=default&amp;virtMode=0&amp;nonVirtPosition=&amp;position=chr8_KI270822v1_alt:7545-10943","chr8_KI270822v1_alt:7545-10943")</f>
        <v>chr8_KI270822v1_alt:7545-10943</v>
      </c>
      <c r="F448" t="s">
        <v>27</v>
      </c>
      <c r="G448">
        <v>-0.17658584417824999</v>
      </c>
      <c r="H448">
        <v>4.0242388929670303E-2</v>
      </c>
      <c r="I448">
        <v>-4.3880557013367296</v>
      </c>
      <c r="J448" s="1">
        <v>1.14368488369953E-5</v>
      </c>
      <c r="K448">
        <v>3.5973611227191202E-4</v>
      </c>
      <c r="L448" t="s">
        <v>23</v>
      </c>
      <c r="M448" t="s">
        <v>24</v>
      </c>
      <c r="N448">
        <v>10067.348762278099</v>
      </c>
      <c r="O448">
        <v>10699.8917949556</v>
      </c>
      <c r="P448">
        <v>9434.8057296006991</v>
      </c>
      <c r="Q448">
        <v>10587.1962266752</v>
      </c>
      <c r="R448">
        <v>10812.5873632361</v>
      </c>
      <c r="S448">
        <v>9505.9220159914203</v>
      </c>
      <c r="T448">
        <v>9363.6894432099707</v>
      </c>
    </row>
    <row r="449" spans="1:20" x14ac:dyDescent="0.2">
      <c r="A449" t="s">
        <v>904</v>
      </c>
      <c r="B449" s="3" t="str">
        <f>HYPERLINK("http://www.ncbi.nlm.nih.gov/gene/494336","MIR424")</f>
        <v>MIR424</v>
      </c>
      <c r="C449">
        <v>494336</v>
      </c>
      <c r="D449" t="s">
        <v>905</v>
      </c>
      <c r="E449" s="3" t="str">
        <f>HYPERLINK("http://genome.ucsc.edu/cgi-bin/hgTracks?db=hg19&amp;lastVirtModeType=default&amp;lastVirtModeExtraState=&amp;virtModeType=default&amp;virtMode=0&amp;nonVirtPosition=&amp;position=chrX:134546613-134546711","chrX:134546613-134546711")</f>
        <v>chrX:134546613-134546711</v>
      </c>
      <c r="F449" t="s">
        <v>22</v>
      </c>
      <c r="G449">
        <v>-0.49389743267221697</v>
      </c>
      <c r="H449">
        <v>0.11260155575068</v>
      </c>
      <c r="I449">
        <v>-4.3862398648007703</v>
      </c>
      <c r="J449" s="1">
        <v>1.1532694108866499E-5</v>
      </c>
      <c r="K449">
        <v>3.61920748304335E-4</v>
      </c>
      <c r="L449" t="s">
        <v>23</v>
      </c>
      <c r="M449" t="s">
        <v>24</v>
      </c>
      <c r="N449">
        <v>66.484740311040994</v>
      </c>
      <c r="O449">
        <v>97.938046337422904</v>
      </c>
      <c r="P449">
        <v>35.031434284659198</v>
      </c>
      <c r="Q449">
        <v>118.323440610015</v>
      </c>
      <c r="R449">
        <v>77.552652064830795</v>
      </c>
      <c r="S449">
        <v>32.554527452025397</v>
      </c>
      <c r="T449">
        <v>37.508341117293099</v>
      </c>
    </row>
    <row r="450" spans="1:20" x14ac:dyDescent="0.2">
      <c r="A450" t="s">
        <v>904</v>
      </c>
      <c r="B450" s="3" t="str">
        <f>HYPERLINK("http://www.ncbi.nlm.nih.gov/gene/84848","MIR503HG")</f>
        <v>MIR503HG</v>
      </c>
      <c r="C450">
        <v>84848</v>
      </c>
      <c r="D450" t="s">
        <v>906</v>
      </c>
      <c r="E450" s="3" t="str">
        <f>HYPERLINK("http://genome.ucsc.edu/cgi-bin/hgTracks?db=hg19&amp;lastVirtModeType=default&amp;lastVirtModeExtraState=&amp;virtModeType=default&amp;virtMode=0&amp;nonVirtPosition=&amp;position=chrX:134543376-134546630","chrX:134543376-134546630")</f>
        <v>chrX:134543376-134546630</v>
      </c>
      <c r="F450" t="s">
        <v>22</v>
      </c>
      <c r="G450">
        <v>-0.49389743267221697</v>
      </c>
      <c r="H450">
        <v>0.11260155575068</v>
      </c>
      <c r="I450">
        <v>-4.3862398648007703</v>
      </c>
      <c r="J450" s="1">
        <v>1.1532694108866499E-5</v>
      </c>
      <c r="K450">
        <v>3.61920748304335E-4</v>
      </c>
      <c r="L450" t="s">
        <v>23</v>
      </c>
      <c r="M450" t="s">
        <v>24</v>
      </c>
      <c r="N450">
        <v>66.484740311040994</v>
      </c>
      <c r="O450">
        <v>97.938046337422904</v>
      </c>
      <c r="P450">
        <v>35.031434284659198</v>
      </c>
      <c r="Q450">
        <v>118.323440610015</v>
      </c>
      <c r="R450">
        <v>77.552652064830795</v>
      </c>
      <c r="S450">
        <v>32.554527452025397</v>
      </c>
      <c r="T450">
        <v>37.508341117293099</v>
      </c>
    </row>
    <row r="451" spans="1:20" x14ac:dyDescent="0.2">
      <c r="A451" t="s">
        <v>907</v>
      </c>
      <c r="B451" s="3" t="str">
        <f>HYPERLINK("http://www.ncbi.nlm.nih.gov/gene/25891","PAMR1")</f>
        <v>PAMR1</v>
      </c>
      <c r="C451">
        <v>25891</v>
      </c>
      <c r="D451" t="s">
        <v>908</v>
      </c>
      <c r="E451" s="3" t="str">
        <f>HYPERLINK("http://genome.ucsc.edu/cgi-bin/hgTracks?db=hg19&amp;lastVirtModeType=default&amp;lastVirtModeExtraState=&amp;virtModeType=default&amp;virtMode=0&amp;nonVirtPosition=&amp;position=chr11:35431828-35526031","chr11:35431828-35526031")</f>
        <v>chr11:35431828-35526031</v>
      </c>
      <c r="F451" t="s">
        <v>22</v>
      </c>
      <c r="G451">
        <v>-0.45752417553147001</v>
      </c>
      <c r="H451">
        <v>0.104364479398836</v>
      </c>
      <c r="I451">
        <v>-4.3839070358700303</v>
      </c>
      <c r="J451" s="1">
        <v>1.16569533976297E-5</v>
      </c>
      <c r="K451">
        <v>3.6498506597053401E-4</v>
      </c>
      <c r="L451" t="s">
        <v>23</v>
      </c>
      <c r="M451" t="s">
        <v>24</v>
      </c>
      <c r="N451">
        <v>353.93395613682702</v>
      </c>
      <c r="O451">
        <v>428.29688455498001</v>
      </c>
      <c r="P451">
        <v>279.57102771867301</v>
      </c>
      <c r="Q451">
        <v>425.13887381970397</v>
      </c>
      <c r="R451">
        <v>431.45489529025599</v>
      </c>
      <c r="S451">
        <v>297.923251227626</v>
      </c>
      <c r="T451">
        <v>261.21880420972002</v>
      </c>
    </row>
    <row r="452" spans="1:20" x14ac:dyDescent="0.2">
      <c r="A452" t="s">
        <v>909</v>
      </c>
      <c r="B452" s="3" t="str">
        <f>HYPERLINK("http://www.ncbi.nlm.nih.gov/gene/3340","NDST1")</f>
        <v>NDST1</v>
      </c>
      <c r="C452">
        <v>3340</v>
      </c>
      <c r="D452" t="s">
        <v>910</v>
      </c>
      <c r="E452" s="3" t="str">
        <f>HYPERLINK("http://genome.ucsc.edu/cgi-bin/hgTracks?db=hg19&amp;lastVirtModeType=default&amp;lastVirtModeExtraState=&amp;virtModeType=default&amp;virtMode=0&amp;nonVirtPosition=&amp;position=chr5:150508111-150558211","chr5:150508111-150558211")</f>
        <v>chr5:150508111-150558211</v>
      </c>
      <c r="F452" t="s">
        <v>27</v>
      </c>
      <c r="G452">
        <v>-0.193651858881741</v>
      </c>
      <c r="H452">
        <v>4.4188991256475803E-2</v>
      </c>
      <c r="I452">
        <v>-4.3823552739136504</v>
      </c>
      <c r="J452" s="1">
        <v>1.17403154087497E-5</v>
      </c>
      <c r="K452">
        <v>3.6675782577583801E-4</v>
      </c>
      <c r="L452" t="s">
        <v>23</v>
      </c>
      <c r="M452" t="s">
        <v>24</v>
      </c>
      <c r="N452">
        <v>12623.1423515809</v>
      </c>
      <c r="O452">
        <v>13502.5770973953</v>
      </c>
      <c r="P452">
        <v>11743.7076057665</v>
      </c>
      <c r="Q452">
        <v>13310.011214666099</v>
      </c>
      <c r="R452">
        <v>13695.142980124599</v>
      </c>
      <c r="S452">
        <v>11344.759566614901</v>
      </c>
      <c r="T452">
        <v>12142.655644918001</v>
      </c>
    </row>
    <row r="453" spans="1:20" x14ac:dyDescent="0.2">
      <c r="A453" t="s">
        <v>911</v>
      </c>
      <c r="B453" s="3" t="str">
        <f>HYPERLINK("http://www.ncbi.nlm.nih.gov/gene/25758","KIAA1549L")</f>
        <v>KIAA1549L</v>
      </c>
      <c r="C453">
        <v>25758</v>
      </c>
      <c r="D453" t="s">
        <v>912</v>
      </c>
      <c r="E453" s="3" t="str">
        <f>HYPERLINK("http://genome.ucsc.edu/cgi-bin/hgTracks?db=hg19&amp;lastVirtModeType=default&amp;lastVirtModeExtraState=&amp;virtModeType=default&amp;virtMode=0&amp;nonVirtPosition=&amp;position=chr11:33542330-33674100","chr11:33542330-33674100")</f>
        <v>chr11:33542330-33674100</v>
      </c>
      <c r="F453" t="s">
        <v>27</v>
      </c>
      <c r="G453">
        <v>-0.29478133935527601</v>
      </c>
      <c r="H453">
        <v>6.7364420632585104E-2</v>
      </c>
      <c r="I453">
        <v>-4.37592035361003</v>
      </c>
      <c r="J453" s="1">
        <v>1.2092116532473501E-5</v>
      </c>
      <c r="K453">
        <v>3.7688928665077797E-4</v>
      </c>
      <c r="L453" t="s">
        <v>23</v>
      </c>
      <c r="M453" t="s">
        <v>24</v>
      </c>
      <c r="N453">
        <v>2221.2554031544701</v>
      </c>
      <c r="O453">
        <v>2472.34171504396</v>
      </c>
      <c r="P453">
        <v>1970.1690912649799</v>
      </c>
      <c r="Q453">
        <v>2527.4437255883399</v>
      </c>
      <c r="R453">
        <v>2417.2397044995901</v>
      </c>
      <c r="S453">
        <v>1819.1075339859001</v>
      </c>
      <c r="T453">
        <v>2121.2306485440599</v>
      </c>
    </row>
    <row r="454" spans="1:20" x14ac:dyDescent="0.2">
      <c r="A454" t="s">
        <v>913</v>
      </c>
      <c r="B454" s="3" t="str">
        <f>HYPERLINK("http://www.ncbi.nlm.nih.gov/gene/116372","LYPD1")</f>
        <v>LYPD1</v>
      </c>
      <c r="C454">
        <v>116372</v>
      </c>
      <c r="D454" t="s">
        <v>914</v>
      </c>
      <c r="E454" s="3" t="str">
        <f>HYPERLINK("http://genome.ucsc.edu/cgi-bin/hgTracks?db=hg19&amp;lastVirtModeType=default&amp;lastVirtModeExtraState=&amp;virtModeType=default&amp;virtMode=0&amp;nonVirtPosition=&amp;position=chr2:132643279-132670370","chr2:132643279-132670370")</f>
        <v>chr2:132643279-132670370</v>
      </c>
      <c r="F454" t="s">
        <v>22</v>
      </c>
      <c r="G454">
        <v>-0.514761896419067</v>
      </c>
      <c r="H454">
        <v>0.117655278365434</v>
      </c>
      <c r="I454">
        <v>-4.3751704434392602</v>
      </c>
      <c r="J454" s="1">
        <v>1.21337631024321E-5</v>
      </c>
      <c r="K454">
        <v>3.7732976686338901E-4</v>
      </c>
      <c r="L454" t="s">
        <v>23</v>
      </c>
      <c r="M454" t="s">
        <v>24</v>
      </c>
      <c r="N454">
        <v>89.619654250588894</v>
      </c>
      <c r="O454">
        <v>124.174008052866</v>
      </c>
      <c r="P454">
        <v>55.0653004483122</v>
      </c>
      <c r="Q454">
        <v>123.826856452341</v>
      </c>
      <c r="R454">
        <v>124.52115965339</v>
      </c>
      <c r="S454">
        <v>57.217048249014397</v>
      </c>
      <c r="T454">
        <v>52.913552647609997</v>
      </c>
    </row>
    <row r="455" spans="1:20" x14ac:dyDescent="0.2">
      <c r="A455" t="s">
        <v>915</v>
      </c>
      <c r="B455" s="3" t="str">
        <f>HYPERLINK("http://www.ncbi.nlm.nih.gov/gene/1111","CHEK1")</f>
        <v>CHEK1</v>
      </c>
      <c r="C455">
        <v>1111</v>
      </c>
      <c r="D455" t="s">
        <v>916</v>
      </c>
      <c r="E455" s="3" t="str">
        <f>HYPERLINK("http://genome.ucsc.edu/cgi-bin/hgTracks?db=hg19&amp;lastVirtModeType=default&amp;lastVirtModeExtraState=&amp;virtModeType=default&amp;virtMode=0&amp;nonVirtPosition=&amp;position=chr11:125626228-125657147","chr11:125626228-125657147")</f>
        <v>chr11:125626228-125657147</v>
      </c>
      <c r="F455" t="s">
        <v>27</v>
      </c>
      <c r="G455">
        <v>-0.34776719231299702</v>
      </c>
      <c r="H455">
        <v>7.9560205799163203E-2</v>
      </c>
      <c r="I455">
        <v>-4.3711198182528399</v>
      </c>
      <c r="J455" s="1">
        <v>1.23610933202569E-5</v>
      </c>
      <c r="K455">
        <v>3.8352948822172799E-4</v>
      </c>
      <c r="L455" t="s">
        <v>23</v>
      </c>
      <c r="M455" t="s">
        <v>24</v>
      </c>
      <c r="N455">
        <v>928.47804556159895</v>
      </c>
      <c r="O455">
        <v>1056.8021474171101</v>
      </c>
      <c r="P455">
        <v>800.15394370608794</v>
      </c>
      <c r="Q455">
        <v>1113.0658541104899</v>
      </c>
      <c r="R455">
        <v>1000.53844072373</v>
      </c>
      <c r="S455">
        <v>807.94418130935799</v>
      </c>
      <c r="T455">
        <v>792.36370610281801</v>
      </c>
    </row>
    <row r="456" spans="1:20" x14ac:dyDescent="0.2">
      <c r="A456" t="s">
        <v>917</v>
      </c>
      <c r="B456" s="3" t="str">
        <f>HYPERLINK("http://www.ncbi.nlm.nih.gov/gene/84171","LOXL4")</f>
        <v>LOXL4</v>
      </c>
      <c r="C456">
        <v>84171</v>
      </c>
      <c r="D456" t="s">
        <v>918</v>
      </c>
      <c r="E456" s="3" t="str">
        <f>HYPERLINK("http://genome.ucsc.edu/cgi-bin/hgTracks?db=hg19&amp;lastVirtModeType=default&amp;lastVirtModeExtraState=&amp;virtModeType=default&amp;virtMode=0&amp;nonVirtPosition=&amp;position=chr10:98247685-98268250","chr10:98247685-98268250")</f>
        <v>chr10:98247685-98268250</v>
      </c>
      <c r="F456" t="s">
        <v>22</v>
      </c>
      <c r="G456">
        <v>-0.27284202905550298</v>
      </c>
      <c r="H456">
        <v>6.2459826308865499E-2</v>
      </c>
      <c r="I456">
        <v>-4.3682803039875902</v>
      </c>
      <c r="J456" s="1">
        <v>1.2522870341693001E-5</v>
      </c>
      <c r="K456">
        <v>3.8767188231597801E-4</v>
      </c>
      <c r="L456" t="s">
        <v>23</v>
      </c>
      <c r="M456" t="s">
        <v>24</v>
      </c>
      <c r="N456">
        <v>2692.2128320475599</v>
      </c>
      <c r="O456">
        <v>2969.4789890135899</v>
      </c>
      <c r="P456">
        <v>2414.94667508153</v>
      </c>
      <c r="Q456">
        <v>2995.2340721860701</v>
      </c>
      <c r="R456">
        <v>2943.7239058411101</v>
      </c>
      <c r="S456">
        <v>2251.1948983491502</v>
      </c>
      <c r="T456">
        <v>2578.6984518139002</v>
      </c>
    </row>
    <row r="457" spans="1:20" x14ac:dyDescent="0.2">
      <c r="A457" t="s">
        <v>919</v>
      </c>
      <c r="B457" s="3" t="str">
        <f>HYPERLINK("http://www.ncbi.nlm.nih.gov/gene/26003","GORASP2")</f>
        <v>GORASP2</v>
      </c>
      <c r="C457">
        <v>26003</v>
      </c>
      <c r="D457" t="s">
        <v>920</v>
      </c>
      <c r="E457" s="3" t="str">
        <f>HYPERLINK("http://genome.ucsc.edu/cgi-bin/hgTracks?db=hg19&amp;lastVirtModeType=default&amp;lastVirtModeExtraState=&amp;virtModeType=default&amp;virtMode=0&amp;nonVirtPosition=&amp;position=chr2:170928437-170967133","chr2:170928437-170967133")</f>
        <v>chr2:170928437-170967133</v>
      </c>
      <c r="F457" t="s">
        <v>27</v>
      </c>
      <c r="G457">
        <v>0.19829244788101599</v>
      </c>
      <c r="H457">
        <v>4.5456472246865699E-2</v>
      </c>
      <c r="I457">
        <v>4.3622489401316997</v>
      </c>
      <c r="J457" s="1">
        <v>1.2873227163345099E-5</v>
      </c>
      <c r="K457">
        <v>3.97620354320078E-4</v>
      </c>
      <c r="L457" t="s">
        <v>23</v>
      </c>
      <c r="M457" t="s">
        <v>24</v>
      </c>
      <c r="N457">
        <v>4895.9329502801002</v>
      </c>
      <c r="O457">
        <v>4546.1517950069801</v>
      </c>
      <c r="P457">
        <v>5245.7141055532202</v>
      </c>
      <c r="Q457">
        <v>4558.20417140673</v>
      </c>
      <c r="R457">
        <v>4534.0994186072203</v>
      </c>
      <c r="S457">
        <v>5296.52296636135</v>
      </c>
      <c r="T457">
        <v>5194.9052447451004</v>
      </c>
    </row>
    <row r="458" spans="1:20" x14ac:dyDescent="0.2">
      <c r="A458" t="s">
        <v>921</v>
      </c>
      <c r="B458" s="3" t="str">
        <f>HYPERLINK("http://www.ncbi.nlm.nih.gov/gene/79581","SLC52A2")</f>
        <v>SLC52A2</v>
      </c>
      <c r="C458">
        <v>79581</v>
      </c>
      <c r="D458" t="s">
        <v>922</v>
      </c>
      <c r="E458" s="3" t="str">
        <f>HYPERLINK("http://genome.ucsc.edu/cgi-bin/hgTracks?db=hg19&amp;lastVirtModeType=default&amp;lastVirtModeExtraState=&amp;virtModeType=default&amp;virtMode=0&amp;nonVirtPosition=&amp;position=chr8:144358556-144361286","chr8:144358556-144361286")</f>
        <v>chr8:144358556-144361286</v>
      </c>
      <c r="F458" t="s">
        <v>27</v>
      </c>
      <c r="G458">
        <v>0.23195668405950301</v>
      </c>
      <c r="H458">
        <v>5.3214160129867599E-2</v>
      </c>
      <c r="I458">
        <v>4.3589278397595699</v>
      </c>
      <c r="J458" s="1">
        <v>1.3070119703112399E-5</v>
      </c>
      <c r="K458">
        <v>4.0225570414537901E-4</v>
      </c>
      <c r="L458" t="s">
        <v>23</v>
      </c>
      <c r="M458" t="s">
        <v>24</v>
      </c>
      <c r="N458">
        <v>2886.01131219114</v>
      </c>
      <c r="O458">
        <v>2640.6854776854102</v>
      </c>
      <c r="P458">
        <v>3131.3371466968802</v>
      </c>
      <c r="Q458">
        <v>2597.612277578</v>
      </c>
      <c r="R458">
        <v>2683.75867779281</v>
      </c>
      <c r="S458">
        <v>3136.0861445451101</v>
      </c>
      <c r="T458">
        <v>3126.5881488486498</v>
      </c>
    </row>
    <row r="459" spans="1:20" x14ac:dyDescent="0.2">
      <c r="A459" t="s">
        <v>923</v>
      </c>
      <c r="B459" s="3" t="str">
        <f>HYPERLINK("http://www.ncbi.nlm.nih.gov/gene/9788","MTSS1")</f>
        <v>MTSS1</v>
      </c>
      <c r="C459">
        <v>9788</v>
      </c>
      <c r="D459" t="s">
        <v>924</v>
      </c>
      <c r="E459" s="3" t="str">
        <f>HYPERLINK("http://genome.ucsc.edu/cgi-bin/hgTracks?db=hg19&amp;lastVirtModeType=default&amp;lastVirtModeExtraState=&amp;virtModeType=default&amp;virtMode=0&amp;nonVirtPosition=&amp;position=chr8:124550769-124728507","chr8:124550769-124728507")</f>
        <v>chr8:124550769-124728507</v>
      </c>
      <c r="F459" t="s">
        <v>22</v>
      </c>
      <c r="G459">
        <v>0.41121632065339803</v>
      </c>
      <c r="H459">
        <v>9.4343159375816998E-2</v>
      </c>
      <c r="I459">
        <v>4.3587295928400396</v>
      </c>
      <c r="J459" s="1">
        <v>1.3081963252795601E-5</v>
      </c>
      <c r="K459">
        <v>4.0225570414537901E-4</v>
      </c>
      <c r="L459" t="s">
        <v>23</v>
      </c>
      <c r="M459" t="s">
        <v>24</v>
      </c>
      <c r="N459">
        <v>543.05090176773899</v>
      </c>
      <c r="O459">
        <v>446.62422780070801</v>
      </c>
      <c r="P459">
        <v>639.47757573477099</v>
      </c>
      <c r="Q459">
        <v>433.39399758319303</v>
      </c>
      <c r="R459">
        <v>459.85445801822198</v>
      </c>
      <c r="S459">
        <v>672.79356734185797</v>
      </c>
      <c r="T459">
        <v>606.16158412768402</v>
      </c>
    </row>
    <row r="460" spans="1:20" x14ac:dyDescent="0.2">
      <c r="A460" t="s">
        <v>925</v>
      </c>
      <c r="B460" s="3" t="str">
        <f>HYPERLINK("http://www.ncbi.nlm.nih.gov/gene/7508","XPC")</f>
        <v>XPC</v>
      </c>
      <c r="C460">
        <v>7508</v>
      </c>
      <c r="D460" t="s">
        <v>926</v>
      </c>
      <c r="E460" s="3" t="str">
        <f>HYPERLINK("http://genome.ucsc.edu/cgi-bin/hgTracks?db=hg19&amp;lastVirtModeType=default&amp;lastVirtModeExtraState=&amp;virtModeType=default&amp;virtMode=0&amp;nonVirtPosition=&amp;position=chr3:14145147-14178672","chr3:14145147-14178672")</f>
        <v>chr3:14145147-14178672</v>
      </c>
      <c r="F460" t="s">
        <v>22</v>
      </c>
      <c r="G460">
        <v>-0.25321961683119798</v>
      </c>
      <c r="H460">
        <v>5.8123218647878998E-2</v>
      </c>
      <c r="I460">
        <v>-4.3566000424933202</v>
      </c>
      <c r="J460" s="1">
        <v>1.32098329974071E-5</v>
      </c>
      <c r="K460">
        <v>4.0527885844841399E-4</v>
      </c>
      <c r="L460" t="s">
        <v>23</v>
      </c>
      <c r="M460" t="s">
        <v>24</v>
      </c>
      <c r="N460">
        <v>2119.9720623891999</v>
      </c>
      <c r="O460">
        <v>2318.6237247028998</v>
      </c>
      <c r="P460">
        <v>1921.32040007551</v>
      </c>
      <c r="Q460">
        <v>2318.3139235799399</v>
      </c>
      <c r="R460">
        <v>2318.9335258258602</v>
      </c>
      <c r="S460">
        <v>1904.93310635943</v>
      </c>
      <c r="T460">
        <v>1937.7076937915899</v>
      </c>
    </row>
    <row r="461" spans="1:20" x14ac:dyDescent="0.2">
      <c r="A461" t="s">
        <v>927</v>
      </c>
      <c r="B461" s="3" t="str">
        <f>HYPERLINK("http://www.ncbi.nlm.nih.gov/gene/2139","EYA2")</f>
        <v>EYA2</v>
      </c>
      <c r="C461">
        <v>2139</v>
      </c>
      <c r="D461" t="s">
        <v>928</v>
      </c>
      <c r="E461" s="3" t="str">
        <f>HYPERLINK("http://genome.ucsc.edu/cgi-bin/hgTracks?db=hg19&amp;lastVirtModeType=default&amp;lastVirtModeExtraState=&amp;virtModeType=default&amp;virtMode=0&amp;nonVirtPosition=&amp;position=chr20:46894623-47188844","chr20:46894623-47188844")</f>
        <v>chr20:46894623-47188844</v>
      </c>
      <c r="F461" t="s">
        <v>27</v>
      </c>
      <c r="G461">
        <v>-0.42225066643036002</v>
      </c>
      <c r="H461">
        <v>9.6953476406852701E-2</v>
      </c>
      <c r="I461">
        <v>-4.3551885097800902</v>
      </c>
      <c r="J461" s="1">
        <v>1.3295245233446599E-5</v>
      </c>
      <c r="K461">
        <v>4.0698882395421199E-4</v>
      </c>
      <c r="L461" t="s">
        <v>23</v>
      </c>
      <c r="M461" t="s">
        <v>24</v>
      </c>
      <c r="N461">
        <v>540.47135868807698</v>
      </c>
      <c r="O461">
        <v>641.01956283606296</v>
      </c>
      <c r="P461">
        <v>439.92315454009201</v>
      </c>
      <c r="Q461">
        <v>639.77209167042804</v>
      </c>
      <c r="R461">
        <v>642.26703400169799</v>
      </c>
      <c r="S461">
        <v>395.58683358370303</v>
      </c>
      <c r="T461">
        <v>484.259475496481</v>
      </c>
    </row>
    <row r="462" spans="1:20" x14ac:dyDescent="0.2">
      <c r="A462" t="s">
        <v>929</v>
      </c>
      <c r="B462" s="3" t="str">
        <f>HYPERLINK("http://www.ncbi.nlm.nih.gov/gene/387882","C12orf75")</f>
        <v>C12orf75</v>
      </c>
      <c r="C462">
        <v>387882</v>
      </c>
      <c r="D462" t="s">
        <v>930</v>
      </c>
      <c r="E462" s="3" t="str">
        <f>HYPERLINK("http://genome.ucsc.edu/cgi-bin/hgTracks?db=hg19&amp;lastVirtModeType=default&amp;lastVirtModeExtraState=&amp;virtModeType=default&amp;virtMode=0&amp;nonVirtPosition=&amp;position=chr12:105330635-105371518","chr12:105330635-105371518")</f>
        <v>chr12:105330635-105371518</v>
      </c>
      <c r="F462" t="s">
        <v>27</v>
      </c>
      <c r="G462">
        <v>-0.32974400357802702</v>
      </c>
      <c r="H462">
        <v>7.5728757482628001E-2</v>
      </c>
      <c r="I462">
        <v>-4.3542772196370603</v>
      </c>
      <c r="J462" s="1">
        <v>1.3350667238692199E-5</v>
      </c>
      <c r="K462">
        <v>4.0777516817689302E-4</v>
      </c>
      <c r="L462" t="s">
        <v>23</v>
      </c>
      <c r="M462" t="s">
        <v>24</v>
      </c>
      <c r="N462">
        <v>1250.72189989306</v>
      </c>
      <c r="O462">
        <v>1411.8271831602401</v>
      </c>
      <c r="P462">
        <v>1089.6166166258899</v>
      </c>
      <c r="Q462">
        <v>1335.9541957247</v>
      </c>
      <c r="R462">
        <v>1487.70017059577</v>
      </c>
      <c r="S462">
        <v>1031.87987014602</v>
      </c>
      <c r="T462">
        <v>1147.3533631057701</v>
      </c>
    </row>
    <row r="463" spans="1:20" x14ac:dyDescent="0.2">
      <c r="A463" t="s">
        <v>931</v>
      </c>
      <c r="B463" s="3" t="str">
        <f>HYPERLINK("http://www.ncbi.nlm.nih.gov/gene/84617","TUBB6")</f>
        <v>TUBB6</v>
      </c>
      <c r="C463">
        <v>84617</v>
      </c>
      <c r="D463" t="s">
        <v>932</v>
      </c>
      <c r="E463" s="3" t="str">
        <f>HYPERLINK("http://genome.ucsc.edu/cgi-bin/hgTracks?db=hg19&amp;lastVirtModeType=default&amp;lastVirtModeExtraState=&amp;virtModeType=default&amp;virtMode=0&amp;nonVirtPosition=&amp;position=chr18:12307668-12326616","chr18:12307668-12326616")</f>
        <v>chr18:12307668-12326616</v>
      </c>
      <c r="F463" t="s">
        <v>27</v>
      </c>
      <c r="G463">
        <v>-0.204735354633516</v>
      </c>
      <c r="H463">
        <v>4.7081501681085498E-2</v>
      </c>
      <c r="I463">
        <v>-4.34853068239679</v>
      </c>
      <c r="J463" s="1">
        <v>1.37052646751433E-5</v>
      </c>
      <c r="K463">
        <v>4.1767555501092302E-4</v>
      </c>
      <c r="L463" t="s">
        <v>23</v>
      </c>
      <c r="M463" t="s">
        <v>24</v>
      </c>
      <c r="N463">
        <v>9633.2050590208601</v>
      </c>
      <c r="O463">
        <v>10346.060162771801</v>
      </c>
      <c r="P463">
        <v>8920.3499552699395</v>
      </c>
      <c r="Q463">
        <v>10068.499283535901</v>
      </c>
      <c r="R463">
        <v>10623.6210420077</v>
      </c>
      <c r="S463">
        <v>8585.5167398477897</v>
      </c>
      <c r="T463">
        <v>9255.1831706920802</v>
      </c>
    </row>
    <row r="464" spans="1:20" x14ac:dyDescent="0.2">
      <c r="A464" t="s">
        <v>933</v>
      </c>
      <c r="B464" s="3" t="str">
        <f>HYPERLINK("http://www.ncbi.nlm.nih.gov/gene/3842","TNPO1")</f>
        <v>TNPO1</v>
      </c>
      <c r="C464">
        <v>3842</v>
      </c>
      <c r="D464" t="s">
        <v>934</v>
      </c>
      <c r="E464" s="3" t="str">
        <f>HYPERLINK("http://genome.ucsc.edu/cgi-bin/hgTracks?db=hg19&amp;lastVirtModeType=default&amp;lastVirtModeExtraState=&amp;virtModeType=default&amp;virtMode=0&amp;nonVirtPosition=&amp;position=chr5:72848102-72914388","chr5:72848102-72914388")</f>
        <v>chr5:72848102-72914388</v>
      </c>
      <c r="F464" t="s">
        <v>27</v>
      </c>
      <c r="G464">
        <v>0.18880828537969499</v>
      </c>
      <c r="H464">
        <v>4.3440015707587203E-2</v>
      </c>
      <c r="I464">
        <v>4.3464138376616201</v>
      </c>
      <c r="J464" s="1">
        <v>1.38381373940365E-5</v>
      </c>
      <c r="K464">
        <v>4.2078983641201102E-4</v>
      </c>
      <c r="L464" t="s">
        <v>23</v>
      </c>
      <c r="M464" t="s">
        <v>24</v>
      </c>
      <c r="N464">
        <v>9337.2834073049507</v>
      </c>
      <c r="O464">
        <v>8702.0169114819801</v>
      </c>
      <c r="P464">
        <v>9972.5499031279305</v>
      </c>
      <c r="Q464">
        <v>8561.9391966990897</v>
      </c>
      <c r="R464">
        <v>8842.0946262648704</v>
      </c>
      <c r="S464">
        <v>10225.0811224316</v>
      </c>
      <c r="T464">
        <v>9720.0186838242498</v>
      </c>
    </row>
    <row r="465" spans="1:20" x14ac:dyDescent="0.2">
      <c r="A465" t="s">
        <v>935</v>
      </c>
      <c r="B465" s="3" t="str">
        <f>HYPERLINK("http://www.ncbi.nlm.nih.gov/gene/8914","TIMELESS")</f>
        <v>TIMELESS</v>
      </c>
      <c r="C465">
        <v>8914</v>
      </c>
      <c r="D465" t="s">
        <v>936</v>
      </c>
      <c r="E465" s="3" t="str">
        <f>HYPERLINK("http://genome.ucsc.edu/cgi-bin/hgTracks?db=hg19&amp;lastVirtModeType=default&amp;lastVirtModeExtraState=&amp;virtModeType=default&amp;virtMode=0&amp;nonVirtPosition=&amp;position=chr12:56416372-56449465","chr12:56416372-56449465")</f>
        <v>chr12:56416372-56449465</v>
      </c>
      <c r="F465" t="s">
        <v>22</v>
      </c>
      <c r="G465">
        <v>-0.30701273133185297</v>
      </c>
      <c r="H465">
        <v>7.0647486670193604E-2</v>
      </c>
      <c r="I465">
        <v>-4.3456992711586802</v>
      </c>
      <c r="J465" s="1">
        <v>1.3883266914543699E-5</v>
      </c>
      <c r="K465">
        <v>4.2122814704878802E-4</v>
      </c>
      <c r="L465" t="s">
        <v>23</v>
      </c>
      <c r="M465" t="s">
        <v>24</v>
      </c>
      <c r="N465">
        <v>1427.07072397964</v>
      </c>
      <c r="O465">
        <v>1593.49332725658</v>
      </c>
      <c r="P465">
        <v>1260.64812070269</v>
      </c>
      <c r="Q465">
        <v>1498.3049630733301</v>
      </c>
      <c r="R465">
        <v>1688.6816914398401</v>
      </c>
      <c r="S465">
        <v>1260.7480631420699</v>
      </c>
      <c r="T465">
        <v>1260.5481782633201</v>
      </c>
    </row>
    <row r="466" spans="1:20" x14ac:dyDescent="0.2">
      <c r="A466" t="s">
        <v>937</v>
      </c>
      <c r="B466" s="3" t="str">
        <f>HYPERLINK("http://www.ncbi.nlm.nih.gov/gene/9672","SDC3")</f>
        <v>SDC3</v>
      </c>
      <c r="C466">
        <v>9672</v>
      </c>
      <c r="D466" t="s">
        <v>938</v>
      </c>
      <c r="E466" s="3" t="str">
        <f>HYPERLINK("http://genome.ucsc.edu/cgi-bin/hgTracks?db=hg19&amp;lastVirtModeType=default&amp;lastVirtModeExtraState=&amp;virtModeType=default&amp;virtMode=0&amp;nonVirtPosition=&amp;position=chr1:30869465-30908633","chr1:30869465-30908633")</f>
        <v>chr1:30869465-30908633</v>
      </c>
      <c r="F466" t="s">
        <v>22</v>
      </c>
      <c r="G466">
        <v>-0.22488191411420999</v>
      </c>
      <c r="H466">
        <v>5.18226311631831E-2</v>
      </c>
      <c r="I466">
        <v>-4.3394538074704103</v>
      </c>
      <c r="J466" s="1">
        <v>1.4283728609574901E-5</v>
      </c>
      <c r="K466">
        <v>4.3242175309428398E-4</v>
      </c>
      <c r="L466" t="s">
        <v>23</v>
      </c>
      <c r="M466" t="s">
        <v>24</v>
      </c>
      <c r="N466">
        <v>4412.6028358528301</v>
      </c>
      <c r="O466">
        <v>4775.0598425638</v>
      </c>
      <c r="P466">
        <v>4050.1458291418699</v>
      </c>
      <c r="Q466">
        <v>4649.0105328051104</v>
      </c>
      <c r="R466">
        <v>4901.1091523224804</v>
      </c>
      <c r="S466">
        <v>3896.6782859242498</v>
      </c>
      <c r="T466">
        <v>4203.6133723594903</v>
      </c>
    </row>
    <row r="467" spans="1:20" x14ac:dyDescent="0.2">
      <c r="A467" t="s">
        <v>939</v>
      </c>
      <c r="B467" s="3" t="str">
        <f>HYPERLINK("http://www.ncbi.nlm.nih.gov/gene/2247","FGF2")</f>
        <v>FGF2</v>
      </c>
      <c r="C467">
        <v>2247</v>
      </c>
      <c r="D467" t="s">
        <v>940</v>
      </c>
      <c r="E467" s="3" t="str">
        <f>HYPERLINK("http://genome.ucsc.edu/cgi-bin/hgTracks?db=hg19&amp;lastVirtModeType=default&amp;lastVirtModeExtraState=&amp;virtModeType=default&amp;virtMode=0&amp;nonVirtPosition=&amp;position=chr4:122826707-122898235","chr4:122826707-122898235")</f>
        <v>chr4:122826707-122898235</v>
      </c>
      <c r="F467" t="s">
        <v>27</v>
      </c>
      <c r="G467">
        <v>-0.22092680450023999</v>
      </c>
      <c r="H467">
        <v>5.1013240806938302E-2</v>
      </c>
      <c r="I467">
        <v>-4.3307737560988597</v>
      </c>
      <c r="J467" s="1">
        <v>1.4858628981347801E-5</v>
      </c>
      <c r="K467">
        <v>4.4883532566124002E-4</v>
      </c>
      <c r="L467" t="s">
        <v>23</v>
      </c>
      <c r="M467" t="s">
        <v>24</v>
      </c>
      <c r="N467">
        <v>5036.9082812326697</v>
      </c>
      <c r="O467">
        <v>5441.7011958636203</v>
      </c>
      <c r="P467">
        <v>4632.1153666017199</v>
      </c>
      <c r="Q467">
        <v>5240.6277358551897</v>
      </c>
      <c r="R467">
        <v>5642.7746558720601</v>
      </c>
      <c r="S467">
        <v>4486.6057833882296</v>
      </c>
      <c r="T467">
        <v>4777.6249498152101</v>
      </c>
    </row>
    <row r="468" spans="1:20" x14ac:dyDescent="0.2">
      <c r="A468" t="s">
        <v>941</v>
      </c>
      <c r="B468" s="3" t="str">
        <f>HYPERLINK("http://www.ncbi.nlm.nih.gov/gene/339665","SLC35E4")</f>
        <v>SLC35E4</v>
      </c>
      <c r="C468">
        <v>339665</v>
      </c>
      <c r="D468" t="s">
        <v>942</v>
      </c>
      <c r="E468" s="3" t="str">
        <f>HYPERLINK("http://genome.ucsc.edu/cgi-bin/hgTracks?db=hg19&amp;lastVirtModeType=default&amp;lastVirtModeExtraState=&amp;virtModeType=default&amp;virtMode=0&amp;nonVirtPosition=&amp;position=chr22:30635814-30647893","chr22:30635814-30647893")</f>
        <v>chr22:30635814-30647893</v>
      </c>
      <c r="F468" t="s">
        <v>27</v>
      </c>
      <c r="G468">
        <v>0.305258734526482</v>
      </c>
      <c r="H468">
        <v>7.0496230014601896E-2</v>
      </c>
      <c r="I468">
        <v>4.3301426822860396</v>
      </c>
      <c r="J468" s="1">
        <v>1.49012758077142E-5</v>
      </c>
      <c r="K468">
        <v>4.4913427786152297E-4</v>
      </c>
      <c r="L468" t="s">
        <v>23</v>
      </c>
      <c r="M468" t="s">
        <v>24</v>
      </c>
      <c r="N468">
        <v>1668.2850744325201</v>
      </c>
      <c r="O468">
        <v>1475.74080381318</v>
      </c>
      <c r="P468">
        <v>1860.8293450518599</v>
      </c>
      <c r="Q468">
        <v>1590.48717843229</v>
      </c>
      <c r="R468">
        <v>1360.9944291940701</v>
      </c>
      <c r="S468">
        <v>1836.86454895974</v>
      </c>
      <c r="T468">
        <v>1884.7941411439799</v>
      </c>
    </row>
    <row r="469" spans="1:20" x14ac:dyDescent="0.2">
      <c r="A469" t="s">
        <v>943</v>
      </c>
      <c r="B469" s="3" t="str">
        <f>HYPERLINK("http://www.ncbi.nlm.nih.gov/gene/57190","SELENON")</f>
        <v>SELENON</v>
      </c>
      <c r="C469">
        <v>57190</v>
      </c>
      <c r="D469" t="s">
        <v>944</v>
      </c>
      <c r="E469" s="3" t="str">
        <f>HYPERLINK("http://genome.ucsc.edu/cgi-bin/hgTracks?db=hg19&amp;lastVirtModeType=default&amp;lastVirtModeExtraState=&amp;virtModeType=default&amp;virtMode=0&amp;nonVirtPosition=&amp;position=chr1:25800175-25818222","chr1:25800175-25818222")</f>
        <v>chr1:25800175-25818222</v>
      </c>
      <c r="F469" t="s">
        <v>27</v>
      </c>
      <c r="G469">
        <v>-0.19105548982960599</v>
      </c>
      <c r="H469">
        <v>4.4225490117550503E-2</v>
      </c>
      <c r="I469">
        <v>-4.3200310346314801</v>
      </c>
      <c r="J469" s="1">
        <v>1.56007259132794E-5</v>
      </c>
      <c r="K469">
        <v>4.6918498941823098E-4</v>
      </c>
      <c r="L469" t="s">
        <v>23</v>
      </c>
      <c r="M469" t="s">
        <v>24</v>
      </c>
      <c r="N469">
        <v>5809.7477986048298</v>
      </c>
      <c r="O469">
        <v>6206.9678761744099</v>
      </c>
      <c r="P469">
        <v>5412.5277210352497</v>
      </c>
      <c r="Q469">
        <v>6095.0330453763399</v>
      </c>
      <c r="R469">
        <v>6318.9027069724798</v>
      </c>
      <c r="S469">
        <v>5419.8355703462903</v>
      </c>
      <c r="T469">
        <v>5405.21987172421</v>
      </c>
    </row>
    <row r="470" spans="1:20" x14ac:dyDescent="0.2">
      <c r="A470" t="s">
        <v>945</v>
      </c>
      <c r="B470" s="3" t="str">
        <f>HYPERLINK("http://www.ncbi.nlm.nih.gov/gene/9088","PKMYT1")</f>
        <v>PKMYT1</v>
      </c>
      <c r="C470">
        <v>9088</v>
      </c>
      <c r="D470" t="s">
        <v>946</v>
      </c>
      <c r="E470" s="3" t="str">
        <f>HYPERLINK("http://genome.ucsc.edu/cgi-bin/hgTracks?db=hg19&amp;lastVirtModeType=default&amp;lastVirtModeExtraState=&amp;virtModeType=default&amp;virtMode=0&amp;nonVirtPosition=&amp;position=chr16:2972790-2980539","chr16:2972790-2980539")</f>
        <v>chr16:2972790-2980539</v>
      </c>
      <c r="F470" t="s">
        <v>22</v>
      </c>
      <c r="G470">
        <v>-0.44905627212087801</v>
      </c>
      <c r="H470">
        <v>0.10404640261548</v>
      </c>
      <c r="I470">
        <v>-4.3159230961635098</v>
      </c>
      <c r="J470" s="1">
        <v>1.5893730996195299E-5</v>
      </c>
      <c r="K470">
        <v>4.7695104350508298E-4</v>
      </c>
      <c r="L470" t="s">
        <v>23</v>
      </c>
      <c r="M470" t="s">
        <v>24</v>
      </c>
      <c r="N470">
        <v>412.52309075240299</v>
      </c>
      <c r="O470">
        <v>499.326939325193</v>
      </c>
      <c r="P470">
        <v>325.71924217961401</v>
      </c>
      <c r="Q470">
        <v>504.93840353343501</v>
      </c>
      <c r="R470">
        <v>493.71547511695098</v>
      </c>
      <c r="S470">
        <v>287.07174207695101</v>
      </c>
      <c r="T470">
        <v>364.36674228227599</v>
      </c>
    </row>
    <row r="471" spans="1:20" x14ac:dyDescent="0.2">
      <c r="A471" t="s">
        <v>947</v>
      </c>
      <c r="B471" s="3" t="str">
        <f>HYPERLINK("http://www.ncbi.nlm.nih.gov/gene/51673","TPPP3")</f>
        <v>TPPP3</v>
      </c>
      <c r="C471">
        <v>51673</v>
      </c>
      <c r="D471" t="s">
        <v>948</v>
      </c>
      <c r="E471" s="3" t="str">
        <f>HYPERLINK("http://genome.ucsc.edu/cgi-bin/hgTracks?db=hg19&amp;lastVirtModeType=default&amp;lastVirtModeExtraState=&amp;virtModeType=default&amp;virtMode=0&amp;nonVirtPosition=&amp;position=chr16:67389806-67393535","chr16:67389806-67393535")</f>
        <v>chr16:67389806-67393535</v>
      </c>
      <c r="F471" t="s">
        <v>22</v>
      </c>
      <c r="G471">
        <v>0.50985806062135097</v>
      </c>
      <c r="H471">
        <v>0.118154465423001</v>
      </c>
      <c r="I471">
        <v>4.3151823233766304</v>
      </c>
      <c r="J471" s="1">
        <v>1.5947122983369099E-5</v>
      </c>
      <c r="K471">
        <v>4.7750839430987698E-4</v>
      </c>
      <c r="L471" t="s">
        <v>23</v>
      </c>
      <c r="M471" t="s">
        <v>24</v>
      </c>
      <c r="N471">
        <v>142.88040081233399</v>
      </c>
      <c r="O471">
        <v>96.719871048579506</v>
      </c>
      <c r="P471">
        <v>189.04093057608799</v>
      </c>
      <c r="Q471">
        <v>85.302945556057097</v>
      </c>
      <c r="R471">
        <v>108.136796541102</v>
      </c>
      <c r="S471">
        <v>182.50265389771801</v>
      </c>
      <c r="T471">
        <v>195.579207254457</v>
      </c>
    </row>
    <row r="472" spans="1:20" x14ac:dyDescent="0.2">
      <c r="A472" t="s">
        <v>949</v>
      </c>
      <c r="B472" s="3" t="str">
        <f>HYPERLINK("http://www.ncbi.nlm.nih.gov/gene/402778","IFITM10")</f>
        <v>IFITM10</v>
      </c>
      <c r="C472">
        <v>402778</v>
      </c>
      <c r="D472" t="s">
        <v>950</v>
      </c>
      <c r="E472" s="3" t="str">
        <f>HYPERLINK("http://genome.ucsc.edu/cgi-bin/hgTracks?db=hg19&amp;lastVirtModeType=default&amp;lastVirtModeExtraState=&amp;virtModeType=default&amp;virtMode=0&amp;nonVirtPosition=&amp;position=chr11:1732409-1750594","chr11:1732409-1750594")</f>
        <v>chr11:1732409-1750594</v>
      </c>
      <c r="F472" t="s">
        <v>22</v>
      </c>
      <c r="G472">
        <v>0.25432730233009099</v>
      </c>
      <c r="H472">
        <v>5.9059613629987399E-2</v>
      </c>
      <c r="I472">
        <v>4.3062811741957701</v>
      </c>
      <c r="J472" s="1">
        <v>1.66022004730667E-5</v>
      </c>
      <c r="K472">
        <v>4.9604047339354496E-4</v>
      </c>
      <c r="L472" t="s">
        <v>23</v>
      </c>
      <c r="M472" t="s">
        <v>24</v>
      </c>
      <c r="N472">
        <v>3224.6275338176501</v>
      </c>
      <c r="O472">
        <v>2921.4283577654001</v>
      </c>
      <c r="P472">
        <v>3527.8267098699098</v>
      </c>
      <c r="Q472">
        <v>3069.53018605747</v>
      </c>
      <c r="R472">
        <v>2773.3265294733201</v>
      </c>
      <c r="S472">
        <v>3665.83709126444</v>
      </c>
      <c r="T472">
        <v>3389.81632847537</v>
      </c>
    </row>
    <row r="473" spans="1:20" x14ac:dyDescent="0.2">
      <c r="A473" t="s">
        <v>951</v>
      </c>
      <c r="B473" s="3" t="str">
        <f>HYPERLINK("http://www.ncbi.nlm.nih.gov/gene/4628","MYH10")</f>
        <v>MYH10</v>
      </c>
      <c r="C473">
        <v>4628</v>
      </c>
      <c r="D473" t="s">
        <v>952</v>
      </c>
      <c r="E473" s="3" t="str">
        <f>HYPERLINK("http://genome.ucsc.edu/cgi-bin/hgTracks?db=hg19&amp;lastVirtModeType=default&amp;lastVirtModeExtraState=&amp;virtModeType=default&amp;virtMode=0&amp;nonVirtPosition=&amp;position=chr17:8474204-8630761","chr17:8474204-8630761")</f>
        <v>chr17:8474204-8630761</v>
      </c>
      <c r="F473" t="s">
        <v>22</v>
      </c>
      <c r="G473">
        <v>-0.244931204348525</v>
      </c>
      <c r="H473">
        <v>5.6949704185432999E-2</v>
      </c>
      <c r="I473">
        <v>-4.3008336540433696</v>
      </c>
      <c r="J473" s="1">
        <v>1.7015675925739E-5</v>
      </c>
      <c r="K473">
        <v>5.0728908618605305E-4</v>
      </c>
      <c r="L473" t="s">
        <v>23</v>
      </c>
      <c r="M473" t="s">
        <v>24</v>
      </c>
      <c r="N473">
        <v>3215.5884840067101</v>
      </c>
      <c r="O473">
        <v>3507.5142285565998</v>
      </c>
      <c r="P473">
        <v>2923.66273945683</v>
      </c>
      <c r="Q473">
        <v>3446.5141712568202</v>
      </c>
      <c r="R473">
        <v>3568.51428585637</v>
      </c>
      <c r="S473">
        <v>2776.9998417409602</v>
      </c>
      <c r="T473">
        <v>3070.3256371727098</v>
      </c>
    </row>
    <row r="474" spans="1:20" x14ac:dyDescent="0.2">
      <c r="A474" t="s">
        <v>953</v>
      </c>
      <c r="B474" s="3" t="str">
        <f>HYPERLINK("http://www.ncbi.nlm.nih.gov/gene/50809","HP1BP3")</f>
        <v>HP1BP3</v>
      </c>
      <c r="C474">
        <v>50809</v>
      </c>
      <c r="D474" t="s">
        <v>954</v>
      </c>
      <c r="E474" s="3" t="str">
        <f>HYPERLINK("http://genome.ucsc.edu/cgi-bin/hgTracks?db=hg19&amp;lastVirtModeType=default&amp;lastVirtModeExtraState=&amp;virtModeType=default&amp;virtMode=0&amp;nonVirtPosition=&amp;position=chr1:20742677-20786688","chr1:20742677-20786688")</f>
        <v>chr1:20742677-20786688</v>
      </c>
      <c r="F474" t="s">
        <v>22</v>
      </c>
      <c r="G474">
        <v>-0.20119353174662299</v>
      </c>
      <c r="H474">
        <v>4.6818233816364803E-2</v>
      </c>
      <c r="I474">
        <v>-4.29733279849395</v>
      </c>
      <c r="J474" s="1">
        <v>1.7286556278578001E-5</v>
      </c>
      <c r="K474">
        <v>5.1424692582303401E-4</v>
      </c>
      <c r="L474" t="s">
        <v>23</v>
      </c>
      <c r="M474" t="s">
        <v>24</v>
      </c>
      <c r="N474">
        <v>4314.0028180213003</v>
      </c>
      <c r="O474">
        <v>4626.5190972003102</v>
      </c>
      <c r="P474">
        <v>4001.48653884228</v>
      </c>
      <c r="Q474">
        <v>4580.21783477603</v>
      </c>
      <c r="R474">
        <v>4672.8203596245903</v>
      </c>
      <c r="S474">
        <v>3998.2878716078499</v>
      </c>
      <c r="T474">
        <v>4004.6852060767101</v>
      </c>
    </row>
    <row r="475" spans="1:20" x14ac:dyDescent="0.2">
      <c r="A475" t="s">
        <v>955</v>
      </c>
      <c r="B475" s="3" t="str">
        <f>HYPERLINK("http://www.ncbi.nlm.nih.gov/gene/55723","ASF1B")</f>
        <v>ASF1B</v>
      </c>
      <c r="C475">
        <v>55723</v>
      </c>
      <c r="D475" t="s">
        <v>956</v>
      </c>
      <c r="E475" s="3" t="str">
        <f>HYPERLINK("http://genome.ucsc.edu/cgi-bin/hgTracks?db=hg19&amp;lastVirtModeType=default&amp;lastVirtModeExtraState=&amp;virtModeType=default&amp;virtMode=0&amp;nonVirtPosition=&amp;position=chr19:14119508-14136628","chr19:14119508-14136628")</f>
        <v>chr19:14119508-14136628</v>
      </c>
      <c r="F475" t="s">
        <v>22</v>
      </c>
      <c r="G475">
        <v>-0.436770543204964</v>
      </c>
      <c r="H475">
        <v>0.10170277084596099</v>
      </c>
      <c r="I475">
        <v>-4.2945785996971297</v>
      </c>
      <c r="J475" s="1">
        <v>1.7502546604762202E-5</v>
      </c>
      <c r="K475">
        <v>5.1954529034135995E-4</v>
      </c>
      <c r="L475" t="s">
        <v>23</v>
      </c>
      <c r="M475" t="s">
        <v>24</v>
      </c>
      <c r="N475">
        <v>451.342696580449</v>
      </c>
      <c r="O475">
        <v>541.301298644197</v>
      </c>
      <c r="P475">
        <v>361.38409451669997</v>
      </c>
      <c r="Q475">
        <v>520.07279709983197</v>
      </c>
      <c r="R475">
        <v>562.52980018856204</v>
      </c>
      <c r="S475">
        <v>323.57227285649498</v>
      </c>
      <c r="T475">
        <v>399.195916176906</v>
      </c>
    </row>
    <row r="476" spans="1:20" x14ac:dyDescent="0.2">
      <c r="A476" t="s">
        <v>957</v>
      </c>
      <c r="B476" s="3" t="str">
        <f>HYPERLINK("http://www.ncbi.nlm.nih.gov/gene/6935","ZEB1")</f>
        <v>ZEB1</v>
      </c>
      <c r="C476">
        <v>6935</v>
      </c>
      <c r="D476" t="s">
        <v>958</v>
      </c>
      <c r="E476" s="3" t="str">
        <f>HYPERLINK("http://genome.ucsc.edu/cgi-bin/hgTracks?db=hg19&amp;lastVirtModeType=default&amp;lastVirtModeExtraState=&amp;virtModeType=default&amp;virtMode=0&amp;nonVirtPosition=&amp;position=chr10:31321620-31529814","chr10:31321620-31529814")</f>
        <v>chr10:31321620-31529814</v>
      </c>
      <c r="F476" t="s">
        <v>27</v>
      </c>
      <c r="G476">
        <v>0.21057687409754899</v>
      </c>
      <c r="H476">
        <v>4.91219582686373E-2</v>
      </c>
      <c r="I476">
        <v>4.2868175764889003</v>
      </c>
      <c r="J476" s="1">
        <v>1.8125101643485898E-5</v>
      </c>
      <c r="K476">
        <v>5.3686316185478397E-4</v>
      </c>
      <c r="L476" t="s">
        <v>23</v>
      </c>
      <c r="M476" t="s">
        <v>24</v>
      </c>
      <c r="N476">
        <v>4256.0582007990697</v>
      </c>
      <c r="O476">
        <v>3929.0946055876602</v>
      </c>
      <c r="P476">
        <v>4583.0217960104801</v>
      </c>
      <c r="Q476">
        <v>3864.7737752736198</v>
      </c>
      <c r="R476">
        <v>3993.4154359017102</v>
      </c>
      <c r="S476">
        <v>4689.8249547554196</v>
      </c>
      <c r="T476">
        <v>4476.2186372655397</v>
      </c>
    </row>
    <row r="477" spans="1:20" x14ac:dyDescent="0.2">
      <c r="A477" t="s">
        <v>959</v>
      </c>
      <c r="B477" s="3" t="str">
        <f>HYPERLINK("http://www.ncbi.nlm.nih.gov/gene/5999","RGS4")</f>
        <v>RGS4</v>
      </c>
      <c r="C477">
        <v>5999</v>
      </c>
      <c r="D477" t="s">
        <v>960</v>
      </c>
      <c r="E477" s="3" t="str">
        <f>HYPERLINK("http://genome.ucsc.edu/cgi-bin/hgTracks?db=hg19&amp;lastVirtModeType=default&amp;lastVirtModeExtraState=&amp;virtModeType=default&amp;virtMode=0&amp;nonVirtPosition=&amp;position=chr1:163068605-163076802","chr1:163068605-163076802")</f>
        <v>chr1:163068605-163076802</v>
      </c>
      <c r="F477" t="s">
        <v>27</v>
      </c>
      <c r="G477">
        <v>-0.26850012935130901</v>
      </c>
      <c r="H477">
        <v>6.2655028102402296E-2</v>
      </c>
      <c r="I477">
        <v>-4.2853724191532896</v>
      </c>
      <c r="J477" s="1">
        <v>1.8243331864608302E-5</v>
      </c>
      <c r="K477">
        <v>5.3920054567077103E-4</v>
      </c>
      <c r="L477" t="s">
        <v>23</v>
      </c>
      <c r="M477" t="s">
        <v>24</v>
      </c>
      <c r="N477">
        <v>2595.7187331231698</v>
      </c>
      <c r="O477">
        <v>2855.6353454931</v>
      </c>
      <c r="P477">
        <v>2335.8021207532302</v>
      </c>
      <c r="Q477">
        <v>2680.1635152128902</v>
      </c>
      <c r="R477">
        <v>3031.1071757733198</v>
      </c>
      <c r="S477">
        <v>2263.0329083317101</v>
      </c>
      <c r="T477">
        <v>2408.5713331747502</v>
      </c>
    </row>
    <row r="478" spans="1:20" x14ac:dyDescent="0.2">
      <c r="A478" t="s">
        <v>961</v>
      </c>
      <c r="B478" s="3" t="str">
        <f>HYPERLINK("http://www.ncbi.nlm.nih.gov/gene/406975","MIR198")</f>
        <v>MIR198</v>
      </c>
      <c r="C478">
        <v>406975</v>
      </c>
      <c r="D478" t="s">
        <v>962</v>
      </c>
      <c r="E478" s="3" t="str">
        <f>HYPERLINK("http://genome.ucsc.edu/cgi-bin/hgTracks?db=hg19&amp;lastVirtModeType=default&amp;lastVirtModeExtraState=&amp;virtModeType=default&amp;virtMode=0&amp;nonVirtPosition=&amp;position=chr3:120395667-120395729","chr3:120395667-120395729")</f>
        <v>chr3:120395667-120395729</v>
      </c>
      <c r="F478" t="s">
        <v>22</v>
      </c>
      <c r="G478">
        <v>-0.215545414729685</v>
      </c>
      <c r="H478">
        <v>5.0445430122425403E-2</v>
      </c>
      <c r="I478">
        <v>-4.2728432329069301</v>
      </c>
      <c r="J478" s="1">
        <v>1.9299614798294999E-5</v>
      </c>
      <c r="K478">
        <v>5.69193370631865E-4</v>
      </c>
      <c r="L478" t="s">
        <v>23</v>
      </c>
      <c r="M478" t="s">
        <v>24</v>
      </c>
      <c r="N478">
        <v>50399.9959602253</v>
      </c>
      <c r="O478">
        <v>54346.536923904103</v>
      </c>
      <c r="P478">
        <v>46453.454996546498</v>
      </c>
      <c r="Q478">
        <v>52686.951566510499</v>
      </c>
      <c r="R478">
        <v>56006.122281297699</v>
      </c>
      <c r="S478">
        <v>44246.535311461899</v>
      </c>
      <c r="T478">
        <v>48660.374681631198</v>
      </c>
    </row>
    <row r="479" spans="1:20" x14ac:dyDescent="0.2">
      <c r="A479" t="s">
        <v>961</v>
      </c>
      <c r="B479" s="3" t="str">
        <f>HYPERLINK("http://www.ncbi.nlm.nih.gov/gene/11167","FSTL1")</f>
        <v>FSTL1</v>
      </c>
      <c r="C479">
        <v>11167</v>
      </c>
      <c r="D479" t="s">
        <v>963</v>
      </c>
      <c r="E479" s="3" t="str">
        <f>HYPERLINK("http://genome.ucsc.edu/cgi-bin/hgTracks?db=hg19&amp;lastVirtModeType=default&amp;lastVirtModeExtraState=&amp;virtModeType=default&amp;virtMode=0&amp;nonVirtPosition=&amp;position=chr3:120394213-120451071","chr3:120394213-120451071")</f>
        <v>chr3:120394213-120451071</v>
      </c>
      <c r="F479" t="s">
        <v>22</v>
      </c>
      <c r="G479">
        <v>-0.215545414729685</v>
      </c>
      <c r="H479">
        <v>5.0445430122425403E-2</v>
      </c>
      <c r="I479">
        <v>-4.2728432329069301</v>
      </c>
      <c r="J479" s="1">
        <v>1.9299614798294999E-5</v>
      </c>
      <c r="K479">
        <v>5.69193370631865E-4</v>
      </c>
      <c r="L479" t="s">
        <v>23</v>
      </c>
      <c r="M479" t="s">
        <v>24</v>
      </c>
      <c r="N479">
        <v>50399.9959602253</v>
      </c>
      <c r="O479">
        <v>54346.536923904103</v>
      </c>
      <c r="P479">
        <v>46453.454996546498</v>
      </c>
      <c r="Q479">
        <v>52686.951566510499</v>
      </c>
      <c r="R479">
        <v>56006.122281297699</v>
      </c>
      <c r="S479">
        <v>44246.535311461899</v>
      </c>
      <c r="T479">
        <v>48660.374681631198</v>
      </c>
    </row>
    <row r="480" spans="1:20" x14ac:dyDescent="0.2">
      <c r="A480" t="s">
        <v>964</v>
      </c>
      <c r="B480" s="3" t="str">
        <f>HYPERLINK("http://www.ncbi.nlm.nih.gov/gene/147841","SPC24")</f>
        <v>SPC24</v>
      </c>
      <c r="C480">
        <v>147841</v>
      </c>
      <c r="D480" t="s">
        <v>965</v>
      </c>
      <c r="E480" s="3" t="str">
        <f>HYPERLINK("http://genome.ucsc.edu/cgi-bin/hgTracks?db=hg19&amp;lastVirtModeType=default&amp;lastVirtModeExtraState=&amp;virtModeType=default&amp;virtMode=0&amp;nonVirtPosition=&amp;position=chr19:11145493-11155812","chr19:11145493-11155812")</f>
        <v>chr19:11145493-11155812</v>
      </c>
      <c r="F480" t="s">
        <v>22</v>
      </c>
      <c r="G480">
        <v>-0.47185165473305402</v>
      </c>
      <c r="H480">
        <v>0.110595840869287</v>
      </c>
      <c r="I480">
        <v>-4.2664502663416997</v>
      </c>
      <c r="J480" s="1">
        <v>1.9860774352108401E-5</v>
      </c>
      <c r="K480">
        <v>5.8448639370131802E-4</v>
      </c>
      <c r="L480" t="s">
        <v>23</v>
      </c>
      <c r="M480" t="s">
        <v>24</v>
      </c>
      <c r="N480">
        <v>259.85616239912702</v>
      </c>
      <c r="O480">
        <v>321.03748792295499</v>
      </c>
      <c r="P480">
        <v>198.67483687529901</v>
      </c>
      <c r="Q480">
        <v>332.95665846073899</v>
      </c>
      <c r="R480">
        <v>309.118317385171</v>
      </c>
      <c r="S480">
        <v>209.13817635846601</v>
      </c>
      <c r="T480">
        <v>188.211497392132</v>
      </c>
    </row>
    <row r="481" spans="1:20" x14ac:dyDescent="0.2">
      <c r="A481" t="s">
        <v>966</v>
      </c>
      <c r="B481" s="3" t="str">
        <f>HYPERLINK("http://www.ncbi.nlm.nih.gov/gene/4141","MARS")</f>
        <v>MARS</v>
      </c>
      <c r="C481">
        <v>4141</v>
      </c>
      <c r="D481" t="s">
        <v>967</v>
      </c>
      <c r="E481" s="3" t="str">
        <f>HYPERLINK("http://genome.ucsc.edu/cgi-bin/hgTracks?db=hg19&amp;lastVirtModeType=default&amp;lastVirtModeExtraState=&amp;virtModeType=default&amp;virtMode=0&amp;nonVirtPosition=&amp;position=chr12:57487952-57516655","chr12:57487952-57516655")</f>
        <v>chr12:57487952-57516655</v>
      </c>
      <c r="F481" t="s">
        <v>27</v>
      </c>
      <c r="G481">
        <v>0.19872955992741201</v>
      </c>
      <c r="H481">
        <v>4.6640382742625303E-2</v>
      </c>
      <c r="I481">
        <v>4.2608904181609599</v>
      </c>
      <c r="J481" s="1">
        <v>2.0361405571048202E-5</v>
      </c>
      <c r="K481">
        <v>5.9793643683373799E-4</v>
      </c>
      <c r="L481" t="s">
        <v>23</v>
      </c>
      <c r="M481" t="s">
        <v>24</v>
      </c>
      <c r="N481">
        <v>5378.6022664240099</v>
      </c>
      <c r="O481">
        <v>4992.2515044131396</v>
      </c>
      <c r="P481">
        <v>5764.9530284348702</v>
      </c>
      <c r="Q481">
        <v>4854.0127729317701</v>
      </c>
      <c r="R481">
        <v>5130.4902358945101</v>
      </c>
      <c r="S481">
        <v>5698.0288049363298</v>
      </c>
      <c r="T481">
        <v>5831.8772519334198</v>
      </c>
    </row>
    <row r="482" spans="1:20" x14ac:dyDescent="0.2">
      <c r="A482" t="s">
        <v>966</v>
      </c>
      <c r="B482" s="3" t="str">
        <f>HYPERLINK("http://www.ncbi.nlm.nih.gov/gene/102465454","MIR6758")</f>
        <v>MIR6758</v>
      </c>
      <c r="C482">
        <v>102465454</v>
      </c>
      <c r="D482" t="s">
        <v>968</v>
      </c>
      <c r="E482" s="3" t="str">
        <f>HYPERLINK("http://genome.ucsc.edu/cgi-bin/hgTracks?db=hg19&amp;lastVirtModeType=default&amp;lastVirtModeExtraState=&amp;virtModeType=default&amp;virtMode=0&amp;nonVirtPosition=&amp;position=chr12:57512687-57512750","chr12:57512687-57512750")</f>
        <v>chr12:57512687-57512750</v>
      </c>
      <c r="F482" t="s">
        <v>27</v>
      </c>
      <c r="G482">
        <v>0.19872955992741201</v>
      </c>
      <c r="H482">
        <v>4.6640382742625303E-2</v>
      </c>
      <c r="I482">
        <v>4.2608904181609599</v>
      </c>
      <c r="J482" s="1">
        <v>2.0361405571048202E-5</v>
      </c>
      <c r="K482">
        <v>5.9793643683373799E-4</v>
      </c>
      <c r="L482" t="s">
        <v>23</v>
      </c>
      <c r="M482" t="s">
        <v>24</v>
      </c>
      <c r="N482">
        <v>5378.6022664240099</v>
      </c>
      <c r="O482">
        <v>4992.2515044131396</v>
      </c>
      <c r="P482">
        <v>5764.9530284348702</v>
      </c>
      <c r="Q482">
        <v>4854.0127729317701</v>
      </c>
      <c r="R482">
        <v>5130.4902358945101</v>
      </c>
      <c r="S482">
        <v>5698.0288049363298</v>
      </c>
      <c r="T482">
        <v>5831.8772519334198</v>
      </c>
    </row>
    <row r="483" spans="1:20" x14ac:dyDescent="0.2">
      <c r="A483" t="s">
        <v>969</v>
      </c>
      <c r="B483" s="3" t="str">
        <f>HYPERLINK("http://www.ncbi.nlm.nih.gov/gene/11332","ACOT7")</f>
        <v>ACOT7</v>
      </c>
      <c r="C483">
        <v>11332</v>
      </c>
      <c r="D483" t="s">
        <v>970</v>
      </c>
      <c r="E483" s="3" t="str">
        <f>HYPERLINK("http://genome.ucsc.edu/cgi-bin/hgTracks?db=hg19&amp;lastVirtModeType=default&amp;lastVirtModeExtraState=&amp;virtModeType=default&amp;virtMode=0&amp;nonVirtPosition=&amp;position=chr1:6264271-6360704","chr1:6264271-6360704")</f>
        <v>chr1:6264271-6360704</v>
      </c>
      <c r="F483" t="s">
        <v>22</v>
      </c>
      <c r="G483">
        <v>-0.235482512689281</v>
      </c>
      <c r="H483">
        <v>5.5284447067935102E-2</v>
      </c>
      <c r="I483">
        <v>-4.2594712469478697</v>
      </c>
      <c r="J483" s="1">
        <v>2.0491105472290499E-5</v>
      </c>
      <c r="K483">
        <v>6.0045944539955504E-4</v>
      </c>
      <c r="L483" t="s">
        <v>23</v>
      </c>
      <c r="M483" t="s">
        <v>24</v>
      </c>
      <c r="N483">
        <v>2474.1845079528798</v>
      </c>
      <c r="O483">
        <v>2688.3571630760298</v>
      </c>
      <c r="P483">
        <v>2260.0118528297298</v>
      </c>
      <c r="Q483">
        <v>2710.43230234569</v>
      </c>
      <c r="R483">
        <v>2666.28202380637</v>
      </c>
      <c r="S483">
        <v>2256.1274025085499</v>
      </c>
      <c r="T483">
        <v>2263.8963031509102</v>
      </c>
    </row>
    <row r="484" spans="1:20" x14ac:dyDescent="0.2">
      <c r="A484" t="s">
        <v>971</v>
      </c>
      <c r="B484" s="3" t="str">
        <f>HYPERLINK("http://www.ncbi.nlm.nih.gov/gene/84570","COL25A1")</f>
        <v>COL25A1</v>
      </c>
      <c r="C484">
        <v>84570</v>
      </c>
      <c r="D484" t="s">
        <v>972</v>
      </c>
      <c r="E484" s="3" t="str">
        <f>HYPERLINK("http://genome.ucsc.edu/cgi-bin/hgTracks?db=hg19&amp;lastVirtModeType=default&amp;lastVirtModeExtraState=&amp;virtModeType=default&amp;virtMode=0&amp;nonVirtPosition=&amp;position=chr4:108823882-109302367","chr4:108823882-109302367")</f>
        <v>chr4:108823882-109302367</v>
      </c>
      <c r="F484" t="s">
        <v>22</v>
      </c>
      <c r="G484">
        <v>-0.50275965922473698</v>
      </c>
      <c r="H484">
        <v>0.118201279429207</v>
      </c>
      <c r="I484">
        <v>-4.2534197739022703</v>
      </c>
      <c r="J484" s="1">
        <v>2.1053038599995999E-5</v>
      </c>
      <c r="K484">
        <v>6.1561059991544897E-4</v>
      </c>
      <c r="L484" t="s">
        <v>23</v>
      </c>
      <c r="M484" t="s">
        <v>24</v>
      </c>
      <c r="N484">
        <v>132.136298657482</v>
      </c>
      <c r="O484">
        <v>179.98574631355399</v>
      </c>
      <c r="P484">
        <v>84.286851001410199</v>
      </c>
      <c r="Q484">
        <v>151.34393566397199</v>
      </c>
      <c r="R484">
        <v>208.62755696313599</v>
      </c>
      <c r="S484">
        <v>66.095555735930404</v>
      </c>
      <c r="T484">
        <v>102.47814626688999</v>
      </c>
    </row>
    <row r="485" spans="1:20" x14ac:dyDescent="0.2">
      <c r="A485" t="s">
        <v>973</v>
      </c>
      <c r="B485" s="3" t="str">
        <f>HYPERLINK("http://www.ncbi.nlm.nih.gov/gene/25798","BRI3")</f>
        <v>BRI3</v>
      </c>
      <c r="C485">
        <v>25798</v>
      </c>
      <c r="D485" t="s">
        <v>974</v>
      </c>
      <c r="E485" s="3" t="str">
        <f>HYPERLINK("http://genome.ucsc.edu/cgi-bin/hgTracks?db=hg19&amp;lastVirtModeType=default&amp;lastVirtModeExtraState=&amp;virtModeType=default&amp;virtMode=0&amp;nonVirtPosition=&amp;position=chr7:98281666-98291527","chr7:98281666-98291527")</f>
        <v>chr7:98281666-98291527</v>
      </c>
      <c r="F485" t="s">
        <v>27</v>
      </c>
      <c r="G485">
        <v>0.23156449337476401</v>
      </c>
      <c r="H485">
        <v>5.44546226797024E-2</v>
      </c>
      <c r="I485">
        <v>4.2524304086506497</v>
      </c>
      <c r="J485" s="1">
        <v>2.1146294029750499E-5</v>
      </c>
      <c r="K485">
        <v>6.1702186451914598E-4</v>
      </c>
      <c r="L485" t="s">
        <v>23</v>
      </c>
      <c r="M485" t="s">
        <v>24</v>
      </c>
      <c r="N485">
        <v>2639.5324577527999</v>
      </c>
      <c r="O485">
        <v>2416.0525034675502</v>
      </c>
      <c r="P485">
        <v>2863.0124120380501</v>
      </c>
      <c r="Q485">
        <v>2410.4961389389</v>
      </c>
      <c r="R485">
        <v>2421.6088679961999</v>
      </c>
      <c r="S485">
        <v>2835.20339082185</v>
      </c>
      <c r="T485">
        <v>2890.8214332542402</v>
      </c>
    </row>
    <row r="486" spans="1:20" x14ac:dyDescent="0.2">
      <c r="A486" t="s">
        <v>975</v>
      </c>
      <c r="B486" s="3" t="str">
        <f>HYPERLINK("http://www.ncbi.nlm.nih.gov/gene/26289","AK5")</f>
        <v>AK5</v>
      </c>
      <c r="C486">
        <v>26289</v>
      </c>
      <c r="D486" t="s">
        <v>976</v>
      </c>
      <c r="E486" s="3" t="str">
        <f>HYPERLINK("http://genome.ucsc.edu/cgi-bin/hgTracks?db=hg19&amp;lastVirtModeType=default&amp;lastVirtModeExtraState=&amp;virtModeType=default&amp;virtMode=0&amp;nonVirtPosition=&amp;position=chr1:77281976-77559969","chr1:77281976-77559969")</f>
        <v>chr1:77281976-77559969</v>
      </c>
      <c r="F486" t="s">
        <v>27</v>
      </c>
      <c r="G486">
        <v>-0.47275638812193399</v>
      </c>
      <c r="H486">
        <v>0.111193618673899</v>
      </c>
      <c r="I486">
        <v>-4.2516503533211099</v>
      </c>
      <c r="J486" s="1">
        <v>2.1220097482156401E-5</v>
      </c>
      <c r="K486">
        <v>6.1786075768639705E-4</v>
      </c>
      <c r="L486" t="s">
        <v>23</v>
      </c>
      <c r="M486" t="s">
        <v>24</v>
      </c>
      <c r="N486">
        <v>251.846685186488</v>
      </c>
      <c r="O486">
        <v>311.48534953475303</v>
      </c>
      <c r="P486">
        <v>192.20802083822301</v>
      </c>
      <c r="Q486">
        <v>298.56030944619999</v>
      </c>
      <c r="R486">
        <v>324.410389623306</v>
      </c>
      <c r="S486">
        <v>202.23267053530901</v>
      </c>
      <c r="T486">
        <v>182.183371141138</v>
      </c>
    </row>
    <row r="487" spans="1:20" x14ac:dyDescent="0.2">
      <c r="A487" t="s">
        <v>977</v>
      </c>
      <c r="B487" s="3" t="str">
        <f>HYPERLINK("http://www.ncbi.nlm.nih.gov/gene/4017","LOXL2")</f>
        <v>LOXL2</v>
      </c>
      <c r="C487">
        <v>4017</v>
      </c>
      <c r="D487" t="s">
        <v>978</v>
      </c>
      <c r="E487" s="3" t="str">
        <f>HYPERLINK("http://genome.ucsc.edu/cgi-bin/hgTracks?db=hg19&amp;lastVirtModeType=default&amp;lastVirtModeExtraState=&amp;virtModeType=default&amp;virtMode=0&amp;nonVirtPosition=&amp;position=chr8:23296896-23404209","chr8:23296896-23404209")</f>
        <v>chr8:23296896-23404209</v>
      </c>
      <c r="F487" t="s">
        <v>22</v>
      </c>
      <c r="G487">
        <v>-0.20069582775360101</v>
      </c>
      <c r="H487">
        <v>4.7284129862842701E-2</v>
      </c>
      <c r="I487">
        <v>-4.2444648624339703</v>
      </c>
      <c r="J487" s="1">
        <v>2.1911569714376099E-5</v>
      </c>
      <c r="K487">
        <v>6.3664251496388597E-4</v>
      </c>
      <c r="L487" t="s">
        <v>23</v>
      </c>
      <c r="M487" t="s">
        <v>24</v>
      </c>
      <c r="N487">
        <v>24070.576841959599</v>
      </c>
      <c r="O487">
        <v>25815.058268089699</v>
      </c>
      <c r="P487">
        <v>22326.095415829499</v>
      </c>
      <c r="Q487">
        <v>24960.742552870801</v>
      </c>
      <c r="R487">
        <v>26669.3739833086</v>
      </c>
      <c r="S487">
        <v>21534.326659098901</v>
      </c>
      <c r="T487">
        <v>23117.864172560199</v>
      </c>
    </row>
    <row r="488" spans="1:20" x14ac:dyDescent="0.2">
      <c r="A488" t="s">
        <v>979</v>
      </c>
      <c r="B488" s="3" t="str">
        <f>HYPERLINK("http://www.ncbi.nlm.nih.gov/gene/79627","OGFRL1")</f>
        <v>OGFRL1</v>
      </c>
      <c r="C488">
        <v>79627</v>
      </c>
      <c r="D488" t="s">
        <v>980</v>
      </c>
      <c r="E488" s="3" t="str">
        <f>HYPERLINK("http://genome.ucsc.edu/cgi-bin/hgTracks?db=hg19&amp;lastVirtModeType=default&amp;lastVirtModeExtraState=&amp;virtModeType=default&amp;virtMode=0&amp;nonVirtPosition=&amp;position=chr6:71288441-71309059","chr6:71288441-71309059")</f>
        <v>chr6:71288441-71309059</v>
      </c>
      <c r="F488" t="s">
        <v>27</v>
      </c>
      <c r="G488">
        <v>-0.298710567673654</v>
      </c>
      <c r="H488">
        <v>7.0407405772466097E-2</v>
      </c>
      <c r="I488">
        <v>-4.2426015331254998</v>
      </c>
      <c r="J488" s="1">
        <v>2.2094352686409902E-5</v>
      </c>
      <c r="K488">
        <v>6.4059609459075201E-4</v>
      </c>
      <c r="L488" t="s">
        <v>23</v>
      </c>
      <c r="M488" t="s">
        <v>24</v>
      </c>
      <c r="N488">
        <v>1254.3859068588099</v>
      </c>
      <c r="O488">
        <v>1396.6400146010101</v>
      </c>
      <c r="P488">
        <v>1112.13179911662</v>
      </c>
      <c r="Q488">
        <v>1363.47127493633</v>
      </c>
      <c r="R488">
        <v>1429.8087542656799</v>
      </c>
      <c r="S488">
        <v>1132.5029549977301</v>
      </c>
      <c r="T488">
        <v>1091.7606432355001</v>
      </c>
    </row>
    <row r="489" spans="1:20" x14ac:dyDescent="0.2">
      <c r="A489" t="s">
        <v>981</v>
      </c>
      <c r="B489" s="3" t="str">
        <f>HYPERLINK("http://www.ncbi.nlm.nih.gov/gene/55304","SPTLC3")</f>
        <v>SPTLC3</v>
      </c>
      <c r="C489">
        <v>55304</v>
      </c>
      <c r="D489" t="s">
        <v>982</v>
      </c>
      <c r="E489" s="3" t="str">
        <f>HYPERLINK("http://genome.ucsc.edu/cgi-bin/hgTracks?db=hg19&amp;lastVirtModeType=default&amp;lastVirtModeExtraState=&amp;virtModeType=default&amp;virtMode=0&amp;nonVirtPosition=&amp;position=chr20:13008978-13166764","chr20:13008978-13166764")</f>
        <v>chr20:13008978-13166764</v>
      </c>
      <c r="F489" t="s">
        <v>27</v>
      </c>
      <c r="G489">
        <v>0.36246688524230197</v>
      </c>
      <c r="H489">
        <v>8.5548687826230096E-2</v>
      </c>
      <c r="I489">
        <v>4.2369660418235702</v>
      </c>
      <c r="J489" s="1">
        <v>2.2656038542058699E-5</v>
      </c>
      <c r="K489">
        <v>6.5549559613036596E-4</v>
      </c>
      <c r="L489" t="s">
        <v>23</v>
      </c>
      <c r="M489" t="s">
        <v>24</v>
      </c>
      <c r="N489">
        <v>717.25143570141904</v>
      </c>
      <c r="O489">
        <v>611.64342643411896</v>
      </c>
      <c r="P489">
        <v>822.85944496872003</v>
      </c>
      <c r="Q489">
        <v>598.49647285298101</v>
      </c>
      <c r="R489">
        <v>624.79038001525703</v>
      </c>
      <c r="S489">
        <v>797.09267215868294</v>
      </c>
      <c r="T489">
        <v>848.626217778757</v>
      </c>
    </row>
    <row r="490" spans="1:20" x14ac:dyDescent="0.2">
      <c r="A490" t="s">
        <v>983</v>
      </c>
      <c r="B490" s="3" t="str">
        <f>HYPERLINK("http://www.ncbi.nlm.nih.gov/gene/6484","ST3GAL4")</f>
        <v>ST3GAL4</v>
      </c>
      <c r="C490">
        <v>6484</v>
      </c>
      <c r="D490" t="s">
        <v>984</v>
      </c>
      <c r="E490" s="3" t="str">
        <f>HYPERLINK("http://genome.ucsc.edu/cgi-bin/hgTracks?db=hg19&amp;lastVirtModeType=default&amp;lastVirtModeExtraState=&amp;virtModeType=default&amp;virtMode=0&amp;nonVirtPosition=&amp;position=chr11:126355893-126414641","chr11:126355893-126414641")</f>
        <v>chr11:126355893-126414641</v>
      </c>
      <c r="F490" t="s">
        <v>27</v>
      </c>
      <c r="G490">
        <v>0.224435218478194</v>
      </c>
      <c r="H490">
        <v>5.3119081785602103E-2</v>
      </c>
      <c r="I490">
        <v>4.2251336230557301</v>
      </c>
      <c r="J490" s="1">
        <v>2.3879904047702299E-5</v>
      </c>
      <c r="K490">
        <v>6.8945053496881901E-4</v>
      </c>
      <c r="L490" t="s">
        <v>23</v>
      </c>
      <c r="M490" t="s">
        <v>24</v>
      </c>
      <c r="N490">
        <v>2947.81326271942</v>
      </c>
      <c r="O490">
        <v>2706.0805022845898</v>
      </c>
      <c r="P490">
        <v>3189.5460231542402</v>
      </c>
      <c r="Q490">
        <v>2739.3252355179002</v>
      </c>
      <c r="R490">
        <v>2672.8357690512798</v>
      </c>
      <c r="S490">
        <v>3233.7497269011901</v>
      </c>
      <c r="T490">
        <v>3145.3423194072998</v>
      </c>
    </row>
    <row r="491" spans="1:20" x14ac:dyDescent="0.2">
      <c r="A491" t="s">
        <v>985</v>
      </c>
      <c r="B491" s="3" t="str">
        <f>HYPERLINK("http://www.ncbi.nlm.nih.gov/gene/63027","SLC22A23")</f>
        <v>SLC22A23</v>
      </c>
      <c r="C491">
        <v>63027</v>
      </c>
      <c r="D491" t="s">
        <v>986</v>
      </c>
      <c r="E491" s="3" t="str">
        <f>HYPERLINK("http://genome.ucsc.edu/cgi-bin/hgTracks?db=hg19&amp;lastVirtModeType=default&amp;lastVirtModeExtraState=&amp;virtModeType=default&amp;virtMode=0&amp;nonVirtPosition=&amp;position=chr6:3268973-3456559","chr6:3268973-3456559")</f>
        <v>chr6:3268973-3456559</v>
      </c>
      <c r="F491" t="s">
        <v>22</v>
      </c>
      <c r="G491">
        <v>0.230865779636481</v>
      </c>
      <c r="H491">
        <v>5.4649585715016297E-2</v>
      </c>
      <c r="I491">
        <v>4.2244744697679497</v>
      </c>
      <c r="J491" s="1">
        <v>2.3949899881994699E-5</v>
      </c>
      <c r="K491">
        <v>6.90018754163183E-4</v>
      </c>
      <c r="L491" t="s">
        <v>23</v>
      </c>
      <c r="M491" t="s">
        <v>24</v>
      </c>
      <c r="N491">
        <v>2593.8104963362198</v>
      </c>
      <c r="O491">
        <v>2374.8868719362699</v>
      </c>
      <c r="P491">
        <v>2812.7341207361701</v>
      </c>
      <c r="Q491">
        <v>2392.6100374513398</v>
      </c>
      <c r="R491">
        <v>2357.1637064212</v>
      </c>
      <c r="S491">
        <v>2803.6353642017002</v>
      </c>
      <c r="T491">
        <v>2821.83287727064</v>
      </c>
    </row>
    <row r="492" spans="1:20" x14ac:dyDescent="0.2">
      <c r="A492" t="s">
        <v>987</v>
      </c>
      <c r="B492" s="3" t="str">
        <f>HYPERLINK("http://www.ncbi.nlm.nih.gov/gene/10346","TRIM22")</f>
        <v>TRIM22</v>
      </c>
      <c r="C492">
        <v>10346</v>
      </c>
      <c r="D492" t="s">
        <v>988</v>
      </c>
      <c r="E492" s="3" t="str">
        <f>HYPERLINK("http://genome.ucsc.edu/cgi-bin/hgTracks?db=hg19&amp;lastVirtModeType=default&amp;lastVirtModeExtraState=&amp;virtModeType=default&amp;virtMode=0&amp;nonVirtPosition=&amp;position=chr11:5689586-5710863","chr11:5689586-5710863")</f>
        <v>chr11:5689586-5710863</v>
      </c>
      <c r="F492" t="s">
        <v>27</v>
      </c>
      <c r="G492">
        <v>-0.22285917428994001</v>
      </c>
      <c r="H492">
        <v>5.2844666461786399E-2</v>
      </c>
      <c r="I492">
        <v>-4.2172500880688899</v>
      </c>
      <c r="J492" s="1">
        <v>2.4729965652106901E-5</v>
      </c>
      <c r="K492">
        <v>7.10999473696004E-4</v>
      </c>
      <c r="L492" t="s">
        <v>23</v>
      </c>
      <c r="M492" t="s">
        <v>24</v>
      </c>
      <c r="N492">
        <v>5038.5596387099604</v>
      </c>
      <c r="O492">
        <v>5444.5679746782098</v>
      </c>
      <c r="P492">
        <v>4632.5513027417001</v>
      </c>
      <c r="Q492">
        <v>5347.9443447805497</v>
      </c>
      <c r="R492">
        <v>5541.1916045758699</v>
      </c>
      <c r="S492">
        <v>4875.2871111487702</v>
      </c>
      <c r="T492">
        <v>4389.8154943346299</v>
      </c>
    </row>
    <row r="493" spans="1:20" x14ac:dyDescent="0.2">
      <c r="A493" t="s">
        <v>989</v>
      </c>
      <c r="B493" s="3" t="str">
        <f>HYPERLINK("http://www.ncbi.nlm.nih.gov/gene/79682","CENPU")</f>
        <v>CENPU</v>
      </c>
      <c r="C493">
        <v>79682</v>
      </c>
      <c r="D493" t="s">
        <v>990</v>
      </c>
      <c r="E493" s="3" t="str">
        <f>HYPERLINK("http://genome.ucsc.edu/cgi-bin/hgTracks?db=hg19&amp;lastVirtModeType=default&amp;lastVirtModeExtraState=&amp;virtModeType=default&amp;virtMode=0&amp;nonVirtPosition=&amp;position=chr4:184694064-184734132","chr4:184694064-184734132")</f>
        <v>chr4:184694064-184734132</v>
      </c>
      <c r="F493" t="s">
        <v>22</v>
      </c>
      <c r="G493">
        <v>-0.39863626558274101</v>
      </c>
      <c r="H493">
        <v>9.4604903630471804E-2</v>
      </c>
      <c r="I493">
        <v>-4.2136955938332799</v>
      </c>
      <c r="J493" s="1">
        <v>2.5122582887683102E-5</v>
      </c>
      <c r="K493">
        <v>7.20776363434489E-4</v>
      </c>
      <c r="L493" t="s">
        <v>23</v>
      </c>
      <c r="M493" t="s">
        <v>24</v>
      </c>
      <c r="N493">
        <v>494.31977036455697</v>
      </c>
      <c r="O493">
        <v>578.91157807384798</v>
      </c>
      <c r="P493">
        <v>409.72796265526603</v>
      </c>
      <c r="Q493">
        <v>572.35524760193198</v>
      </c>
      <c r="R493">
        <v>585.467908545765</v>
      </c>
      <c r="S493">
        <v>401.50583857497998</v>
      </c>
      <c r="T493">
        <v>417.95008673555202</v>
      </c>
    </row>
    <row r="494" spans="1:20" x14ac:dyDescent="0.2">
      <c r="A494" t="s">
        <v>991</v>
      </c>
      <c r="B494" s="3" t="str">
        <f>HYPERLINK("http://www.ncbi.nlm.nih.gov/gene/4200","ME2")</f>
        <v>ME2</v>
      </c>
      <c r="C494">
        <v>4200</v>
      </c>
      <c r="D494" t="s">
        <v>992</v>
      </c>
      <c r="E494" s="3" t="str">
        <f>HYPERLINK("http://genome.ucsc.edu/cgi-bin/hgTracks?db=hg19&amp;lastVirtModeType=default&amp;lastVirtModeExtraState=&amp;virtModeType=default&amp;virtMode=0&amp;nonVirtPosition=&amp;position=chr18:50879061-50949792","chr18:50879061-50949792")</f>
        <v>chr18:50879061-50949792</v>
      </c>
      <c r="F494" t="s">
        <v>27</v>
      </c>
      <c r="G494">
        <v>-0.229027277503389</v>
      </c>
      <c r="H494">
        <v>5.4360021706465901E-2</v>
      </c>
      <c r="I494">
        <v>-4.2131564762813003</v>
      </c>
      <c r="J494" s="1">
        <v>2.5182647346106899E-5</v>
      </c>
      <c r="K494">
        <v>7.20991285395635E-4</v>
      </c>
      <c r="L494" t="s">
        <v>23</v>
      </c>
      <c r="M494" t="s">
        <v>24</v>
      </c>
      <c r="N494">
        <v>2794.2321064758598</v>
      </c>
      <c r="O494">
        <v>3029.6179292993302</v>
      </c>
      <c r="P494">
        <v>2558.84628365239</v>
      </c>
      <c r="Q494">
        <v>3011.7443197130501</v>
      </c>
      <c r="R494">
        <v>3047.4915388856102</v>
      </c>
      <c r="S494">
        <v>2498.8066071509202</v>
      </c>
      <c r="T494">
        <v>2618.8859601538602</v>
      </c>
    </row>
    <row r="495" spans="1:20" x14ac:dyDescent="0.2">
      <c r="A495" t="s">
        <v>993</v>
      </c>
      <c r="B495" s="3" t="str">
        <f>HYPERLINK("http://www.ncbi.nlm.nih.gov/gene/4811","NID1")</f>
        <v>NID1</v>
      </c>
      <c r="C495">
        <v>4811</v>
      </c>
      <c r="D495" t="s">
        <v>994</v>
      </c>
      <c r="E495" s="3" t="str">
        <f>HYPERLINK("http://genome.ucsc.edu/cgi-bin/hgTracks?db=hg19&amp;lastVirtModeType=default&amp;lastVirtModeExtraState=&amp;virtModeType=default&amp;virtMode=0&amp;nonVirtPosition=&amp;position=chr1:235975831-236065181","chr1:235975831-236065181")</f>
        <v>chr1:235975831-236065181</v>
      </c>
      <c r="F495" t="s">
        <v>22</v>
      </c>
      <c r="G495">
        <v>-0.29888686362377498</v>
      </c>
      <c r="H495">
        <v>7.0956472139256196E-2</v>
      </c>
      <c r="I495">
        <v>-4.2122565371794796</v>
      </c>
      <c r="J495" s="1">
        <v>2.52832162930922E-5</v>
      </c>
      <c r="K495">
        <v>7.2236255884055504E-4</v>
      </c>
      <c r="L495" t="s">
        <v>23</v>
      </c>
      <c r="M495" t="s">
        <v>24</v>
      </c>
      <c r="N495">
        <v>1420.11345600905</v>
      </c>
      <c r="O495">
        <v>1584.5445465988</v>
      </c>
      <c r="P495">
        <v>1255.6823654193099</v>
      </c>
      <c r="Q495">
        <v>1586.3596165505501</v>
      </c>
      <c r="R495">
        <v>1582.72947664704</v>
      </c>
      <c r="S495">
        <v>1181.82799659171</v>
      </c>
      <c r="T495">
        <v>1329.5367342469101</v>
      </c>
    </row>
    <row r="496" spans="1:20" x14ac:dyDescent="0.2">
      <c r="A496" t="s">
        <v>995</v>
      </c>
      <c r="B496" s="3" t="str">
        <f>HYPERLINK("http://www.ncbi.nlm.nih.gov/gene/8408","ULK1")</f>
        <v>ULK1</v>
      </c>
      <c r="C496">
        <v>8408</v>
      </c>
      <c r="D496" t="s">
        <v>996</v>
      </c>
      <c r="E496" s="3" t="str">
        <f>HYPERLINK("http://genome.ucsc.edu/cgi-bin/hgTracks?db=hg19&amp;lastVirtModeType=default&amp;lastVirtModeExtraState=&amp;virtModeType=default&amp;virtMode=0&amp;nonVirtPosition=&amp;position=chr12:131894733-131923162","chr12:131894733-131923162")</f>
        <v>chr12:131894733-131923162</v>
      </c>
      <c r="F496" t="s">
        <v>27</v>
      </c>
      <c r="G496">
        <v>0.247324983716811</v>
      </c>
      <c r="H496">
        <v>5.87274746207051E-2</v>
      </c>
      <c r="I496">
        <v>4.2114016533858099</v>
      </c>
      <c r="J496" s="1">
        <v>2.5379104002962301E-5</v>
      </c>
      <c r="K496">
        <v>7.2359466173934402E-4</v>
      </c>
      <c r="L496" t="s">
        <v>23</v>
      </c>
      <c r="M496" t="s">
        <v>24</v>
      </c>
      <c r="N496">
        <v>2713.8452772559799</v>
      </c>
      <c r="O496">
        <v>2468.3190568411301</v>
      </c>
      <c r="P496">
        <v>2959.3714976708402</v>
      </c>
      <c r="Q496">
        <v>2546.7056810364802</v>
      </c>
      <c r="R496">
        <v>2389.9324326457699</v>
      </c>
      <c r="S496">
        <v>2845.0683991406399</v>
      </c>
      <c r="T496">
        <v>3073.67459620104</v>
      </c>
    </row>
    <row r="497" spans="1:20" x14ac:dyDescent="0.2">
      <c r="A497" t="s">
        <v>997</v>
      </c>
      <c r="B497" s="3" t="str">
        <f>HYPERLINK("http://www.ncbi.nlm.nih.gov/gene/79710","MORC4")</f>
        <v>MORC4</v>
      </c>
      <c r="C497">
        <v>79710</v>
      </c>
      <c r="D497" t="s">
        <v>998</v>
      </c>
      <c r="E497" s="3" t="str">
        <f>HYPERLINK("http://genome.ucsc.edu/cgi-bin/hgTracks?db=hg19&amp;lastVirtModeType=default&amp;lastVirtModeExtraState=&amp;virtModeType=default&amp;virtMode=0&amp;nonVirtPosition=&amp;position=chrX:106940733-107000244","chrX:106940733-107000244")</f>
        <v>chrX:106940733-107000244</v>
      </c>
      <c r="F497" t="s">
        <v>22</v>
      </c>
      <c r="G497">
        <v>-0.30672559370559599</v>
      </c>
      <c r="H497">
        <v>7.3047883491972401E-2</v>
      </c>
      <c r="I497">
        <v>-4.1989661991959499</v>
      </c>
      <c r="J497" s="1">
        <v>2.6813633754295701E-5</v>
      </c>
      <c r="K497">
        <v>7.62909073249817E-4</v>
      </c>
      <c r="L497" t="s">
        <v>23</v>
      </c>
      <c r="M497" t="s">
        <v>24</v>
      </c>
      <c r="N497">
        <v>1091.5029002157501</v>
      </c>
      <c r="O497">
        <v>1221.20717479884</v>
      </c>
      <c r="P497">
        <v>961.79862563266397</v>
      </c>
      <c r="Q497">
        <v>1224.51002491759</v>
      </c>
      <c r="R497">
        <v>1217.90432468009</v>
      </c>
      <c r="S497">
        <v>947.04079860437503</v>
      </c>
      <c r="T497">
        <v>976.55645266095303</v>
      </c>
    </row>
    <row r="498" spans="1:20" x14ac:dyDescent="0.2">
      <c r="A498" t="s">
        <v>999</v>
      </c>
      <c r="B498" s="3" t="str">
        <f>HYPERLINK("http://www.ncbi.nlm.nih.gov/gene/2191","FAP")</f>
        <v>FAP</v>
      </c>
      <c r="C498">
        <v>2191</v>
      </c>
      <c r="D498" t="s">
        <v>1000</v>
      </c>
      <c r="E498" s="3" t="str">
        <f>HYPERLINK("http://genome.ucsc.edu/cgi-bin/hgTracks?db=hg19&amp;lastVirtModeType=default&amp;lastVirtModeExtraState=&amp;virtModeType=default&amp;virtMode=0&amp;nonVirtPosition=&amp;position=chr2:162170683-162243535","chr2:162170683-162243535")</f>
        <v>chr2:162170683-162243535</v>
      </c>
      <c r="F498" t="s">
        <v>22</v>
      </c>
      <c r="G498">
        <v>0.192207455906131</v>
      </c>
      <c r="H498">
        <v>4.5951014674984698E-2</v>
      </c>
      <c r="I498">
        <v>4.1828772936926404</v>
      </c>
      <c r="J498" s="1">
        <v>2.87842769016059E-5</v>
      </c>
      <c r="K498">
        <v>8.1728276072178798E-4</v>
      </c>
      <c r="L498" t="s">
        <v>23</v>
      </c>
      <c r="M498" t="s">
        <v>24</v>
      </c>
      <c r="N498">
        <v>4986.5228536306804</v>
      </c>
      <c r="O498">
        <v>4642.8029939341995</v>
      </c>
      <c r="P498">
        <v>5330.2427133271603</v>
      </c>
      <c r="Q498">
        <v>4732.9376244005898</v>
      </c>
      <c r="R498">
        <v>4552.6683634678102</v>
      </c>
      <c r="S498">
        <v>5318.2259846627003</v>
      </c>
      <c r="T498">
        <v>5342.2594419916104</v>
      </c>
    </row>
    <row r="499" spans="1:20" x14ac:dyDescent="0.2">
      <c r="A499" t="s">
        <v>1001</v>
      </c>
      <c r="B499" s="3" t="str">
        <f>HYPERLINK("http://www.ncbi.nlm.nih.gov/gene/29766","TMOD3")</f>
        <v>TMOD3</v>
      </c>
      <c r="C499">
        <v>29766</v>
      </c>
      <c r="D499" t="s">
        <v>1002</v>
      </c>
      <c r="E499" s="3" t="str">
        <f>HYPERLINK("http://genome.ucsc.edu/cgi-bin/hgTracks?db=hg19&amp;lastVirtModeType=default&amp;lastVirtModeExtraState=&amp;virtModeType=default&amp;virtMode=0&amp;nonVirtPosition=&amp;position=chr15:51829627-51912134","chr15:51829627-51912134")</f>
        <v>chr15:51829627-51912134</v>
      </c>
      <c r="F499" t="s">
        <v>27</v>
      </c>
      <c r="G499">
        <v>-0.20600411191415999</v>
      </c>
      <c r="H499">
        <v>4.9270586081479398E-2</v>
      </c>
      <c r="I499">
        <v>-4.1810769527581497</v>
      </c>
      <c r="J499" s="1">
        <v>2.9013164525461798E-5</v>
      </c>
      <c r="K499">
        <v>8.22079624591286E-4</v>
      </c>
      <c r="L499" t="s">
        <v>23</v>
      </c>
      <c r="M499" t="s">
        <v>24</v>
      </c>
      <c r="N499">
        <v>3910.0680003061002</v>
      </c>
      <c r="O499">
        <v>4200.8849140161101</v>
      </c>
      <c r="P499">
        <v>3619.2510865960799</v>
      </c>
      <c r="Q499">
        <v>4101.4206564936503</v>
      </c>
      <c r="R499">
        <v>4300.3491715385799</v>
      </c>
      <c r="S499">
        <v>3611.5795455110601</v>
      </c>
      <c r="T499">
        <v>3626.92262768111</v>
      </c>
    </row>
    <row r="500" spans="1:20" x14ac:dyDescent="0.2">
      <c r="A500" t="s">
        <v>1003</v>
      </c>
      <c r="B500" s="3" t="str">
        <f>HYPERLINK("http://www.ncbi.nlm.nih.gov/gene/58477","SRPRB")</f>
        <v>SRPRB</v>
      </c>
      <c r="C500">
        <v>58477</v>
      </c>
      <c r="D500" t="s">
        <v>1004</v>
      </c>
      <c r="E500" s="3" t="str">
        <f>HYPERLINK("http://genome.ucsc.edu/cgi-bin/hgTracks?db=hg19&amp;lastVirtModeType=default&amp;lastVirtModeExtraState=&amp;virtModeType=default&amp;virtMode=0&amp;nonVirtPosition=&amp;position=chr3:133784032-133821492","chr3:133784032-133821492")</f>
        <v>chr3:133784032-133821492</v>
      </c>
      <c r="F500" t="s">
        <v>27</v>
      </c>
      <c r="G500">
        <v>0.21942377261888299</v>
      </c>
      <c r="H500">
        <v>5.2497130539200403E-2</v>
      </c>
      <c r="I500">
        <v>4.1797288797534504</v>
      </c>
      <c r="J500" s="1">
        <v>2.9185684383787098E-5</v>
      </c>
      <c r="K500">
        <v>8.2526283636960205E-4</v>
      </c>
      <c r="L500" t="s">
        <v>23</v>
      </c>
      <c r="M500" t="s">
        <v>24</v>
      </c>
      <c r="N500">
        <v>4023.8383406173598</v>
      </c>
      <c r="O500">
        <v>3698.7484081696698</v>
      </c>
      <c r="P500">
        <v>4348.9282730650402</v>
      </c>
      <c r="Q500">
        <v>3611.6166465266101</v>
      </c>
      <c r="R500">
        <v>3785.8801698127299</v>
      </c>
      <c r="S500">
        <v>4508.3088016895799</v>
      </c>
      <c r="T500">
        <v>4189.5477444405096</v>
      </c>
    </row>
    <row r="501" spans="1:20" x14ac:dyDescent="0.2">
      <c r="A501" t="s">
        <v>1005</v>
      </c>
      <c r="B501" s="3" t="str">
        <f>HYPERLINK("http://www.ncbi.nlm.nih.gov/gene/3423","IDS")</f>
        <v>IDS</v>
      </c>
      <c r="C501">
        <v>3423</v>
      </c>
      <c r="D501" t="s">
        <v>1006</v>
      </c>
      <c r="E501" s="3" t="str">
        <f>HYPERLINK("http://genome.ucsc.edu/cgi-bin/hgTracks?db=hg19&amp;lastVirtModeType=default&amp;lastVirtModeExtraState=&amp;virtModeType=default&amp;virtMode=0&amp;nonVirtPosition=&amp;position=chrX:149487130-149505354","chrX:149487130-149505354")</f>
        <v>chrX:149487130-149505354</v>
      </c>
      <c r="F501" t="s">
        <v>22</v>
      </c>
      <c r="G501">
        <v>0.16901716830446101</v>
      </c>
      <c r="H501">
        <v>4.0509941931179801E-2</v>
      </c>
      <c r="I501">
        <v>4.1722392145512304</v>
      </c>
      <c r="J501" s="1">
        <v>3.0162072671954399E-5</v>
      </c>
      <c r="K501">
        <v>8.5111659387486298E-4</v>
      </c>
      <c r="L501" t="s">
        <v>23</v>
      </c>
      <c r="M501" t="s">
        <v>24</v>
      </c>
      <c r="N501">
        <v>9574.7734238557205</v>
      </c>
      <c r="O501">
        <v>8995.6053460079002</v>
      </c>
      <c r="P501">
        <v>10153.941501703501</v>
      </c>
      <c r="Q501">
        <v>8893.5200011992401</v>
      </c>
      <c r="R501">
        <v>9097.6906908165602</v>
      </c>
      <c r="S501">
        <v>10220.1486182722</v>
      </c>
      <c r="T501">
        <v>10087.7343851349</v>
      </c>
    </row>
    <row r="502" spans="1:20" x14ac:dyDescent="0.2">
      <c r="A502" t="s">
        <v>1007</v>
      </c>
      <c r="B502" s="3" t="str">
        <f>HYPERLINK("http://www.ncbi.nlm.nih.gov/gene/693199","MIR614")</f>
        <v>MIR614</v>
      </c>
      <c r="C502">
        <v>693199</v>
      </c>
      <c r="D502" t="s">
        <v>1008</v>
      </c>
      <c r="E502" s="3" t="str">
        <f>HYPERLINK("http://genome.ucsc.edu/cgi-bin/hgTracks?db=hg19&amp;lastVirtModeType=default&amp;lastVirtModeExtraState=&amp;virtModeType=default&amp;virtMode=0&amp;nonVirtPosition=&amp;position=chr12:12915828-12915918","chr12:12915828-12915918")</f>
        <v>chr12:12915828-12915918</v>
      </c>
      <c r="F502" t="s">
        <v>27</v>
      </c>
      <c r="G502">
        <v>0.402608420899774</v>
      </c>
      <c r="H502">
        <v>9.6546623236409501E-2</v>
      </c>
      <c r="I502">
        <v>4.1700932399668096</v>
      </c>
      <c r="J502" s="1">
        <v>3.0447504238965799E-5</v>
      </c>
      <c r="K502">
        <v>8.5543373518711004E-4</v>
      </c>
      <c r="L502" t="s">
        <v>23</v>
      </c>
      <c r="M502" t="s">
        <v>24</v>
      </c>
      <c r="N502">
        <v>664.62121323322594</v>
      </c>
      <c r="O502">
        <v>546.80471448652304</v>
      </c>
      <c r="P502">
        <v>782.43771197992805</v>
      </c>
      <c r="Q502">
        <v>531.07962878448404</v>
      </c>
      <c r="R502">
        <v>562.52980018856204</v>
      </c>
      <c r="S502">
        <v>876.99923954092696</v>
      </c>
      <c r="T502">
        <v>687.87618441892903</v>
      </c>
    </row>
    <row r="503" spans="1:20" x14ac:dyDescent="0.2">
      <c r="A503" t="s">
        <v>1007</v>
      </c>
      <c r="B503" s="3" t="str">
        <f>HYPERLINK("http://www.ncbi.nlm.nih.gov/gene/9052","GPRC5A")</f>
        <v>GPRC5A</v>
      </c>
      <c r="C503">
        <v>9052</v>
      </c>
      <c r="D503" t="s">
        <v>1009</v>
      </c>
      <c r="E503" s="3" t="str">
        <f>HYPERLINK("http://genome.ucsc.edu/cgi-bin/hgTracks?db=hg19&amp;lastVirtModeType=default&amp;lastVirtModeExtraState=&amp;virtModeType=default&amp;virtMode=0&amp;nonVirtPosition=&amp;position=chr12:12891021-12913666","chr12:12891021-12913666")</f>
        <v>chr12:12891021-12913666</v>
      </c>
      <c r="F503" t="s">
        <v>27</v>
      </c>
      <c r="G503">
        <v>0.402608420899774</v>
      </c>
      <c r="H503">
        <v>9.6546623236409501E-2</v>
      </c>
      <c r="I503">
        <v>4.1700932399668096</v>
      </c>
      <c r="J503" s="1">
        <v>3.0447504238965799E-5</v>
      </c>
      <c r="K503">
        <v>8.5543373518711004E-4</v>
      </c>
      <c r="L503" t="s">
        <v>23</v>
      </c>
      <c r="M503" t="s">
        <v>24</v>
      </c>
      <c r="N503">
        <v>664.62121323322594</v>
      </c>
      <c r="O503">
        <v>546.80471448652304</v>
      </c>
      <c r="P503">
        <v>782.43771197992805</v>
      </c>
      <c r="Q503">
        <v>531.07962878448404</v>
      </c>
      <c r="R503">
        <v>562.52980018856204</v>
      </c>
      <c r="S503">
        <v>876.99923954092696</v>
      </c>
      <c r="T503">
        <v>687.87618441892903</v>
      </c>
    </row>
    <row r="504" spans="1:20" x14ac:dyDescent="0.2">
      <c r="A504" t="s">
        <v>1010</v>
      </c>
      <c r="B504" s="3" t="str">
        <f>HYPERLINK("http://www.ncbi.nlm.nih.gov/gene/51474","LIMA1")</f>
        <v>LIMA1</v>
      </c>
      <c r="C504">
        <v>51474</v>
      </c>
      <c r="D504" t="s">
        <v>1011</v>
      </c>
      <c r="E504" s="3" t="str">
        <f>HYPERLINK("http://genome.ucsc.edu/cgi-bin/hgTracks?db=hg19&amp;lastVirtModeType=default&amp;lastVirtModeExtraState=&amp;virtModeType=default&amp;virtMode=0&amp;nonVirtPosition=&amp;position=chr12:50175779-50201533","chr12:50175779-50201533")</f>
        <v>chr12:50175779-50201533</v>
      </c>
      <c r="F504" t="s">
        <v>22</v>
      </c>
      <c r="G504">
        <v>-0.193065672634777</v>
      </c>
      <c r="H504">
        <v>4.6300206231295098E-2</v>
      </c>
      <c r="I504">
        <v>-4.1698663645321004</v>
      </c>
      <c r="J504" s="1">
        <v>3.0477830053269201E-5</v>
      </c>
      <c r="K504">
        <v>8.5543373518711004E-4</v>
      </c>
      <c r="L504" t="s">
        <v>23</v>
      </c>
      <c r="M504" t="s">
        <v>24</v>
      </c>
      <c r="N504">
        <v>8473.4093267990102</v>
      </c>
      <c r="O504">
        <v>9066.4351143280692</v>
      </c>
      <c r="P504">
        <v>7880.3835392699502</v>
      </c>
      <c r="Q504">
        <v>9135.6702982616007</v>
      </c>
      <c r="R504">
        <v>8997.1999303945304</v>
      </c>
      <c r="S504">
        <v>7562.5153771886899</v>
      </c>
      <c r="T504">
        <v>8198.2517013512097</v>
      </c>
    </row>
    <row r="505" spans="1:20" x14ac:dyDescent="0.2">
      <c r="A505" t="s">
        <v>1012</v>
      </c>
      <c r="B505" s="3" t="str">
        <f>HYPERLINK("http://www.ncbi.nlm.nih.gov/gene/3720","JARID2")</f>
        <v>JARID2</v>
      </c>
      <c r="C505">
        <v>3720</v>
      </c>
      <c r="D505" t="s">
        <v>1013</v>
      </c>
      <c r="E505" s="3" t="str">
        <f>HYPERLINK("http://genome.ucsc.edu/cgi-bin/hgTracks?db=hg19&amp;lastVirtModeType=default&amp;lastVirtModeExtraState=&amp;virtModeType=default&amp;virtMode=0&amp;nonVirtPosition=&amp;position=chr6:15248854-15522042","chr6:15248854-15522042")</f>
        <v>chr6:15248854-15522042</v>
      </c>
      <c r="F505" t="s">
        <v>27</v>
      </c>
      <c r="G505">
        <v>0.30225560850195798</v>
      </c>
      <c r="H505">
        <v>7.2495109178015896E-2</v>
      </c>
      <c r="I505">
        <v>4.16932413688422</v>
      </c>
      <c r="J505" s="1">
        <v>3.0550424452807202E-5</v>
      </c>
      <c r="K505">
        <v>8.5543373518711004E-4</v>
      </c>
      <c r="L505" t="s">
        <v>23</v>
      </c>
      <c r="M505" t="s">
        <v>24</v>
      </c>
      <c r="N505">
        <v>1204.7056872295</v>
      </c>
      <c r="O505">
        <v>1063.7551729486299</v>
      </c>
      <c r="P505">
        <v>1345.65620151038</v>
      </c>
      <c r="Q505">
        <v>1074.5419432142</v>
      </c>
      <c r="R505">
        <v>1052.96840268306</v>
      </c>
      <c r="S505">
        <v>1393.9256754458199</v>
      </c>
      <c r="T505">
        <v>1297.3867275749401</v>
      </c>
    </row>
    <row r="506" spans="1:20" x14ac:dyDescent="0.2">
      <c r="A506" t="s">
        <v>1014</v>
      </c>
      <c r="B506" s="3" t="str">
        <f>HYPERLINK("http://www.ncbi.nlm.nih.gov/gene/9550","ATP6V1G1")</f>
        <v>ATP6V1G1</v>
      </c>
      <c r="C506">
        <v>9550</v>
      </c>
      <c r="D506" t="s">
        <v>1015</v>
      </c>
      <c r="E506" s="3" t="str">
        <f>HYPERLINK("http://genome.ucsc.edu/cgi-bin/hgTracks?db=hg19&amp;lastVirtModeType=default&amp;lastVirtModeExtraState=&amp;virtModeType=default&amp;virtMode=0&amp;nonVirtPosition=&amp;position=chr9:114587713-114598872","chr9:114587713-114598872")</f>
        <v>chr9:114587713-114598872</v>
      </c>
      <c r="F506" t="s">
        <v>27</v>
      </c>
      <c r="G506">
        <v>0.23933535847416601</v>
      </c>
      <c r="H506">
        <v>5.7407772390402401E-2</v>
      </c>
      <c r="I506">
        <v>4.1690410289143802</v>
      </c>
      <c r="J506" s="1">
        <v>3.0588392715558097E-5</v>
      </c>
      <c r="K506">
        <v>8.5543373518711004E-4</v>
      </c>
      <c r="L506" t="s">
        <v>23</v>
      </c>
      <c r="M506" t="s">
        <v>24</v>
      </c>
      <c r="N506">
        <v>2257.2753633208499</v>
      </c>
      <c r="O506">
        <v>2058.0189073666302</v>
      </c>
      <c r="P506">
        <v>2456.5318192750701</v>
      </c>
      <c r="Q506">
        <v>2078.9153344387501</v>
      </c>
      <c r="R506">
        <v>2037.1224802945001</v>
      </c>
      <c r="S506">
        <v>2481.0495921770898</v>
      </c>
      <c r="T506">
        <v>2432.01404637306</v>
      </c>
    </row>
    <row r="507" spans="1:20" x14ac:dyDescent="0.2">
      <c r="A507" t="s">
        <v>1016</v>
      </c>
      <c r="B507" s="3" t="str">
        <f>HYPERLINK("http://www.ncbi.nlm.nih.gov/gene/79158","GNPTAB")</f>
        <v>GNPTAB</v>
      </c>
      <c r="C507">
        <v>79158</v>
      </c>
      <c r="D507" t="s">
        <v>1017</v>
      </c>
      <c r="E507" s="3" t="str">
        <f>HYPERLINK("http://genome.ucsc.edu/cgi-bin/hgTracks?db=hg19&amp;lastVirtModeType=default&amp;lastVirtModeExtraState=&amp;virtModeType=default&amp;virtMode=0&amp;nonVirtPosition=&amp;position=chr12:101745496-101830867","chr12:101745496-101830867")</f>
        <v>chr12:101745496-101830867</v>
      </c>
      <c r="F507" t="s">
        <v>22</v>
      </c>
      <c r="G507">
        <v>-0.21424900982623901</v>
      </c>
      <c r="H507">
        <v>5.1394017419061799E-2</v>
      </c>
      <c r="I507">
        <v>-4.16875388587105</v>
      </c>
      <c r="J507" s="1">
        <v>3.0626947934728801E-5</v>
      </c>
      <c r="K507">
        <v>8.5543373518711004E-4</v>
      </c>
      <c r="L507" t="s">
        <v>23</v>
      </c>
      <c r="M507" t="s">
        <v>24</v>
      </c>
      <c r="N507">
        <v>3144.9249938317098</v>
      </c>
      <c r="O507">
        <v>3389.5945055337002</v>
      </c>
      <c r="P507">
        <v>2900.2554821297299</v>
      </c>
      <c r="Q507">
        <v>3351.5802479766999</v>
      </c>
      <c r="R507">
        <v>3427.60876309069</v>
      </c>
      <c r="S507">
        <v>2900.3124457259</v>
      </c>
      <c r="T507">
        <v>2900.1985185335602</v>
      </c>
    </row>
    <row r="508" spans="1:20" x14ac:dyDescent="0.2">
      <c r="A508" t="s">
        <v>1018</v>
      </c>
      <c r="B508" s="3" t="str">
        <f>HYPERLINK("http://www.ncbi.nlm.nih.gov/gene/55749","CCAR1")</f>
        <v>CCAR1</v>
      </c>
      <c r="C508">
        <v>55749</v>
      </c>
      <c r="D508" t="s">
        <v>1019</v>
      </c>
      <c r="E508" s="3" t="str">
        <f>HYPERLINK("http://genome.ucsc.edu/cgi-bin/hgTracks?db=hg19&amp;lastVirtModeType=default&amp;lastVirtModeExtraState=&amp;virtModeType=default&amp;virtMode=0&amp;nonVirtPosition=&amp;position=chr10:68721143-68792377","chr10:68721143-68792377")</f>
        <v>chr10:68721143-68792377</v>
      </c>
      <c r="F508" t="s">
        <v>27</v>
      </c>
      <c r="G508">
        <v>-0.24128982832734</v>
      </c>
      <c r="H508">
        <v>5.7904753568351897E-2</v>
      </c>
      <c r="I508">
        <v>-4.16701243780473</v>
      </c>
      <c r="J508" s="1">
        <v>3.08617665198408E-5</v>
      </c>
      <c r="K508">
        <v>8.6024037815670101E-4</v>
      </c>
      <c r="L508" t="s">
        <v>23</v>
      </c>
      <c r="M508" t="s">
        <v>24</v>
      </c>
      <c r="N508">
        <v>2357.9797287138699</v>
      </c>
      <c r="O508">
        <v>2566.75111992954</v>
      </c>
      <c r="P508">
        <v>2149.2083374981898</v>
      </c>
      <c r="Q508">
        <v>2579.7261760904398</v>
      </c>
      <c r="R508">
        <v>2553.7760637686501</v>
      </c>
      <c r="S508">
        <v>2214.6943675696102</v>
      </c>
      <c r="T508">
        <v>2083.7223074267699</v>
      </c>
    </row>
    <row r="509" spans="1:20" x14ac:dyDescent="0.2">
      <c r="A509" t="s">
        <v>1020</v>
      </c>
      <c r="B509" s="3" t="str">
        <f>HYPERLINK("http://www.ncbi.nlm.nih.gov/gene/117178","SSX2IP")</f>
        <v>SSX2IP</v>
      </c>
      <c r="C509">
        <v>117178</v>
      </c>
      <c r="D509" t="s">
        <v>1021</v>
      </c>
      <c r="E509" s="3" t="str">
        <f>HYPERLINK("http://genome.ucsc.edu/cgi-bin/hgTracks?db=hg19&amp;lastVirtModeType=default&amp;lastVirtModeExtraState=&amp;virtModeType=default&amp;virtMode=0&amp;nonVirtPosition=&amp;position=chr1:84643706-84690557","chr1:84643706-84690557")</f>
        <v>chr1:84643706-84690557</v>
      </c>
      <c r="F509" t="s">
        <v>22</v>
      </c>
      <c r="G509">
        <v>-0.25940926713323598</v>
      </c>
      <c r="H509">
        <v>6.22970368803719E-2</v>
      </c>
      <c r="I509">
        <v>-4.1640707186663803</v>
      </c>
      <c r="J509" s="1">
        <v>3.1262321458655098E-5</v>
      </c>
      <c r="K509">
        <v>8.6963788333467801E-4</v>
      </c>
      <c r="L509" t="s">
        <v>23</v>
      </c>
      <c r="M509" t="s">
        <v>24</v>
      </c>
      <c r="N509">
        <v>1914.73424023452</v>
      </c>
      <c r="O509">
        <v>2102.0252533694502</v>
      </c>
      <c r="P509">
        <v>1727.4432270995901</v>
      </c>
      <c r="Q509">
        <v>2161.4665720736398</v>
      </c>
      <c r="R509">
        <v>2042.5839346652599</v>
      </c>
      <c r="S509">
        <v>1683.9569200184101</v>
      </c>
      <c r="T509">
        <v>1770.9295341807699</v>
      </c>
    </row>
    <row r="510" spans="1:20" x14ac:dyDescent="0.2">
      <c r="A510" t="s">
        <v>1022</v>
      </c>
      <c r="B510" s="3" t="str">
        <f>HYPERLINK("http://www.ncbi.nlm.nih.gov/gene/8436","SDPR")</f>
        <v>SDPR</v>
      </c>
      <c r="C510">
        <v>8436</v>
      </c>
      <c r="D510" t="s">
        <v>1023</v>
      </c>
      <c r="E510" s="3" t="str">
        <f>HYPERLINK("http://genome.ucsc.edu/cgi-bin/hgTracks?db=hg19&amp;lastVirtModeType=default&amp;lastVirtModeExtraState=&amp;virtModeType=default&amp;virtMode=0&amp;nonVirtPosition=&amp;position=chr2:191834305-191847280","chr2:191834305-191847280")</f>
        <v>chr2:191834305-191847280</v>
      </c>
      <c r="F510" t="s">
        <v>22</v>
      </c>
      <c r="G510">
        <v>-0.470927993442048</v>
      </c>
      <c r="H510">
        <v>0.11315257908687</v>
      </c>
      <c r="I510">
        <v>-4.1618847510360704</v>
      </c>
      <c r="J510" s="1">
        <v>3.1563164667508798E-5</v>
      </c>
      <c r="K510">
        <v>8.7622923127573995E-4</v>
      </c>
      <c r="L510" t="s">
        <v>23</v>
      </c>
      <c r="M510" t="s">
        <v>24</v>
      </c>
      <c r="N510">
        <v>68.268975366917701</v>
      </c>
      <c r="O510">
        <v>98.053763537597902</v>
      </c>
      <c r="P510">
        <v>38.484187196237698</v>
      </c>
      <c r="Q510">
        <v>77.047821792567703</v>
      </c>
      <c r="R510">
        <v>119.059705282628</v>
      </c>
      <c r="S510">
        <v>39.460033275182298</v>
      </c>
      <c r="T510">
        <v>37.508341117293099</v>
      </c>
    </row>
    <row r="511" spans="1:20" x14ac:dyDescent="0.2">
      <c r="A511" t="s">
        <v>1024</v>
      </c>
      <c r="B511" s="3" t="str">
        <f>HYPERLINK("http://www.ncbi.nlm.nih.gov/gene/57224","NHSL1")</f>
        <v>NHSL1</v>
      </c>
      <c r="C511">
        <v>57224</v>
      </c>
      <c r="D511" t="s">
        <v>1025</v>
      </c>
      <c r="E511" s="3" t="str">
        <f>HYPERLINK("http://genome.ucsc.edu/cgi-bin/hgTracks?db=hg19&amp;lastVirtModeType=default&amp;lastVirtModeExtraState=&amp;virtModeType=default&amp;virtMode=0&amp;nonVirtPosition=&amp;position=chr6:138422043-138499442","chr6:138422043-138499442")</f>
        <v>chr6:138422043-138499442</v>
      </c>
      <c r="F511" t="s">
        <v>22</v>
      </c>
      <c r="G511">
        <v>-0.44236407233273001</v>
      </c>
      <c r="H511">
        <v>0.10631416165329</v>
      </c>
      <c r="I511">
        <v>-4.1609138938174501</v>
      </c>
      <c r="J511" s="1">
        <v>3.1697658967461E-5</v>
      </c>
      <c r="K511">
        <v>8.7818524258537504E-4</v>
      </c>
      <c r="L511" t="s">
        <v>23</v>
      </c>
      <c r="M511" t="s">
        <v>24</v>
      </c>
      <c r="N511">
        <v>317.10666618365798</v>
      </c>
      <c r="O511">
        <v>383.975181208675</v>
      </c>
      <c r="P511">
        <v>250.23815115864201</v>
      </c>
      <c r="Q511">
        <v>403.12521045039898</v>
      </c>
      <c r="R511">
        <v>364.82515196695101</v>
      </c>
      <c r="S511">
        <v>246.625207969889</v>
      </c>
      <c r="T511">
        <v>253.85109434739499</v>
      </c>
    </row>
    <row r="512" spans="1:20" x14ac:dyDescent="0.2">
      <c r="A512" t="s">
        <v>1026</v>
      </c>
      <c r="B512" s="3" t="str">
        <f>HYPERLINK("http://www.ncbi.nlm.nih.gov/gene/3303","HSPA1A")</f>
        <v>HSPA1A</v>
      </c>
      <c r="C512">
        <v>3303</v>
      </c>
      <c r="D512" t="s">
        <v>1027</v>
      </c>
      <c r="E512" s="3" t="str">
        <f>HYPERLINK("http://genome.ucsc.edu/cgi-bin/hgTracks?db=hg19&amp;lastVirtModeType=default&amp;lastVirtModeExtraState=&amp;virtModeType=default&amp;virtMode=0&amp;nonVirtPosition=&amp;position=chr6:31815513-31817942","chr6:31815513-31817942")</f>
        <v>chr6:31815513-31817942</v>
      </c>
      <c r="F512" t="s">
        <v>27</v>
      </c>
      <c r="G512">
        <v>0.38791331529858702</v>
      </c>
      <c r="H512">
        <v>9.3251781573702494E-2</v>
      </c>
      <c r="I512">
        <v>4.1598488388341996</v>
      </c>
      <c r="J512" s="1">
        <v>3.1845828905462502E-5</v>
      </c>
      <c r="K512">
        <v>8.8051148711595396E-4</v>
      </c>
      <c r="L512" t="s">
        <v>23</v>
      </c>
      <c r="M512" t="s">
        <v>24</v>
      </c>
      <c r="N512">
        <v>776.29371588549702</v>
      </c>
      <c r="O512">
        <v>650.00457505140605</v>
      </c>
      <c r="P512">
        <v>902.58285671958697</v>
      </c>
      <c r="Q512">
        <v>668.66502484264095</v>
      </c>
      <c r="R512">
        <v>631.34412526017195</v>
      </c>
      <c r="S512">
        <v>795.11967049492398</v>
      </c>
      <c r="T512">
        <v>1010.04604294425</v>
      </c>
    </row>
    <row r="513" spans="1:20" x14ac:dyDescent="0.2">
      <c r="A513" t="s">
        <v>1028</v>
      </c>
      <c r="B513" s="3" t="str">
        <f>HYPERLINK("http://www.ncbi.nlm.nih.gov/gene/57412","AS3MT")</f>
        <v>AS3MT</v>
      </c>
      <c r="C513">
        <v>57412</v>
      </c>
      <c r="D513" t="s">
        <v>1029</v>
      </c>
      <c r="E513" s="3" t="str">
        <f>HYPERLINK("http://genome.ucsc.edu/cgi-bin/hgTracks?db=hg19&amp;lastVirtModeType=default&amp;lastVirtModeExtraState=&amp;virtModeType=default&amp;virtMode=0&amp;nonVirtPosition=&amp;position=chr10:102869452-102901898","chr10:102869452-102901898")</f>
        <v>chr10:102869452-102901898</v>
      </c>
      <c r="F513" t="s">
        <v>27</v>
      </c>
      <c r="G513">
        <v>-0.42517102720821598</v>
      </c>
      <c r="H513">
        <v>0.10251251298879401</v>
      </c>
      <c r="I513">
        <v>-4.1475037028376498</v>
      </c>
      <c r="J513" s="1">
        <v>3.3612003548817703E-5</v>
      </c>
      <c r="K513">
        <v>9.2664444825156403E-4</v>
      </c>
      <c r="L513" t="s">
        <v>23</v>
      </c>
      <c r="M513" t="s">
        <v>24</v>
      </c>
      <c r="N513">
        <v>379.54490900042498</v>
      </c>
      <c r="O513">
        <v>453.48251686783402</v>
      </c>
      <c r="P513">
        <v>305.60730113301503</v>
      </c>
      <c r="Q513">
        <v>441.64912134668299</v>
      </c>
      <c r="R513">
        <v>465.315912388985</v>
      </c>
      <c r="S513">
        <v>289.04474374070998</v>
      </c>
      <c r="T513">
        <v>322.16985852532099</v>
      </c>
    </row>
    <row r="514" spans="1:20" x14ac:dyDescent="0.2">
      <c r="A514" t="s">
        <v>1030</v>
      </c>
      <c r="B514" s="3" t="str">
        <f>HYPERLINK("http://www.ncbi.nlm.nih.gov/gene/9867","PJA2")</f>
        <v>PJA2</v>
      </c>
      <c r="C514">
        <v>9867</v>
      </c>
      <c r="D514" t="s">
        <v>1031</v>
      </c>
      <c r="E514" s="3" t="str">
        <f>HYPERLINK("http://genome.ucsc.edu/cgi-bin/hgTracks?db=hg19&amp;lastVirtModeType=default&amp;lastVirtModeExtraState=&amp;virtModeType=default&amp;virtMode=0&amp;nonVirtPosition=&amp;position=chr5:109334708-109409974","chr5:109334708-109409974")</f>
        <v>chr5:109334708-109409974</v>
      </c>
      <c r="F514" t="s">
        <v>22</v>
      </c>
      <c r="G514">
        <v>0.17338885748751701</v>
      </c>
      <c r="H514">
        <v>4.1808166878017097E-2</v>
      </c>
      <c r="I514">
        <v>4.1472485027485204</v>
      </c>
      <c r="J514" s="1">
        <v>3.3649477557917401E-5</v>
      </c>
      <c r="K514">
        <v>9.2664444825156403E-4</v>
      </c>
      <c r="L514" t="s">
        <v>23</v>
      </c>
      <c r="M514" t="s">
        <v>24</v>
      </c>
      <c r="N514">
        <v>7154.7972391619996</v>
      </c>
      <c r="O514">
        <v>6710.8947670898096</v>
      </c>
      <c r="P514">
        <v>7598.6997112341896</v>
      </c>
      <c r="Q514">
        <v>6660.5090231753602</v>
      </c>
      <c r="R514">
        <v>6761.28051100426</v>
      </c>
      <c r="S514">
        <v>7566.4613805162098</v>
      </c>
      <c r="T514">
        <v>7630.9380419521603</v>
      </c>
    </row>
    <row r="515" spans="1:20" x14ac:dyDescent="0.2">
      <c r="A515" t="s">
        <v>1032</v>
      </c>
      <c r="B515" s="3" t="str">
        <f>HYPERLINK("http://www.ncbi.nlm.nih.gov/gene/143686","SESN3")</f>
        <v>SESN3</v>
      </c>
      <c r="C515">
        <v>143686</v>
      </c>
      <c r="D515" t="s">
        <v>1033</v>
      </c>
      <c r="E515" s="3" t="str">
        <f>HYPERLINK("http://genome.ucsc.edu/cgi-bin/hgTracks?db=hg19&amp;lastVirtModeType=default&amp;lastVirtModeExtraState=&amp;virtModeType=default&amp;virtMode=0&amp;nonVirtPosition=&amp;position=chr11:95165512-95231082","chr11:95165512-95231082")</f>
        <v>chr11:95165512-95231082</v>
      </c>
      <c r="F515" t="s">
        <v>22</v>
      </c>
      <c r="G515">
        <v>-0.399266362103261</v>
      </c>
      <c r="H515">
        <v>9.6316488675749004E-2</v>
      </c>
      <c r="I515">
        <v>-4.14535836587023</v>
      </c>
      <c r="J515" s="1">
        <v>3.3928266434264101E-5</v>
      </c>
      <c r="K515">
        <v>9.3244939054007501E-4</v>
      </c>
      <c r="L515" t="s">
        <v>23</v>
      </c>
      <c r="M515" t="s">
        <v>24</v>
      </c>
      <c r="N515">
        <v>489.117177530155</v>
      </c>
      <c r="O515">
        <v>574.05412774024899</v>
      </c>
      <c r="P515">
        <v>404.18022732006102</v>
      </c>
      <c r="Q515">
        <v>551.71743819320795</v>
      </c>
      <c r="R515">
        <v>596.39081728729104</v>
      </c>
      <c r="S515">
        <v>385.72182526490701</v>
      </c>
      <c r="T515">
        <v>422.63862937521401</v>
      </c>
    </row>
    <row r="516" spans="1:20" x14ac:dyDescent="0.2">
      <c r="A516" t="s">
        <v>1034</v>
      </c>
      <c r="B516" s="3" t="str">
        <f>HYPERLINK("http://www.ncbi.nlm.nih.gov/gene/57505","AARS2")</f>
        <v>AARS2</v>
      </c>
      <c r="C516">
        <v>57505</v>
      </c>
      <c r="D516" t="s">
        <v>1035</v>
      </c>
      <c r="E516" s="3" t="str">
        <f>HYPERLINK("http://genome.ucsc.edu/cgi-bin/hgTracks?db=hg19&amp;lastVirtModeType=default&amp;lastVirtModeExtraState=&amp;virtModeType=default&amp;virtMode=0&amp;nonVirtPosition=&amp;position=chr6:44298725-44313326","chr6:44298725-44313326")</f>
        <v>chr6:44298725-44313326</v>
      </c>
      <c r="F516" t="s">
        <v>22</v>
      </c>
      <c r="G516">
        <v>-0.31801838871444599</v>
      </c>
      <c r="H516">
        <v>7.6755413102383804E-2</v>
      </c>
      <c r="I516">
        <v>-4.1432698471734204</v>
      </c>
      <c r="J516" s="1">
        <v>3.4238866926512999E-5</v>
      </c>
      <c r="K516">
        <v>9.3817155353250403E-4</v>
      </c>
      <c r="L516" t="s">
        <v>23</v>
      </c>
      <c r="M516" t="s">
        <v>24</v>
      </c>
      <c r="N516">
        <v>1026.5615819550501</v>
      </c>
      <c r="O516">
        <v>1154.5621806537599</v>
      </c>
      <c r="P516">
        <v>898.56098325634105</v>
      </c>
      <c r="Q516">
        <v>1113.0658541104899</v>
      </c>
      <c r="R516">
        <v>1196.0585071970399</v>
      </c>
      <c r="S516">
        <v>868.120732054011</v>
      </c>
      <c r="T516">
        <v>929.00123445867098</v>
      </c>
    </row>
    <row r="517" spans="1:20" x14ac:dyDescent="0.2">
      <c r="A517" t="s">
        <v>1036</v>
      </c>
      <c r="B517" s="3" t="str">
        <f>HYPERLINK("http://www.ncbi.nlm.nih.gov/gene/10892","MALT1")</f>
        <v>MALT1</v>
      </c>
      <c r="C517">
        <v>10892</v>
      </c>
      <c r="D517" t="s">
        <v>1037</v>
      </c>
      <c r="E517" s="3" t="str">
        <f>HYPERLINK("http://genome.ucsc.edu/cgi-bin/hgTracks?db=hg19&amp;lastVirtModeType=default&amp;lastVirtModeExtraState=&amp;virtModeType=default&amp;virtMode=0&amp;nonVirtPosition=&amp;position=chr18:58671385-58750139","chr18:58671385-58750139")</f>
        <v>chr18:58671385-58750139</v>
      </c>
      <c r="F517" t="s">
        <v>27</v>
      </c>
      <c r="G517">
        <v>-0.247541804861277</v>
      </c>
      <c r="H517">
        <v>5.9748840641841203E-2</v>
      </c>
      <c r="I517">
        <v>-4.1430394665754697</v>
      </c>
      <c r="J517" s="1">
        <v>3.4273293591934098E-5</v>
      </c>
      <c r="K517">
        <v>9.3817155353250403E-4</v>
      </c>
      <c r="L517" t="s">
        <v>23</v>
      </c>
      <c r="M517" t="s">
        <v>24</v>
      </c>
      <c r="N517">
        <v>1974.9215816630201</v>
      </c>
      <c r="O517">
        <v>2156.5558741339601</v>
      </c>
      <c r="P517">
        <v>1793.2872891920999</v>
      </c>
      <c r="Q517">
        <v>2139.4529087043402</v>
      </c>
      <c r="R517">
        <v>2173.6588395635699</v>
      </c>
      <c r="S517">
        <v>1770.76899322381</v>
      </c>
      <c r="T517">
        <v>1815.8055851603899</v>
      </c>
    </row>
    <row r="518" spans="1:20" x14ac:dyDescent="0.2">
      <c r="A518" t="s">
        <v>1038</v>
      </c>
      <c r="B518" s="3" t="str">
        <f>HYPERLINK("http://www.ncbi.nlm.nih.gov/gene/23154","NCDN")</f>
        <v>NCDN</v>
      </c>
      <c r="C518">
        <v>23154</v>
      </c>
      <c r="D518" t="s">
        <v>1039</v>
      </c>
      <c r="E518" s="3" t="str">
        <f>HYPERLINK("http://genome.ucsc.edu/cgi-bin/hgTracks?db=hg19&amp;lastVirtModeType=default&amp;lastVirtModeExtraState=&amp;virtModeType=default&amp;virtMode=0&amp;nonVirtPosition=&amp;position=chr1:35557791-35566779","chr1:35557791-35566779")</f>
        <v>chr1:35557791-35566779</v>
      </c>
      <c r="F518" t="s">
        <v>27</v>
      </c>
      <c r="G518">
        <v>0.21310853642595301</v>
      </c>
      <c r="H518">
        <v>5.1444710522648901E-2</v>
      </c>
      <c r="I518">
        <v>4.1424771227380202</v>
      </c>
      <c r="J518" s="1">
        <v>3.4357464930696098E-5</v>
      </c>
      <c r="K518">
        <v>9.3860213956089005E-4</v>
      </c>
      <c r="L518" t="s">
        <v>23</v>
      </c>
      <c r="M518" t="s">
        <v>24</v>
      </c>
      <c r="N518">
        <v>3134.4777157015201</v>
      </c>
      <c r="O518">
        <v>2891.8322467911198</v>
      </c>
      <c r="P518">
        <v>3377.1231846119099</v>
      </c>
      <c r="Q518">
        <v>2898.9242949453601</v>
      </c>
      <c r="R518">
        <v>2884.74019863688</v>
      </c>
      <c r="S518">
        <v>3357.06233088613</v>
      </c>
      <c r="T518">
        <v>3397.1840383376898</v>
      </c>
    </row>
    <row r="519" spans="1:20" x14ac:dyDescent="0.2">
      <c r="A519" t="s">
        <v>1040</v>
      </c>
      <c r="B519" s="3" t="str">
        <f>HYPERLINK("http://www.ncbi.nlm.nih.gov/gene/6567","SLC16A2")</f>
        <v>SLC16A2</v>
      </c>
      <c r="C519">
        <v>6567</v>
      </c>
      <c r="D519" t="s">
        <v>1041</v>
      </c>
      <c r="E519" s="3" t="str">
        <f>HYPERLINK("http://genome.ucsc.edu/cgi-bin/hgTracks?db=hg19&amp;lastVirtModeType=default&amp;lastVirtModeExtraState=&amp;virtModeType=default&amp;virtMode=0&amp;nonVirtPosition=&amp;position=chrX:74421492-74533929","chrX:74421492-74533929")</f>
        <v>chrX:74421492-74533929</v>
      </c>
      <c r="F519" t="s">
        <v>27</v>
      </c>
      <c r="G519">
        <v>-0.43018134821097798</v>
      </c>
      <c r="H519">
        <v>0.104051679807366</v>
      </c>
      <c r="I519">
        <v>-4.1343046936616901</v>
      </c>
      <c r="J519" s="1">
        <v>3.5603087336877501E-5</v>
      </c>
      <c r="K519">
        <v>9.7069729570166505E-4</v>
      </c>
      <c r="L519" t="s">
        <v>23</v>
      </c>
      <c r="M519" t="s">
        <v>24</v>
      </c>
      <c r="N519">
        <v>1943.9704607973499</v>
      </c>
      <c r="O519">
        <v>2331.7261315854698</v>
      </c>
      <c r="P519">
        <v>1556.21479000922</v>
      </c>
      <c r="Q519">
        <v>2281.1658666442399</v>
      </c>
      <c r="R519">
        <v>2382.2863965267002</v>
      </c>
      <c r="S519">
        <v>1403.7906837646101</v>
      </c>
      <c r="T519">
        <v>1708.6388962538399</v>
      </c>
    </row>
    <row r="520" spans="1:20" x14ac:dyDescent="0.2">
      <c r="A520" t="s">
        <v>1042</v>
      </c>
      <c r="B520" s="3" t="str">
        <f>HYPERLINK("http://www.ncbi.nlm.nih.gov/gene/468","ATF4")</f>
        <v>ATF4</v>
      </c>
      <c r="C520">
        <v>468</v>
      </c>
      <c r="D520" t="s">
        <v>1043</v>
      </c>
      <c r="E520" s="3" t="str">
        <f>HYPERLINK("http://genome.ucsc.edu/cgi-bin/hgTracks?db=hg19&amp;lastVirtModeType=default&amp;lastVirtModeExtraState=&amp;virtModeType=default&amp;virtMode=0&amp;nonVirtPosition=&amp;position=chr22:39520563-39522686","chr22:39520563-39522686")</f>
        <v>chr22:39520563-39522686</v>
      </c>
      <c r="F520" t="s">
        <v>27</v>
      </c>
      <c r="G520">
        <v>0.23631217851360301</v>
      </c>
      <c r="H520">
        <v>5.7208741889370703E-2</v>
      </c>
      <c r="I520">
        <v>4.1307004962734499</v>
      </c>
      <c r="J520" s="1">
        <v>3.6165951410216503E-5</v>
      </c>
      <c r="K520">
        <v>9.84087019126406E-4</v>
      </c>
      <c r="L520" t="s">
        <v>23</v>
      </c>
      <c r="M520" t="s">
        <v>24</v>
      </c>
      <c r="N520">
        <v>4017.2138052046198</v>
      </c>
      <c r="O520">
        <v>3663.7696821605</v>
      </c>
      <c r="P520">
        <v>4370.6579282487301</v>
      </c>
      <c r="Q520">
        <v>3425.8763618480998</v>
      </c>
      <c r="R520">
        <v>3901.6630024729002</v>
      </c>
      <c r="S520">
        <v>4457.9972592637196</v>
      </c>
      <c r="T520">
        <v>4283.3185972337396</v>
      </c>
    </row>
    <row r="521" spans="1:20" x14ac:dyDescent="0.2">
      <c r="A521" t="s">
        <v>1044</v>
      </c>
      <c r="B521" s="3" t="str">
        <f>HYPERLINK("http://www.ncbi.nlm.nih.gov/gene/100500912","MIR3674")</f>
        <v>MIR3674</v>
      </c>
      <c r="C521">
        <v>100500912</v>
      </c>
      <c r="D521" t="s">
        <v>1045</v>
      </c>
      <c r="E521" s="3" t="str">
        <f>HYPERLINK("http://genome.ucsc.edu/cgi-bin/hgTracks?db=hg19&amp;lastVirtModeType=default&amp;lastVirtModeExtraState=&amp;virtModeType=default&amp;virtMode=0&amp;nonVirtPosition=&amp;position=chr8:1801124-1801192","chr8:1801124-1801192")</f>
        <v>chr8:1801124-1801192</v>
      </c>
      <c r="F521" t="s">
        <v>27</v>
      </c>
      <c r="G521">
        <v>0.236833595441197</v>
      </c>
      <c r="H521">
        <v>5.7349560807934803E-2</v>
      </c>
      <c r="I521">
        <v>4.1296496800447802</v>
      </c>
      <c r="J521" s="1">
        <v>3.6331640658806403E-5</v>
      </c>
      <c r="K521">
        <v>9.866378613759821E-4</v>
      </c>
      <c r="L521" t="s">
        <v>23</v>
      </c>
      <c r="M521" t="s">
        <v>24</v>
      </c>
      <c r="N521">
        <v>2662.8139663052498</v>
      </c>
      <c r="O521">
        <v>2430.0214967379302</v>
      </c>
      <c r="P521">
        <v>2895.6064358725598</v>
      </c>
      <c r="Q521">
        <v>2349.9585646733099</v>
      </c>
      <c r="R521">
        <v>2510.0844288025501</v>
      </c>
      <c r="S521">
        <v>2823.3653808392901</v>
      </c>
      <c r="T521">
        <v>2967.84749090582</v>
      </c>
    </row>
    <row r="522" spans="1:20" x14ac:dyDescent="0.2">
      <c r="A522" t="s">
        <v>1044</v>
      </c>
      <c r="B522" s="3" t="str">
        <f>HYPERLINK("http://www.ncbi.nlm.nih.gov/gene/2055","CLN8")</f>
        <v>CLN8</v>
      </c>
      <c r="C522">
        <v>2055</v>
      </c>
      <c r="D522" t="s">
        <v>1046</v>
      </c>
      <c r="E522" s="3" t="str">
        <f>HYPERLINK("http://genome.ucsc.edu/cgi-bin/hgTracks?db=hg19&amp;lastVirtModeType=default&amp;lastVirtModeExtraState=&amp;virtModeType=default&amp;virtMode=0&amp;nonVirtPosition=&amp;position=chr8:1763703-1786570","chr8:1763703-1786570")</f>
        <v>chr8:1763703-1786570</v>
      </c>
      <c r="F522" t="s">
        <v>27</v>
      </c>
      <c r="G522">
        <v>0.236833595441197</v>
      </c>
      <c r="H522">
        <v>5.7349560807934803E-2</v>
      </c>
      <c r="I522">
        <v>4.1296496800447802</v>
      </c>
      <c r="J522" s="1">
        <v>3.6331640658806403E-5</v>
      </c>
      <c r="K522">
        <v>9.866378613759821E-4</v>
      </c>
      <c r="L522" t="s">
        <v>23</v>
      </c>
      <c r="M522" t="s">
        <v>24</v>
      </c>
      <c r="N522">
        <v>2662.8139663052498</v>
      </c>
      <c r="O522">
        <v>2430.0214967379302</v>
      </c>
      <c r="P522">
        <v>2895.6064358725598</v>
      </c>
      <c r="Q522">
        <v>2349.9585646733099</v>
      </c>
      <c r="R522">
        <v>2510.0844288025501</v>
      </c>
      <c r="S522">
        <v>2823.3653808392901</v>
      </c>
      <c r="T522">
        <v>2967.84749090582</v>
      </c>
    </row>
    <row r="523" spans="1:20" x14ac:dyDescent="0.2">
      <c r="A523" t="s">
        <v>1047</v>
      </c>
      <c r="B523" s="3" t="str">
        <f>HYPERLINK("http://www.ncbi.nlm.nih.gov/gene/3619","INCENP")</f>
        <v>INCENP</v>
      </c>
      <c r="C523">
        <v>3619</v>
      </c>
      <c r="D523" t="s">
        <v>1048</v>
      </c>
      <c r="E523" s="3" t="str">
        <f>HYPERLINK("http://genome.ucsc.edu/cgi-bin/hgTracks?db=hg19&amp;lastVirtModeType=default&amp;lastVirtModeExtraState=&amp;virtModeType=default&amp;virtMode=0&amp;nonVirtPosition=&amp;position=chr11:62123972-62153163","chr11:62123972-62153163")</f>
        <v>chr11:62123972-62153163</v>
      </c>
      <c r="F523" t="s">
        <v>27</v>
      </c>
      <c r="G523">
        <v>-0.336689476628866</v>
      </c>
      <c r="H523">
        <v>8.1702081804348403E-2</v>
      </c>
      <c r="I523">
        <v>-4.1209412195289499</v>
      </c>
      <c r="J523" s="1">
        <v>3.7732769592772902E-5</v>
      </c>
      <c r="K523">
        <v>1.0214079443372E-3</v>
      </c>
      <c r="L523" t="s">
        <v>23</v>
      </c>
      <c r="M523" t="s">
        <v>24</v>
      </c>
      <c r="N523">
        <v>1007.02448575214</v>
      </c>
      <c r="O523">
        <v>1144.12755874923</v>
      </c>
      <c r="P523">
        <v>869.92141275506197</v>
      </c>
      <c r="Q523">
        <v>1133.7036635192101</v>
      </c>
      <c r="R523">
        <v>1154.55145397924</v>
      </c>
      <c r="S523">
        <v>796.10617132680295</v>
      </c>
      <c r="T523">
        <v>943.736654183322</v>
      </c>
    </row>
    <row r="524" spans="1:20" x14ac:dyDescent="0.2">
      <c r="A524" t="s">
        <v>1049</v>
      </c>
      <c r="B524" s="3" t="str">
        <f>HYPERLINK("http://www.ncbi.nlm.nih.gov/gene/2201","FBN2")</f>
        <v>FBN2</v>
      </c>
      <c r="C524">
        <v>2201</v>
      </c>
      <c r="D524" t="s">
        <v>1050</v>
      </c>
      <c r="E524" s="3" t="str">
        <f>HYPERLINK("http://genome.ucsc.edu/cgi-bin/hgTracks?db=hg19&amp;lastVirtModeType=default&amp;lastVirtModeExtraState=&amp;virtModeType=default&amp;virtMode=0&amp;nonVirtPosition=&amp;position=chr5:128257908-128538042","chr5:128257908-128538042")</f>
        <v>chr5:128257908-128538042</v>
      </c>
      <c r="F524" t="s">
        <v>22</v>
      </c>
      <c r="G524">
        <v>-0.47676252881480102</v>
      </c>
      <c r="H524">
        <v>0.11569746071272299</v>
      </c>
      <c r="I524">
        <v>-4.1207691670831403</v>
      </c>
      <c r="J524" s="1">
        <v>3.77609616289164E-5</v>
      </c>
      <c r="K524">
        <v>1.0214079443372E-3</v>
      </c>
      <c r="L524" t="s">
        <v>23</v>
      </c>
      <c r="M524" t="s">
        <v>24</v>
      </c>
      <c r="N524">
        <v>180.52187086183201</v>
      </c>
      <c r="O524">
        <v>228.340275077211</v>
      </c>
      <c r="P524">
        <v>132.70346664645299</v>
      </c>
      <c r="Q524">
        <v>228.39175745654001</v>
      </c>
      <c r="R524">
        <v>228.288792697882</v>
      </c>
      <c r="S524">
        <v>136.13711479937899</v>
      </c>
      <c r="T524">
        <v>129.26981849352799</v>
      </c>
    </row>
    <row r="525" spans="1:20" x14ac:dyDescent="0.2">
      <c r="A525" t="s">
        <v>1051</v>
      </c>
      <c r="B525" s="3" t="str">
        <f>HYPERLINK("http://www.ncbi.nlm.nih.gov/gene/9782","MATR3")</f>
        <v>MATR3</v>
      </c>
      <c r="C525">
        <v>9782</v>
      </c>
      <c r="D525" t="s">
        <v>1052</v>
      </c>
      <c r="E525" s="3" t="str">
        <f>HYPERLINK("http://genome.ucsc.edu/cgi-bin/hgTracks?db=hg19&amp;lastVirtModeType=default&amp;lastVirtModeExtraState=&amp;virtModeType=default&amp;virtMode=0&amp;nonVirtPosition=&amp;position=chr5:139273751-139331677","chr5:139273751-139331677")</f>
        <v>chr5:139273751-139331677</v>
      </c>
      <c r="F525" t="s">
        <v>27</v>
      </c>
      <c r="G525">
        <v>0.175247100747289</v>
      </c>
      <c r="H525">
        <v>4.2579256927513E-2</v>
      </c>
      <c r="I525">
        <v>4.1157857932004198</v>
      </c>
      <c r="J525" s="1">
        <v>3.8586254374476499E-5</v>
      </c>
      <c r="K525">
        <v>1.04167695372357E-3</v>
      </c>
      <c r="L525" t="s">
        <v>23</v>
      </c>
      <c r="M525" t="s">
        <v>24</v>
      </c>
      <c r="N525">
        <v>8906.9958429789003</v>
      </c>
      <c r="O525">
        <v>8349.6113230245592</v>
      </c>
      <c r="P525">
        <v>9464.3803629332506</v>
      </c>
      <c r="Q525">
        <v>8560.5633427385001</v>
      </c>
      <c r="R525">
        <v>8138.6593033106301</v>
      </c>
      <c r="S525">
        <v>9512.8275218145809</v>
      </c>
      <c r="T525">
        <v>9415.9332040519093</v>
      </c>
    </row>
    <row r="526" spans="1:20" x14ac:dyDescent="0.2">
      <c r="A526" t="s">
        <v>1053</v>
      </c>
      <c r="B526" s="3" t="str">
        <f>HYPERLINK("http://www.ncbi.nlm.nih.gov/gene/56905","C15orf39")</f>
        <v>C15orf39</v>
      </c>
      <c r="C526">
        <v>56905</v>
      </c>
      <c r="D526" t="s">
        <v>1054</v>
      </c>
      <c r="E526" s="3" t="str">
        <f>HYPERLINK("http://genome.ucsc.edu/cgi-bin/hgTracks?db=hg19&amp;lastVirtModeType=default&amp;lastVirtModeExtraState=&amp;virtModeType=default&amp;virtMode=0&amp;nonVirtPosition=&amp;position=chr15:75201879-75212169","chr15:75201879-75212169")</f>
        <v>chr15:75201879-75212169</v>
      </c>
      <c r="F526" t="s">
        <v>27</v>
      </c>
      <c r="G526">
        <v>0.30128044720620001</v>
      </c>
      <c r="H526">
        <v>7.3356295347745307E-2</v>
      </c>
      <c r="I526">
        <v>4.1070837312323603</v>
      </c>
      <c r="J526" s="1">
        <v>4.0068600732964197E-5</v>
      </c>
      <c r="K526">
        <v>1.07956933291134E-3</v>
      </c>
      <c r="L526" t="s">
        <v>23</v>
      </c>
      <c r="M526" t="s">
        <v>24</v>
      </c>
      <c r="N526">
        <v>1214.4615670215401</v>
      </c>
      <c r="O526">
        <v>1074.47844154686</v>
      </c>
      <c r="P526">
        <v>1354.4446924962299</v>
      </c>
      <c r="Q526">
        <v>1093.8038986623501</v>
      </c>
      <c r="R526">
        <v>1055.15298443136</v>
      </c>
      <c r="S526">
        <v>1294.2890914259799</v>
      </c>
      <c r="T526">
        <v>1414.6002935664801</v>
      </c>
    </row>
    <row r="527" spans="1:20" x14ac:dyDescent="0.2">
      <c r="A527" t="s">
        <v>1055</v>
      </c>
      <c r="B527" s="3" t="str">
        <f>HYPERLINK("http://www.ncbi.nlm.nih.gov/gene/1186","CLCN7")</f>
        <v>CLCN7</v>
      </c>
      <c r="C527">
        <v>1186</v>
      </c>
      <c r="D527" t="s">
        <v>1056</v>
      </c>
      <c r="E527" s="3" t="str">
        <f>HYPERLINK("http://genome.ucsc.edu/cgi-bin/hgTracks?db=hg19&amp;lastVirtModeType=default&amp;lastVirtModeExtraState=&amp;virtModeType=default&amp;virtMode=0&amp;nonVirtPosition=&amp;position=chr16:1444932-1475084","chr16:1444932-1475084")</f>
        <v>chr16:1444932-1475084</v>
      </c>
      <c r="F527" t="s">
        <v>22</v>
      </c>
      <c r="G527">
        <v>0.19932497150401399</v>
      </c>
      <c r="H527">
        <v>4.8585360733097903E-2</v>
      </c>
      <c r="I527">
        <v>4.1025726370336004</v>
      </c>
      <c r="J527" s="1">
        <v>4.0858152320817398E-5</v>
      </c>
      <c r="K527">
        <v>1.0986837273091899E-3</v>
      </c>
      <c r="L527" t="s">
        <v>23</v>
      </c>
      <c r="M527" t="s">
        <v>24</v>
      </c>
      <c r="N527">
        <v>3944.7341376306099</v>
      </c>
      <c r="O527">
        <v>3661.4998848555701</v>
      </c>
      <c r="P527">
        <v>4227.9683904056501</v>
      </c>
      <c r="Q527">
        <v>3690.0403222797599</v>
      </c>
      <c r="R527">
        <v>3632.9594474313699</v>
      </c>
      <c r="S527">
        <v>4169.9390163548896</v>
      </c>
      <c r="T527">
        <v>4285.9977644564096</v>
      </c>
    </row>
    <row r="528" spans="1:20" x14ac:dyDescent="0.2">
      <c r="A528" t="s">
        <v>1057</v>
      </c>
      <c r="B528" s="3" t="str">
        <f>HYPERLINK("http://www.ncbi.nlm.nih.gov/gene/10209","EIF1")</f>
        <v>EIF1</v>
      </c>
      <c r="C528">
        <v>10209</v>
      </c>
      <c r="D528" t="s">
        <v>1058</v>
      </c>
      <c r="E528" s="3" t="str">
        <f>HYPERLINK("http://genome.ucsc.edu/cgi-bin/hgTracks?db=hg19&amp;lastVirtModeType=default&amp;lastVirtModeExtraState=&amp;virtModeType=default&amp;virtMode=0&amp;nonVirtPosition=&amp;position=chr17:41688874-41691646","chr17:41688874-41691646")</f>
        <v>chr17:41688874-41691646</v>
      </c>
      <c r="F528" t="s">
        <v>27</v>
      </c>
      <c r="G528">
        <v>0.160567001798753</v>
      </c>
      <c r="H528">
        <v>3.91556833020082E-2</v>
      </c>
      <c r="I528">
        <v>4.1007329781553796</v>
      </c>
      <c r="J528" s="1">
        <v>4.1184356571758499E-5</v>
      </c>
      <c r="K528">
        <v>1.1032471597988401E-3</v>
      </c>
      <c r="L528" t="s">
        <v>23</v>
      </c>
      <c r="M528" t="s">
        <v>24</v>
      </c>
      <c r="N528">
        <v>16031.400649940801</v>
      </c>
      <c r="O528">
        <v>15115.293563315599</v>
      </c>
      <c r="P528">
        <v>16947.507736566</v>
      </c>
      <c r="Q528">
        <v>15302.247749588199</v>
      </c>
      <c r="R528">
        <v>14928.339377042899</v>
      </c>
      <c r="S528">
        <v>17010.233844099199</v>
      </c>
      <c r="T528">
        <v>16884.781629032899</v>
      </c>
    </row>
    <row r="529" spans="1:20" x14ac:dyDescent="0.2">
      <c r="A529" t="s">
        <v>1059</v>
      </c>
      <c r="B529" s="3" t="str">
        <f>HYPERLINK("http://www.ncbi.nlm.nih.gov/gene/2263","FGFR2")</f>
        <v>FGFR2</v>
      </c>
      <c r="C529">
        <v>2263</v>
      </c>
      <c r="D529" t="s">
        <v>1060</v>
      </c>
      <c r="E529" s="3" t="str">
        <f>HYPERLINK("http://genome.ucsc.edu/cgi-bin/hgTracks?db=hg19&amp;lastVirtModeType=default&amp;lastVirtModeExtraState=&amp;virtModeType=default&amp;virtMode=0&amp;nonVirtPosition=&amp;position=chr10:121478329-121598458","chr10:121478329-121598458")</f>
        <v>chr10:121478329-121598458</v>
      </c>
      <c r="F529" t="s">
        <v>22</v>
      </c>
      <c r="G529">
        <v>-0.48367574979640998</v>
      </c>
      <c r="H529">
        <v>0.11794931907138401</v>
      </c>
      <c r="I529">
        <v>-4.1007082839001896</v>
      </c>
      <c r="J529" s="1">
        <v>4.11887520648246E-5</v>
      </c>
      <c r="K529">
        <v>1.1032471597988401E-3</v>
      </c>
      <c r="L529" t="s">
        <v>23</v>
      </c>
      <c r="M529" t="s">
        <v>24</v>
      </c>
      <c r="N529">
        <v>154.97225463613501</v>
      </c>
      <c r="O529">
        <v>201.79976953955801</v>
      </c>
      <c r="P529">
        <v>108.144739732714</v>
      </c>
      <c r="Q529">
        <v>214.63321785072401</v>
      </c>
      <c r="R529">
        <v>188.966321228391</v>
      </c>
      <c r="S529">
        <v>93.717579028558006</v>
      </c>
      <c r="T529">
        <v>122.571900436869</v>
      </c>
    </row>
    <row r="530" spans="1:20" x14ac:dyDescent="0.2">
      <c r="A530" t="s">
        <v>1061</v>
      </c>
      <c r="B530" s="3" t="str">
        <f>HYPERLINK("http://www.ncbi.nlm.nih.gov/gene/10410","IFITM3")</f>
        <v>IFITM3</v>
      </c>
      <c r="C530">
        <v>10410</v>
      </c>
      <c r="D530" t="s">
        <v>1062</v>
      </c>
      <c r="E530" s="3" t="str">
        <f>HYPERLINK("http://genome.ucsc.edu/cgi-bin/hgTracks?db=hg19&amp;lastVirtModeType=default&amp;lastVirtModeExtraState=&amp;virtModeType=default&amp;virtMode=0&amp;nonVirtPosition=&amp;position=chr11:319672-320914","chr11:319672-320914")</f>
        <v>chr11:319672-320914</v>
      </c>
      <c r="F530" t="s">
        <v>22</v>
      </c>
      <c r="G530">
        <v>-0.217527990492457</v>
      </c>
      <c r="H530">
        <v>5.3110460614764599E-2</v>
      </c>
      <c r="I530">
        <v>-4.0957654664358998</v>
      </c>
      <c r="J530" s="1">
        <v>4.2077575004559602E-5</v>
      </c>
      <c r="K530">
        <v>1.12485743394256E-3</v>
      </c>
      <c r="L530" t="s">
        <v>23</v>
      </c>
      <c r="M530" t="s">
        <v>24</v>
      </c>
      <c r="N530">
        <v>3392.2009493686301</v>
      </c>
      <c r="O530">
        <v>3664.15177270508</v>
      </c>
      <c r="P530">
        <v>3120.2501260321901</v>
      </c>
      <c r="Q530">
        <v>3705.1747158461599</v>
      </c>
      <c r="R530">
        <v>3623.1288295640002</v>
      </c>
      <c r="S530">
        <v>3012.7735405601702</v>
      </c>
      <c r="T530">
        <v>3227.72671150421</v>
      </c>
    </row>
    <row r="531" spans="1:20" x14ac:dyDescent="0.2">
      <c r="A531" t="s">
        <v>1063</v>
      </c>
      <c r="B531" s="3" t="str">
        <f>HYPERLINK("http://www.ncbi.nlm.nih.gov/gene/9411","ARHGAP29")</f>
        <v>ARHGAP29</v>
      </c>
      <c r="C531">
        <v>9411</v>
      </c>
      <c r="D531" t="s">
        <v>1064</v>
      </c>
      <c r="E531" s="3" t="str">
        <f>HYPERLINK("http://genome.ucsc.edu/cgi-bin/hgTracks?db=hg19&amp;lastVirtModeType=default&amp;lastVirtModeExtraState=&amp;virtModeType=default&amp;virtMode=0&amp;nonVirtPosition=&amp;position=chr1:94168906-94237751","chr1:94168906-94237751")</f>
        <v>chr1:94168906-94237751</v>
      </c>
      <c r="F531" t="s">
        <v>22</v>
      </c>
      <c r="G531">
        <v>-0.31766759301046898</v>
      </c>
      <c r="H531">
        <v>7.7610105453666201E-2</v>
      </c>
      <c r="I531">
        <v>-4.0931215226877802</v>
      </c>
      <c r="J531" s="1">
        <v>4.2560451867207598E-5</v>
      </c>
      <c r="K531">
        <v>1.1355526009861601E-3</v>
      </c>
      <c r="L531" t="s">
        <v>23</v>
      </c>
      <c r="M531" t="s">
        <v>24</v>
      </c>
      <c r="N531">
        <v>929.53552206191296</v>
      </c>
      <c r="O531">
        <v>1044.7348191153601</v>
      </c>
      <c r="P531">
        <v>814.33622500847298</v>
      </c>
      <c r="Q531">
        <v>1027.7629085544299</v>
      </c>
      <c r="R531">
        <v>1061.70672967628</v>
      </c>
      <c r="S531">
        <v>831.62020127446704</v>
      </c>
      <c r="T531">
        <v>797.05224874247904</v>
      </c>
    </row>
    <row r="532" spans="1:20" x14ac:dyDescent="0.2">
      <c r="A532" t="s">
        <v>1065</v>
      </c>
      <c r="B532" s="3" t="str">
        <f>HYPERLINK("http://www.ncbi.nlm.nih.gov/gene/9079","LDB2")</f>
        <v>LDB2</v>
      </c>
      <c r="C532">
        <v>9079</v>
      </c>
      <c r="D532" t="s">
        <v>1066</v>
      </c>
      <c r="E532" s="3" t="str">
        <f>HYPERLINK("http://genome.ucsc.edu/cgi-bin/hgTracks?db=hg19&amp;lastVirtModeType=default&amp;lastVirtModeExtraState=&amp;virtModeType=default&amp;virtMode=0&amp;nonVirtPosition=&amp;position=chr4:16501533-16898809","chr4:16501533-16898809")</f>
        <v>chr4:16501533-16898809</v>
      </c>
      <c r="F532" t="s">
        <v>22</v>
      </c>
      <c r="G532">
        <v>-0.375020840942346</v>
      </c>
      <c r="H532">
        <v>9.1698359480569605E-2</v>
      </c>
      <c r="I532">
        <v>-4.0897224668649699</v>
      </c>
      <c r="J532" s="1">
        <v>4.3188965366641098E-5</v>
      </c>
      <c r="K532">
        <v>1.15000045955969E-3</v>
      </c>
      <c r="L532" t="s">
        <v>23</v>
      </c>
      <c r="M532" t="s">
        <v>24</v>
      </c>
      <c r="N532">
        <v>633.77749820010297</v>
      </c>
      <c r="O532">
        <v>735.05066817082502</v>
      </c>
      <c r="P532">
        <v>532.50432822938103</v>
      </c>
      <c r="Q532">
        <v>736.08186891113803</v>
      </c>
      <c r="R532">
        <v>734.01946743051099</v>
      </c>
      <c r="S532">
        <v>488.317911780381</v>
      </c>
      <c r="T532">
        <v>576.69074467838198</v>
      </c>
    </row>
    <row r="533" spans="1:20" x14ac:dyDescent="0.2">
      <c r="A533" t="s">
        <v>1067</v>
      </c>
      <c r="B533" s="3" t="str">
        <f>HYPERLINK("http://www.ncbi.nlm.nih.gov/gene/55002","TMCO3")</f>
        <v>TMCO3</v>
      </c>
      <c r="C533">
        <v>55002</v>
      </c>
      <c r="D533" t="s">
        <v>1068</v>
      </c>
      <c r="E533" s="3" t="str">
        <f>HYPERLINK("http://genome.ucsc.edu/cgi-bin/hgTracks?db=hg19&amp;lastVirtModeType=default&amp;lastVirtModeExtraState=&amp;virtModeType=default&amp;virtMode=0&amp;nonVirtPosition=&amp;position=chr13:113490992-113550229","chr13:113490992-113550229")</f>
        <v>chr13:113490992-113550229</v>
      </c>
      <c r="F533" t="s">
        <v>27</v>
      </c>
      <c r="G533">
        <v>0.18366196478649599</v>
      </c>
      <c r="H533">
        <v>4.4912928853838401E-2</v>
      </c>
      <c r="I533">
        <v>4.0892894200730803</v>
      </c>
      <c r="J533" s="1">
        <v>4.3269668742365299E-5</v>
      </c>
      <c r="K533">
        <v>1.15000045955969E-3</v>
      </c>
      <c r="L533" t="s">
        <v>23</v>
      </c>
      <c r="M533" t="s">
        <v>24</v>
      </c>
      <c r="N533">
        <v>6020.5949188982104</v>
      </c>
      <c r="O533">
        <v>5621.9018331422503</v>
      </c>
      <c r="P533">
        <v>6419.2880046541604</v>
      </c>
      <c r="Q533">
        <v>5484.1538868781199</v>
      </c>
      <c r="R533">
        <v>5759.6497794063798</v>
      </c>
      <c r="S533">
        <v>6375.7548764375797</v>
      </c>
      <c r="T533">
        <v>6462.8211328707403</v>
      </c>
    </row>
    <row r="534" spans="1:20" x14ac:dyDescent="0.2">
      <c r="A534" t="s">
        <v>1069</v>
      </c>
      <c r="B534" s="3" t="str">
        <f>HYPERLINK("http://www.ncbi.nlm.nih.gov/gene/196740","VSTM4")</f>
        <v>VSTM4</v>
      </c>
      <c r="C534">
        <v>196740</v>
      </c>
      <c r="D534" t="s">
        <v>1070</v>
      </c>
      <c r="E534" s="3" t="str">
        <f>HYPERLINK("http://genome.ucsc.edu/cgi-bin/hgTracks?db=hg19&amp;lastVirtModeType=default&amp;lastVirtModeExtraState=&amp;virtModeType=default&amp;virtMode=0&amp;nonVirtPosition=&amp;position=chr10:49102171-49115532","chr10:49102171-49115532")</f>
        <v>chr10:49102171-49115532</v>
      </c>
      <c r="F534" t="s">
        <v>22</v>
      </c>
      <c r="G534">
        <v>0.23719513484478599</v>
      </c>
      <c r="H534">
        <v>5.81670950888507E-2</v>
      </c>
      <c r="I534">
        <v>4.0778232862147998</v>
      </c>
      <c r="J534" s="1">
        <v>4.5459296068383398E-5</v>
      </c>
      <c r="K534">
        <v>1.2058583873922799E-3</v>
      </c>
      <c r="L534" t="s">
        <v>23</v>
      </c>
      <c r="M534" t="s">
        <v>24</v>
      </c>
      <c r="N534">
        <v>2600.6933715742098</v>
      </c>
      <c r="O534">
        <v>2374.9498141436202</v>
      </c>
      <c r="P534">
        <v>2826.4369290048098</v>
      </c>
      <c r="Q534">
        <v>2409.1202849783199</v>
      </c>
      <c r="R534">
        <v>2340.77934330891</v>
      </c>
      <c r="S534">
        <v>2715.8367901644201</v>
      </c>
      <c r="T534">
        <v>2937.03706784519</v>
      </c>
    </row>
    <row r="535" spans="1:20" x14ac:dyDescent="0.2">
      <c r="A535" t="s">
        <v>1071</v>
      </c>
      <c r="B535" s="3" t="str">
        <f>HYPERLINK("http://www.ncbi.nlm.nih.gov/gene/1468","SLC25A10")</f>
        <v>SLC25A10</v>
      </c>
      <c r="C535">
        <v>1468</v>
      </c>
      <c r="D535" t="s">
        <v>1072</v>
      </c>
      <c r="E535" s="3" t="str">
        <f>HYPERLINK("http://genome.ucsc.edu/cgi-bin/hgTracks?db=hg19&amp;lastVirtModeType=default&amp;lastVirtModeExtraState=&amp;virtModeType=default&amp;virtMode=0&amp;nonVirtPosition=&amp;position=chr17:81712235-81721016","chr17:81712235-81721016")</f>
        <v>chr17:81712235-81721016</v>
      </c>
      <c r="F535" t="s">
        <v>27</v>
      </c>
      <c r="G535">
        <v>-0.44264641226378199</v>
      </c>
      <c r="H535">
        <v>0.108574993147371</v>
      </c>
      <c r="I535">
        <v>-4.0768725784119502</v>
      </c>
      <c r="J535" s="1">
        <v>4.5645489892634503E-5</v>
      </c>
      <c r="K535">
        <v>1.20845993897218E-3</v>
      </c>
      <c r="L535" t="s">
        <v>23</v>
      </c>
      <c r="M535" t="s">
        <v>24</v>
      </c>
      <c r="N535">
        <v>306.56472256474399</v>
      </c>
      <c r="O535">
        <v>373.49351422531703</v>
      </c>
      <c r="P535">
        <v>239.63593090417001</v>
      </c>
      <c r="Q535">
        <v>375.60813123876801</v>
      </c>
      <c r="R535">
        <v>371.37889721186599</v>
      </c>
      <c r="S535">
        <v>216.04368218162301</v>
      </c>
      <c r="T535">
        <v>263.22817962671797</v>
      </c>
    </row>
    <row r="536" spans="1:20" x14ac:dyDescent="0.2">
      <c r="A536" t="s">
        <v>1073</v>
      </c>
      <c r="B536" s="3" t="str">
        <f>HYPERLINK("http://www.ncbi.nlm.nih.gov/gene/84952","CGNL1")</f>
        <v>CGNL1</v>
      </c>
      <c r="C536">
        <v>84952</v>
      </c>
      <c r="D536" t="s">
        <v>1074</v>
      </c>
      <c r="E536" s="3" t="str">
        <f>HYPERLINK("http://genome.ucsc.edu/cgi-bin/hgTracks?db=hg19&amp;lastVirtModeType=default&amp;lastVirtModeExtraState=&amp;virtModeType=default&amp;virtMode=0&amp;nonVirtPosition=&amp;position=chr15:57376504-57550727","chr15:57376504-57550727")</f>
        <v>chr15:57376504-57550727</v>
      </c>
      <c r="F536" t="s">
        <v>27</v>
      </c>
      <c r="G536">
        <v>-0.48238242884992999</v>
      </c>
      <c r="H536">
        <v>0.118419196548882</v>
      </c>
      <c r="I536">
        <v>-4.0735154679993704</v>
      </c>
      <c r="J536" s="1">
        <v>4.6308774372992397E-5</v>
      </c>
      <c r="K536">
        <v>1.2236580573241199E-3</v>
      </c>
      <c r="L536" t="s">
        <v>23</v>
      </c>
      <c r="M536" t="s">
        <v>24</v>
      </c>
      <c r="N536">
        <v>115.96419332811701</v>
      </c>
      <c r="O536">
        <v>155.16760003025601</v>
      </c>
      <c r="P536">
        <v>76.760786625978</v>
      </c>
      <c r="Q536">
        <v>159.59905942746201</v>
      </c>
      <c r="R536">
        <v>150.73614063305101</v>
      </c>
      <c r="S536">
        <v>65.109054904050794</v>
      </c>
      <c r="T536">
        <v>88.412518347905205</v>
      </c>
    </row>
    <row r="537" spans="1:20" x14ac:dyDescent="0.2">
      <c r="A537" t="s">
        <v>1075</v>
      </c>
      <c r="B537" s="3" t="str">
        <f>HYPERLINK("http://www.ncbi.nlm.nih.gov/gene/54868","TMEM104")</f>
        <v>TMEM104</v>
      </c>
      <c r="C537">
        <v>54868</v>
      </c>
      <c r="D537" t="s">
        <v>1076</v>
      </c>
      <c r="E537" s="3" t="str">
        <f>HYPERLINK("http://genome.ucsc.edu/cgi-bin/hgTracks?db=hg19&amp;lastVirtModeType=default&amp;lastVirtModeExtraState=&amp;virtModeType=default&amp;virtMode=0&amp;nonVirtPosition=&amp;position=chr17:74776482-74839783","chr17:74776482-74839783")</f>
        <v>chr17:74776482-74839783</v>
      </c>
      <c r="F537" t="s">
        <v>27</v>
      </c>
      <c r="G537">
        <v>0.27915732760414802</v>
      </c>
      <c r="H537">
        <v>6.8576052955231004E-2</v>
      </c>
      <c r="I537">
        <v>4.0707698325301997</v>
      </c>
      <c r="J537" s="1">
        <v>4.6858029895873603E-5</v>
      </c>
      <c r="K537">
        <v>1.23450301942427E-3</v>
      </c>
      <c r="L537" t="s">
        <v>23</v>
      </c>
      <c r="M537" t="s">
        <v>24</v>
      </c>
      <c r="N537">
        <v>1924.5197449407201</v>
      </c>
      <c r="O537">
        <v>1718.18741640348</v>
      </c>
      <c r="P537">
        <v>2130.8520734779499</v>
      </c>
      <c r="Q537">
        <v>1579.4803467476399</v>
      </c>
      <c r="R537">
        <v>1856.8944860593299</v>
      </c>
      <c r="S537">
        <v>2117.0307852135302</v>
      </c>
      <c r="T537">
        <v>2144.6733617423702</v>
      </c>
    </row>
    <row r="538" spans="1:20" x14ac:dyDescent="0.2">
      <c r="A538" t="s">
        <v>1077</v>
      </c>
      <c r="B538" s="3" t="str">
        <f>HYPERLINK("http://www.ncbi.nlm.nih.gov/gene/94241","TP53INP1")</f>
        <v>TP53INP1</v>
      </c>
      <c r="C538">
        <v>94241</v>
      </c>
      <c r="D538" t="s">
        <v>1078</v>
      </c>
      <c r="E538" s="3" t="str">
        <f>HYPERLINK("http://genome.ucsc.edu/cgi-bin/hgTracks?db=hg19&amp;lastVirtModeType=default&amp;lastVirtModeExtraState=&amp;virtModeType=default&amp;virtMode=0&amp;nonVirtPosition=&amp;position=chr8:94925971-94949387","chr8:94925971-94949387")</f>
        <v>chr8:94925971-94949387</v>
      </c>
      <c r="F538" t="s">
        <v>22</v>
      </c>
      <c r="G538">
        <v>-0.25520164407310197</v>
      </c>
      <c r="H538">
        <v>6.2694401826579496E-2</v>
      </c>
      <c r="I538">
        <v>-4.0705651005176096</v>
      </c>
      <c r="J538" s="1">
        <v>4.6899232399011601E-5</v>
      </c>
      <c r="K538">
        <v>1.23450301942427E-3</v>
      </c>
      <c r="L538" t="s">
        <v>23</v>
      </c>
      <c r="M538" t="s">
        <v>24</v>
      </c>
      <c r="N538">
        <v>1705.0380900764001</v>
      </c>
      <c r="O538">
        <v>1867.7930956845801</v>
      </c>
      <c r="P538">
        <v>1542.2830844682201</v>
      </c>
      <c r="Q538">
        <v>1891.7991957996501</v>
      </c>
      <c r="R538">
        <v>1843.7869955695</v>
      </c>
      <c r="S538">
        <v>1552.75230937842</v>
      </c>
      <c r="T538">
        <v>1531.8138595580299</v>
      </c>
    </row>
    <row r="539" spans="1:20" x14ac:dyDescent="0.2">
      <c r="A539" t="s">
        <v>1079</v>
      </c>
      <c r="B539" s="3" t="str">
        <f>HYPERLINK("http://www.ncbi.nlm.nih.gov/gene/5362","PLXNA2")</f>
        <v>PLXNA2</v>
      </c>
      <c r="C539">
        <v>5362</v>
      </c>
      <c r="D539" t="s">
        <v>1080</v>
      </c>
      <c r="E539" s="3" t="str">
        <f>HYPERLINK("http://genome.ucsc.edu/cgi-bin/hgTracks?db=hg19&amp;lastVirtModeType=default&amp;lastVirtModeExtraState=&amp;virtModeType=default&amp;virtMode=0&amp;nonVirtPosition=&amp;position=chr1:208022242-208244320","chr1:208022242-208244320")</f>
        <v>chr1:208022242-208244320</v>
      </c>
      <c r="F539" t="s">
        <v>22</v>
      </c>
      <c r="G539">
        <v>-0.266903551350063</v>
      </c>
      <c r="H539">
        <v>6.5596547141151998E-2</v>
      </c>
      <c r="I539">
        <v>-4.06886586234081</v>
      </c>
      <c r="J539" s="1">
        <v>4.7242533891205001E-5</v>
      </c>
      <c r="K539">
        <v>1.24115729843675E-3</v>
      </c>
      <c r="L539" t="s">
        <v>23</v>
      </c>
      <c r="M539" t="s">
        <v>24</v>
      </c>
      <c r="N539">
        <v>1873.90724958275</v>
      </c>
      <c r="O539">
        <v>2061.0338439451898</v>
      </c>
      <c r="P539">
        <v>1686.7806552203101</v>
      </c>
      <c r="Q539">
        <v>1938.57823045943</v>
      </c>
      <c r="R539">
        <v>2183.4894574309401</v>
      </c>
      <c r="S539">
        <v>1680.9974175227701</v>
      </c>
      <c r="T539">
        <v>1692.5638929178499</v>
      </c>
    </row>
    <row r="540" spans="1:20" x14ac:dyDescent="0.2">
      <c r="A540" t="s">
        <v>1081</v>
      </c>
      <c r="B540" s="3" t="str">
        <f>HYPERLINK("http://www.ncbi.nlm.nih.gov/gene/57405","SPC25")</f>
        <v>SPC25</v>
      </c>
      <c r="C540">
        <v>57405</v>
      </c>
      <c r="D540" t="s">
        <v>1082</v>
      </c>
      <c r="E540" s="3" t="str">
        <f>HYPERLINK("http://genome.ucsc.edu/cgi-bin/hgTracks?db=hg19&amp;lastVirtModeType=default&amp;lastVirtModeExtraState=&amp;virtModeType=default&amp;virtMode=0&amp;nonVirtPosition=&amp;position=chr2:168870890-168890434","chr2:168870890-168890434")</f>
        <v>chr2:168870890-168890434</v>
      </c>
      <c r="F540" t="s">
        <v>22</v>
      </c>
      <c r="G540">
        <v>-0.46729945548014101</v>
      </c>
      <c r="H540">
        <v>0.114998189006812</v>
      </c>
      <c r="I540">
        <v>-4.0635375175556803</v>
      </c>
      <c r="J540" s="1">
        <v>4.83345491537107E-5</v>
      </c>
      <c r="K540">
        <v>1.26741875161374E-3</v>
      </c>
      <c r="L540" t="s">
        <v>23</v>
      </c>
      <c r="M540" t="s">
        <v>24</v>
      </c>
      <c r="N540">
        <v>191.09640554853701</v>
      </c>
      <c r="O540">
        <v>239.97209153480901</v>
      </c>
      <c r="P540">
        <v>142.22071956226401</v>
      </c>
      <c r="Q540">
        <v>235.271027259448</v>
      </c>
      <c r="R540">
        <v>244.67315581016999</v>
      </c>
      <c r="S540">
        <v>139.09661729501801</v>
      </c>
      <c r="T540">
        <v>145.34482182951101</v>
      </c>
    </row>
    <row r="541" spans="1:20" x14ac:dyDescent="0.2">
      <c r="A541" t="s">
        <v>1083</v>
      </c>
      <c r="B541" s="3" t="str">
        <f>HYPERLINK("http://www.ncbi.nlm.nih.gov/gene/7461","CLIP2")</f>
        <v>CLIP2</v>
      </c>
      <c r="C541">
        <v>7461</v>
      </c>
      <c r="D541" t="s">
        <v>1084</v>
      </c>
      <c r="E541" s="3" t="str">
        <f>HYPERLINK("http://genome.ucsc.edu/cgi-bin/hgTracks?db=hg19&amp;lastVirtModeType=default&amp;lastVirtModeExtraState=&amp;virtModeType=default&amp;virtMode=0&amp;nonVirtPosition=&amp;position=chr7:74289474-74405943","chr7:74289474-74405943")</f>
        <v>chr7:74289474-74405943</v>
      </c>
      <c r="F541" t="s">
        <v>27</v>
      </c>
      <c r="G541">
        <v>0.21590062349611899</v>
      </c>
      <c r="H541">
        <v>5.3141724374913199E-2</v>
      </c>
      <c r="I541">
        <v>4.0627327403406603</v>
      </c>
      <c r="J541" s="1">
        <v>4.8501549568203698E-5</v>
      </c>
      <c r="K541">
        <v>1.2693707075922601E-3</v>
      </c>
      <c r="L541" t="s">
        <v>23</v>
      </c>
      <c r="M541" t="s">
        <v>24</v>
      </c>
      <c r="N541">
        <v>3469.7650220973001</v>
      </c>
      <c r="O541">
        <v>3195.6772901208101</v>
      </c>
      <c r="P541">
        <v>3743.85275407379</v>
      </c>
      <c r="Q541">
        <v>3091.5438494267801</v>
      </c>
      <c r="R541">
        <v>3299.8107308148401</v>
      </c>
      <c r="S541">
        <v>3663.86408960068</v>
      </c>
      <c r="T541">
        <v>3823.8414185469001</v>
      </c>
    </row>
    <row r="542" spans="1:20" x14ac:dyDescent="0.2">
      <c r="A542" t="s">
        <v>1085</v>
      </c>
      <c r="B542" s="3" t="str">
        <f>HYPERLINK("http://www.ncbi.nlm.nih.gov/gene/401494","HACD4")</f>
        <v>HACD4</v>
      </c>
      <c r="C542">
        <v>401494</v>
      </c>
      <c r="D542" t="s">
        <v>1086</v>
      </c>
      <c r="E542" s="3" t="str">
        <f>HYPERLINK("http://genome.ucsc.edu/cgi-bin/hgTracks?db=hg19&amp;lastVirtModeType=default&amp;lastVirtModeExtraState=&amp;virtModeType=default&amp;virtMode=0&amp;nonVirtPosition=&amp;position=chr9:21003623-21031675","chr9:21003623-21031675")</f>
        <v>chr9:21003623-21031675</v>
      </c>
      <c r="F542" t="s">
        <v>22</v>
      </c>
      <c r="G542">
        <v>-0.42625005137486399</v>
      </c>
      <c r="H542">
        <v>0.104982407643742</v>
      </c>
      <c r="I542">
        <v>-4.0602045708586099</v>
      </c>
      <c r="J542" s="1">
        <v>4.9029739019086603E-5</v>
      </c>
      <c r="K542">
        <v>1.2807501731576299E-3</v>
      </c>
      <c r="L542" t="s">
        <v>23</v>
      </c>
      <c r="M542" t="s">
        <v>24</v>
      </c>
      <c r="N542">
        <v>331.54177169379301</v>
      </c>
      <c r="O542">
        <v>397.707656471451</v>
      </c>
      <c r="P542">
        <v>265.37588691613598</v>
      </c>
      <c r="Q542">
        <v>387.99081688400202</v>
      </c>
      <c r="R542">
        <v>407.42449605889999</v>
      </c>
      <c r="S542">
        <v>257.47671712056501</v>
      </c>
      <c r="T542">
        <v>273.27505671170701</v>
      </c>
    </row>
    <row r="543" spans="1:20" x14ac:dyDescent="0.2">
      <c r="A543" t="s">
        <v>1087</v>
      </c>
      <c r="B543" s="3" t="str">
        <f>HYPERLINK("http://www.ncbi.nlm.nih.gov/gene/63933","MCUR1")</f>
        <v>MCUR1</v>
      </c>
      <c r="C543">
        <v>63933</v>
      </c>
      <c r="D543" t="s">
        <v>1088</v>
      </c>
      <c r="E543" s="3" t="str">
        <f>HYPERLINK("http://genome.ucsc.edu/cgi-bin/hgTracks?db=hg19&amp;lastVirtModeType=default&amp;lastVirtModeExtraState=&amp;virtModeType=default&amp;virtMode=0&amp;nonVirtPosition=&amp;position=chr6:13786548-13814560","chr6:13786548-13814560")</f>
        <v>chr6:13786548-13814560</v>
      </c>
      <c r="F543" t="s">
        <v>22</v>
      </c>
      <c r="G543">
        <v>0.29430226273279098</v>
      </c>
      <c r="H543">
        <v>7.2500775507915796E-2</v>
      </c>
      <c r="I543">
        <v>4.0592981339993903</v>
      </c>
      <c r="J543" s="1">
        <v>4.92204378360557E-5</v>
      </c>
      <c r="K543">
        <v>1.28328723285868E-3</v>
      </c>
      <c r="L543" t="s">
        <v>23</v>
      </c>
      <c r="M543" t="s">
        <v>24</v>
      </c>
      <c r="N543">
        <v>1179.4861187578499</v>
      </c>
      <c r="O543">
        <v>1045.1023051449099</v>
      </c>
      <c r="P543">
        <v>1313.8699323707999</v>
      </c>
      <c r="Q543">
        <v>1052.5282798449</v>
      </c>
      <c r="R543">
        <v>1037.67633044492</v>
      </c>
      <c r="S543">
        <v>1354.46564217063</v>
      </c>
      <c r="T543">
        <v>1273.2742225709701</v>
      </c>
    </row>
    <row r="544" spans="1:20" x14ac:dyDescent="0.2">
      <c r="A544" t="s">
        <v>1089</v>
      </c>
      <c r="B544" s="3" t="str">
        <f>HYPERLINK("http://www.ncbi.nlm.nih.gov/gene/4940","OAS3")</f>
        <v>OAS3</v>
      </c>
      <c r="C544">
        <v>4940</v>
      </c>
      <c r="D544" t="s">
        <v>1090</v>
      </c>
      <c r="E544" s="3" t="str">
        <f>HYPERLINK("http://genome.ucsc.edu/cgi-bin/hgTracks?db=hg19&amp;lastVirtModeType=default&amp;lastVirtModeExtraState=&amp;virtModeType=default&amp;virtMode=0&amp;nonVirtPosition=&amp;position=chr12:112938432-112973249","chr12:112938432-112973249")</f>
        <v>chr12:112938432-112973249</v>
      </c>
      <c r="F544" t="s">
        <v>27</v>
      </c>
      <c r="G544">
        <v>-0.44333430812663499</v>
      </c>
      <c r="H544">
        <v>0.109436903191463</v>
      </c>
      <c r="I544">
        <v>-4.0510494650146196</v>
      </c>
      <c r="J544" s="1">
        <v>5.0988426038143898E-5</v>
      </c>
      <c r="K544">
        <v>1.3268601037706E-3</v>
      </c>
      <c r="L544" t="s">
        <v>23</v>
      </c>
      <c r="M544" t="s">
        <v>24</v>
      </c>
      <c r="N544">
        <v>272.54659100369599</v>
      </c>
      <c r="O544">
        <v>331.75567291392099</v>
      </c>
      <c r="P544">
        <v>213.33750909347299</v>
      </c>
      <c r="Q544">
        <v>315.07055697317901</v>
      </c>
      <c r="R544">
        <v>348.440788854662</v>
      </c>
      <c r="S544">
        <v>217.03018301350301</v>
      </c>
      <c r="T544">
        <v>209.644835173442</v>
      </c>
    </row>
    <row r="545" spans="1:20" x14ac:dyDescent="0.2">
      <c r="A545" t="s">
        <v>1091</v>
      </c>
      <c r="B545" s="3" t="str">
        <f>HYPERLINK("http://www.ncbi.nlm.nih.gov/gene/284996","RNF149")</f>
        <v>RNF149</v>
      </c>
      <c r="C545">
        <v>284996</v>
      </c>
      <c r="D545" t="s">
        <v>1092</v>
      </c>
      <c r="E545" s="3" t="str">
        <f>HYPERLINK("http://genome.ucsc.edu/cgi-bin/hgTracks?db=hg19&amp;lastVirtModeType=default&amp;lastVirtModeExtraState=&amp;virtModeType=default&amp;virtMode=0&amp;nonVirtPosition=&amp;position=chr2:101275600-101308716","chr2:101275600-101308716")</f>
        <v>chr2:101275600-101308716</v>
      </c>
      <c r="F545" t="s">
        <v>22</v>
      </c>
      <c r="G545">
        <v>0.233981646818402</v>
      </c>
      <c r="H545">
        <v>5.77711583470462E-2</v>
      </c>
      <c r="I545">
        <v>4.0501463621832601</v>
      </c>
      <c r="J545" s="1">
        <v>5.1185608429630102E-5</v>
      </c>
      <c r="K545">
        <v>1.3294686250074799E-3</v>
      </c>
      <c r="L545" t="s">
        <v>23</v>
      </c>
      <c r="M545" t="s">
        <v>24</v>
      </c>
      <c r="N545">
        <v>2448.4011420455599</v>
      </c>
      <c r="O545">
        <v>2237.6314377366198</v>
      </c>
      <c r="P545">
        <v>2659.1708463545101</v>
      </c>
      <c r="Q545">
        <v>2311.4346537770298</v>
      </c>
      <c r="R545">
        <v>2163.8282216962002</v>
      </c>
      <c r="S545">
        <v>2696.1067735268298</v>
      </c>
      <c r="T545">
        <v>2622.23491918219</v>
      </c>
    </row>
    <row r="546" spans="1:20" x14ac:dyDescent="0.2">
      <c r="A546" t="s">
        <v>1093</v>
      </c>
      <c r="B546" s="3" t="str">
        <f>HYPERLINK("http://www.ncbi.nlm.nih.gov/gene/7283","TUBG1")</f>
        <v>TUBG1</v>
      </c>
      <c r="C546">
        <v>7283</v>
      </c>
      <c r="D546" t="s">
        <v>1094</v>
      </c>
      <c r="E546" s="3" t="str">
        <f>HYPERLINK("http://genome.ucsc.edu/cgi-bin/hgTracks?db=hg19&amp;lastVirtModeType=default&amp;lastVirtModeExtraState=&amp;virtModeType=default&amp;virtMode=0&amp;nonVirtPosition=&amp;position=chr17:42609339-42615238","chr17:42609339-42615238")</f>
        <v>chr17:42609339-42615238</v>
      </c>
      <c r="F546" t="s">
        <v>27</v>
      </c>
      <c r="G546">
        <v>-0.252375337683659</v>
      </c>
      <c r="H546">
        <v>6.2337695079188099E-2</v>
      </c>
      <c r="I546">
        <v>-4.0485189156106003</v>
      </c>
      <c r="J546" s="1">
        <v>5.1542769108355401E-5</v>
      </c>
      <c r="K546">
        <v>1.3362146229716201E-3</v>
      </c>
      <c r="L546" t="s">
        <v>23</v>
      </c>
      <c r="M546" t="s">
        <v>24</v>
      </c>
      <c r="N546">
        <v>1767.4957080336701</v>
      </c>
      <c r="O546">
        <v>1934.0394558498001</v>
      </c>
      <c r="P546">
        <v>1600.9519602175401</v>
      </c>
      <c r="Q546">
        <v>1898.67846560256</v>
      </c>
      <c r="R546">
        <v>1969.40044609704</v>
      </c>
      <c r="S546">
        <v>1582.3473343348101</v>
      </c>
      <c r="T546">
        <v>1619.5565861002599</v>
      </c>
    </row>
    <row r="547" spans="1:20" x14ac:dyDescent="0.2">
      <c r="A547" t="s">
        <v>1095</v>
      </c>
      <c r="B547" s="3" t="str">
        <f>HYPERLINK("http://www.ncbi.nlm.nih.gov/gene/55214","P3H2")</f>
        <v>P3H2</v>
      </c>
      <c r="C547">
        <v>55214</v>
      </c>
      <c r="D547" t="s">
        <v>1096</v>
      </c>
      <c r="E547" s="3" t="str">
        <f>HYPERLINK("http://genome.ucsc.edu/cgi-bin/hgTracks?db=hg19&amp;lastVirtModeType=default&amp;lastVirtModeExtraState=&amp;virtModeType=default&amp;virtMode=0&amp;nonVirtPosition=&amp;position=chr3:189956727-190121119","chr3:189956727-190121119")</f>
        <v>chr3:189956727-190121119</v>
      </c>
      <c r="F547" t="s">
        <v>22</v>
      </c>
      <c r="G547">
        <v>-0.38154104653952198</v>
      </c>
      <c r="H547">
        <v>9.4285624781323907E-2</v>
      </c>
      <c r="I547">
        <v>-4.0466513047394796</v>
      </c>
      <c r="J547" s="1">
        <v>5.1955546660792398E-5</v>
      </c>
      <c r="K547">
        <v>1.3443742771813299E-3</v>
      </c>
      <c r="L547" t="s">
        <v>23</v>
      </c>
      <c r="M547" t="s">
        <v>24</v>
      </c>
      <c r="N547">
        <v>526.00463151333497</v>
      </c>
      <c r="O547">
        <v>612.005828856417</v>
      </c>
      <c r="P547">
        <v>440.00343417025402</v>
      </c>
      <c r="Q547">
        <v>586.11378720774701</v>
      </c>
      <c r="R547">
        <v>637.89787050508698</v>
      </c>
      <c r="S547">
        <v>423.20885687633</v>
      </c>
      <c r="T547">
        <v>456.79801146417702</v>
      </c>
    </row>
    <row r="548" spans="1:20" x14ac:dyDescent="0.2">
      <c r="A548" t="s">
        <v>1097</v>
      </c>
      <c r="B548" s="3" t="str">
        <f>HYPERLINK("http://www.ncbi.nlm.nih.gov/gene/7402","UTRN")</f>
        <v>UTRN</v>
      </c>
      <c r="C548">
        <v>7402</v>
      </c>
      <c r="D548" t="s">
        <v>1098</v>
      </c>
      <c r="E548" s="3" t="str">
        <f>HYPERLINK("http://genome.ucsc.edu/cgi-bin/hgTracks?db=hg19&amp;lastVirtModeType=default&amp;lastVirtModeExtraState=&amp;virtModeType=default&amp;virtMode=0&amp;nonVirtPosition=&amp;position=chr6:144291736-144853034","chr6:144291736-144853034")</f>
        <v>chr6:144291736-144853034</v>
      </c>
      <c r="F548" t="s">
        <v>27</v>
      </c>
      <c r="G548">
        <v>-0.231157187696411</v>
      </c>
      <c r="H548">
        <v>5.7196876287239198E-2</v>
      </c>
      <c r="I548">
        <v>-4.0414302790864598</v>
      </c>
      <c r="J548" s="1">
        <v>5.3126176900371101E-5</v>
      </c>
      <c r="K548">
        <v>1.37207606405214E-3</v>
      </c>
      <c r="L548" t="s">
        <v>23</v>
      </c>
      <c r="M548" t="s">
        <v>24</v>
      </c>
      <c r="N548">
        <v>3391.0387381778701</v>
      </c>
      <c r="O548">
        <v>3680.5526792526398</v>
      </c>
      <c r="P548">
        <v>3101.5247971030999</v>
      </c>
      <c r="Q548">
        <v>3530.4412628523</v>
      </c>
      <c r="R548">
        <v>3830.66409565298</v>
      </c>
      <c r="S548">
        <v>2973.31350728499</v>
      </c>
      <c r="T548">
        <v>3229.7360869212098</v>
      </c>
    </row>
    <row r="549" spans="1:20" x14ac:dyDescent="0.2">
      <c r="A549" t="s">
        <v>1099</v>
      </c>
      <c r="B549" s="3" t="str">
        <f>HYPERLINK("http://www.ncbi.nlm.nih.gov/gene/10983","CCNI")</f>
        <v>CCNI</v>
      </c>
      <c r="C549">
        <v>10983</v>
      </c>
      <c r="D549" t="s">
        <v>1100</v>
      </c>
      <c r="E549" s="3" t="str">
        <f>HYPERLINK("http://genome.ucsc.edu/cgi-bin/hgTracks?db=hg19&amp;lastVirtModeType=default&amp;lastVirtModeExtraState=&amp;virtModeType=default&amp;virtMode=0&amp;nonVirtPosition=&amp;position=chr4:77048020-77075972","chr4:77048020-77075972")</f>
        <v>chr4:77048020-77075972</v>
      </c>
      <c r="F549" t="s">
        <v>22</v>
      </c>
      <c r="G549">
        <v>0.165574265812968</v>
      </c>
      <c r="H549">
        <v>4.0975415612950199E-2</v>
      </c>
      <c r="I549">
        <v>4.0408196801947396</v>
      </c>
      <c r="J549" s="1">
        <v>5.3264703017501198E-5</v>
      </c>
      <c r="K549">
        <v>1.37306792703386E-3</v>
      </c>
      <c r="L549" t="s">
        <v>23</v>
      </c>
      <c r="M549" t="s">
        <v>24</v>
      </c>
      <c r="N549">
        <v>8074.1339541723501</v>
      </c>
      <c r="O549">
        <v>7595.6935423916902</v>
      </c>
      <c r="P549">
        <v>8552.5743659530108</v>
      </c>
      <c r="Q549">
        <v>7567.1967831986103</v>
      </c>
      <c r="R549">
        <v>7624.1903015847802</v>
      </c>
      <c r="S549">
        <v>8610.1792606447798</v>
      </c>
      <c r="T549">
        <v>8494.9694712612309</v>
      </c>
    </row>
    <row r="550" spans="1:20" x14ac:dyDescent="0.2">
      <c r="A550" t="s">
        <v>1101</v>
      </c>
      <c r="B550" s="3" t="str">
        <f>HYPERLINK("http://www.ncbi.nlm.nih.gov/gene/64770","CCDC14")</f>
        <v>CCDC14</v>
      </c>
      <c r="C550">
        <v>64770</v>
      </c>
      <c r="D550" t="s">
        <v>1102</v>
      </c>
      <c r="E550" s="3" t="str">
        <f>HYPERLINK("http://genome.ucsc.edu/cgi-bin/hgTracks?db=hg19&amp;lastVirtModeType=default&amp;lastVirtModeExtraState=&amp;virtModeType=default&amp;virtMode=0&amp;nonVirtPosition=&amp;position=chr3:123913426-123961408","chr3:123913426-123961408")</f>
        <v>chr3:123913426-123961408</v>
      </c>
      <c r="F550" t="s">
        <v>22</v>
      </c>
      <c r="G550">
        <v>-0.24195706469857201</v>
      </c>
      <c r="H550">
        <v>6.00245940644921E-2</v>
      </c>
      <c r="I550">
        <v>-4.0309654479063397</v>
      </c>
      <c r="J550" s="1">
        <v>5.5548210033288698E-5</v>
      </c>
      <c r="K550">
        <v>1.4292460645338101E-3</v>
      </c>
      <c r="L550" t="s">
        <v>23</v>
      </c>
      <c r="M550" t="s">
        <v>24</v>
      </c>
      <c r="N550">
        <v>2424.5565693990402</v>
      </c>
      <c r="O550">
        <v>2640.5328826209202</v>
      </c>
      <c r="P550">
        <v>2208.5802561771602</v>
      </c>
      <c r="Q550">
        <v>2665.0291216464898</v>
      </c>
      <c r="R550">
        <v>2616.0366435953501</v>
      </c>
      <c r="S550">
        <v>2313.34445075756</v>
      </c>
      <c r="T550">
        <v>2103.8160615967499</v>
      </c>
    </row>
    <row r="551" spans="1:20" x14ac:dyDescent="0.2">
      <c r="A551" t="s">
        <v>1103</v>
      </c>
      <c r="B551" s="3" t="str">
        <f>HYPERLINK("http://www.ncbi.nlm.nih.gov/gene/84935","MEDAG")</f>
        <v>MEDAG</v>
      </c>
      <c r="C551">
        <v>84935</v>
      </c>
      <c r="D551" t="s">
        <v>1104</v>
      </c>
      <c r="E551" s="3" t="str">
        <f>HYPERLINK("http://genome.ucsc.edu/cgi-bin/hgTracks?db=hg19&amp;lastVirtModeType=default&amp;lastVirtModeExtraState=&amp;virtModeType=default&amp;virtMode=0&amp;nonVirtPosition=&amp;position=chr13:30906174-30925572","chr13:30906174-30925572")</f>
        <v>chr13:30906174-30925572</v>
      </c>
      <c r="F551" t="s">
        <v>27</v>
      </c>
      <c r="G551">
        <v>0.35379223965372297</v>
      </c>
      <c r="H551">
        <v>8.7792458232130402E-2</v>
      </c>
      <c r="I551">
        <v>4.0298705239380297</v>
      </c>
      <c r="J551" s="1">
        <v>5.5807583848136703E-5</v>
      </c>
      <c r="K551">
        <v>1.43323072077406E-3</v>
      </c>
      <c r="L551" t="s">
        <v>23</v>
      </c>
      <c r="M551" t="s">
        <v>24</v>
      </c>
      <c r="N551">
        <v>717.90116635675804</v>
      </c>
      <c r="O551">
        <v>614.34235936245204</v>
      </c>
      <c r="P551">
        <v>821.45997335106199</v>
      </c>
      <c r="Q551">
        <v>661.78575503973298</v>
      </c>
      <c r="R551">
        <v>566.89896368517202</v>
      </c>
      <c r="S551">
        <v>821.75519295567199</v>
      </c>
      <c r="T551">
        <v>821.16475374645302</v>
      </c>
    </row>
    <row r="552" spans="1:20" x14ac:dyDescent="0.2">
      <c r="A552" t="s">
        <v>1105</v>
      </c>
      <c r="B552" s="3" t="str">
        <f>HYPERLINK("http://www.ncbi.nlm.nih.gov/gene/114801","TMEM200A")</f>
        <v>TMEM200A</v>
      </c>
      <c r="C552">
        <v>114801</v>
      </c>
      <c r="D552" t="s">
        <v>1106</v>
      </c>
      <c r="E552" s="3" t="str">
        <f>HYPERLINK("http://genome.ucsc.edu/cgi-bin/hgTracks?db=hg19&amp;lastVirtModeType=default&amp;lastVirtModeExtraState=&amp;virtModeType=default&amp;virtMode=0&amp;nonVirtPosition=&amp;position=chr6:130366280-130443065","chr6:130366280-130443065")</f>
        <v>chr6:130366280-130443065</v>
      </c>
      <c r="F552" t="s">
        <v>27</v>
      </c>
      <c r="G552">
        <v>0.29204447081314999</v>
      </c>
      <c r="H552">
        <v>7.2499337205559206E-2</v>
      </c>
      <c r="I552">
        <v>4.0282364235290702</v>
      </c>
      <c r="J552" s="1">
        <v>5.6196816560654199E-5</v>
      </c>
      <c r="K552">
        <v>1.4405292379678701E-3</v>
      </c>
      <c r="L552" t="s">
        <v>23</v>
      </c>
      <c r="M552" t="s">
        <v>24</v>
      </c>
      <c r="N552">
        <v>1125.7461600946101</v>
      </c>
      <c r="O552">
        <v>999.05824254424897</v>
      </c>
      <c r="P552">
        <v>1252.4340776449701</v>
      </c>
      <c r="Q552">
        <v>1008.50095310629</v>
      </c>
      <c r="R552">
        <v>989.61553198220702</v>
      </c>
      <c r="S552">
        <v>1261.7345639739499</v>
      </c>
      <c r="T552">
        <v>1243.1335913160001</v>
      </c>
    </row>
    <row r="553" spans="1:20" x14ac:dyDescent="0.2">
      <c r="A553" t="s">
        <v>1107</v>
      </c>
      <c r="B553" s="3" t="str">
        <f>HYPERLINK("http://www.ncbi.nlm.nih.gov/gene/91614","DEPDC7")</f>
        <v>DEPDC7</v>
      </c>
      <c r="C553">
        <v>91614</v>
      </c>
      <c r="D553" t="s">
        <v>1108</v>
      </c>
      <c r="E553" s="3" t="str">
        <f>HYPERLINK("http://genome.ucsc.edu/cgi-bin/hgTracks?db=hg19&amp;lastVirtModeType=default&amp;lastVirtModeExtraState=&amp;virtModeType=default&amp;virtMode=0&amp;nonVirtPosition=&amp;position=chr11:33015863-33033582","chr11:33015863-33033582")</f>
        <v>chr11:33015863-33033582</v>
      </c>
      <c r="F553" t="s">
        <v>27</v>
      </c>
      <c r="G553">
        <v>-0.41756130444496797</v>
      </c>
      <c r="H553">
        <v>0.10376524339971201</v>
      </c>
      <c r="I553">
        <v>-4.0240960341266403</v>
      </c>
      <c r="J553" s="1">
        <v>5.7194576454917798E-5</v>
      </c>
      <c r="K553">
        <v>1.46337018937079E-3</v>
      </c>
      <c r="L553" t="s">
        <v>23</v>
      </c>
      <c r="M553" t="s">
        <v>24</v>
      </c>
      <c r="N553">
        <v>356.89535784193998</v>
      </c>
      <c r="O553">
        <v>426.31702655723399</v>
      </c>
      <c r="P553">
        <v>287.47368912664501</v>
      </c>
      <c r="Q553">
        <v>443.02497530726401</v>
      </c>
      <c r="R553">
        <v>409.60907780720498</v>
      </c>
      <c r="S553">
        <v>276.22023292627603</v>
      </c>
      <c r="T553">
        <v>298.72714532701298</v>
      </c>
    </row>
    <row r="554" spans="1:20" x14ac:dyDescent="0.2">
      <c r="A554" t="s">
        <v>1109</v>
      </c>
      <c r="B554" s="3" t="str">
        <f>HYPERLINK("http://www.ncbi.nlm.nih.gov/gene/4601","MXI1")</f>
        <v>MXI1</v>
      </c>
      <c r="C554">
        <v>4601</v>
      </c>
      <c r="D554" t="s">
        <v>1110</v>
      </c>
      <c r="E554" s="3" t="str">
        <f>HYPERLINK("http://genome.ucsc.edu/cgi-bin/hgTracks?db=hg19&amp;lastVirtModeType=default&amp;lastVirtModeExtraState=&amp;virtModeType=default&amp;virtMode=0&amp;nonVirtPosition=&amp;position=chr10:110210230-110287365","chr10:110210230-110287365")</f>
        <v>chr10:110210230-110287365</v>
      </c>
      <c r="F554" t="s">
        <v>27</v>
      </c>
      <c r="G554">
        <v>0.29807951246502801</v>
      </c>
      <c r="H554">
        <v>7.4110313921146698E-2</v>
      </c>
      <c r="I554">
        <v>4.0221056516126001</v>
      </c>
      <c r="J554" s="1">
        <v>5.7680173111382302E-5</v>
      </c>
      <c r="K554">
        <v>1.4730463576340699E-3</v>
      </c>
      <c r="L554" t="s">
        <v>23</v>
      </c>
      <c r="M554" t="s">
        <v>24</v>
      </c>
      <c r="N554">
        <v>1050.7357763527</v>
      </c>
      <c r="O554">
        <v>929.40404173461604</v>
      </c>
      <c r="P554">
        <v>1172.0675109707799</v>
      </c>
      <c r="Q554">
        <v>931.45313131371995</v>
      </c>
      <c r="R554">
        <v>927.35495215551202</v>
      </c>
      <c r="S554">
        <v>1169.98998660916</v>
      </c>
      <c r="T554">
        <v>1174.1450353324101</v>
      </c>
    </row>
    <row r="555" spans="1:20" x14ac:dyDescent="0.2">
      <c r="A555" t="s">
        <v>1111</v>
      </c>
      <c r="B555" s="3" t="str">
        <f>HYPERLINK("http://www.ncbi.nlm.nih.gov/gene/2274","FHL2")</f>
        <v>FHL2</v>
      </c>
      <c r="C555">
        <v>2274</v>
      </c>
      <c r="D555" t="s">
        <v>1112</v>
      </c>
      <c r="E555" s="3" t="str">
        <f>HYPERLINK("http://genome.ucsc.edu/cgi-bin/hgTracks?db=hg19&amp;lastVirtModeType=default&amp;lastVirtModeExtraState=&amp;virtModeType=default&amp;virtMode=0&amp;nonVirtPosition=&amp;position=chr2:105360825-105399224","chr2:105360825-105399224")</f>
        <v>chr2:105360825-105399224</v>
      </c>
      <c r="F555" t="s">
        <v>22</v>
      </c>
      <c r="G555">
        <v>-0.19347353252983299</v>
      </c>
      <c r="H555">
        <v>4.8108291581980801E-2</v>
      </c>
      <c r="I555">
        <v>-4.0216255071152798</v>
      </c>
      <c r="J555" s="1">
        <v>5.7797897923191099E-5</v>
      </c>
      <c r="K555">
        <v>1.4733092418562101E-3</v>
      </c>
      <c r="L555" t="s">
        <v>23</v>
      </c>
      <c r="M555" t="s">
        <v>24</v>
      </c>
      <c r="N555">
        <v>6670.4456984794697</v>
      </c>
      <c r="O555">
        <v>7135.7583929640996</v>
      </c>
      <c r="P555">
        <v>6205.1330039948598</v>
      </c>
      <c r="Q555">
        <v>6829.7390603268896</v>
      </c>
      <c r="R555">
        <v>7441.7777256012996</v>
      </c>
      <c r="S555">
        <v>6120.2511609807798</v>
      </c>
      <c r="T555">
        <v>6290.0148470089298</v>
      </c>
    </row>
    <row r="556" spans="1:20" x14ac:dyDescent="0.2">
      <c r="A556" t="s">
        <v>1113</v>
      </c>
      <c r="B556" s="3" t="str">
        <f>HYPERLINK("http://www.ncbi.nlm.nih.gov/gene/55270","NUDT15")</f>
        <v>NUDT15</v>
      </c>
      <c r="C556">
        <v>55270</v>
      </c>
      <c r="D556" t="s">
        <v>1114</v>
      </c>
      <c r="E556" s="3" t="str">
        <f>HYPERLINK("http://genome.ucsc.edu/cgi-bin/hgTracks?db=hg19&amp;lastVirtModeType=default&amp;lastVirtModeExtraState=&amp;virtModeType=default&amp;virtMode=0&amp;nonVirtPosition=&amp;position=chr13:48037566-48041502","chr13:48037566-48041502")</f>
        <v>chr13:48037566-48041502</v>
      </c>
      <c r="F556" t="s">
        <v>27</v>
      </c>
      <c r="G556">
        <v>-0.352047392347138</v>
      </c>
      <c r="H556">
        <v>8.7654769509198205E-2</v>
      </c>
      <c r="I556">
        <v>-4.0162947700204201</v>
      </c>
      <c r="J556" s="1">
        <v>5.9120301654814297E-5</v>
      </c>
      <c r="K556">
        <v>1.5025061370905299E-3</v>
      </c>
      <c r="L556" t="s">
        <v>23</v>
      </c>
      <c r="M556" t="s">
        <v>24</v>
      </c>
      <c r="N556">
        <v>680.35836609424302</v>
      </c>
      <c r="O556">
        <v>779.88672269715903</v>
      </c>
      <c r="P556">
        <v>580.83000949132804</v>
      </c>
      <c r="Q556">
        <v>821.38481446719504</v>
      </c>
      <c r="R556">
        <v>738.38863092712199</v>
      </c>
      <c r="S556">
        <v>568.22447916262502</v>
      </c>
      <c r="T556">
        <v>593.43553982003095</v>
      </c>
    </row>
    <row r="557" spans="1:20" x14ac:dyDescent="0.2">
      <c r="A557" t="s">
        <v>1115</v>
      </c>
      <c r="B557" s="3" t="str">
        <f>HYPERLINK("http://www.ncbi.nlm.nih.gov/gene/2177","FANCD2")</f>
        <v>FANCD2</v>
      </c>
      <c r="C557">
        <v>2177</v>
      </c>
      <c r="D557" t="s">
        <v>1116</v>
      </c>
      <c r="E557" s="3" t="str">
        <f>HYPERLINK("http://genome.ucsc.edu/cgi-bin/hgTracks?db=hg19&amp;lastVirtModeType=default&amp;lastVirtModeExtraState=&amp;virtModeType=default&amp;virtMode=0&amp;nonVirtPosition=&amp;position=chr3:10026386-10099660","chr3:10026386-10099660")</f>
        <v>chr3:10026386-10099660</v>
      </c>
      <c r="F557" t="s">
        <v>27</v>
      </c>
      <c r="G557">
        <v>-0.43419678679988499</v>
      </c>
      <c r="H557">
        <v>0.108113314034618</v>
      </c>
      <c r="I557">
        <v>-4.0161268820309797</v>
      </c>
      <c r="J557" s="1">
        <v>5.9162411698183398E-5</v>
      </c>
      <c r="K557">
        <v>1.5025061370905299E-3</v>
      </c>
      <c r="L557" t="s">
        <v>23</v>
      </c>
      <c r="M557" t="s">
        <v>24</v>
      </c>
      <c r="N557">
        <v>286.09017311819002</v>
      </c>
      <c r="O557">
        <v>346.24410097159</v>
      </c>
      <c r="P557">
        <v>225.93624526478999</v>
      </c>
      <c r="Q557">
        <v>354.97032183004399</v>
      </c>
      <c r="R557">
        <v>337.51788011313698</v>
      </c>
      <c r="S557">
        <v>230.84119465981701</v>
      </c>
      <c r="T557">
        <v>221.031295869763</v>
      </c>
    </row>
    <row r="558" spans="1:20" x14ac:dyDescent="0.2">
      <c r="A558" t="s">
        <v>1117</v>
      </c>
      <c r="B558" s="3" t="str">
        <f>HYPERLINK("http://www.ncbi.nlm.nih.gov/gene/50863","NTM")</f>
        <v>NTM</v>
      </c>
      <c r="C558">
        <v>50863</v>
      </c>
      <c r="D558" t="s">
        <v>1118</v>
      </c>
      <c r="E558" s="3" t="str">
        <f>HYPERLINK("http://genome.ucsc.edu/cgi-bin/hgTracks?db=hg19&amp;lastVirtModeType=default&amp;lastVirtModeExtraState=&amp;virtModeType=default&amp;virtMode=0&amp;nonVirtPosition=&amp;position=chr11:131370475-132336822","chr11:131370475-132336822")</f>
        <v>chr11:131370475-132336822</v>
      </c>
      <c r="F558" t="s">
        <v>27</v>
      </c>
      <c r="G558">
        <v>-0.42956166570045301</v>
      </c>
      <c r="H558">
        <v>0.107165282104825</v>
      </c>
      <c r="I558">
        <v>-4.0084032558256304</v>
      </c>
      <c r="J558" s="1">
        <v>6.1130671753848096E-5</v>
      </c>
      <c r="K558">
        <v>1.5470732142409201E-3</v>
      </c>
      <c r="L558" t="s">
        <v>23</v>
      </c>
      <c r="M558" t="s">
        <v>24</v>
      </c>
      <c r="N558">
        <v>332.17210138275601</v>
      </c>
      <c r="O558">
        <v>401.28907291611898</v>
      </c>
      <c r="P558">
        <v>263.05512984939202</v>
      </c>
      <c r="Q558">
        <v>396.24594064749101</v>
      </c>
      <c r="R558">
        <v>406.33220518474701</v>
      </c>
      <c r="S558">
        <v>236.76019965109401</v>
      </c>
      <c r="T558">
        <v>289.35006004769002</v>
      </c>
    </row>
    <row r="559" spans="1:20" x14ac:dyDescent="0.2">
      <c r="A559" t="s">
        <v>1119</v>
      </c>
      <c r="B559" s="3" t="str">
        <f>HYPERLINK("http://www.ncbi.nlm.nih.gov/gene/63971","KIF13A")</f>
        <v>KIF13A</v>
      </c>
      <c r="C559">
        <v>63971</v>
      </c>
      <c r="D559" t="s">
        <v>1120</v>
      </c>
      <c r="E559" s="3" t="str">
        <f>HYPERLINK("http://genome.ucsc.edu/cgi-bin/hgTracks?db=hg19&amp;lastVirtModeType=default&amp;lastVirtModeExtraState=&amp;virtModeType=default&amp;virtMode=0&amp;nonVirtPosition=&amp;position=chr6:17950405-17987623","chr6:17950405-17987623")</f>
        <v>chr6:17950405-17987623</v>
      </c>
      <c r="F559" t="s">
        <v>22</v>
      </c>
      <c r="G559">
        <v>-0.17419777348451601</v>
      </c>
      <c r="H559">
        <v>4.3458657964241601E-2</v>
      </c>
      <c r="I559">
        <v>-4.0083560248880197</v>
      </c>
      <c r="J559" s="1">
        <v>6.1142896464822601E-5</v>
      </c>
      <c r="K559">
        <v>1.5470732142409201E-3</v>
      </c>
      <c r="L559" t="s">
        <v>23</v>
      </c>
      <c r="M559" t="s">
        <v>24</v>
      </c>
      <c r="N559">
        <v>6199.3493602028702</v>
      </c>
      <c r="O559">
        <v>6588.3324846983896</v>
      </c>
      <c r="P559">
        <v>5810.3662357073499</v>
      </c>
      <c r="Q559">
        <v>6637.1195058454796</v>
      </c>
      <c r="R559">
        <v>6539.5454635512997</v>
      </c>
      <c r="S559">
        <v>5730.5833323883498</v>
      </c>
      <c r="T559">
        <v>5890.14913902635</v>
      </c>
    </row>
    <row r="560" spans="1:20" x14ac:dyDescent="0.2">
      <c r="A560" t="s">
        <v>1121</v>
      </c>
      <c r="B560" s="3" t="str">
        <f>HYPERLINK("http://www.ncbi.nlm.nih.gov/gene/55568","GALNT10")</f>
        <v>GALNT10</v>
      </c>
      <c r="C560">
        <v>55568</v>
      </c>
      <c r="D560" t="s">
        <v>1122</v>
      </c>
      <c r="E560" s="3" t="str">
        <f>HYPERLINK("http://genome.ucsc.edu/cgi-bin/hgTracks?db=hg19&amp;lastVirtModeType=default&amp;lastVirtModeExtraState=&amp;virtModeType=default&amp;virtMode=0&amp;nonVirtPosition=&amp;position=chr5:154190734-154420983","chr5:154190734-154420983")</f>
        <v>chr5:154190734-154420983</v>
      </c>
      <c r="F560" t="s">
        <v>27</v>
      </c>
      <c r="G560">
        <v>-0.19960268514674601</v>
      </c>
      <c r="H560">
        <v>4.98088046693154E-2</v>
      </c>
      <c r="I560">
        <v>-4.0073775404152796</v>
      </c>
      <c r="J560" s="1">
        <v>6.13966773839683E-5</v>
      </c>
      <c r="K560">
        <v>1.5471188232796999E-3</v>
      </c>
      <c r="L560" t="s">
        <v>23</v>
      </c>
      <c r="M560" t="s">
        <v>24</v>
      </c>
      <c r="N560">
        <v>9678.1429324061191</v>
      </c>
      <c r="O560">
        <v>10381.186400238101</v>
      </c>
      <c r="P560">
        <v>8975.0994645740593</v>
      </c>
      <c r="Q560">
        <v>10149.6746672102</v>
      </c>
      <c r="R560">
        <v>10612.6981332661</v>
      </c>
      <c r="S560">
        <v>8513.50217912058</v>
      </c>
      <c r="T560">
        <v>9436.6967500275496</v>
      </c>
    </row>
    <row r="561" spans="1:20" x14ac:dyDescent="0.2">
      <c r="A561" t="s">
        <v>1123</v>
      </c>
      <c r="B561" s="3" t="str">
        <f>HYPERLINK("http://www.ncbi.nlm.nih.gov/gene/4205","MEF2A")</f>
        <v>MEF2A</v>
      </c>
      <c r="C561">
        <v>4205</v>
      </c>
      <c r="D561" t="s">
        <v>1124</v>
      </c>
      <c r="E561" s="3" t="str">
        <f>HYPERLINK("http://genome.ucsc.edu/cgi-bin/hgTracks?db=hg19&amp;lastVirtModeType=default&amp;lastVirtModeExtraState=&amp;virtModeType=default&amp;virtMode=0&amp;nonVirtPosition=&amp;position=chr15:99565927-99716488","chr15:99565927-99716488")</f>
        <v>chr15:99565927-99716488</v>
      </c>
      <c r="F561" t="s">
        <v>27</v>
      </c>
      <c r="G561">
        <v>0.22178331691224001</v>
      </c>
      <c r="H561">
        <v>5.5344100285845299E-2</v>
      </c>
      <c r="I561">
        <v>4.00735246876825</v>
      </c>
      <c r="J561" s="1">
        <v>6.1403193082305496E-5</v>
      </c>
      <c r="K561">
        <v>1.5471188232796999E-3</v>
      </c>
      <c r="L561" t="s">
        <v>23</v>
      </c>
      <c r="M561" t="s">
        <v>24</v>
      </c>
      <c r="N561">
        <v>2779.6282772087998</v>
      </c>
      <c r="O561">
        <v>2551.8481607634999</v>
      </c>
      <c r="P561">
        <v>3007.4083936541001</v>
      </c>
      <c r="Q561">
        <v>2466.9061513227498</v>
      </c>
      <c r="R561">
        <v>2636.79017020425</v>
      </c>
      <c r="S561">
        <v>3010.8005388964102</v>
      </c>
      <c r="T561">
        <v>3004.01624841178</v>
      </c>
    </row>
    <row r="562" spans="1:20" x14ac:dyDescent="0.2">
      <c r="A562" t="s">
        <v>1125</v>
      </c>
      <c r="B562" s="3" t="str">
        <f>HYPERLINK("http://www.ncbi.nlm.nih.gov/gene/5718","PSMD12")</f>
        <v>PSMD12</v>
      </c>
      <c r="C562">
        <v>5718</v>
      </c>
      <c r="D562" t="s">
        <v>1126</v>
      </c>
      <c r="E562" s="3" t="str">
        <f>HYPERLINK("http://genome.ucsc.edu/cgi-bin/hgTracks?db=hg19&amp;lastVirtModeType=default&amp;lastVirtModeExtraState=&amp;virtModeType=default&amp;virtMode=0&amp;nonVirtPosition=&amp;position=chr17:67337915-67366627","chr17:67337915-67366627")</f>
        <v>chr17:67337915-67366627</v>
      </c>
      <c r="F562" t="s">
        <v>22</v>
      </c>
      <c r="G562">
        <v>0.198781907980913</v>
      </c>
      <c r="H562">
        <v>4.9608104055138103E-2</v>
      </c>
      <c r="I562">
        <v>4.0070450537672802</v>
      </c>
      <c r="J562" s="1">
        <v>6.1483138303007102E-5</v>
      </c>
      <c r="K562">
        <v>1.5471188232796999E-3</v>
      </c>
      <c r="L562" t="s">
        <v>23</v>
      </c>
      <c r="M562" t="s">
        <v>24</v>
      </c>
      <c r="N562">
        <v>4345.5062263686305</v>
      </c>
      <c r="O562">
        <v>4031.4170662434699</v>
      </c>
      <c r="P562">
        <v>4659.5953864937901</v>
      </c>
      <c r="Q562">
        <v>4094.5413866907402</v>
      </c>
      <c r="R562">
        <v>3968.2927457962001</v>
      </c>
      <c r="S562">
        <v>4793.4075421027701</v>
      </c>
      <c r="T562">
        <v>4525.7832308848201</v>
      </c>
    </row>
    <row r="563" spans="1:20" x14ac:dyDescent="0.2">
      <c r="A563" t="s">
        <v>1127</v>
      </c>
      <c r="B563" s="3" t="str">
        <f>HYPERLINK("http://www.ncbi.nlm.nih.gov/gene/9168","TMSB10")</f>
        <v>TMSB10</v>
      </c>
      <c r="C563">
        <v>9168</v>
      </c>
      <c r="D563" t="s">
        <v>1128</v>
      </c>
      <c r="E563" s="3" t="str">
        <f>HYPERLINK("http://genome.ucsc.edu/cgi-bin/hgTracks?db=hg19&amp;lastVirtModeType=default&amp;lastVirtModeExtraState=&amp;virtModeType=default&amp;virtMode=0&amp;nonVirtPosition=&amp;position=chr2:84905638-84906675","chr2:84905638-84906675")</f>
        <v>chr2:84905638-84906675</v>
      </c>
      <c r="F563" t="s">
        <v>27</v>
      </c>
      <c r="G563">
        <v>-0.161097333170787</v>
      </c>
      <c r="H563">
        <v>4.0242763131204902E-2</v>
      </c>
      <c r="I563">
        <v>-4.0031379715541897</v>
      </c>
      <c r="J563" s="1">
        <v>6.2507823395973301E-5</v>
      </c>
      <c r="K563">
        <v>1.5700225092534399E-3</v>
      </c>
      <c r="L563" t="s">
        <v>23</v>
      </c>
      <c r="M563" t="s">
        <v>24</v>
      </c>
      <c r="N563">
        <v>19740.144973387301</v>
      </c>
      <c r="O563">
        <v>20874.032508555301</v>
      </c>
      <c r="P563">
        <v>18606.2574382192</v>
      </c>
      <c r="Q563">
        <v>20471.331079493099</v>
      </c>
      <c r="R563">
        <v>21276.7339376175</v>
      </c>
      <c r="S563">
        <v>18462.363068625898</v>
      </c>
      <c r="T563">
        <v>18750.151807812599</v>
      </c>
    </row>
    <row r="564" spans="1:20" x14ac:dyDescent="0.2">
      <c r="A564" t="s">
        <v>1129</v>
      </c>
      <c r="B564" s="3" t="str">
        <f>HYPERLINK("http://www.ncbi.nlm.nih.gov/gene/29948","OSGIN1")</f>
        <v>OSGIN1</v>
      </c>
      <c r="C564">
        <v>29948</v>
      </c>
      <c r="D564" t="s">
        <v>1130</v>
      </c>
      <c r="E564" s="3" t="str">
        <f>HYPERLINK("http://genome.ucsc.edu/cgi-bin/hgTracks?db=hg19&amp;lastVirtModeType=default&amp;lastVirtModeExtraState=&amp;virtModeType=default&amp;virtMode=0&amp;nonVirtPosition=&amp;position=chr16:83953221-83966332","chr16:83953221-83966332")</f>
        <v>chr16:83953221-83966332</v>
      </c>
      <c r="F564" t="s">
        <v>27</v>
      </c>
      <c r="G564">
        <v>0.23156524367616099</v>
      </c>
      <c r="H564">
        <v>5.7867933261602798E-2</v>
      </c>
      <c r="I564">
        <v>4.0016159317341904</v>
      </c>
      <c r="J564" s="1">
        <v>6.2911357677915397E-5</v>
      </c>
      <c r="K564">
        <v>1.57726939523754E-3</v>
      </c>
      <c r="L564" t="s">
        <v>23</v>
      </c>
      <c r="M564" t="s">
        <v>24</v>
      </c>
      <c r="N564">
        <v>4880.7555497155099</v>
      </c>
      <c r="O564">
        <v>4461.3155092453699</v>
      </c>
      <c r="P564">
        <v>5300.19559018565</v>
      </c>
      <c r="Q564">
        <v>4545.8214857614903</v>
      </c>
      <c r="R564">
        <v>4376.8095327292503</v>
      </c>
      <c r="S564">
        <v>5671.3932824755802</v>
      </c>
      <c r="T564">
        <v>4928.9978978957197</v>
      </c>
    </row>
    <row r="565" spans="1:20" x14ac:dyDescent="0.2">
      <c r="A565" t="s">
        <v>1131</v>
      </c>
      <c r="B565" s="3" t="str">
        <f>HYPERLINK("http://www.ncbi.nlm.nih.gov/gene/89927","C16orf45")</f>
        <v>C16orf45</v>
      </c>
      <c r="C565">
        <v>89927</v>
      </c>
      <c r="D565" t="s">
        <v>1132</v>
      </c>
      <c r="E565" s="3" t="str">
        <f>HYPERLINK("http://genome.ucsc.edu/cgi-bin/hgTracks?db=hg19&amp;lastVirtModeType=default&amp;lastVirtModeExtraState=&amp;virtModeType=default&amp;virtMode=0&amp;nonVirtPosition=&amp;position=chr16:15502265-15588259","chr16:15502265-15588259")</f>
        <v>chr16:15502265-15588259</v>
      </c>
      <c r="F565" t="s">
        <v>27</v>
      </c>
      <c r="G565">
        <v>0.25198058038396298</v>
      </c>
      <c r="H565">
        <v>6.3005328452377399E-2</v>
      </c>
      <c r="I565">
        <v>3.9993534923704499</v>
      </c>
      <c r="J565" s="1">
        <v>6.3515752120413995E-5</v>
      </c>
      <c r="K565">
        <v>1.5895164682105101E-3</v>
      </c>
      <c r="L565" t="s">
        <v>23</v>
      </c>
      <c r="M565" t="s">
        <v>24</v>
      </c>
      <c r="N565">
        <v>2392.9192281657001</v>
      </c>
      <c r="O565">
        <v>2164.4594089964098</v>
      </c>
      <c r="P565">
        <v>2621.37904733499</v>
      </c>
      <c r="Q565">
        <v>2099.55314384747</v>
      </c>
      <c r="R565">
        <v>2229.3656741453501</v>
      </c>
      <c r="S565">
        <v>2763.1888300946398</v>
      </c>
      <c r="T565">
        <v>2479.5692645753402</v>
      </c>
    </row>
    <row r="566" spans="1:20" x14ac:dyDescent="0.2">
      <c r="A566" t="s">
        <v>1133</v>
      </c>
      <c r="B566" s="3" t="str">
        <f>HYPERLINK("http://www.ncbi.nlm.nih.gov/gene/64105","CENPK")</f>
        <v>CENPK</v>
      </c>
      <c r="C566">
        <v>64105</v>
      </c>
      <c r="D566" t="s">
        <v>1134</v>
      </c>
      <c r="E566" s="3" t="str">
        <f>HYPERLINK("http://genome.ucsc.edu/cgi-bin/hgTracks?db=hg19&amp;lastVirtModeType=default&amp;lastVirtModeExtraState=&amp;virtModeType=default&amp;virtMode=0&amp;nonVirtPosition=&amp;position=chr5:65517765-65563168","chr5:65517765-65563168")</f>
        <v>chr5:65517765-65563168</v>
      </c>
      <c r="F566" t="s">
        <v>22</v>
      </c>
      <c r="G566">
        <v>-0.39546212094813499</v>
      </c>
      <c r="H566">
        <v>9.8901682845980193E-2</v>
      </c>
      <c r="I566">
        <v>-3.99853783644904</v>
      </c>
      <c r="J566" s="1">
        <v>6.37349935913842E-5</v>
      </c>
      <c r="K566">
        <v>1.59209781805509E-3</v>
      </c>
      <c r="L566" t="s">
        <v>23</v>
      </c>
      <c r="M566" t="s">
        <v>24</v>
      </c>
      <c r="N566">
        <v>474.41296385985402</v>
      </c>
      <c r="O566">
        <v>557.29146507713904</v>
      </c>
      <c r="P566">
        <v>391.53446264257002</v>
      </c>
      <c r="Q566">
        <v>595.74476493181805</v>
      </c>
      <c r="R566">
        <v>518.83816522246002</v>
      </c>
      <c r="S566">
        <v>413.34384855753501</v>
      </c>
      <c r="T566">
        <v>369.72507672760401</v>
      </c>
    </row>
    <row r="567" spans="1:20" x14ac:dyDescent="0.2">
      <c r="A567" t="s">
        <v>1135</v>
      </c>
      <c r="B567" s="3" t="str">
        <f>HYPERLINK("http://www.ncbi.nlm.nih.gov/gene/54478","FAM64A")</f>
        <v>FAM64A</v>
      </c>
      <c r="C567">
        <v>54478</v>
      </c>
      <c r="D567" t="s">
        <v>1136</v>
      </c>
      <c r="E567" s="3" t="str">
        <f>HYPERLINK("http://genome.ucsc.edu/cgi-bin/hgTracks?db=hg19&amp;lastVirtModeType=default&amp;lastVirtModeExtraState=&amp;virtModeType=default&amp;virtMode=0&amp;nonVirtPosition=&amp;position=chr17:6444414-6451065","chr17:6444414-6451065")</f>
        <v>chr17:6444414-6451065</v>
      </c>
      <c r="F567" t="s">
        <v>27</v>
      </c>
      <c r="G567">
        <v>-0.46936516366614001</v>
      </c>
      <c r="H567">
        <v>0.117438909209116</v>
      </c>
      <c r="I567">
        <v>-3.9966750953925501</v>
      </c>
      <c r="J567" s="1">
        <v>6.4238371769211001E-5</v>
      </c>
      <c r="K567">
        <v>1.60175460080538E-3</v>
      </c>
      <c r="L567" t="s">
        <v>23</v>
      </c>
      <c r="M567" t="s">
        <v>24</v>
      </c>
      <c r="N567">
        <v>152.78592878433901</v>
      </c>
      <c r="O567">
        <v>195.28290215894799</v>
      </c>
      <c r="P567">
        <v>110.288955409731</v>
      </c>
      <c r="Q567">
        <v>188.491992599675</v>
      </c>
      <c r="R567">
        <v>202.07381171822101</v>
      </c>
      <c r="S567">
        <v>115.42059732990801</v>
      </c>
      <c r="T567">
        <v>105.157313489554</v>
      </c>
    </row>
    <row r="568" spans="1:20" x14ac:dyDescent="0.2">
      <c r="A568" t="s">
        <v>1137</v>
      </c>
      <c r="B568" s="3" t="str">
        <f>HYPERLINK("http://www.ncbi.nlm.nih.gov/gene/5202","PFDN2")</f>
        <v>PFDN2</v>
      </c>
      <c r="C568">
        <v>5202</v>
      </c>
      <c r="D568" t="s">
        <v>1138</v>
      </c>
      <c r="E568" s="3" t="str">
        <f>HYPERLINK("http://genome.ucsc.edu/cgi-bin/hgTracks?db=hg19&amp;lastVirtModeType=default&amp;lastVirtModeExtraState=&amp;virtModeType=default&amp;virtMode=0&amp;nonVirtPosition=&amp;position=chr1:161100555-161118076","chr1:161100555-161118076")</f>
        <v>chr1:161100555-161118076</v>
      </c>
      <c r="F568" t="s">
        <v>22</v>
      </c>
      <c r="G568">
        <v>0.26262357135908698</v>
      </c>
      <c r="H568">
        <v>6.5785662635529693E-2</v>
      </c>
      <c r="I568">
        <v>3.9921095393397801</v>
      </c>
      <c r="J568" s="1">
        <v>6.5488107654211806E-5</v>
      </c>
      <c r="K568">
        <v>1.6299526467692599E-3</v>
      </c>
      <c r="L568" t="s">
        <v>23</v>
      </c>
      <c r="M568" t="s">
        <v>24</v>
      </c>
      <c r="N568">
        <v>1581.3162861536</v>
      </c>
      <c r="O568">
        <v>1423.4272053607899</v>
      </c>
      <c r="P568">
        <v>1739.2053669464101</v>
      </c>
      <c r="Q568">
        <v>1406.12274771436</v>
      </c>
      <c r="R568">
        <v>1440.73166300721</v>
      </c>
      <c r="S568">
        <v>1788.5260081976401</v>
      </c>
      <c r="T568">
        <v>1689.8847256951899</v>
      </c>
    </row>
    <row r="569" spans="1:20" x14ac:dyDescent="0.2">
      <c r="A569" t="s">
        <v>1139</v>
      </c>
      <c r="B569" s="3" t="str">
        <f>HYPERLINK("http://www.ncbi.nlm.nih.gov/gene/995","CDC25C")</f>
        <v>CDC25C</v>
      </c>
      <c r="C569">
        <v>995</v>
      </c>
      <c r="D569" t="s">
        <v>1140</v>
      </c>
      <c r="E569" s="3" t="str">
        <f>HYPERLINK("http://genome.ucsc.edu/cgi-bin/hgTracks?db=hg19&amp;lastVirtModeType=default&amp;lastVirtModeExtraState=&amp;virtModeType=default&amp;virtMode=0&amp;nonVirtPosition=&amp;position=chr5:138285264-138331877","chr5:138285264-138331877")</f>
        <v>chr5:138285264-138331877</v>
      </c>
      <c r="F569" t="s">
        <v>22</v>
      </c>
      <c r="G569">
        <v>-0.47052143643882299</v>
      </c>
      <c r="H569">
        <v>0.117913068020917</v>
      </c>
      <c r="I569">
        <v>-3.9904095817043399</v>
      </c>
      <c r="J569" s="1">
        <v>6.5959291285680699E-5</v>
      </c>
      <c r="K569">
        <v>1.63870601574606E-3</v>
      </c>
      <c r="L569" t="s">
        <v>23</v>
      </c>
      <c r="M569" t="s">
        <v>24</v>
      </c>
      <c r="N569">
        <v>142.14133613038899</v>
      </c>
      <c r="O569">
        <v>182.96315872105899</v>
      </c>
      <c r="P569">
        <v>101.319513539718</v>
      </c>
      <c r="Q569">
        <v>180.23686883618501</v>
      </c>
      <c r="R569">
        <v>185.68944860593299</v>
      </c>
      <c r="S569">
        <v>107.52859067487201</v>
      </c>
      <c r="T569">
        <v>95.110436404564695</v>
      </c>
    </row>
    <row r="570" spans="1:20" x14ac:dyDescent="0.2">
      <c r="A570" t="s">
        <v>1141</v>
      </c>
      <c r="B570" s="3" t="str">
        <f>HYPERLINK("http://www.ncbi.nlm.nih.gov/gene/1031","CDKN2C")</f>
        <v>CDKN2C</v>
      </c>
      <c r="C570">
        <v>1031</v>
      </c>
      <c r="D570" t="s">
        <v>1142</v>
      </c>
      <c r="E570" s="3" t="str">
        <f>HYPERLINK("http://genome.ucsc.edu/cgi-bin/hgTracks?db=hg19&amp;lastVirtModeType=default&amp;lastVirtModeExtraState=&amp;virtModeType=default&amp;virtMode=0&amp;nonVirtPosition=&amp;position=chr1:50969969-50974637","chr1:50969969-50974637")</f>
        <v>chr1:50969969-50974637</v>
      </c>
      <c r="F570" t="s">
        <v>27</v>
      </c>
      <c r="G570">
        <v>-0.412135095808073</v>
      </c>
      <c r="H570">
        <v>0.10330420905175</v>
      </c>
      <c r="I570">
        <v>-3.9895285931826301</v>
      </c>
      <c r="J570" s="1">
        <v>6.6204738606877501E-5</v>
      </c>
      <c r="K570">
        <v>1.6418296297553701E-3</v>
      </c>
      <c r="L570" t="s">
        <v>23</v>
      </c>
      <c r="M570" t="s">
        <v>24</v>
      </c>
      <c r="N570">
        <v>354.31939358453002</v>
      </c>
      <c r="O570">
        <v>421.13405166564303</v>
      </c>
      <c r="P570">
        <v>287.50473550341599</v>
      </c>
      <c r="Q570">
        <v>408.62862629272502</v>
      </c>
      <c r="R570">
        <v>433.63947703856098</v>
      </c>
      <c r="S570">
        <v>291.01774540447002</v>
      </c>
      <c r="T570">
        <v>283.99172560236201</v>
      </c>
    </row>
    <row r="571" spans="1:20" x14ac:dyDescent="0.2">
      <c r="A571" t="s">
        <v>1143</v>
      </c>
      <c r="B571" s="3" t="str">
        <f>HYPERLINK("http://www.ncbi.nlm.nih.gov/gene/9188","DDX21")</f>
        <v>DDX21</v>
      </c>
      <c r="C571">
        <v>9188</v>
      </c>
      <c r="D571" t="s">
        <v>1144</v>
      </c>
      <c r="E571" s="3" t="str">
        <f>HYPERLINK("http://genome.ucsc.edu/cgi-bin/hgTracks?db=hg19&amp;lastVirtModeType=default&amp;lastVirtModeExtraState=&amp;virtModeType=default&amp;virtMode=0&amp;nonVirtPosition=&amp;position=chr10:68956122-68985069","chr10:68956122-68985069")</f>
        <v>chr10:68956122-68985069</v>
      </c>
      <c r="F571" t="s">
        <v>27</v>
      </c>
      <c r="G571">
        <v>0.17637964598191699</v>
      </c>
      <c r="H571">
        <v>4.4234154116110702E-2</v>
      </c>
      <c r="I571">
        <v>3.98740858746697</v>
      </c>
      <c r="J571" s="1">
        <v>6.6798929082401297E-5</v>
      </c>
      <c r="K571">
        <v>1.6516815799568301E-3</v>
      </c>
      <c r="L571" t="s">
        <v>23</v>
      </c>
      <c r="M571" t="s">
        <v>24</v>
      </c>
      <c r="N571">
        <v>6446.3979000740401</v>
      </c>
      <c r="O571">
        <v>6036.9119214931297</v>
      </c>
      <c r="P571">
        <v>6855.8838786549404</v>
      </c>
      <c r="Q571">
        <v>6077.1469438887798</v>
      </c>
      <c r="R571">
        <v>5996.6768990974797</v>
      </c>
      <c r="S571">
        <v>7005.1424071767397</v>
      </c>
      <c r="T571">
        <v>6706.6253501331503</v>
      </c>
    </row>
    <row r="572" spans="1:20" x14ac:dyDescent="0.2">
      <c r="A572" t="s">
        <v>1145</v>
      </c>
      <c r="B572" s="3" t="str">
        <f>HYPERLINK("http://www.ncbi.nlm.nih.gov/gene/4147","MATN2")</f>
        <v>MATN2</v>
      </c>
      <c r="C572">
        <v>4147</v>
      </c>
      <c r="D572" t="s">
        <v>1146</v>
      </c>
      <c r="E572" s="3" t="str">
        <f>HYPERLINK("http://genome.ucsc.edu/cgi-bin/hgTracks?db=hg19&amp;lastVirtModeType=default&amp;lastVirtModeExtraState=&amp;virtModeType=default&amp;virtMode=0&amp;nonVirtPosition=&amp;position=chr8:97869020-98036718","chr8:97869020-98036718")</f>
        <v>chr8:97869020-98036718</v>
      </c>
      <c r="F572" t="s">
        <v>27</v>
      </c>
      <c r="G572">
        <v>-0.44654547001869999</v>
      </c>
      <c r="H572">
        <v>0.11199327664424701</v>
      </c>
      <c r="I572">
        <v>-3.98725247978214</v>
      </c>
      <c r="J572" s="1">
        <v>6.6842881498909194E-5</v>
      </c>
      <c r="K572">
        <v>1.6516815799568301E-3</v>
      </c>
      <c r="L572" t="s">
        <v>23</v>
      </c>
      <c r="M572" t="s">
        <v>24</v>
      </c>
      <c r="N572">
        <v>274.043255024936</v>
      </c>
      <c r="O572">
        <v>337.03338426990501</v>
      </c>
      <c r="P572">
        <v>211.05312577996699</v>
      </c>
      <c r="Q572">
        <v>302.687871327945</v>
      </c>
      <c r="R572">
        <v>371.37889721186599</v>
      </c>
      <c r="S572">
        <v>192.36766221651399</v>
      </c>
      <c r="T572">
        <v>229.73858934341999</v>
      </c>
    </row>
    <row r="573" spans="1:20" x14ac:dyDescent="0.2">
      <c r="A573" t="s">
        <v>1147</v>
      </c>
      <c r="B573" s="3" t="str">
        <f>HYPERLINK("http://www.ncbi.nlm.nih.gov/gene/3301","DNAJA1")</f>
        <v>DNAJA1</v>
      </c>
      <c r="C573">
        <v>3301</v>
      </c>
      <c r="D573" t="s">
        <v>1148</v>
      </c>
      <c r="E573" s="3" t="str">
        <f>HYPERLINK("http://genome.ucsc.edu/cgi-bin/hgTracks?db=hg19&amp;lastVirtModeType=default&amp;lastVirtModeExtraState=&amp;virtModeType=default&amp;virtMode=0&amp;nonVirtPosition=&amp;position=chr9:33025202-33039907","chr9:33025202-33039907")</f>
        <v>chr9:33025202-33039907</v>
      </c>
      <c r="F573" t="s">
        <v>27</v>
      </c>
      <c r="G573">
        <v>0.16906097152805999</v>
      </c>
      <c r="H573">
        <v>4.2406007333866597E-2</v>
      </c>
      <c r="I573">
        <v>3.9867222159593401</v>
      </c>
      <c r="J573" s="1">
        <v>6.6992382741791506E-5</v>
      </c>
      <c r="K573">
        <v>1.6523984476995101E-3</v>
      </c>
      <c r="L573" t="s">
        <v>23</v>
      </c>
      <c r="M573" t="s">
        <v>24</v>
      </c>
      <c r="N573">
        <v>7143.9111002589498</v>
      </c>
      <c r="O573">
        <v>6710.6423519536802</v>
      </c>
      <c r="P573">
        <v>7577.1798485642103</v>
      </c>
      <c r="Q573">
        <v>6737.5568449679304</v>
      </c>
      <c r="R573">
        <v>6683.72785893943</v>
      </c>
      <c r="S573">
        <v>7684.84148034176</v>
      </c>
      <c r="T573">
        <v>7469.5182167866597</v>
      </c>
    </row>
    <row r="574" spans="1:20" x14ac:dyDescent="0.2">
      <c r="A574" t="s">
        <v>1149</v>
      </c>
      <c r="B574" s="3" t="str">
        <f>HYPERLINK("http://www.ncbi.nlm.nih.gov/gene/1278","COL1A2")</f>
        <v>COL1A2</v>
      </c>
      <c r="C574">
        <v>1278</v>
      </c>
      <c r="D574" t="s">
        <v>1150</v>
      </c>
      <c r="E574" s="3" t="str">
        <f>HYPERLINK("http://genome.ucsc.edu/cgi-bin/hgTracks?db=hg19&amp;lastVirtModeType=default&amp;lastVirtModeExtraState=&amp;virtModeType=default&amp;virtMode=0&amp;nonVirtPosition=&amp;position=chr7:94394560-94431232","chr7:94394560-94431232")</f>
        <v>chr7:94394560-94431232</v>
      </c>
      <c r="F574" t="s">
        <v>27</v>
      </c>
      <c r="G574">
        <v>-0.22170064924684901</v>
      </c>
      <c r="H574">
        <v>5.5658307057076098E-2</v>
      </c>
      <c r="I574">
        <v>-3.9832445679582098</v>
      </c>
      <c r="J574" s="1">
        <v>6.7980732449313396E-5</v>
      </c>
      <c r="K574">
        <v>1.67376618457789E-3</v>
      </c>
      <c r="L574" t="s">
        <v>23</v>
      </c>
      <c r="M574" t="s">
        <v>24</v>
      </c>
      <c r="N574">
        <v>216402.12759760401</v>
      </c>
      <c r="O574">
        <v>234025.877714275</v>
      </c>
      <c r="P574">
        <v>198778.37748093199</v>
      </c>
      <c r="Q574">
        <v>223115.35751771001</v>
      </c>
      <c r="R574">
        <v>244936.39791084101</v>
      </c>
      <c r="S574">
        <v>190330.537998682</v>
      </c>
      <c r="T574">
        <v>207226.216963182</v>
      </c>
    </row>
    <row r="575" spans="1:20" x14ac:dyDescent="0.2">
      <c r="A575" t="s">
        <v>1151</v>
      </c>
      <c r="B575" s="3" t="str">
        <f>HYPERLINK("http://www.ncbi.nlm.nih.gov/gene/355","FAS")</f>
        <v>FAS</v>
      </c>
      <c r="C575">
        <v>355</v>
      </c>
      <c r="D575" t="s">
        <v>1152</v>
      </c>
      <c r="E575" s="3" t="str">
        <f>HYPERLINK("http://genome.ucsc.edu/cgi-bin/hgTracks?db=hg19&amp;lastVirtModeType=default&amp;lastVirtModeExtraState=&amp;virtModeType=default&amp;virtMode=0&amp;nonVirtPosition=&amp;position=chr10:88990558-89017061","chr10:88990558-89017061")</f>
        <v>chr10:88990558-89017061</v>
      </c>
      <c r="F575" t="s">
        <v>27</v>
      </c>
      <c r="G575">
        <v>-0.22748005131225199</v>
      </c>
      <c r="H575">
        <v>5.7121156454524397E-2</v>
      </c>
      <c r="I575">
        <v>-3.9824132673741399</v>
      </c>
      <c r="J575" s="1">
        <v>6.82190234702529E-5</v>
      </c>
      <c r="K575">
        <v>1.6766230965431E-3</v>
      </c>
      <c r="L575" t="s">
        <v>23</v>
      </c>
      <c r="M575" t="s">
        <v>24</v>
      </c>
      <c r="N575">
        <v>2502.4069300025999</v>
      </c>
      <c r="O575">
        <v>2714.19384450486</v>
      </c>
      <c r="P575">
        <v>2290.6200155003298</v>
      </c>
      <c r="Q575">
        <v>2754.4596290843001</v>
      </c>
      <c r="R575">
        <v>2673.9280599254298</v>
      </c>
      <c r="S575">
        <v>2223.5728750565199</v>
      </c>
      <c r="T575">
        <v>2357.6671559441402</v>
      </c>
    </row>
    <row r="576" spans="1:20" x14ac:dyDescent="0.2">
      <c r="A576" t="s">
        <v>1153</v>
      </c>
      <c r="B576" s="3" t="str">
        <f>HYPERLINK("http://www.ncbi.nlm.nih.gov/gene/64780","MICAL1")</f>
        <v>MICAL1</v>
      </c>
      <c r="C576">
        <v>64780</v>
      </c>
      <c r="D576" t="s">
        <v>1154</v>
      </c>
      <c r="E576" s="3" t="str">
        <f>HYPERLINK("http://genome.ucsc.edu/cgi-bin/hgTracks?db=hg19&amp;lastVirtModeType=default&amp;lastVirtModeExtraState=&amp;virtModeType=default&amp;virtMode=0&amp;nonVirtPosition=&amp;position=chr6:109444062-109455987","chr6:109444062-109455987")</f>
        <v>chr6:109444062-109455987</v>
      </c>
      <c r="F576" t="s">
        <v>22</v>
      </c>
      <c r="G576">
        <v>-0.27827273047573903</v>
      </c>
      <c r="H576">
        <v>6.9941693741979005E-2</v>
      </c>
      <c r="I576">
        <v>-3.9786387144456499</v>
      </c>
      <c r="J576" s="1">
        <v>6.9310969117587895E-5</v>
      </c>
      <c r="K576">
        <v>1.7004125768848E-3</v>
      </c>
      <c r="L576" t="s">
        <v>23</v>
      </c>
      <c r="M576" t="s">
        <v>24</v>
      </c>
      <c r="N576">
        <v>1412.6834316310701</v>
      </c>
      <c r="O576">
        <v>1562.07374434279</v>
      </c>
      <c r="P576">
        <v>1263.29311891934</v>
      </c>
      <c r="Q576">
        <v>1601.49401011694</v>
      </c>
      <c r="R576">
        <v>1522.6534785686499</v>
      </c>
      <c r="S576">
        <v>1318.95161222297</v>
      </c>
      <c r="T576">
        <v>1207.6346256157101</v>
      </c>
    </row>
    <row r="577" spans="1:20" x14ac:dyDescent="0.2">
      <c r="A577" t="s">
        <v>1155</v>
      </c>
      <c r="B577" s="3" t="str">
        <f>HYPERLINK("http://www.ncbi.nlm.nih.gov/gene/3269","HRH1")</f>
        <v>HRH1</v>
      </c>
      <c r="C577">
        <v>3269</v>
      </c>
      <c r="D577" t="s">
        <v>1156</v>
      </c>
      <c r="E577" s="3" t="str">
        <f>HYPERLINK("http://genome.ucsc.edu/cgi-bin/hgTracks?db=hg19&amp;lastVirtModeType=default&amp;lastVirtModeExtraState=&amp;virtModeType=default&amp;virtMode=0&amp;nonVirtPosition=&amp;position=chr3:11252698-11263253","chr3:11252698-11263253")</f>
        <v>chr3:11252698-11263253</v>
      </c>
      <c r="F577" t="s">
        <v>27</v>
      </c>
      <c r="G577">
        <v>0.28156703508053499</v>
      </c>
      <c r="H577">
        <v>7.0956067202699494E-2</v>
      </c>
      <c r="I577">
        <v>3.96818829144215</v>
      </c>
      <c r="J577" s="1">
        <v>7.2421104452253301E-5</v>
      </c>
      <c r="K577">
        <v>1.7735411186753599E-3</v>
      </c>
      <c r="L577" t="s">
        <v>23</v>
      </c>
      <c r="M577" t="s">
        <v>24</v>
      </c>
      <c r="N577">
        <v>1262.08200710241</v>
      </c>
      <c r="O577">
        <v>1124.5820402146601</v>
      </c>
      <c r="P577">
        <v>1399.5819739901699</v>
      </c>
      <c r="Q577">
        <v>1092.42804470176</v>
      </c>
      <c r="R577">
        <v>1156.73603572755</v>
      </c>
      <c r="S577">
        <v>1429.4397053934799</v>
      </c>
      <c r="T577">
        <v>1369.7242425868701</v>
      </c>
    </row>
    <row r="578" spans="1:20" x14ac:dyDescent="0.2">
      <c r="A578" t="s">
        <v>1157</v>
      </c>
      <c r="B578" s="3" t="str">
        <f>HYPERLINK("http://www.ncbi.nlm.nih.gov/gene/1164","CKS2")</f>
        <v>CKS2</v>
      </c>
      <c r="C578">
        <v>1164</v>
      </c>
      <c r="D578" t="s">
        <v>1158</v>
      </c>
      <c r="E578" s="3" t="str">
        <f>HYPERLINK("http://genome.ucsc.edu/cgi-bin/hgTracks?db=hg19&amp;lastVirtModeType=default&amp;lastVirtModeExtraState=&amp;virtModeType=default&amp;virtMode=0&amp;nonVirtPosition=&amp;position=chr9:89311194-89316703","chr9:89311194-89316703")</f>
        <v>chr9:89311194-89316703</v>
      </c>
      <c r="F578" t="s">
        <v>27</v>
      </c>
      <c r="G578">
        <v>-0.369111420034065</v>
      </c>
      <c r="H578">
        <v>9.3069843475480099E-2</v>
      </c>
      <c r="I578">
        <v>-3.9659615429707902</v>
      </c>
      <c r="J578" s="1">
        <v>7.3100649133573894E-5</v>
      </c>
      <c r="K578">
        <v>1.78699162605674E-3</v>
      </c>
      <c r="L578" t="s">
        <v>23</v>
      </c>
      <c r="M578" t="s">
        <v>24</v>
      </c>
      <c r="N578">
        <v>525.94206967544301</v>
      </c>
      <c r="O578">
        <v>608.06200998945098</v>
      </c>
      <c r="P578">
        <v>443.82212936143702</v>
      </c>
      <c r="Q578">
        <v>590.24134908949202</v>
      </c>
      <c r="R578">
        <v>625.88267088940904</v>
      </c>
      <c r="S578">
        <v>444.911875177681</v>
      </c>
      <c r="T578">
        <v>442.73238354519202</v>
      </c>
    </row>
    <row r="579" spans="1:20" x14ac:dyDescent="0.2">
      <c r="A579" t="s">
        <v>1159</v>
      </c>
      <c r="B579" s="3" t="str">
        <f>HYPERLINK("http://www.ncbi.nlm.nih.gov/gene/51429","SNX9")</f>
        <v>SNX9</v>
      </c>
      <c r="C579">
        <v>51429</v>
      </c>
      <c r="D579" t="s">
        <v>1160</v>
      </c>
      <c r="E579" s="3" t="str">
        <f>HYPERLINK("http://genome.ucsc.edu/cgi-bin/hgTracks?db=hg19&amp;lastVirtModeType=default&amp;lastVirtModeExtraState=&amp;virtModeType=default&amp;virtMode=0&amp;nonVirtPosition=&amp;position=chr6:157823170-157945077","chr6:157823170-157945077")</f>
        <v>chr6:157823170-157945077</v>
      </c>
      <c r="F579" t="s">
        <v>27</v>
      </c>
      <c r="G579">
        <v>0.17778879112086199</v>
      </c>
      <c r="H579">
        <v>4.4855044681774203E-2</v>
      </c>
      <c r="I579">
        <v>3.9636297852826101</v>
      </c>
      <c r="J579" s="1">
        <v>7.3818701547751699E-5</v>
      </c>
      <c r="K579">
        <v>1.79919824457447E-3</v>
      </c>
      <c r="L579" t="s">
        <v>23</v>
      </c>
      <c r="M579" t="s">
        <v>24</v>
      </c>
      <c r="N579">
        <v>5094.4528459225303</v>
      </c>
      <c r="O579">
        <v>4768.1328813753198</v>
      </c>
      <c r="P579">
        <v>5420.7728104697298</v>
      </c>
      <c r="Q579">
        <v>4730.1859164794196</v>
      </c>
      <c r="R579">
        <v>4806.07984627121</v>
      </c>
      <c r="S579">
        <v>5433.6465819925997</v>
      </c>
      <c r="T579">
        <v>5407.89903894687</v>
      </c>
    </row>
    <row r="580" spans="1:20" x14ac:dyDescent="0.2">
      <c r="A580" t="s">
        <v>1161</v>
      </c>
      <c r="B580" s="3" t="str">
        <f>HYPERLINK("http://www.ncbi.nlm.nih.gov/gene/6098","ROS1")</f>
        <v>ROS1</v>
      </c>
      <c r="C580">
        <v>6098</v>
      </c>
      <c r="D580" t="s">
        <v>1162</v>
      </c>
      <c r="E580" s="3" t="str">
        <f>HYPERLINK("http://genome.ucsc.edu/cgi-bin/hgTracks?db=hg19&amp;lastVirtModeType=default&amp;lastVirtModeExtraState=&amp;virtModeType=default&amp;virtMode=0&amp;nonVirtPosition=&amp;position=chr6:117288366-117425855","chr6:117288366-117425855")</f>
        <v>chr6:117288366-117425855</v>
      </c>
      <c r="F580" t="s">
        <v>22</v>
      </c>
      <c r="G580">
        <v>-0.467264856042161</v>
      </c>
      <c r="H580">
        <v>0.117904280573983</v>
      </c>
      <c r="I580">
        <v>-3.9630864440834199</v>
      </c>
      <c r="J580" s="1">
        <v>7.3986976256773006E-5</v>
      </c>
      <c r="K580">
        <v>1.79919824457447E-3</v>
      </c>
      <c r="L580" t="s">
        <v>23</v>
      </c>
      <c r="M580" t="s">
        <v>24</v>
      </c>
      <c r="N580">
        <v>171.05257338148499</v>
      </c>
      <c r="O580">
        <v>220.93584057300899</v>
      </c>
      <c r="P580">
        <v>121.16930618996101</v>
      </c>
      <c r="Q580">
        <v>220.13663369305101</v>
      </c>
      <c r="R580">
        <v>221.735047452967</v>
      </c>
      <c r="S580">
        <v>97.663582356076205</v>
      </c>
      <c r="T580">
        <v>144.67503002384501</v>
      </c>
    </row>
    <row r="581" spans="1:20" x14ac:dyDescent="0.2">
      <c r="A581" t="s">
        <v>1163</v>
      </c>
      <c r="B581" s="3" t="str">
        <f>HYPERLINK("http://www.ncbi.nlm.nih.gov/gene/122786","FRMD6")</f>
        <v>FRMD6</v>
      </c>
      <c r="C581">
        <v>122786</v>
      </c>
      <c r="D581" t="s">
        <v>1164</v>
      </c>
      <c r="E581" s="3" t="str">
        <f>HYPERLINK("http://genome.ucsc.edu/cgi-bin/hgTracks?db=hg19&amp;lastVirtModeType=default&amp;lastVirtModeExtraState=&amp;virtModeType=default&amp;virtMode=0&amp;nonVirtPosition=&amp;position=chr14:51489120-51730726","chr14:51489120-51730726")</f>
        <v>chr14:51489120-51730726</v>
      </c>
      <c r="F581" t="s">
        <v>27</v>
      </c>
      <c r="G581">
        <v>-0.20857470753983501</v>
      </c>
      <c r="H581">
        <v>5.2629643493619101E-2</v>
      </c>
      <c r="I581">
        <v>-3.9630651795147198</v>
      </c>
      <c r="J581" s="1">
        <v>7.3993569340819804E-5</v>
      </c>
      <c r="K581">
        <v>1.79919824457447E-3</v>
      </c>
      <c r="L581" t="s">
        <v>23</v>
      </c>
      <c r="M581" t="s">
        <v>24</v>
      </c>
      <c r="N581">
        <v>5515.3465233708503</v>
      </c>
      <c r="O581">
        <v>5935.61945581088</v>
      </c>
      <c r="P581">
        <v>5095.0735909308096</v>
      </c>
      <c r="Q581">
        <v>5687.7802730441899</v>
      </c>
      <c r="R581">
        <v>6183.4586385775701</v>
      </c>
      <c r="S581">
        <v>4890.0846236269699</v>
      </c>
      <c r="T581">
        <v>5300.0625582346502</v>
      </c>
    </row>
    <row r="582" spans="1:20" x14ac:dyDescent="0.2">
      <c r="A582" t="s">
        <v>1165</v>
      </c>
      <c r="B582" s="3" t="str">
        <f>HYPERLINK("http://www.ncbi.nlm.nih.gov/gene/387103","CENPW")</f>
        <v>CENPW</v>
      </c>
      <c r="C582">
        <v>387103</v>
      </c>
      <c r="D582" t="s">
        <v>1166</v>
      </c>
      <c r="E582" s="3" t="str">
        <f>HYPERLINK("http://genome.ucsc.edu/cgi-bin/hgTracks?db=hg19&amp;lastVirtModeType=default&amp;lastVirtModeExtraState=&amp;virtModeType=default&amp;virtMode=0&amp;nonVirtPosition=&amp;position=chr6:126339788-126348875","chr6:126339788-126348875")</f>
        <v>chr6:126339788-126348875</v>
      </c>
      <c r="F582" t="s">
        <v>27</v>
      </c>
      <c r="G582">
        <v>-0.43680343691780299</v>
      </c>
      <c r="H582">
        <v>0.110244037038858</v>
      </c>
      <c r="I582">
        <v>-3.9621502318882</v>
      </c>
      <c r="J582" s="1">
        <v>7.4277775915496303E-5</v>
      </c>
      <c r="K582">
        <v>1.8029122458497601E-3</v>
      </c>
      <c r="L582" t="s">
        <v>23</v>
      </c>
      <c r="M582" t="s">
        <v>24</v>
      </c>
      <c r="N582">
        <v>263.385975490531</v>
      </c>
      <c r="O582">
        <v>321.09534652304302</v>
      </c>
      <c r="P582">
        <v>205.67660445801999</v>
      </c>
      <c r="Q582">
        <v>312.31884905201599</v>
      </c>
      <c r="R582">
        <v>329.87184399406902</v>
      </c>
      <c r="S582">
        <v>194.34066388027301</v>
      </c>
      <c r="T582">
        <v>217.012545035767</v>
      </c>
    </row>
    <row r="583" spans="1:20" x14ac:dyDescent="0.2">
      <c r="A583" t="s">
        <v>1167</v>
      </c>
      <c r="B583" s="3" t="str">
        <f>HYPERLINK("http://www.ncbi.nlm.nih.gov/gene/2512","FTL")</f>
        <v>FTL</v>
      </c>
      <c r="C583">
        <v>2512</v>
      </c>
      <c r="D583" t="s">
        <v>1168</v>
      </c>
      <c r="E583" s="3" t="str">
        <f>HYPERLINK("http://genome.ucsc.edu/cgi-bin/hgTracks?db=hg19&amp;lastVirtModeType=default&amp;lastVirtModeExtraState=&amp;virtModeType=default&amp;virtMode=0&amp;nonVirtPosition=&amp;position=chr19:48965308-48966879","chr19:48965308-48966879")</f>
        <v>chr19:48965308-48966879</v>
      </c>
      <c r="F583" t="s">
        <v>27</v>
      </c>
      <c r="G583">
        <v>0.16682049076774699</v>
      </c>
      <c r="H583">
        <v>4.2201809118708702E-2</v>
      </c>
      <c r="I583">
        <v>3.9529227360490902</v>
      </c>
      <c r="J583" s="1">
        <v>7.7202371289549396E-5</v>
      </c>
      <c r="K583">
        <v>1.87058890435491E-3</v>
      </c>
      <c r="L583" t="s">
        <v>23</v>
      </c>
      <c r="M583" t="s">
        <v>24</v>
      </c>
      <c r="N583">
        <v>184877.256032637</v>
      </c>
      <c r="O583">
        <v>173838.486157721</v>
      </c>
      <c r="P583">
        <v>195916.025907553</v>
      </c>
      <c r="Q583">
        <v>173302.564874854</v>
      </c>
      <c r="R583">
        <v>174374.40744058701</v>
      </c>
      <c r="S583">
        <v>197015.06763549801</v>
      </c>
      <c r="T583">
        <v>194816.98417960899</v>
      </c>
    </row>
    <row r="584" spans="1:20" x14ac:dyDescent="0.2">
      <c r="A584" t="s">
        <v>1169</v>
      </c>
      <c r="B584" s="3" t="str">
        <f>HYPERLINK("http://www.ncbi.nlm.nih.gov/gene/573","BAG1")</f>
        <v>BAG1</v>
      </c>
      <c r="C584">
        <v>573</v>
      </c>
      <c r="D584" t="s">
        <v>1170</v>
      </c>
      <c r="E584" s="3" t="str">
        <f>HYPERLINK("http://genome.ucsc.edu/cgi-bin/hgTracks?db=hg19&amp;lastVirtModeType=default&amp;lastVirtModeExtraState=&amp;virtModeType=default&amp;virtMode=0&amp;nonVirtPosition=&amp;position=chr9:33252470-33264761","chr9:33252470-33264761")</f>
        <v>chr9:33252470-33264761</v>
      </c>
      <c r="F584" t="s">
        <v>22</v>
      </c>
      <c r="G584">
        <v>0.31899949624519103</v>
      </c>
      <c r="H584">
        <v>8.0725776179503606E-2</v>
      </c>
      <c r="I584">
        <v>3.9516435931920499</v>
      </c>
      <c r="J584" s="1">
        <v>7.7616277459741106E-5</v>
      </c>
      <c r="K584">
        <v>1.87730093312679E-3</v>
      </c>
      <c r="L584" t="s">
        <v>23</v>
      </c>
      <c r="M584" t="s">
        <v>24</v>
      </c>
      <c r="N584">
        <v>845.24924519377203</v>
      </c>
      <c r="O584">
        <v>737.53979374134099</v>
      </c>
      <c r="P584">
        <v>952.95869664620398</v>
      </c>
      <c r="Q584">
        <v>744.33699267462703</v>
      </c>
      <c r="R584">
        <v>730.74259480805404</v>
      </c>
      <c r="S584">
        <v>979.59532605640095</v>
      </c>
      <c r="T584">
        <v>926.322067236007</v>
      </c>
    </row>
    <row r="585" spans="1:20" x14ac:dyDescent="0.2">
      <c r="A585" t="s">
        <v>1171</v>
      </c>
      <c r="B585" s="3" t="str">
        <f>HYPERLINK("http://www.ncbi.nlm.nih.gov/gene/55103","RALGPS2")</f>
        <v>RALGPS2</v>
      </c>
      <c r="C585">
        <v>55103</v>
      </c>
      <c r="D585" t="s">
        <v>1172</v>
      </c>
      <c r="E585" s="3" t="str">
        <f>HYPERLINK("http://genome.ucsc.edu/cgi-bin/hgTracks?db=hg19&amp;lastVirtModeType=default&amp;lastVirtModeExtraState=&amp;virtModeType=default&amp;virtMode=0&amp;nonVirtPosition=&amp;position=chr1:178725146-178921842","chr1:178725146-178921842")</f>
        <v>chr1:178725146-178921842</v>
      </c>
      <c r="F585" t="s">
        <v>27</v>
      </c>
      <c r="G585">
        <v>-0.29860126815997301</v>
      </c>
      <c r="H585">
        <v>7.55827648956134E-2</v>
      </c>
      <c r="I585">
        <v>-3.95065288458775</v>
      </c>
      <c r="J585" s="1">
        <v>7.7938292666395497E-5</v>
      </c>
      <c r="K585">
        <v>1.8817706789206799E-3</v>
      </c>
      <c r="L585" t="s">
        <v>23</v>
      </c>
      <c r="M585" t="s">
        <v>24</v>
      </c>
      <c r="N585">
        <v>1223.90223260627</v>
      </c>
      <c r="O585">
        <v>1367.2428974632801</v>
      </c>
      <c r="P585">
        <v>1080.5615677492499</v>
      </c>
      <c r="Q585">
        <v>1316.6922402765599</v>
      </c>
      <c r="R585">
        <v>1417.79355465001</v>
      </c>
      <c r="S585">
        <v>1015.10935600406</v>
      </c>
      <c r="T585">
        <v>1146.0137794944401</v>
      </c>
    </row>
    <row r="586" spans="1:20" x14ac:dyDescent="0.2">
      <c r="A586" t="s">
        <v>1173</v>
      </c>
      <c r="B586" s="3" t="str">
        <f>HYPERLINK("http://www.ncbi.nlm.nih.gov/gene/150094","SIK1")</f>
        <v>SIK1</v>
      </c>
      <c r="C586">
        <v>150094</v>
      </c>
      <c r="D586" t="s">
        <v>1174</v>
      </c>
      <c r="E586" s="3" t="str">
        <f>HYPERLINK("http://genome.ucsc.edu/cgi-bin/hgTracks?db=hg19&amp;lastVirtModeType=default&amp;lastVirtModeExtraState=&amp;virtModeType=default&amp;virtMode=0&amp;nonVirtPosition=&amp;position=chr21:6111139-6123742","chr21:6111139-6123742")</f>
        <v>chr21:6111139-6123742</v>
      </c>
      <c r="F586" t="s">
        <v>27</v>
      </c>
      <c r="G586">
        <v>0.401065375748622</v>
      </c>
      <c r="H586">
        <v>0.10153807105033499</v>
      </c>
      <c r="I586">
        <v>3.9499014665130101</v>
      </c>
      <c r="J586" s="1">
        <v>7.8183371903669001E-5</v>
      </c>
      <c r="K586">
        <v>1.8843704082371099E-3</v>
      </c>
      <c r="L586" t="s">
        <v>23</v>
      </c>
      <c r="M586" t="s">
        <v>24</v>
      </c>
      <c r="N586">
        <v>393.31186099964202</v>
      </c>
      <c r="O586">
        <v>321.37890960947198</v>
      </c>
      <c r="P586">
        <v>465.24481238981201</v>
      </c>
      <c r="Q586">
        <v>315.07055697317901</v>
      </c>
      <c r="R586">
        <v>327.68726224576397</v>
      </c>
      <c r="S586">
        <v>482.39890678910399</v>
      </c>
      <c r="T586">
        <v>448.09071799051998</v>
      </c>
    </row>
    <row r="587" spans="1:20" x14ac:dyDescent="0.2">
      <c r="A587" t="s">
        <v>1175</v>
      </c>
      <c r="B587" s="3" t="str">
        <f>HYPERLINK("http://www.ncbi.nlm.nih.gov/gene/4176","MCM7")</f>
        <v>MCM7</v>
      </c>
      <c r="C587">
        <v>4176</v>
      </c>
      <c r="D587" t="s">
        <v>1176</v>
      </c>
      <c r="E587" s="3" t="str">
        <f>HYPERLINK("http://genome.ucsc.edu/cgi-bin/hgTracks?db=hg19&amp;lastVirtModeType=default&amp;lastVirtModeExtraState=&amp;virtModeType=default&amp;virtMode=0&amp;nonVirtPosition=&amp;position=chr7:100092727-100101940","chr7:100092727-100101940")</f>
        <v>chr7:100092727-100101940</v>
      </c>
      <c r="F587" t="s">
        <v>22</v>
      </c>
      <c r="G587">
        <v>-0.286982619316212</v>
      </c>
      <c r="H587">
        <v>7.2675785342684499E-2</v>
      </c>
      <c r="I587">
        <v>-3.9488065792893301</v>
      </c>
      <c r="J587" s="1">
        <v>7.8541780154180101E-5</v>
      </c>
      <c r="K587">
        <v>1.8896876719902199E-3</v>
      </c>
      <c r="L587" t="s">
        <v>23</v>
      </c>
      <c r="M587" t="s">
        <v>24</v>
      </c>
      <c r="N587">
        <v>1270.7290406396201</v>
      </c>
      <c r="O587">
        <v>1411.9320868391501</v>
      </c>
      <c r="P587">
        <v>1129.5259944401</v>
      </c>
      <c r="Q587">
        <v>1363.47127493633</v>
      </c>
      <c r="R587">
        <v>1460.3928987419599</v>
      </c>
      <c r="S587">
        <v>1080.2184109081199</v>
      </c>
      <c r="T587">
        <v>1178.8335779720701</v>
      </c>
    </row>
    <row r="588" spans="1:20" x14ac:dyDescent="0.2">
      <c r="A588" t="s">
        <v>1177</v>
      </c>
      <c r="B588" s="3" t="str">
        <f>HYPERLINK("http://www.ncbi.nlm.nih.gov/gene/55705","IPO9")</f>
        <v>IPO9</v>
      </c>
      <c r="C588">
        <v>55705</v>
      </c>
      <c r="D588" t="s">
        <v>1178</v>
      </c>
      <c r="E588" s="3" t="str">
        <f>HYPERLINK("http://genome.ucsc.edu/cgi-bin/hgTracks?db=hg19&amp;lastVirtModeType=default&amp;lastVirtModeExtraState=&amp;virtModeType=default&amp;virtMode=0&amp;nonVirtPosition=&amp;position=chr1:201829159-201884294","chr1:201829159-201884294")</f>
        <v>chr1:201829159-201884294</v>
      </c>
      <c r="F588" t="s">
        <v>27</v>
      </c>
      <c r="G588">
        <v>-0.194535767805253</v>
      </c>
      <c r="H588">
        <v>4.9400433917007901E-2</v>
      </c>
      <c r="I588">
        <v>-3.9379364183737802</v>
      </c>
      <c r="J588" s="1">
        <v>8.2185363657344106E-5</v>
      </c>
      <c r="K588">
        <v>1.9738880511327799E-3</v>
      </c>
      <c r="L588" t="s">
        <v>23</v>
      </c>
      <c r="M588" t="s">
        <v>24</v>
      </c>
      <c r="N588">
        <v>3909.4920087246601</v>
      </c>
      <c r="O588">
        <v>4187.1727731823603</v>
      </c>
      <c r="P588">
        <v>3631.8112442669499</v>
      </c>
      <c r="Q588">
        <v>4265.1472778028501</v>
      </c>
      <c r="R588">
        <v>4109.1982685618796</v>
      </c>
      <c r="S588">
        <v>3575.0790147315201</v>
      </c>
      <c r="T588">
        <v>3688.54347380238</v>
      </c>
    </row>
    <row r="589" spans="1:20" x14ac:dyDescent="0.2">
      <c r="A589" t="s">
        <v>1179</v>
      </c>
      <c r="B589" s="3" t="str">
        <f>HYPERLINK("http://www.ncbi.nlm.nih.gov/gene/26191","PTPN22")</f>
        <v>PTPN22</v>
      </c>
      <c r="C589">
        <v>26191</v>
      </c>
      <c r="D589" t="s">
        <v>1180</v>
      </c>
      <c r="E589" s="3" t="str">
        <f>HYPERLINK("http://genome.ucsc.edu/cgi-bin/hgTracks?db=hg19&amp;lastVirtModeType=default&amp;lastVirtModeExtraState=&amp;virtModeType=default&amp;virtMode=0&amp;nonVirtPosition=&amp;position=chr1:113813810-113871759","chr1:113813810-113871759")</f>
        <v>chr1:113813810-113871759</v>
      </c>
      <c r="F589" t="s">
        <v>22</v>
      </c>
      <c r="G589">
        <v>0.31553607373541098</v>
      </c>
      <c r="H589">
        <v>8.0141205088714598E-2</v>
      </c>
      <c r="I589">
        <v>3.9372514224875799</v>
      </c>
      <c r="J589" s="1">
        <v>8.2420238808549406E-5</v>
      </c>
      <c r="K589">
        <v>1.9760684528329501E-3</v>
      </c>
      <c r="L589" t="s">
        <v>23</v>
      </c>
      <c r="M589" t="s">
        <v>24</v>
      </c>
      <c r="N589">
        <v>979.25538752344301</v>
      </c>
      <c r="O589">
        <v>854.82944838404001</v>
      </c>
      <c r="P589">
        <v>1103.6813266628501</v>
      </c>
      <c r="Q589">
        <v>817.25725258545003</v>
      </c>
      <c r="R589">
        <v>892.401644182631</v>
      </c>
      <c r="S589">
        <v>1159.1384774584801</v>
      </c>
      <c r="T589">
        <v>1048.2241758672101</v>
      </c>
    </row>
    <row r="590" spans="1:20" x14ac:dyDescent="0.2">
      <c r="A590" t="s">
        <v>1181</v>
      </c>
      <c r="B590" s="3" t="str">
        <f>HYPERLINK("http://www.ncbi.nlm.nih.gov/gene/388115","C15orf52")</f>
        <v>C15orf52</v>
      </c>
      <c r="C590">
        <v>388115</v>
      </c>
      <c r="D590" t="s">
        <v>1182</v>
      </c>
      <c r="E590" s="3" t="str">
        <f>HYPERLINK("http://genome.ucsc.edu/cgi-bin/hgTracks?db=hg19&amp;lastVirtModeType=default&amp;lastVirtModeExtraState=&amp;virtModeType=default&amp;virtMode=0&amp;nonVirtPosition=&amp;position=chr15:40331451-40340967","chr15:40331451-40340967")</f>
        <v>chr15:40331451-40340967</v>
      </c>
      <c r="F590" t="s">
        <v>22</v>
      </c>
      <c r="G590">
        <v>-0.23442015451897799</v>
      </c>
      <c r="H590">
        <v>5.9593283114682698E-2</v>
      </c>
      <c r="I590">
        <v>-3.9336673911362499</v>
      </c>
      <c r="J590" s="1">
        <v>8.3659529944782494E-5</v>
      </c>
      <c r="K590">
        <v>1.9998139501751001E-3</v>
      </c>
      <c r="L590" t="s">
        <v>23</v>
      </c>
      <c r="M590" t="s">
        <v>24</v>
      </c>
      <c r="N590">
        <v>2009.8492286045</v>
      </c>
      <c r="O590">
        <v>2185.1493470912101</v>
      </c>
      <c r="P590">
        <v>1834.5491101177799</v>
      </c>
      <c r="Q590">
        <v>2226.1317082209698</v>
      </c>
      <c r="R590">
        <v>2144.1669859614499</v>
      </c>
      <c r="S590">
        <v>1835.87804812786</v>
      </c>
      <c r="T590">
        <v>1833.2201721076999</v>
      </c>
    </row>
    <row r="591" spans="1:20" x14ac:dyDescent="0.2">
      <c r="A591" t="s">
        <v>1183</v>
      </c>
      <c r="B591" s="3" t="str">
        <f>HYPERLINK("http://www.ncbi.nlm.nih.gov/gene/4171","MCM2")</f>
        <v>MCM2</v>
      </c>
      <c r="C591">
        <v>4171</v>
      </c>
      <c r="D591" t="s">
        <v>1184</v>
      </c>
      <c r="E591" s="3" t="str">
        <f>HYPERLINK("http://genome.ucsc.edu/cgi-bin/hgTracks?db=hg19&amp;lastVirtModeType=default&amp;lastVirtModeExtraState=&amp;virtModeType=default&amp;virtMode=0&amp;nonVirtPosition=&amp;position=chr3:127598356-127622435","chr3:127598356-127622435")</f>
        <v>chr3:127598356-127622435</v>
      </c>
      <c r="F591" t="s">
        <v>27</v>
      </c>
      <c r="G591">
        <v>-0.30295486759429102</v>
      </c>
      <c r="H591">
        <v>7.7018286658526794E-2</v>
      </c>
      <c r="I591">
        <v>-3.93354462606383</v>
      </c>
      <c r="J591" s="1">
        <v>8.3702290170665402E-5</v>
      </c>
      <c r="K591">
        <v>1.9998139501751001E-3</v>
      </c>
      <c r="L591" t="s">
        <v>23</v>
      </c>
      <c r="M591" t="s">
        <v>24</v>
      </c>
      <c r="N591">
        <v>981.95408498388997</v>
      </c>
      <c r="O591">
        <v>1099.72701606705</v>
      </c>
      <c r="P591">
        <v>864.18115390072899</v>
      </c>
      <c r="Q591">
        <v>1126.8243937162999</v>
      </c>
      <c r="R591">
        <v>1072.6296384177999</v>
      </c>
      <c r="S591">
        <v>837.53920626574495</v>
      </c>
      <c r="T591">
        <v>890.823101535712</v>
      </c>
    </row>
    <row r="592" spans="1:20" x14ac:dyDescent="0.2">
      <c r="A592" t="s">
        <v>1185</v>
      </c>
      <c r="B592" s="3" t="str">
        <f>HYPERLINK("http://www.ncbi.nlm.nih.gov/gene/730755","KRTAP2-3")</f>
        <v>KRTAP2-3</v>
      </c>
      <c r="C592">
        <v>730755</v>
      </c>
      <c r="D592" t="s">
        <v>1186</v>
      </c>
      <c r="E592" s="3" t="str">
        <f>HYPERLINK("http://genome.ucsc.edu/cgi-bin/hgTracks?db=hg19&amp;lastVirtModeType=default&amp;lastVirtModeExtraState=&amp;virtModeType=default&amp;virtMode=0&amp;nonVirtPosition=&amp;position=chr17:41059240-41060092","chr17:41059240-41060092")</f>
        <v>chr17:41059240-41060092</v>
      </c>
      <c r="F592" t="s">
        <v>22</v>
      </c>
      <c r="G592">
        <v>-0.40994995627853897</v>
      </c>
      <c r="H592">
        <v>0.10425263199809399</v>
      </c>
      <c r="I592">
        <v>-3.93227440325952</v>
      </c>
      <c r="J592" s="1">
        <v>8.4145934807397602E-5</v>
      </c>
      <c r="K592">
        <v>2.0069171303454801E-3</v>
      </c>
      <c r="L592" t="s">
        <v>23</v>
      </c>
      <c r="M592" t="s">
        <v>24</v>
      </c>
      <c r="N592">
        <v>501.23406966072997</v>
      </c>
      <c r="O592">
        <v>598.39923800833196</v>
      </c>
      <c r="P592">
        <v>404.06890131312798</v>
      </c>
      <c r="Q592">
        <v>634.268675828102</v>
      </c>
      <c r="R592">
        <v>562.52980018856204</v>
      </c>
      <c r="S592">
        <v>343.30228949408598</v>
      </c>
      <c r="T592">
        <v>464.83551313216901</v>
      </c>
    </row>
    <row r="593" spans="1:20" x14ac:dyDescent="0.2">
      <c r="A593" t="s">
        <v>1187</v>
      </c>
      <c r="B593" s="3" t="str">
        <f>HYPERLINK("http://www.ncbi.nlm.nih.gov/gene/4008","LMO7")</f>
        <v>LMO7</v>
      </c>
      <c r="C593">
        <v>4008</v>
      </c>
      <c r="D593" t="s">
        <v>1188</v>
      </c>
      <c r="E593" s="3" t="str">
        <f>HYPERLINK("http://genome.ucsc.edu/cgi-bin/hgTracks?db=hg19&amp;lastVirtModeType=default&amp;lastVirtModeExtraState=&amp;virtModeType=default&amp;virtMode=0&amp;nonVirtPosition=&amp;position=chr13:75620433-75859871","chr13:75620433-75859871")</f>
        <v>chr13:75620433-75859871</v>
      </c>
      <c r="F593" t="s">
        <v>27</v>
      </c>
      <c r="G593">
        <v>-0.17159838694235199</v>
      </c>
      <c r="H593">
        <v>4.3706214948762201E-2</v>
      </c>
      <c r="I593">
        <v>-3.9261781681054</v>
      </c>
      <c r="J593" s="1">
        <v>8.6306236912731698E-5</v>
      </c>
      <c r="K593">
        <v>2.0548675920506999E-3</v>
      </c>
      <c r="L593" t="s">
        <v>23</v>
      </c>
      <c r="M593" t="s">
        <v>24</v>
      </c>
      <c r="N593">
        <v>8429.7564844320805</v>
      </c>
      <c r="O593">
        <v>8949.9815444296291</v>
      </c>
      <c r="P593">
        <v>7909.53142443454</v>
      </c>
      <c r="Q593">
        <v>8816.4721794066809</v>
      </c>
      <c r="R593">
        <v>9083.4909094525792</v>
      </c>
      <c r="S593">
        <v>7706.5444986431103</v>
      </c>
      <c r="T593">
        <v>8112.5183502259697</v>
      </c>
    </row>
    <row r="594" spans="1:20" x14ac:dyDescent="0.2">
      <c r="A594" t="s">
        <v>1189</v>
      </c>
      <c r="B594" s="3" t="str">
        <f>HYPERLINK("http://www.ncbi.nlm.nih.gov/gene/9289","ADGRG1")</f>
        <v>ADGRG1</v>
      </c>
      <c r="C594">
        <v>9289</v>
      </c>
      <c r="D594" t="s">
        <v>1190</v>
      </c>
      <c r="E594" s="3" t="str">
        <f>HYPERLINK("http://genome.ucsc.edu/cgi-bin/hgTracks?db=hg19&amp;lastVirtModeType=default&amp;lastVirtModeExtraState=&amp;virtModeType=default&amp;virtMode=0&amp;nonVirtPosition=&amp;position=chr16:57628225-57665039","chr16:57628225-57665039")</f>
        <v>chr16:57628225-57665039</v>
      </c>
      <c r="F594" t="s">
        <v>27</v>
      </c>
      <c r="G594">
        <v>0.20402587798612001</v>
      </c>
      <c r="H594">
        <v>5.1971080235106798E-2</v>
      </c>
      <c r="I594">
        <v>3.92575788425308</v>
      </c>
      <c r="J594" s="1">
        <v>8.6457086296870206E-5</v>
      </c>
      <c r="K594">
        <v>2.0548916490039501E-3</v>
      </c>
      <c r="L594" t="s">
        <v>23</v>
      </c>
      <c r="M594" t="s">
        <v>24</v>
      </c>
      <c r="N594">
        <v>4064.28766514273</v>
      </c>
      <c r="O594">
        <v>3759.5275840501299</v>
      </c>
      <c r="P594">
        <v>4369.0477462353201</v>
      </c>
      <c r="Q594">
        <v>3724.4366712943001</v>
      </c>
      <c r="R594">
        <v>3794.6184968059501</v>
      </c>
      <c r="S594">
        <v>4541.8498299734802</v>
      </c>
      <c r="T594">
        <v>4196.2456624971701</v>
      </c>
    </row>
    <row r="595" spans="1:20" x14ac:dyDescent="0.2">
      <c r="A595" t="s">
        <v>1191</v>
      </c>
      <c r="B595" s="3" t="str">
        <f>HYPERLINK("http://www.ncbi.nlm.nih.gov/gene/57178","ZMIZ1")</f>
        <v>ZMIZ1</v>
      </c>
      <c r="C595">
        <v>57178</v>
      </c>
      <c r="D595" t="s">
        <v>1192</v>
      </c>
      <c r="E595" s="3" t="str">
        <f>HYPERLINK("http://genome.ucsc.edu/cgi-bin/hgTracks?db=hg19&amp;lastVirtModeType=default&amp;lastVirtModeExtraState=&amp;virtModeType=default&amp;virtMode=0&amp;nonVirtPosition=&amp;position=chr10:79069034-79316528","chr10:79069034-79316528")</f>
        <v>chr10:79069034-79316528</v>
      </c>
      <c r="F595" t="s">
        <v>27</v>
      </c>
      <c r="G595">
        <v>0.15940350899125699</v>
      </c>
      <c r="H595">
        <v>4.06212009430564E-2</v>
      </c>
      <c r="I595">
        <v>3.92414565031478</v>
      </c>
      <c r="J595" s="1">
        <v>8.7038067459664403E-5</v>
      </c>
      <c r="K595">
        <v>2.0651212061277499E-3</v>
      </c>
      <c r="L595" t="s">
        <v>23</v>
      </c>
      <c r="M595" t="s">
        <v>24</v>
      </c>
      <c r="N595">
        <v>10837.5729708341</v>
      </c>
      <c r="O595">
        <v>10218.8451537974</v>
      </c>
      <c r="P595">
        <v>11456.300787871</v>
      </c>
      <c r="Q595">
        <v>10042.358058284901</v>
      </c>
      <c r="R595">
        <v>10395.3322493098</v>
      </c>
      <c r="S595">
        <v>11515.4242105301</v>
      </c>
      <c r="T595">
        <v>11397.177365211801</v>
      </c>
    </row>
    <row r="596" spans="1:20" x14ac:dyDescent="0.2">
      <c r="A596" t="s">
        <v>1193</v>
      </c>
      <c r="B596" s="3" t="str">
        <f>HYPERLINK("http://www.ncbi.nlm.nih.gov/gene/4837","NNMT")</f>
        <v>NNMT</v>
      </c>
      <c r="C596">
        <v>4837</v>
      </c>
      <c r="D596" t="s">
        <v>1194</v>
      </c>
      <c r="E596" s="3" t="str">
        <f>HYPERLINK("http://genome.ucsc.edu/cgi-bin/hgTracks?db=hg19&amp;lastVirtModeType=default&amp;lastVirtModeExtraState=&amp;virtModeType=default&amp;virtMode=0&amp;nonVirtPosition=&amp;position=chr11:114295812-114312516","chr11:114295812-114312516")</f>
        <v>chr11:114295812-114312516</v>
      </c>
      <c r="F596" t="s">
        <v>27</v>
      </c>
      <c r="G596">
        <v>-0.198064210556915</v>
      </c>
      <c r="H596">
        <v>5.0497314415022199E-2</v>
      </c>
      <c r="I596">
        <v>-3.9222721614279301</v>
      </c>
      <c r="J596" s="1">
        <v>8.7717827366730805E-5</v>
      </c>
      <c r="K596">
        <v>2.0776550682337601E-3</v>
      </c>
      <c r="L596" t="s">
        <v>23</v>
      </c>
      <c r="M596" t="s">
        <v>24</v>
      </c>
      <c r="N596">
        <v>3592.3550303311399</v>
      </c>
      <c r="O596">
        <v>3850.9436793996801</v>
      </c>
      <c r="P596">
        <v>3333.7663812626101</v>
      </c>
      <c r="Q596">
        <v>3779.4708297175598</v>
      </c>
      <c r="R596">
        <v>3922.4165290818</v>
      </c>
      <c r="S596">
        <v>3283.0747684951698</v>
      </c>
      <c r="T596">
        <v>3384.45799403004</v>
      </c>
    </row>
    <row r="597" spans="1:20" x14ac:dyDescent="0.2">
      <c r="A597" t="s">
        <v>1195</v>
      </c>
      <c r="B597" s="3" t="str">
        <f>HYPERLINK("http://www.ncbi.nlm.nih.gov/gene/4835","NQO2")</f>
        <v>NQO2</v>
      </c>
      <c r="C597">
        <v>4835</v>
      </c>
      <c r="D597" t="s">
        <v>1196</v>
      </c>
      <c r="E597" s="3" t="str">
        <f>HYPERLINK("http://genome.ucsc.edu/cgi-bin/hgTracks?db=hg19&amp;lastVirtModeType=default&amp;lastVirtModeExtraState=&amp;virtModeType=default&amp;virtMode=0&amp;nonVirtPosition=&amp;position=chr6:2999815-3019876","chr6:2999815-3019876")</f>
        <v>chr6:2999815-3019876</v>
      </c>
      <c r="F597" t="s">
        <v>27</v>
      </c>
      <c r="G597">
        <v>0.28712264355588302</v>
      </c>
      <c r="H597">
        <v>7.3259819514663094E-2</v>
      </c>
      <c r="I597">
        <v>3.9192376593067499</v>
      </c>
      <c r="J597" s="1">
        <v>8.8829490566850596E-5</v>
      </c>
      <c r="K597">
        <v>2.1003579890237702E-3</v>
      </c>
      <c r="L597" t="s">
        <v>23</v>
      </c>
      <c r="M597" t="s">
        <v>24</v>
      </c>
      <c r="N597">
        <v>1136.0250883496601</v>
      </c>
      <c r="O597">
        <v>1008.9047575401499</v>
      </c>
      <c r="P597">
        <v>1263.1454191591699</v>
      </c>
      <c r="Q597">
        <v>976.85631201291199</v>
      </c>
      <c r="R597">
        <v>1040.9532030673799</v>
      </c>
      <c r="S597">
        <v>1280.47807977967</v>
      </c>
      <c r="T597">
        <v>1245.8127585386601</v>
      </c>
    </row>
    <row r="598" spans="1:20" x14ac:dyDescent="0.2">
      <c r="A598" t="s">
        <v>1197</v>
      </c>
      <c r="B598" s="3" t="str">
        <f>HYPERLINK("http://www.ncbi.nlm.nih.gov/gene/3065","HDAC1")</f>
        <v>HDAC1</v>
      </c>
      <c r="C598">
        <v>3065</v>
      </c>
      <c r="D598" t="s">
        <v>1198</v>
      </c>
      <c r="E598" s="3" t="str">
        <f>HYPERLINK("http://genome.ucsc.edu/cgi-bin/hgTracks?db=hg19&amp;lastVirtModeType=default&amp;lastVirtModeExtraState=&amp;virtModeType=default&amp;virtMode=0&amp;nonVirtPosition=&amp;position=chr1:32292106-32333623","chr1:32292106-32333623")</f>
        <v>chr1:32292106-32333623</v>
      </c>
      <c r="F598" t="s">
        <v>27</v>
      </c>
      <c r="G598">
        <v>-0.22287247329274601</v>
      </c>
      <c r="H598">
        <v>5.68796928850182E-2</v>
      </c>
      <c r="I598">
        <v>-3.9183135841341601</v>
      </c>
      <c r="J598" s="1">
        <v>8.9170652306413097E-5</v>
      </c>
      <c r="K598">
        <v>2.1047957413599799E-3</v>
      </c>
      <c r="L598" t="s">
        <v>23</v>
      </c>
      <c r="M598" t="s">
        <v>24</v>
      </c>
      <c r="N598">
        <v>2307.6839529466101</v>
      </c>
      <c r="O598">
        <v>2496.3880114038402</v>
      </c>
      <c r="P598">
        <v>2118.9798944893801</v>
      </c>
      <c r="Q598">
        <v>2495.79908449496</v>
      </c>
      <c r="R598">
        <v>2496.97693831272</v>
      </c>
      <c r="S598">
        <v>2151.5583143293202</v>
      </c>
      <c r="T598">
        <v>2086.4014746494299</v>
      </c>
    </row>
    <row r="599" spans="1:20" x14ac:dyDescent="0.2">
      <c r="A599" t="s">
        <v>1199</v>
      </c>
      <c r="B599" s="3" t="str">
        <f>HYPERLINK("http://www.ncbi.nlm.nih.gov/gene/51155","HN1")</f>
        <v>HN1</v>
      </c>
      <c r="C599">
        <v>51155</v>
      </c>
      <c r="D599" t="s">
        <v>1200</v>
      </c>
      <c r="E599" s="3" t="str">
        <f>HYPERLINK("http://genome.ucsc.edu/cgi-bin/hgTracks?db=hg19&amp;lastVirtModeType=default&amp;lastVirtModeExtraState=&amp;virtModeType=default&amp;virtMode=0&amp;nonVirtPosition=&amp;position=chr17:75135242-75153293","chr17:75135242-75153293")</f>
        <v>chr17:75135242-75153293</v>
      </c>
      <c r="F599" t="s">
        <v>22</v>
      </c>
      <c r="G599">
        <v>-0.25154186244666099</v>
      </c>
      <c r="H599">
        <v>6.4238144451540996E-2</v>
      </c>
      <c r="I599">
        <v>-3.9157709892510302</v>
      </c>
      <c r="J599" s="1">
        <v>9.01157592586901E-5</v>
      </c>
      <c r="K599">
        <v>2.1234493513293401E-3</v>
      </c>
      <c r="L599" t="s">
        <v>23</v>
      </c>
      <c r="M599" t="s">
        <v>24</v>
      </c>
      <c r="N599">
        <v>1800.93353259879</v>
      </c>
      <c r="O599">
        <v>1971.8283946869699</v>
      </c>
      <c r="P599">
        <v>1630.03867051061</v>
      </c>
      <c r="Q599">
        <v>1926.19554481419</v>
      </c>
      <c r="R599">
        <v>2017.46124455975</v>
      </c>
      <c r="S599">
        <v>1569.5228235203799</v>
      </c>
      <c r="T599">
        <v>1690.5545175008499</v>
      </c>
    </row>
    <row r="600" spans="1:20" x14ac:dyDescent="0.2">
      <c r="A600" t="s">
        <v>1201</v>
      </c>
      <c r="B600" s="3" t="str">
        <f>HYPERLINK("http://www.ncbi.nlm.nih.gov/gene/100996693","LOC100996693")</f>
        <v>LOC100996693</v>
      </c>
      <c r="C600">
        <v>100996693</v>
      </c>
      <c r="D600" t="s">
        <v>1202</v>
      </c>
      <c r="E600" s="3" t="str">
        <f>HYPERLINK("http://genome.ucsc.edu/cgi-bin/hgTracks?db=hg19&amp;lastVirtModeType=default&amp;lastVirtModeExtraState=&amp;virtModeType=default&amp;virtMode=0&amp;nonVirtPosition=&amp;position=chr2:219496354-219498287","chr2:219496354-219498287")</f>
        <v>chr2:219496354-219498287</v>
      </c>
      <c r="F600" t="s">
        <v>27</v>
      </c>
      <c r="G600">
        <v>-0.24403524736458401</v>
      </c>
      <c r="H600">
        <v>6.23791357271372E-2</v>
      </c>
      <c r="I600">
        <v>-3.9121293445304901</v>
      </c>
      <c r="J600" s="1">
        <v>9.1485887455748194E-5</v>
      </c>
      <c r="K600">
        <v>2.1520368105799898E-3</v>
      </c>
      <c r="L600" t="s">
        <v>23</v>
      </c>
      <c r="M600" t="s">
        <v>24</v>
      </c>
      <c r="N600">
        <v>2930.42994464711</v>
      </c>
      <c r="O600">
        <v>3200.5175507123799</v>
      </c>
      <c r="P600">
        <v>2660.3423385818401</v>
      </c>
      <c r="Q600">
        <v>3430.0039237298402</v>
      </c>
      <c r="R600">
        <v>2971.0311776949302</v>
      </c>
      <c r="S600">
        <v>2605.3486969939099</v>
      </c>
      <c r="T600">
        <v>2715.3359801697602</v>
      </c>
    </row>
    <row r="601" spans="1:20" x14ac:dyDescent="0.2">
      <c r="A601" t="s">
        <v>1201</v>
      </c>
      <c r="B601" s="3" t="str">
        <f>HYPERLINK("http://www.ncbi.nlm.nih.gov/gene/10290","SPEG")</f>
        <v>SPEG</v>
      </c>
      <c r="C601">
        <v>10290</v>
      </c>
      <c r="D601" t="s">
        <v>1203</v>
      </c>
      <c r="E601" s="3" t="str">
        <f>HYPERLINK("http://genome.ucsc.edu/cgi-bin/hgTracks?db=hg19&amp;lastVirtModeType=default&amp;lastVirtModeExtraState=&amp;virtModeType=default&amp;virtMode=0&amp;nonVirtPosition=&amp;position=chr2:219434977-219493632","chr2:219434977-219493632")</f>
        <v>chr2:219434977-219493632</v>
      </c>
      <c r="F601" t="s">
        <v>27</v>
      </c>
      <c r="G601">
        <v>-0.24403524736458401</v>
      </c>
      <c r="H601">
        <v>6.23791357271372E-2</v>
      </c>
      <c r="I601">
        <v>-3.9121293445304901</v>
      </c>
      <c r="J601" s="1">
        <v>9.1485887455748194E-5</v>
      </c>
      <c r="K601">
        <v>2.1520368105799898E-3</v>
      </c>
      <c r="L601" t="s">
        <v>23</v>
      </c>
      <c r="M601" t="s">
        <v>24</v>
      </c>
      <c r="N601">
        <v>2930.42994464711</v>
      </c>
      <c r="O601">
        <v>3200.5175507123799</v>
      </c>
      <c r="P601">
        <v>2660.3423385818401</v>
      </c>
      <c r="Q601">
        <v>3430.0039237298402</v>
      </c>
      <c r="R601">
        <v>2971.0311776949302</v>
      </c>
      <c r="S601">
        <v>2605.3486969939099</v>
      </c>
      <c r="T601">
        <v>2715.3359801697602</v>
      </c>
    </row>
    <row r="602" spans="1:20" x14ac:dyDescent="0.2">
      <c r="A602" t="s">
        <v>1204</v>
      </c>
      <c r="B602" s="3" t="str">
        <f>HYPERLINK("http://www.ncbi.nlm.nih.gov/gene/9586","CREB5")</f>
        <v>CREB5</v>
      </c>
      <c r="C602">
        <v>9586</v>
      </c>
      <c r="D602" t="s">
        <v>1205</v>
      </c>
      <c r="E602" s="3" t="str">
        <f>HYPERLINK("http://genome.ucsc.edu/cgi-bin/hgTracks?db=hg19&amp;lastVirtModeType=default&amp;lastVirtModeExtraState=&amp;virtModeType=default&amp;virtMode=0&amp;nonVirtPosition=&amp;position=chr7:28299320-28825894","chr7:28299320-28825894")</f>
        <v>chr7:28299320-28825894</v>
      </c>
      <c r="F602" t="s">
        <v>27</v>
      </c>
      <c r="G602">
        <v>0.39242671345184699</v>
      </c>
      <c r="H602">
        <v>0.100338748477614</v>
      </c>
      <c r="I602">
        <v>3.9110186184891398</v>
      </c>
      <c r="J602" s="1">
        <v>9.1907686215142597E-5</v>
      </c>
      <c r="K602">
        <v>2.1582568643055901E-3</v>
      </c>
      <c r="L602" t="s">
        <v>23</v>
      </c>
      <c r="M602" t="s">
        <v>24</v>
      </c>
      <c r="N602">
        <v>418.11766101120998</v>
      </c>
      <c r="O602">
        <v>343.99657701593998</v>
      </c>
      <c r="P602">
        <v>492.23874500647901</v>
      </c>
      <c r="Q602">
        <v>338.46007430306503</v>
      </c>
      <c r="R602">
        <v>349.53307972881498</v>
      </c>
      <c r="S602">
        <v>514.953434241129</v>
      </c>
      <c r="T602">
        <v>469.52405577182998</v>
      </c>
    </row>
    <row r="603" spans="1:20" x14ac:dyDescent="0.2">
      <c r="A603" t="s">
        <v>1206</v>
      </c>
      <c r="B603" s="3" t="str">
        <f>HYPERLINK("http://www.ncbi.nlm.nih.gov/gene/64114","TMBIM1")</f>
        <v>TMBIM1</v>
      </c>
      <c r="C603">
        <v>64114</v>
      </c>
      <c r="D603" t="s">
        <v>1207</v>
      </c>
      <c r="E603" s="3" t="str">
        <f>HYPERLINK("http://genome.ucsc.edu/cgi-bin/hgTracks?db=hg19&amp;lastVirtModeType=default&amp;lastVirtModeExtraState=&amp;virtModeType=default&amp;virtMode=0&amp;nonVirtPosition=&amp;position=chr2:218274191-218290002","chr2:218274191-218290002")</f>
        <v>chr2:218274191-218290002</v>
      </c>
      <c r="F603" t="s">
        <v>22</v>
      </c>
      <c r="G603">
        <v>0.170209091443903</v>
      </c>
      <c r="H603">
        <v>4.35457471741773E-2</v>
      </c>
      <c r="I603">
        <v>3.9087420124653902</v>
      </c>
      <c r="J603" s="1">
        <v>9.2777975787341306E-5</v>
      </c>
      <c r="K603">
        <v>2.1734203907470199E-3</v>
      </c>
      <c r="L603" t="s">
        <v>23</v>
      </c>
      <c r="M603" t="s">
        <v>24</v>
      </c>
      <c r="N603">
        <v>11317.928645354499</v>
      </c>
      <c r="O603">
        <v>10623.374867778401</v>
      </c>
      <c r="P603">
        <v>12012.4824229306</v>
      </c>
      <c r="Q603">
        <v>10321.6564122829</v>
      </c>
      <c r="R603">
        <v>10925.093323273801</v>
      </c>
      <c r="S603">
        <v>12232.6103153065</v>
      </c>
      <c r="T603">
        <v>11792.3545305547</v>
      </c>
    </row>
    <row r="604" spans="1:20" x14ac:dyDescent="0.2">
      <c r="A604" t="s">
        <v>1206</v>
      </c>
      <c r="B604" s="3" t="str">
        <f>HYPERLINK("http://www.ncbi.nlm.nih.gov/gene/102465256","MIR6513")</f>
        <v>MIR6513</v>
      </c>
      <c r="C604">
        <v>102465256</v>
      </c>
      <c r="D604" t="s">
        <v>1208</v>
      </c>
      <c r="E604" s="3" t="str">
        <f>HYPERLINK("http://genome.ucsc.edu/cgi-bin/hgTracks?db=hg19&amp;lastVirtModeType=default&amp;lastVirtModeExtraState=&amp;virtModeType=default&amp;virtMode=0&amp;nonVirtPosition=&amp;position=chr2:218280124-218280188","chr2:218280124-218280188")</f>
        <v>chr2:218280124-218280188</v>
      </c>
      <c r="F604" t="s">
        <v>22</v>
      </c>
      <c r="G604">
        <v>0.170209091443903</v>
      </c>
      <c r="H604">
        <v>4.35457471741773E-2</v>
      </c>
      <c r="I604">
        <v>3.9087420124653902</v>
      </c>
      <c r="J604" s="1">
        <v>9.2777975787341306E-5</v>
      </c>
      <c r="K604">
        <v>2.1734203907470199E-3</v>
      </c>
      <c r="L604" t="s">
        <v>23</v>
      </c>
      <c r="M604" t="s">
        <v>24</v>
      </c>
      <c r="N604">
        <v>11317.928645354499</v>
      </c>
      <c r="O604">
        <v>10623.374867778401</v>
      </c>
      <c r="P604">
        <v>12012.4824229306</v>
      </c>
      <c r="Q604">
        <v>10321.6564122829</v>
      </c>
      <c r="R604">
        <v>10925.093323273801</v>
      </c>
      <c r="S604">
        <v>12232.6103153065</v>
      </c>
      <c r="T604">
        <v>11792.3545305547</v>
      </c>
    </row>
    <row r="605" spans="1:20" x14ac:dyDescent="0.2">
      <c r="A605" t="s">
        <v>1209</v>
      </c>
      <c r="B605" s="3" t="str">
        <f>HYPERLINK("http://www.ncbi.nlm.nih.gov/gene/1513","CTSK")</f>
        <v>CTSK</v>
      </c>
      <c r="C605">
        <v>1513</v>
      </c>
      <c r="D605" t="s">
        <v>1210</v>
      </c>
      <c r="E605" s="3" t="str">
        <f>HYPERLINK("http://genome.ucsc.edu/cgi-bin/hgTracks?db=hg19&amp;lastVirtModeType=default&amp;lastVirtModeExtraState=&amp;virtModeType=default&amp;virtMode=0&amp;nonVirtPosition=&amp;position=chr1:150796207-150808441","chr1:150796207-150808441")</f>
        <v>chr1:150796207-150808441</v>
      </c>
      <c r="F605" t="s">
        <v>22</v>
      </c>
      <c r="G605">
        <v>0.25443538728608001</v>
      </c>
      <c r="H605">
        <v>6.5099728624410796E-2</v>
      </c>
      <c r="I605">
        <v>3.9083939774009</v>
      </c>
      <c r="J605" s="1">
        <v>9.2911704785138797E-5</v>
      </c>
      <c r="K605">
        <v>2.1734203907470199E-3</v>
      </c>
      <c r="L605" t="s">
        <v>23</v>
      </c>
      <c r="M605" t="s">
        <v>24</v>
      </c>
      <c r="N605">
        <v>1598.2412891608999</v>
      </c>
      <c r="O605">
        <v>1446.1497764461701</v>
      </c>
      <c r="P605">
        <v>1750.3328018756299</v>
      </c>
      <c r="Q605">
        <v>1457.02934425588</v>
      </c>
      <c r="R605">
        <v>1435.27020863645</v>
      </c>
      <c r="S605">
        <v>1707.6329399835099</v>
      </c>
      <c r="T605">
        <v>1793.0326637677499</v>
      </c>
    </row>
    <row r="606" spans="1:20" x14ac:dyDescent="0.2">
      <c r="A606" t="s">
        <v>1211</v>
      </c>
      <c r="B606" s="3" t="str">
        <f>HYPERLINK("http://www.ncbi.nlm.nih.gov/gene/8460","TPST1")</f>
        <v>TPST1</v>
      </c>
      <c r="C606">
        <v>8460</v>
      </c>
      <c r="D606" t="s">
        <v>1212</v>
      </c>
      <c r="E606" s="3" t="str">
        <f>HYPERLINK("http://genome.ucsc.edu/cgi-bin/hgTracks?db=hg19&amp;lastVirtModeType=default&amp;lastVirtModeExtraState=&amp;virtModeType=default&amp;virtMode=0&amp;nonVirtPosition=&amp;position=chr7:66205271-66360451","chr7:66205271-66360451")</f>
        <v>chr7:66205271-66360451</v>
      </c>
      <c r="F606" t="s">
        <v>27</v>
      </c>
      <c r="G606">
        <v>0.225181095882143</v>
      </c>
      <c r="H606">
        <v>5.7619227432405301E-2</v>
      </c>
      <c r="I606">
        <v>3.90808946798722</v>
      </c>
      <c r="J606" s="1">
        <v>9.3028858784344694E-5</v>
      </c>
      <c r="K606">
        <v>2.1734203907470199E-3</v>
      </c>
      <c r="L606" t="s">
        <v>23</v>
      </c>
      <c r="M606" t="s">
        <v>24</v>
      </c>
      <c r="N606">
        <v>3028.5713441263101</v>
      </c>
      <c r="O606">
        <v>2773.8972729464399</v>
      </c>
      <c r="P606">
        <v>3283.2454153061799</v>
      </c>
      <c r="Q606">
        <v>2692.5462008581198</v>
      </c>
      <c r="R606">
        <v>2855.24834503476</v>
      </c>
      <c r="S606">
        <v>3423.1578866220698</v>
      </c>
      <c r="T606">
        <v>3143.3329439903</v>
      </c>
    </row>
    <row r="607" spans="1:20" x14ac:dyDescent="0.2">
      <c r="A607" t="s">
        <v>1213</v>
      </c>
      <c r="B607" s="3" t="str">
        <f>HYPERLINK("http://www.ncbi.nlm.nih.gov/gene/23764","MAFF")</f>
        <v>MAFF</v>
      </c>
      <c r="C607">
        <v>23764</v>
      </c>
      <c r="D607" t="s">
        <v>1214</v>
      </c>
      <c r="E607" s="3" t="str">
        <f>HYPERLINK("http://genome.ucsc.edu/cgi-bin/hgTracks?db=hg19&amp;lastVirtModeType=default&amp;lastVirtModeExtraState=&amp;virtModeType=default&amp;virtMode=0&amp;nonVirtPosition=&amp;position=chr22:38201931-38216510","chr22:38201931-38216510")</f>
        <v>chr22:38201931-38216510</v>
      </c>
      <c r="F607" t="s">
        <v>27</v>
      </c>
      <c r="G607">
        <v>0.35098430820620002</v>
      </c>
      <c r="H607">
        <v>8.9868806367191495E-2</v>
      </c>
      <c r="I607">
        <v>3.9055187488762999</v>
      </c>
      <c r="J607" s="1">
        <v>9.4023467721000701E-5</v>
      </c>
      <c r="K607">
        <v>2.1929214903500102E-3</v>
      </c>
      <c r="L607" t="s">
        <v>23</v>
      </c>
      <c r="M607" t="s">
        <v>24</v>
      </c>
      <c r="N607">
        <v>692.78909687426801</v>
      </c>
      <c r="O607">
        <v>589.89234541546102</v>
      </c>
      <c r="P607">
        <v>795.685848333075</v>
      </c>
      <c r="Q607">
        <v>551.71743819320795</v>
      </c>
      <c r="R607">
        <v>628.06725263771398</v>
      </c>
      <c r="S607">
        <v>838.52570709762404</v>
      </c>
      <c r="T607">
        <v>752.84598956852699</v>
      </c>
    </row>
    <row r="608" spans="1:20" x14ac:dyDescent="0.2">
      <c r="A608" t="s">
        <v>1215</v>
      </c>
      <c r="B608" s="3" t="str">
        <f>HYPERLINK("http://www.ncbi.nlm.nih.gov/gene/2237","FEN1")</f>
        <v>FEN1</v>
      </c>
      <c r="C608">
        <v>2237</v>
      </c>
      <c r="D608" t="s">
        <v>1216</v>
      </c>
      <c r="E608" s="3" t="str">
        <f>HYPERLINK("http://genome.ucsc.edu/cgi-bin/hgTracks?db=hg19&amp;lastVirtModeType=default&amp;lastVirtModeExtraState=&amp;virtModeType=default&amp;virtMode=0&amp;nonVirtPosition=&amp;position=chr11:61792636-61797242","chr11:61792636-61797242")</f>
        <v>chr11:61792636-61797242</v>
      </c>
      <c r="F608" t="s">
        <v>27</v>
      </c>
      <c r="G608">
        <v>-0.27230745388050298</v>
      </c>
      <c r="H608">
        <v>6.9748522698751897E-2</v>
      </c>
      <c r="I608">
        <v>-3.9041322073101798</v>
      </c>
      <c r="J608" s="1">
        <v>9.4564079760504406E-5</v>
      </c>
      <c r="K608">
        <v>2.20178572128278E-3</v>
      </c>
      <c r="L608" t="s">
        <v>23</v>
      </c>
      <c r="M608" t="s">
        <v>24</v>
      </c>
      <c r="N608">
        <v>1257.61990208062</v>
      </c>
      <c r="O608">
        <v>1389.14084363241</v>
      </c>
      <c r="P608">
        <v>1126.09896052882</v>
      </c>
      <c r="Q608">
        <v>1401.9951858326201</v>
      </c>
      <c r="R608">
        <v>1376.2865014322099</v>
      </c>
      <c r="S608">
        <v>1106.85393336886</v>
      </c>
      <c r="T608">
        <v>1145.3439876887701</v>
      </c>
    </row>
    <row r="609" spans="1:20" x14ac:dyDescent="0.2">
      <c r="A609" t="s">
        <v>1217</v>
      </c>
      <c r="B609" s="3" t="str">
        <f>HYPERLINK("http://www.ncbi.nlm.nih.gov/gene/960","CD44")</f>
        <v>CD44</v>
      </c>
      <c r="C609">
        <v>960</v>
      </c>
      <c r="D609" t="s">
        <v>1218</v>
      </c>
      <c r="E609" s="3" t="str">
        <f>HYPERLINK("http://genome.ucsc.edu/cgi-bin/hgTracks?db=hg19&amp;lastVirtModeType=default&amp;lastVirtModeExtraState=&amp;virtModeType=default&amp;virtMode=0&amp;nonVirtPosition=&amp;position=chr11:35138869-35232402","chr11:35138869-35232402")</f>
        <v>chr11:35138869-35232402</v>
      </c>
      <c r="F609" t="s">
        <v>27</v>
      </c>
      <c r="G609">
        <v>0.156913298886</v>
      </c>
      <c r="H609">
        <v>4.0197089475395298E-2</v>
      </c>
      <c r="I609">
        <v>3.9035985175505501</v>
      </c>
      <c r="J609" s="1">
        <v>9.4772946493410794E-5</v>
      </c>
      <c r="K609">
        <v>2.2029087935773501E-3</v>
      </c>
      <c r="L609" t="s">
        <v>23</v>
      </c>
      <c r="M609" t="s">
        <v>24</v>
      </c>
      <c r="N609">
        <v>70317.062320693294</v>
      </c>
      <c r="O609">
        <v>66381.0693565244</v>
      </c>
      <c r="P609">
        <v>74253.055284862101</v>
      </c>
      <c r="Q609">
        <v>66102.903536141297</v>
      </c>
      <c r="R609">
        <v>66659.235176907503</v>
      </c>
      <c r="S609">
        <v>73341.404346085706</v>
      </c>
      <c r="T609">
        <v>75164.706223638495</v>
      </c>
    </row>
    <row r="610" spans="1:20" x14ac:dyDescent="0.2">
      <c r="A610" t="s">
        <v>1219</v>
      </c>
      <c r="B610" s="3" t="str">
        <f>HYPERLINK("http://www.ncbi.nlm.nih.gov/gene/29959","NRBP1")</f>
        <v>NRBP1</v>
      </c>
      <c r="C610">
        <v>29959</v>
      </c>
      <c r="D610" t="s">
        <v>1220</v>
      </c>
      <c r="E610" s="3" t="str">
        <f>HYPERLINK("http://genome.ucsc.edu/cgi-bin/hgTracks?db=hg19&amp;lastVirtModeType=default&amp;lastVirtModeExtraState=&amp;virtModeType=default&amp;virtMode=0&amp;nonVirtPosition=&amp;position=chr2:27428551-27442257","chr2:27428551-27442257")</f>
        <v>chr2:27428551-27442257</v>
      </c>
      <c r="F610" t="s">
        <v>27</v>
      </c>
      <c r="G610">
        <v>0.16220913671718001</v>
      </c>
      <c r="H610">
        <v>4.1593988327435598E-2</v>
      </c>
      <c r="I610">
        <v>3.89982166269413</v>
      </c>
      <c r="J610" s="1">
        <v>9.6263568044171904E-5</v>
      </c>
      <c r="K610">
        <v>2.2337708496747398E-3</v>
      </c>
      <c r="L610" t="s">
        <v>23</v>
      </c>
      <c r="M610" t="s">
        <v>24</v>
      </c>
      <c r="N610">
        <v>9415.3822123580903</v>
      </c>
      <c r="O610">
        <v>8867.5352104736394</v>
      </c>
      <c r="P610">
        <v>9963.2292142425395</v>
      </c>
      <c r="Q610">
        <v>8678.8867833485201</v>
      </c>
      <c r="R610">
        <v>9056.1836375987696</v>
      </c>
      <c r="S610">
        <v>9964.6449028154093</v>
      </c>
      <c r="T610">
        <v>9961.8135256696605</v>
      </c>
    </row>
    <row r="611" spans="1:20" x14ac:dyDescent="0.2">
      <c r="A611" t="s">
        <v>1221</v>
      </c>
      <c r="B611" s="3" t="str">
        <f>HYPERLINK("http://www.ncbi.nlm.nih.gov/gene/5429","POLH")</f>
        <v>POLH</v>
      </c>
      <c r="C611">
        <v>5429</v>
      </c>
      <c r="D611" t="s">
        <v>1222</v>
      </c>
      <c r="E611" s="3" t="str">
        <f>HYPERLINK("http://genome.ucsc.edu/cgi-bin/hgTracks?db=hg19&amp;lastVirtModeType=default&amp;lastVirtModeExtraState=&amp;virtModeType=default&amp;virtMode=0&amp;nonVirtPosition=&amp;position=chr6:43576140-43620523","chr6:43576140-43620523")</f>
        <v>chr6:43576140-43620523</v>
      </c>
      <c r="F611" t="s">
        <v>27</v>
      </c>
      <c r="G611">
        <v>-0.29237332852993902</v>
      </c>
      <c r="H611">
        <v>7.5056989626221399E-2</v>
      </c>
      <c r="I611">
        <v>-3.8953511190088799</v>
      </c>
      <c r="J611" s="1">
        <v>9.8056578341764505E-5</v>
      </c>
      <c r="K611">
        <v>2.2715336408428398E-3</v>
      </c>
      <c r="L611" t="s">
        <v>23</v>
      </c>
      <c r="M611" t="s">
        <v>24</v>
      </c>
      <c r="N611">
        <v>1093.9579675797399</v>
      </c>
      <c r="O611">
        <v>1216.93274776662</v>
      </c>
      <c r="P611">
        <v>970.98318739285901</v>
      </c>
      <c r="Q611">
        <v>1177.7309902578199</v>
      </c>
      <c r="R611">
        <v>1256.13450527543</v>
      </c>
      <c r="S611">
        <v>1004.25784685339</v>
      </c>
      <c r="T611">
        <v>937.70852793232802</v>
      </c>
    </row>
    <row r="612" spans="1:20" x14ac:dyDescent="0.2">
      <c r="A612" t="s">
        <v>1223</v>
      </c>
      <c r="B612" s="3" t="str">
        <f>HYPERLINK("http://www.ncbi.nlm.nih.gov/gene/90417","KNSTRN")</f>
        <v>KNSTRN</v>
      </c>
      <c r="C612">
        <v>90417</v>
      </c>
      <c r="D612" t="s">
        <v>1224</v>
      </c>
      <c r="E612" s="3" t="str">
        <f>HYPERLINK("http://genome.ucsc.edu/cgi-bin/hgTracks?db=hg19&amp;lastVirtModeType=default&amp;lastVirtModeExtraState=&amp;virtModeType=default&amp;virtMode=0&amp;nonVirtPosition=&amp;position=chr15:40382720-40394288","chr15:40382720-40394288")</f>
        <v>chr15:40382720-40394288</v>
      </c>
      <c r="F612" t="s">
        <v>27</v>
      </c>
      <c r="G612">
        <v>-0.35262799911384701</v>
      </c>
      <c r="H612">
        <v>9.0604196836272896E-2</v>
      </c>
      <c r="I612">
        <v>-3.8919609844460799</v>
      </c>
      <c r="J612" s="1">
        <v>9.9437238275255704E-5</v>
      </c>
      <c r="K612">
        <v>2.29963285953939E-3</v>
      </c>
      <c r="L612" t="s">
        <v>23</v>
      </c>
      <c r="M612" t="s">
        <v>24</v>
      </c>
      <c r="N612">
        <v>569.11878457046703</v>
      </c>
      <c r="O612">
        <v>653.19752473073697</v>
      </c>
      <c r="P612">
        <v>485.040044410196</v>
      </c>
      <c r="Q612">
        <v>646.65136147333601</v>
      </c>
      <c r="R612">
        <v>659.74368798813805</v>
      </c>
      <c r="S612">
        <v>478.452903461586</v>
      </c>
      <c r="T612">
        <v>491.627185358806</v>
      </c>
    </row>
    <row r="613" spans="1:20" x14ac:dyDescent="0.2">
      <c r="A613" t="s">
        <v>1225</v>
      </c>
      <c r="B613" s="3" t="str">
        <f>HYPERLINK("http://www.ncbi.nlm.nih.gov/gene/1604","CD55")</f>
        <v>CD55</v>
      </c>
      <c r="C613">
        <v>1604</v>
      </c>
      <c r="D613" t="s">
        <v>1226</v>
      </c>
      <c r="E613" s="3" t="str">
        <f>HYPERLINK("http://genome.ucsc.edu/cgi-bin/hgTracks?db=hg19&amp;lastVirtModeType=default&amp;lastVirtModeExtraState=&amp;virtModeType=default&amp;virtMode=0&amp;nonVirtPosition=&amp;position=chr1:207321471-207360966","chr1:207321471-207360966")</f>
        <v>chr1:207321471-207360966</v>
      </c>
      <c r="F613" t="s">
        <v>27</v>
      </c>
      <c r="G613">
        <v>0.29099345515882302</v>
      </c>
      <c r="H613">
        <v>7.4898370641693995E-2</v>
      </c>
      <c r="I613">
        <v>3.8851773765667801</v>
      </c>
      <c r="J613">
        <v>1.02255203186469E-4</v>
      </c>
      <c r="K613">
        <v>2.3608213072377699E-3</v>
      </c>
      <c r="L613" t="s">
        <v>23</v>
      </c>
      <c r="M613" t="s">
        <v>24</v>
      </c>
      <c r="N613">
        <v>1188.64448605646</v>
      </c>
      <c r="O613">
        <v>1053.5411719231699</v>
      </c>
      <c r="P613">
        <v>1323.74780018975</v>
      </c>
      <c r="Q613">
        <v>1081.4212130171099</v>
      </c>
      <c r="R613">
        <v>1025.6611308292399</v>
      </c>
      <c r="S613">
        <v>1390.96617295018</v>
      </c>
      <c r="T613">
        <v>1256.5294274293201</v>
      </c>
    </row>
    <row r="614" spans="1:20" x14ac:dyDescent="0.2">
      <c r="A614" t="s">
        <v>1227</v>
      </c>
      <c r="B614" s="3" t="str">
        <f>HYPERLINK("http://www.ncbi.nlm.nih.gov/gene/11346","SYNPO")</f>
        <v>SYNPO</v>
      </c>
      <c r="C614">
        <v>11346</v>
      </c>
      <c r="D614" t="s">
        <v>1228</v>
      </c>
      <c r="E614" s="3" t="str">
        <f>HYPERLINK("http://genome.ucsc.edu/cgi-bin/hgTracks?db=hg19&amp;lastVirtModeType=default&amp;lastVirtModeExtraState=&amp;virtModeType=default&amp;virtMode=0&amp;nonVirtPosition=&amp;position=chr5:150640644-150659230","chr5:150640644-150659230")</f>
        <v>chr5:150640644-150659230</v>
      </c>
      <c r="F614" t="s">
        <v>27</v>
      </c>
      <c r="G614">
        <v>-0.25159005219841002</v>
      </c>
      <c r="H614">
        <v>6.4771590204911106E-2</v>
      </c>
      <c r="I614">
        <v>-3.8842654843347399</v>
      </c>
      <c r="J614">
        <v>1.02639707856628E-4</v>
      </c>
      <c r="K614">
        <v>2.3657158883122701E-3</v>
      </c>
      <c r="L614" t="s">
        <v>23</v>
      </c>
      <c r="M614" t="s">
        <v>24</v>
      </c>
      <c r="N614">
        <v>2412.51176856336</v>
      </c>
      <c r="O614">
        <v>2644.0195626012001</v>
      </c>
      <c r="P614">
        <v>2181.0039745255199</v>
      </c>
      <c r="Q614">
        <v>2720.0632800697599</v>
      </c>
      <c r="R614">
        <v>2567.9758451326402</v>
      </c>
      <c r="S614">
        <v>2035.15121616753</v>
      </c>
      <c r="T614">
        <v>2326.8567328835102</v>
      </c>
    </row>
    <row r="615" spans="1:20" x14ac:dyDescent="0.2">
      <c r="A615" t="s">
        <v>1229</v>
      </c>
      <c r="B615" s="3" t="str">
        <f>HYPERLINK("http://www.ncbi.nlm.nih.gov/gene/3772","KCNJ15")</f>
        <v>KCNJ15</v>
      </c>
      <c r="C615">
        <v>3772</v>
      </c>
      <c r="D615" t="s">
        <v>1230</v>
      </c>
      <c r="E615" s="3" t="str">
        <f>HYPERLINK("http://genome.ucsc.edu/cgi-bin/hgTracks?db=hg19&amp;lastVirtModeType=default&amp;lastVirtModeExtraState=&amp;virtModeType=default&amp;virtMode=0&amp;nonVirtPosition=&amp;position=chr21:38256697-38301824","chr21:38256697-38301824")</f>
        <v>chr21:38256697-38301824</v>
      </c>
      <c r="F615" t="s">
        <v>27</v>
      </c>
      <c r="G615">
        <v>0.45756918885539299</v>
      </c>
      <c r="H615">
        <v>0.11782654209714701</v>
      </c>
      <c r="I615">
        <v>3.8834135391848301</v>
      </c>
      <c r="J615">
        <v>1.030001681554E-4</v>
      </c>
      <c r="K615">
        <v>2.3664247048577102E-3</v>
      </c>
      <c r="L615" t="s">
        <v>23</v>
      </c>
      <c r="M615" t="s">
        <v>24</v>
      </c>
      <c r="N615">
        <v>93.078821008211307</v>
      </c>
      <c r="O615">
        <v>60.852931609065699</v>
      </c>
      <c r="P615">
        <v>125.30471040735701</v>
      </c>
      <c r="Q615">
        <v>60.537574265588901</v>
      </c>
      <c r="R615">
        <v>61.168288952542603</v>
      </c>
      <c r="S615">
        <v>121.33960232118601</v>
      </c>
      <c r="T615">
        <v>129.26981849352799</v>
      </c>
    </row>
    <row r="616" spans="1:20" x14ac:dyDescent="0.2">
      <c r="A616" t="s">
        <v>1231</v>
      </c>
      <c r="B616" s="3" t="str">
        <f>HYPERLINK("http://www.ncbi.nlm.nih.gov/gene/64101","LRRC4")</f>
        <v>LRRC4</v>
      </c>
      <c r="C616">
        <v>64101</v>
      </c>
      <c r="D616" t="s">
        <v>1232</v>
      </c>
      <c r="E616" s="3" t="str">
        <f>HYPERLINK("http://genome.ucsc.edu/cgi-bin/hgTracks?db=hg19&amp;lastVirtModeType=default&amp;lastVirtModeExtraState=&amp;virtModeType=default&amp;virtMode=0&amp;nonVirtPosition=&amp;position=chr7:128027070-128030949","chr7:128027070-128030949")</f>
        <v>chr7:128027070-128030949</v>
      </c>
      <c r="F616" t="s">
        <v>22</v>
      </c>
      <c r="G616">
        <v>-0.45313538168612399</v>
      </c>
      <c r="H616">
        <v>0.116695699679478</v>
      </c>
      <c r="I616">
        <v>-3.8830512429397901</v>
      </c>
      <c r="J616">
        <v>1.03153818469907E-4</v>
      </c>
      <c r="K616">
        <v>2.3664247048577102E-3</v>
      </c>
      <c r="L616" t="s">
        <v>23</v>
      </c>
      <c r="M616" t="s">
        <v>24</v>
      </c>
      <c r="N616">
        <v>164.40407596380101</v>
      </c>
      <c r="O616">
        <v>207.38202471775301</v>
      </c>
      <c r="P616">
        <v>121.426127209849</v>
      </c>
      <c r="Q616">
        <v>210.50565596897999</v>
      </c>
      <c r="R616">
        <v>204.258393466526</v>
      </c>
      <c r="S616">
        <v>124.299104816824</v>
      </c>
      <c r="T616">
        <v>118.55314960287301</v>
      </c>
    </row>
    <row r="617" spans="1:20" x14ac:dyDescent="0.2">
      <c r="A617" t="s">
        <v>1233</v>
      </c>
      <c r="B617" s="3" t="str">
        <f>HYPERLINK("http://www.ncbi.nlm.nih.gov/gene/102","ADAM10")</f>
        <v>ADAM10</v>
      </c>
      <c r="C617">
        <v>102</v>
      </c>
      <c r="D617" t="s">
        <v>1234</v>
      </c>
      <c r="E617" s="3" t="str">
        <f>HYPERLINK("http://genome.ucsc.edu/cgi-bin/hgTracks?db=hg19&amp;lastVirtModeType=default&amp;lastVirtModeExtraState=&amp;virtModeType=default&amp;virtMode=0&amp;nonVirtPosition=&amp;position=chr15:58595203-58749978","chr15:58595203-58749978")</f>
        <v>chr15:58595203-58749978</v>
      </c>
      <c r="F617" t="s">
        <v>22</v>
      </c>
      <c r="G617">
        <v>-0.17916030927858401</v>
      </c>
      <c r="H617">
        <v>4.6140013985815298E-2</v>
      </c>
      <c r="I617">
        <v>-3.8829704155196598</v>
      </c>
      <c r="J617">
        <v>1.03188126987378E-4</v>
      </c>
      <c r="K617">
        <v>2.3664247048577102E-3</v>
      </c>
      <c r="L617" t="s">
        <v>23</v>
      </c>
      <c r="M617" t="s">
        <v>24</v>
      </c>
      <c r="N617">
        <v>5044.7441454099398</v>
      </c>
      <c r="O617">
        <v>5371.9935737544101</v>
      </c>
      <c r="P617">
        <v>4717.4947170654796</v>
      </c>
      <c r="Q617">
        <v>5364.4545923075302</v>
      </c>
      <c r="R617">
        <v>5379.5325552012901</v>
      </c>
      <c r="S617">
        <v>4615.8373923644504</v>
      </c>
      <c r="T617">
        <v>4819.1520417664997</v>
      </c>
    </row>
    <row r="618" spans="1:20" x14ac:dyDescent="0.2">
      <c r="A618" t="s">
        <v>1235</v>
      </c>
      <c r="B618" s="3" t="str">
        <f>HYPERLINK("http://www.ncbi.nlm.nih.gov/gene/8204","NRIP1")</f>
        <v>NRIP1</v>
      </c>
      <c r="C618">
        <v>8204</v>
      </c>
      <c r="D618" t="s">
        <v>1236</v>
      </c>
      <c r="E618" s="3" t="str">
        <f>HYPERLINK("http://genome.ucsc.edu/cgi-bin/hgTracks?db=hg19&amp;lastVirtModeType=default&amp;lastVirtModeExtraState=&amp;virtModeType=default&amp;virtMode=0&amp;nonVirtPosition=&amp;position=chr21:14961234-15064805","chr21:14961234-15064805")</f>
        <v>chr21:14961234-15064805</v>
      </c>
      <c r="F618" t="s">
        <v>22</v>
      </c>
      <c r="G618">
        <v>-0.22503240947068401</v>
      </c>
      <c r="H618">
        <v>5.8029147295004101E-2</v>
      </c>
      <c r="I618">
        <v>-3.8779203203983301</v>
      </c>
      <c r="J618">
        <v>1.0535320808000701E-4</v>
      </c>
      <c r="K618">
        <v>2.4120432314010199E-3</v>
      </c>
      <c r="L618" t="s">
        <v>23</v>
      </c>
      <c r="M618" t="s">
        <v>24</v>
      </c>
      <c r="N618">
        <v>2500.2806222771001</v>
      </c>
      <c r="O618">
        <v>2708.9631782277002</v>
      </c>
      <c r="P618">
        <v>2291.59806632649</v>
      </c>
      <c r="Q618">
        <v>2814.9972033498798</v>
      </c>
      <c r="R618">
        <v>2602.9291531055201</v>
      </c>
      <c r="S618">
        <v>2317.29045408508</v>
      </c>
      <c r="T618">
        <v>2265.9056785678999</v>
      </c>
    </row>
    <row r="619" spans="1:20" x14ac:dyDescent="0.2">
      <c r="A619" t="s">
        <v>1237</v>
      </c>
      <c r="B619" s="3" t="str">
        <f>HYPERLINK("http://www.ncbi.nlm.nih.gov/gene/22854","NTNG1")</f>
        <v>NTNG1</v>
      </c>
      <c r="C619">
        <v>22854</v>
      </c>
      <c r="D619" t="s">
        <v>1238</v>
      </c>
      <c r="E619" s="3" t="str">
        <f>HYPERLINK("http://genome.ucsc.edu/cgi-bin/hgTracks?db=hg19&amp;lastVirtModeType=default&amp;lastVirtModeExtraState=&amp;virtModeType=default&amp;virtMode=0&amp;nonVirtPosition=&amp;position=chr1:107148068-107484899","chr1:107148068-107484899")</f>
        <v>chr1:107148068-107484899</v>
      </c>
      <c r="F619" t="s">
        <v>27</v>
      </c>
      <c r="G619">
        <v>-0.45829609851886999</v>
      </c>
      <c r="H619">
        <v>0.11832254628264199</v>
      </c>
      <c r="I619">
        <v>-3.8732778571559598</v>
      </c>
      <c r="J619">
        <v>1.07381283886332E-4</v>
      </c>
      <c r="K619">
        <v>2.4543782120286001E-3</v>
      </c>
      <c r="L619" t="s">
        <v>23</v>
      </c>
      <c r="M619" t="s">
        <v>24</v>
      </c>
      <c r="N619">
        <v>102.372192258143</v>
      </c>
      <c r="O619">
        <v>135.56422289559799</v>
      </c>
      <c r="P619">
        <v>69.180161620687699</v>
      </c>
      <c r="Q619">
        <v>138.96125001873801</v>
      </c>
      <c r="R619">
        <v>132.167195772458</v>
      </c>
      <c r="S619">
        <v>70.041559063448602</v>
      </c>
      <c r="T619">
        <v>68.318764177926795</v>
      </c>
    </row>
    <row r="620" spans="1:20" x14ac:dyDescent="0.2">
      <c r="A620" t="s">
        <v>1239</v>
      </c>
      <c r="B620" s="3" t="str">
        <f>HYPERLINK("http://www.ncbi.nlm.nih.gov/gene/79019","CENPM")</f>
        <v>CENPM</v>
      </c>
      <c r="C620">
        <v>79019</v>
      </c>
      <c r="D620" t="s">
        <v>1240</v>
      </c>
      <c r="E620" s="3" t="str">
        <f>HYPERLINK("http://genome.ucsc.edu/cgi-bin/hgTracks?db=hg19&amp;lastVirtModeType=default&amp;lastVirtModeExtraState=&amp;virtModeType=default&amp;virtMode=0&amp;nonVirtPosition=&amp;position=chr22:41938720-41946754","chr22:41938720-41946754")</f>
        <v>chr22:41938720-41946754</v>
      </c>
      <c r="F620" t="s">
        <v>22</v>
      </c>
      <c r="G620">
        <v>-0.458274418873444</v>
      </c>
      <c r="H620">
        <v>0.118365582341192</v>
      </c>
      <c r="I620">
        <v>-3.8716864295269202</v>
      </c>
      <c r="J620">
        <v>1.0808494241945599E-4</v>
      </c>
      <c r="K620">
        <v>2.4663509157078602E-3</v>
      </c>
      <c r="L620" t="s">
        <v>23</v>
      </c>
      <c r="M620" t="s">
        <v>24</v>
      </c>
      <c r="N620">
        <v>145.04987146414899</v>
      </c>
      <c r="O620">
        <v>188.40363235603999</v>
      </c>
      <c r="P620">
        <v>101.69611057225799</v>
      </c>
      <c r="Q620">
        <v>174.733452993859</v>
      </c>
      <c r="R620">
        <v>202.07381171822101</v>
      </c>
      <c r="S620">
        <v>84.839071541641999</v>
      </c>
      <c r="T620">
        <v>118.55314960287301</v>
      </c>
    </row>
    <row r="621" spans="1:20" x14ac:dyDescent="0.2">
      <c r="A621" t="s">
        <v>1241</v>
      </c>
      <c r="B621" s="3" t="str">
        <f>HYPERLINK("http://www.ncbi.nlm.nih.gov/gene/162681","C18orf54")</f>
        <v>C18orf54</v>
      </c>
      <c r="C621">
        <v>162681</v>
      </c>
      <c r="D621" t="s">
        <v>1242</v>
      </c>
      <c r="E621" s="3" t="str">
        <f>HYPERLINK("http://genome.ucsc.edu/cgi-bin/hgTracks?db=hg19&amp;lastVirtModeType=default&amp;lastVirtModeExtraState=&amp;virtModeType=default&amp;virtMode=0&amp;nonVirtPosition=&amp;position=chr18:54357916-54382035","chr18:54357916-54382035")</f>
        <v>chr18:54357916-54382035</v>
      </c>
      <c r="F621" t="s">
        <v>27</v>
      </c>
      <c r="G621">
        <v>-0.38734611908025102</v>
      </c>
      <c r="H621">
        <v>0.100240997942981</v>
      </c>
      <c r="I621">
        <v>-3.8641486719893101</v>
      </c>
      <c r="J621">
        <v>1.1147731182232101E-4</v>
      </c>
      <c r="K621">
        <v>2.53953464174635E-3</v>
      </c>
      <c r="L621" t="s">
        <v>23</v>
      </c>
      <c r="M621" t="s">
        <v>24</v>
      </c>
      <c r="N621">
        <v>414.38785283817998</v>
      </c>
      <c r="O621">
        <v>486.382211114359</v>
      </c>
      <c r="P621">
        <v>342.39349456200102</v>
      </c>
      <c r="Q621">
        <v>511.81767333634298</v>
      </c>
      <c r="R621">
        <v>460.94674889237501</v>
      </c>
      <c r="S621">
        <v>349.22129448536299</v>
      </c>
      <c r="T621">
        <v>335.56569463864003</v>
      </c>
    </row>
    <row r="622" spans="1:20" x14ac:dyDescent="0.2">
      <c r="A622" t="s">
        <v>1243</v>
      </c>
      <c r="B622" s="3" t="str">
        <f>HYPERLINK("http://www.ncbi.nlm.nih.gov/gene/9537","TP53I11")</f>
        <v>TP53I11</v>
      </c>
      <c r="C622">
        <v>9537</v>
      </c>
      <c r="D622" t="s">
        <v>1244</v>
      </c>
      <c r="E622" s="3" t="str">
        <f>HYPERLINK("http://genome.ucsc.edu/cgi-bin/hgTracks?db=hg19&amp;lastVirtModeType=default&amp;lastVirtModeExtraState=&amp;virtModeType=default&amp;virtMode=0&amp;nonVirtPosition=&amp;position=chr11:44932347-44950904","chr11:44932347-44950904")</f>
        <v>chr11:44932347-44950904</v>
      </c>
      <c r="F622" t="s">
        <v>22</v>
      </c>
      <c r="G622">
        <v>-0.24249246066730901</v>
      </c>
      <c r="H622">
        <v>6.3196675830548193E-2</v>
      </c>
      <c r="I622">
        <v>-3.8371078459492698</v>
      </c>
      <c r="J622">
        <v>1.2449180968855599E-4</v>
      </c>
      <c r="K622">
        <v>2.8313112405785302E-3</v>
      </c>
      <c r="L622" t="s">
        <v>23</v>
      </c>
      <c r="M622" t="s">
        <v>24</v>
      </c>
      <c r="N622">
        <v>1732.0789275418299</v>
      </c>
      <c r="O622">
        <v>1889.63382956037</v>
      </c>
      <c r="P622">
        <v>1574.52402552329</v>
      </c>
      <c r="Q622">
        <v>1854.6511388639501</v>
      </c>
      <c r="R622">
        <v>1924.61652025679</v>
      </c>
      <c r="S622">
        <v>1542.8873010596301</v>
      </c>
      <c r="T622">
        <v>1606.1607499869499</v>
      </c>
    </row>
    <row r="623" spans="1:20" x14ac:dyDescent="0.2">
      <c r="A623" t="s">
        <v>1245</v>
      </c>
      <c r="B623" s="3" t="str">
        <f>HYPERLINK("http://www.ncbi.nlm.nih.gov/gene/145407","C14orf37")</f>
        <v>C14orf37</v>
      </c>
      <c r="C623">
        <v>145407</v>
      </c>
      <c r="D623" t="s">
        <v>1246</v>
      </c>
      <c r="E623" s="3" t="str">
        <f>HYPERLINK("http://genome.ucsc.edu/cgi-bin/hgTracks?db=hg19&amp;lastVirtModeType=default&amp;lastVirtModeExtraState=&amp;virtModeType=default&amp;virtMode=0&amp;nonVirtPosition=&amp;position=chr14:58004055-58152239","chr14:58004055-58152239")</f>
        <v>chr14:58004055-58152239</v>
      </c>
      <c r="F623" t="s">
        <v>22</v>
      </c>
      <c r="G623">
        <v>-0.34317962002631502</v>
      </c>
      <c r="H623">
        <v>8.9469263333686294E-2</v>
      </c>
      <c r="I623">
        <v>-3.8357264521826502</v>
      </c>
      <c r="J623">
        <v>1.25193691472235E-4</v>
      </c>
      <c r="K623">
        <v>2.8425600742553602E-3</v>
      </c>
      <c r="L623" t="s">
        <v>23</v>
      </c>
      <c r="M623" t="s">
        <v>24</v>
      </c>
      <c r="N623">
        <v>612.64952862246002</v>
      </c>
      <c r="O623">
        <v>700.80118430675702</v>
      </c>
      <c r="P623">
        <v>524.49787293816098</v>
      </c>
      <c r="Q623">
        <v>705.81308177834296</v>
      </c>
      <c r="R623">
        <v>695.78928683517199</v>
      </c>
      <c r="S623">
        <v>503.11542425857402</v>
      </c>
      <c r="T623">
        <v>545.880321617748</v>
      </c>
    </row>
    <row r="624" spans="1:20" x14ac:dyDescent="0.2">
      <c r="A624" t="s">
        <v>1247</v>
      </c>
      <c r="B624" s="3" t="str">
        <f>HYPERLINK("http://www.ncbi.nlm.nih.gov/gene/2744","GLS")</f>
        <v>GLS</v>
      </c>
      <c r="C624">
        <v>2744</v>
      </c>
      <c r="D624" t="s">
        <v>1248</v>
      </c>
      <c r="E624" s="3" t="str">
        <f>HYPERLINK("http://genome.ucsc.edu/cgi-bin/hgTracks?db=hg19&amp;lastVirtModeType=default&amp;lastVirtModeExtraState=&amp;virtModeType=default&amp;virtMode=0&amp;nonVirtPosition=&amp;position=chr2:190880820-190935289","chr2:190880820-190935289")</f>
        <v>chr2:190880820-190935289</v>
      </c>
      <c r="F624" t="s">
        <v>27</v>
      </c>
      <c r="G624">
        <v>-0.15072646709092499</v>
      </c>
      <c r="H624">
        <v>3.93120899948163E-2</v>
      </c>
      <c r="I624">
        <v>-3.8340995635388402</v>
      </c>
      <c r="J624">
        <v>1.2602509162554701E-4</v>
      </c>
      <c r="K624">
        <v>2.8567076141367801E-3</v>
      </c>
      <c r="L624" t="s">
        <v>23</v>
      </c>
      <c r="M624" t="s">
        <v>24</v>
      </c>
      <c r="N624">
        <v>13324.5074956274</v>
      </c>
      <c r="O624">
        <v>14041.4820680132</v>
      </c>
      <c r="P624">
        <v>12607.532923241601</v>
      </c>
      <c r="Q624">
        <v>14204.3162890441</v>
      </c>
      <c r="R624">
        <v>13878.6478469823</v>
      </c>
      <c r="S624">
        <v>12566.0475964818</v>
      </c>
      <c r="T624">
        <v>12649.0182500014</v>
      </c>
    </row>
    <row r="625" spans="1:20" x14ac:dyDescent="0.2">
      <c r="A625" t="s">
        <v>1249</v>
      </c>
      <c r="B625" s="3" t="str">
        <f>HYPERLINK("http://www.ncbi.nlm.nih.gov/gene/10672","GNA13")</f>
        <v>GNA13</v>
      </c>
      <c r="C625">
        <v>10672</v>
      </c>
      <c r="D625" t="s">
        <v>1250</v>
      </c>
      <c r="E625" s="3" t="str">
        <f>HYPERLINK("http://genome.ucsc.edu/cgi-bin/hgTracks?db=hg19&amp;lastVirtModeType=default&amp;lastVirtModeExtraState=&amp;virtModeType=default&amp;virtMode=0&amp;nonVirtPosition=&amp;position=chr17:65009288-65056802","chr17:65009288-65056802")</f>
        <v>chr17:65009288-65056802</v>
      </c>
      <c r="F625" t="s">
        <v>22</v>
      </c>
      <c r="G625">
        <v>0.20490870096590999</v>
      </c>
      <c r="H625">
        <v>5.3455616900066401E-2</v>
      </c>
      <c r="I625">
        <v>3.8332492046435598</v>
      </c>
      <c r="J625">
        <v>1.2646172469636701E-4</v>
      </c>
      <c r="K625">
        <v>2.8618747400758599E-3</v>
      </c>
      <c r="L625" t="s">
        <v>23</v>
      </c>
      <c r="M625" t="s">
        <v>24</v>
      </c>
      <c r="N625">
        <v>2915.4661300758598</v>
      </c>
      <c r="O625">
        <v>2698.1668002076199</v>
      </c>
      <c r="P625">
        <v>3132.7654599440898</v>
      </c>
      <c r="Q625">
        <v>2704.92888650336</v>
      </c>
      <c r="R625">
        <v>2691.4047139118802</v>
      </c>
      <c r="S625">
        <v>3071.9635904729398</v>
      </c>
      <c r="T625">
        <v>3193.5673294152398</v>
      </c>
    </row>
    <row r="626" spans="1:20" x14ac:dyDescent="0.2">
      <c r="A626" t="s">
        <v>1251</v>
      </c>
      <c r="B626" s="3" t="str">
        <f>HYPERLINK("http://www.ncbi.nlm.nih.gov/gene/221496","LEMD2")</f>
        <v>LEMD2</v>
      </c>
      <c r="C626">
        <v>221496</v>
      </c>
      <c r="D626" t="s">
        <v>1252</v>
      </c>
      <c r="E626" s="3" t="str">
        <f>HYPERLINK("http://genome.ucsc.edu/cgi-bin/hgTracks?db=hg19&amp;lastVirtModeType=default&amp;lastVirtModeExtraState=&amp;virtModeType=default&amp;virtMode=0&amp;nonVirtPosition=&amp;position=chr6:33771212-33789129","chr6:33771212-33789129")</f>
        <v>chr6:33771212-33789129</v>
      </c>
      <c r="F626" t="s">
        <v>22</v>
      </c>
      <c r="G626">
        <v>0.199667623221785</v>
      </c>
      <c r="H626">
        <v>5.2118191265764897E-2</v>
      </c>
      <c r="I626">
        <v>3.8310543472935401</v>
      </c>
      <c r="J626">
        <v>1.2759531529061299E-4</v>
      </c>
      <c r="K626">
        <v>2.87978784341042E-3</v>
      </c>
      <c r="L626" t="s">
        <v>23</v>
      </c>
      <c r="M626" t="s">
        <v>24</v>
      </c>
      <c r="N626">
        <v>3298.96327518212</v>
      </c>
      <c r="O626">
        <v>3060.7005278270999</v>
      </c>
      <c r="P626">
        <v>3537.2260225371301</v>
      </c>
      <c r="Q626">
        <v>3106.67824299318</v>
      </c>
      <c r="R626">
        <v>3014.7228126610298</v>
      </c>
      <c r="S626">
        <v>3463.6044207291302</v>
      </c>
      <c r="T626">
        <v>3610.84762434513</v>
      </c>
    </row>
    <row r="627" spans="1:20" x14ac:dyDescent="0.2">
      <c r="A627" t="s">
        <v>1253</v>
      </c>
      <c r="B627" s="3" t="str">
        <f>HYPERLINK("http://www.ncbi.nlm.nih.gov/gene/390","RND3")</f>
        <v>RND3</v>
      </c>
      <c r="C627">
        <v>390</v>
      </c>
      <c r="D627" t="s">
        <v>1254</v>
      </c>
      <c r="E627" s="3" t="str">
        <f>HYPERLINK("http://genome.ucsc.edu/cgi-bin/hgTracks?db=hg19&amp;lastVirtModeType=default&amp;lastVirtModeExtraState=&amp;virtModeType=default&amp;virtMode=0&amp;nonVirtPosition=&amp;position=chr2:150468192-150487695","chr2:150468192-150487695")</f>
        <v>chr2:150468192-150487695</v>
      </c>
      <c r="F627" t="s">
        <v>22</v>
      </c>
      <c r="G627">
        <v>0.33578579305605899</v>
      </c>
      <c r="H627">
        <v>8.7651839543845103E-2</v>
      </c>
      <c r="I627">
        <v>3.8309041179688301</v>
      </c>
      <c r="J627">
        <v>1.2767325425065899E-4</v>
      </c>
      <c r="K627">
        <v>2.87978784341042E-3</v>
      </c>
      <c r="L627" t="s">
        <v>23</v>
      </c>
      <c r="M627" t="s">
        <v>24</v>
      </c>
      <c r="N627">
        <v>17635.0259574591</v>
      </c>
      <c r="O627">
        <v>15195.7677081081</v>
      </c>
      <c r="P627">
        <v>20074.2842068102</v>
      </c>
      <c r="Q627">
        <v>14922.5120564677</v>
      </c>
      <c r="R627">
        <v>15469.0233597484</v>
      </c>
      <c r="S627">
        <v>21494.866625823699</v>
      </c>
      <c r="T627">
        <v>18653.701787796701</v>
      </c>
    </row>
    <row r="628" spans="1:20" x14ac:dyDescent="0.2">
      <c r="A628" t="s">
        <v>1255</v>
      </c>
      <c r="B628" s="3" t="str">
        <f>HYPERLINK("http://www.ncbi.nlm.nih.gov/gene/23576","DDAH1")</f>
        <v>DDAH1</v>
      </c>
      <c r="C628">
        <v>23576</v>
      </c>
      <c r="D628" t="s">
        <v>1256</v>
      </c>
      <c r="E628" s="3" t="str">
        <f>HYPERLINK("http://genome.ucsc.edu/cgi-bin/hgTracks?db=hg19&amp;lastVirtModeType=default&amp;lastVirtModeExtraState=&amp;virtModeType=default&amp;virtMode=0&amp;nonVirtPosition=&amp;position=chr1:85318484-85578363","chr1:85318484-85578363")</f>
        <v>chr1:85318484-85578363</v>
      </c>
      <c r="F628" t="s">
        <v>22</v>
      </c>
      <c r="G628">
        <v>-0.26000949960059899</v>
      </c>
      <c r="H628">
        <v>6.7896944072487697E-2</v>
      </c>
      <c r="I628">
        <v>-3.82947278633055</v>
      </c>
      <c r="J628">
        <v>1.28418082615673E-4</v>
      </c>
      <c r="K628">
        <v>2.8918318308560498E-3</v>
      </c>
      <c r="L628" t="s">
        <v>23</v>
      </c>
      <c r="M628" t="s">
        <v>24</v>
      </c>
      <c r="N628">
        <v>1592.2714002345101</v>
      </c>
      <c r="O628">
        <v>1750.83469551388</v>
      </c>
      <c r="P628">
        <v>1433.70810495515</v>
      </c>
      <c r="Q628">
        <v>1726.6967205298699</v>
      </c>
      <c r="R628">
        <v>1774.97267049789</v>
      </c>
      <c r="S628">
        <v>1360.3846471619099</v>
      </c>
      <c r="T628">
        <v>1507.0315627483801</v>
      </c>
    </row>
    <row r="629" spans="1:20" x14ac:dyDescent="0.2">
      <c r="A629" t="s">
        <v>1257</v>
      </c>
      <c r="B629" s="3" t="str">
        <f>HYPERLINK("http://www.ncbi.nlm.nih.gov/gene/79633","FAT4")</f>
        <v>FAT4</v>
      </c>
      <c r="C629">
        <v>79633</v>
      </c>
      <c r="D629" t="s">
        <v>1258</v>
      </c>
      <c r="E629" s="3" t="str">
        <f>HYPERLINK("http://genome.ucsc.edu/cgi-bin/hgTracks?db=hg19&amp;lastVirtModeType=default&amp;lastVirtModeExtraState=&amp;virtModeType=default&amp;virtMode=0&amp;nonVirtPosition=&amp;position=chr4:125316411-125492932","chr4:125316411-125492932")</f>
        <v>chr4:125316411-125492932</v>
      </c>
      <c r="F629" t="s">
        <v>27</v>
      </c>
      <c r="G629">
        <v>-0.37629491266602699</v>
      </c>
      <c r="H629">
        <v>9.8323867756684197E-2</v>
      </c>
      <c r="I629">
        <v>-3.8270963220977001</v>
      </c>
      <c r="J629">
        <v>1.2966378507149701E-4</v>
      </c>
      <c r="K629">
        <v>2.91509696470575E-3</v>
      </c>
      <c r="L629" t="s">
        <v>23</v>
      </c>
      <c r="M629" t="s">
        <v>24</v>
      </c>
      <c r="N629">
        <v>471.01912578430898</v>
      </c>
      <c r="O629">
        <v>550.20747152367198</v>
      </c>
      <c r="P629">
        <v>391.83078004494598</v>
      </c>
      <c r="Q629">
        <v>564.10012383844196</v>
      </c>
      <c r="R629">
        <v>536.31481920890099</v>
      </c>
      <c r="S629">
        <v>363.03230613167699</v>
      </c>
      <c r="T629">
        <v>420.629253958216</v>
      </c>
    </row>
    <row r="630" spans="1:20" x14ac:dyDescent="0.2">
      <c r="A630" t="s">
        <v>1259</v>
      </c>
      <c r="B630" s="3" t="str">
        <f>HYPERLINK("http://www.ncbi.nlm.nih.gov/gene/9446","GSTO1")</f>
        <v>GSTO1</v>
      </c>
      <c r="C630">
        <v>9446</v>
      </c>
      <c r="D630" t="s">
        <v>1260</v>
      </c>
      <c r="E630" s="3" t="str">
        <f>HYPERLINK("http://genome.ucsc.edu/cgi-bin/hgTracks?db=hg19&amp;lastVirtModeType=default&amp;lastVirtModeExtraState=&amp;virtModeType=default&amp;virtMode=0&amp;nonVirtPosition=&amp;position=chr10:104254709-104267464","chr10:104254709-104267464")</f>
        <v>chr10:104254709-104267464</v>
      </c>
      <c r="F630" t="s">
        <v>27</v>
      </c>
      <c r="G630">
        <v>0.167396445878782</v>
      </c>
      <c r="H630">
        <v>4.3764258756690697E-2</v>
      </c>
      <c r="I630">
        <v>3.82495786823283</v>
      </c>
      <c r="J630">
        <v>1.30794452308191E-4</v>
      </c>
      <c r="K630">
        <v>2.9357039590090501E-3</v>
      </c>
      <c r="L630" t="s">
        <v>23</v>
      </c>
      <c r="M630" t="s">
        <v>24</v>
      </c>
      <c r="N630">
        <v>7561.8865588520603</v>
      </c>
      <c r="O630">
        <v>7106.1285488125204</v>
      </c>
      <c r="P630">
        <v>8017.6445688915901</v>
      </c>
      <c r="Q630">
        <v>7151.6888871029796</v>
      </c>
      <c r="R630">
        <v>7060.5682105220603</v>
      </c>
      <c r="S630">
        <v>8221.4979328842292</v>
      </c>
      <c r="T630">
        <v>7813.7912048989601</v>
      </c>
    </row>
    <row r="631" spans="1:20" x14ac:dyDescent="0.2">
      <c r="A631" t="s">
        <v>1261</v>
      </c>
      <c r="B631" s="3" t="str">
        <f>HYPERLINK("http://www.ncbi.nlm.nih.gov/gene/64946","CENPH")</f>
        <v>CENPH</v>
      </c>
      <c r="C631">
        <v>64946</v>
      </c>
      <c r="D631" t="s">
        <v>1262</v>
      </c>
      <c r="E631" s="3" t="str">
        <f>HYPERLINK("http://genome.ucsc.edu/cgi-bin/hgTracks?db=hg19&amp;lastVirtModeType=default&amp;lastVirtModeExtraState=&amp;virtModeType=default&amp;virtMode=0&amp;nonVirtPosition=&amp;position=chr5:69189547-69210357","chr5:69189547-69210357")</f>
        <v>chr5:69189547-69210357</v>
      </c>
      <c r="F631" t="s">
        <v>27</v>
      </c>
      <c r="G631">
        <v>-0.40843769039758698</v>
      </c>
      <c r="H631">
        <v>0.106806763121539</v>
      </c>
      <c r="I631">
        <v>-3.8240807834688599</v>
      </c>
      <c r="J631">
        <v>1.3126087578319999E-4</v>
      </c>
      <c r="K631">
        <v>2.9413589060307299E-3</v>
      </c>
      <c r="L631" t="s">
        <v>23</v>
      </c>
      <c r="M631" t="s">
        <v>24</v>
      </c>
      <c r="N631">
        <v>321.03094275141598</v>
      </c>
      <c r="O631">
        <v>382.87780672726399</v>
      </c>
      <c r="P631">
        <v>259.18407877556803</v>
      </c>
      <c r="Q631">
        <v>365.97715351469702</v>
      </c>
      <c r="R631">
        <v>399.77845993983198</v>
      </c>
      <c r="S631">
        <v>275.233732094397</v>
      </c>
      <c r="T631">
        <v>243.134425456739</v>
      </c>
    </row>
    <row r="632" spans="1:20" x14ac:dyDescent="0.2">
      <c r="A632" t="s">
        <v>1263</v>
      </c>
      <c r="B632" s="3" t="str">
        <f>HYPERLINK("http://www.ncbi.nlm.nih.gov/gene/18","ABAT")</f>
        <v>ABAT</v>
      </c>
      <c r="C632">
        <v>18</v>
      </c>
      <c r="D632" t="s">
        <v>1264</v>
      </c>
      <c r="E632" s="3" t="str">
        <f>HYPERLINK("http://genome.ucsc.edu/cgi-bin/hgTracks?db=hg19&amp;lastVirtModeType=default&amp;lastVirtModeExtraState=&amp;virtModeType=default&amp;virtMode=0&amp;nonVirtPosition=&amp;position=chr16:8712968-8784575","chr16:8712968-8784575")</f>
        <v>chr16:8712968-8784575</v>
      </c>
      <c r="F632" t="s">
        <v>27</v>
      </c>
      <c r="G632">
        <v>-0.44450871350099902</v>
      </c>
      <c r="H632">
        <v>0.11630576184416599</v>
      </c>
      <c r="I632">
        <v>-3.8218976124035802</v>
      </c>
      <c r="J632">
        <v>1.3242867604778199E-4</v>
      </c>
      <c r="K632">
        <v>2.9626865633267298E-3</v>
      </c>
      <c r="L632" t="s">
        <v>23</v>
      </c>
      <c r="M632" t="s">
        <v>24</v>
      </c>
      <c r="N632">
        <v>170.685111320082</v>
      </c>
      <c r="O632">
        <v>213.793988419454</v>
      </c>
      <c r="P632">
        <v>127.57623422071001</v>
      </c>
      <c r="Q632">
        <v>209.129802008398</v>
      </c>
      <c r="R632">
        <v>218.45817483050899</v>
      </c>
      <c r="S632">
        <v>129.23160897622199</v>
      </c>
      <c r="T632">
        <v>125.92085946519801</v>
      </c>
    </row>
    <row r="633" spans="1:20" x14ac:dyDescent="0.2">
      <c r="A633" t="s">
        <v>1265</v>
      </c>
      <c r="B633" s="3" t="str">
        <f>HYPERLINK("http://www.ncbi.nlm.nih.gov/gene/284266","SIGLEC15")</f>
        <v>SIGLEC15</v>
      </c>
      <c r="C633">
        <v>284266</v>
      </c>
      <c r="D633" t="s">
        <v>1266</v>
      </c>
      <c r="E633" s="3" t="str">
        <f>HYPERLINK("http://genome.ucsc.edu/cgi-bin/hgTracks?db=hg19&amp;lastVirtModeType=default&amp;lastVirtModeExtraState=&amp;virtModeType=default&amp;virtMode=0&amp;nonVirtPosition=&amp;position=chr18:45825579-45842556","chr18:45825579-45842556")</f>
        <v>chr18:45825579-45842556</v>
      </c>
      <c r="F633" t="s">
        <v>27</v>
      </c>
      <c r="G633">
        <v>0.45027350101489999</v>
      </c>
      <c r="H633">
        <v>0.117994149764152</v>
      </c>
      <c r="I633">
        <v>3.8160663212109398</v>
      </c>
      <c r="J633">
        <v>1.3559607265734499E-4</v>
      </c>
      <c r="K633">
        <v>3.02860674335965E-3</v>
      </c>
      <c r="L633" t="s">
        <v>23</v>
      </c>
      <c r="M633" t="s">
        <v>24</v>
      </c>
      <c r="N633">
        <v>163.722964367663</v>
      </c>
      <c r="O633">
        <v>118.371131995586</v>
      </c>
      <c r="P633">
        <v>209.07479673974001</v>
      </c>
      <c r="Q633">
        <v>141.712957939901</v>
      </c>
      <c r="R633">
        <v>95.029306051271604</v>
      </c>
      <c r="S633">
        <v>207.16517469470699</v>
      </c>
      <c r="T633">
        <v>210.98441878477399</v>
      </c>
    </row>
    <row r="634" spans="1:20" x14ac:dyDescent="0.2">
      <c r="A634" t="s">
        <v>1267</v>
      </c>
      <c r="B634" s="3" t="str">
        <f>HYPERLINK("http://www.ncbi.nlm.nih.gov/gene/60676","PAPPA2")</f>
        <v>PAPPA2</v>
      </c>
      <c r="C634">
        <v>60676</v>
      </c>
      <c r="D634" t="s">
        <v>1268</v>
      </c>
      <c r="E634" s="3" t="str">
        <f>HYPERLINK("http://genome.ucsc.edu/cgi-bin/hgTracks?db=hg19&amp;lastVirtModeType=default&amp;lastVirtModeExtraState=&amp;virtModeType=default&amp;virtMode=0&amp;nonVirtPosition=&amp;position=chr1:176463170-176691205","chr1:176463170-176691205")</f>
        <v>chr1:176463170-176691205</v>
      </c>
      <c r="F634" t="s">
        <v>27</v>
      </c>
      <c r="G634">
        <v>0.40469831726058703</v>
      </c>
      <c r="H634">
        <v>0.106088858317978</v>
      </c>
      <c r="I634">
        <v>3.8147108346438601</v>
      </c>
      <c r="J634">
        <v>1.3634249062591499E-4</v>
      </c>
      <c r="K634">
        <v>3.0403266934045398E-3</v>
      </c>
      <c r="L634" t="s">
        <v>23</v>
      </c>
      <c r="M634" t="s">
        <v>24</v>
      </c>
      <c r="N634">
        <v>404.30396437071403</v>
      </c>
      <c r="O634">
        <v>325.33862560496198</v>
      </c>
      <c r="P634">
        <v>483.26930313646699</v>
      </c>
      <c r="Q634">
        <v>279.29835399805802</v>
      </c>
      <c r="R634">
        <v>371.37889721186599</v>
      </c>
      <c r="S634">
        <v>507.06142758609298</v>
      </c>
      <c r="T634">
        <v>459.477178686841</v>
      </c>
    </row>
    <row r="635" spans="1:20" x14ac:dyDescent="0.2">
      <c r="A635" t="s">
        <v>1269</v>
      </c>
      <c r="B635" s="3" t="str">
        <f>HYPERLINK("http://www.ncbi.nlm.nih.gov/gene/6117","RPA1")</f>
        <v>RPA1</v>
      </c>
      <c r="C635">
        <v>6117</v>
      </c>
      <c r="D635" t="s">
        <v>1270</v>
      </c>
      <c r="E635" s="3" t="str">
        <f>HYPERLINK("http://genome.ucsc.edu/cgi-bin/hgTracks?db=hg19&amp;lastVirtModeType=default&amp;lastVirtModeExtraState=&amp;virtModeType=default&amp;virtMode=0&amp;nonVirtPosition=&amp;position=chr17:1829978-1899554","chr17:1829978-1899554")</f>
        <v>chr17:1829978-1899554</v>
      </c>
      <c r="F635" t="s">
        <v>27</v>
      </c>
      <c r="G635">
        <v>-0.204201086826791</v>
      </c>
      <c r="H635">
        <v>5.3577150138423499E-2</v>
      </c>
      <c r="I635">
        <v>-3.8113465591061</v>
      </c>
      <c r="J635">
        <v>1.38211837372232E-4</v>
      </c>
      <c r="K635">
        <v>3.0770083404590802E-3</v>
      </c>
      <c r="L635" t="s">
        <v>23</v>
      </c>
      <c r="M635" t="s">
        <v>24</v>
      </c>
      <c r="N635">
        <v>3129.6875616850998</v>
      </c>
      <c r="O635">
        <v>3364.48771255671</v>
      </c>
      <c r="P635">
        <v>2894.8874108135001</v>
      </c>
      <c r="Q635">
        <v>3319.9356068833199</v>
      </c>
      <c r="R635">
        <v>3409.0398182301001</v>
      </c>
      <c r="S635">
        <v>2810.5408700248599</v>
      </c>
      <c r="T635">
        <v>2979.2339516021402</v>
      </c>
    </row>
    <row r="636" spans="1:20" x14ac:dyDescent="0.2">
      <c r="A636" t="s">
        <v>1271</v>
      </c>
      <c r="B636" s="3" t="str">
        <f>HYPERLINK("http://www.ncbi.nlm.nih.gov/gene/84885","ZDHHC12")</f>
        <v>ZDHHC12</v>
      </c>
      <c r="C636">
        <v>84885</v>
      </c>
      <c r="D636" t="s">
        <v>1272</v>
      </c>
      <c r="E636" s="3" t="str">
        <f>HYPERLINK("http://genome.ucsc.edu/cgi-bin/hgTracks?db=hg19&amp;lastVirtModeType=default&amp;lastVirtModeExtraState=&amp;virtModeType=default&amp;virtMode=0&amp;nonVirtPosition=&amp;position=chr9:128720869-128724129","chr9:128720869-128724129")</f>
        <v>chr9:128720869-128724129</v>
      </c>
      <c r="F636" t="s">
        <v>22</v>
      </c>
      <c r="G636">
        <v>-0.38841702297223302</v>
      </c>
      <c r="H636">
        <v>0.102080080370041</v>
      </c>
      <c r="I636">
        <v>-3.8050226994749399</v>
      </c>
      <c r="J636">
        <v>1.4179118680972901E-4</v>
      </c>
      <c r="K636">
        <v>3.15157915058123E-3</v>
      </c>
      <c r="L636" t="s">
        <v>23</v>
      </c>
      <c r="M636" t="s">
        <v>24</v>
      </c>
      <c r="N636">
        <v>439.917469835671</v>
      </c>
      <c r="O636">
        <v>518.76755418085497</v>
      </c>
      <c r="P636">
        <v>361.06738549048703</v>
      </c>
      <c r="Q636">
        <v>518.69694313925004</v>
      </c>
      <c r="R636">
        <v>518.83816522246002</v>
      </c>
      <c r="S636">
        <v>321.59927119273601</v>
      </c>
      <c r="T636">
        <v>400.53549978823702</v>
      </c>
    </row>
    <row r="637" spans="1:20" x14ac:dyDescent="0.2">
      <c r="A637" t="s">
        <v>1273</v>
      </c>
      <c r="B637" s="3" t="str">
        <f>HYPERLINK("http://www.ncbi.nlm.nih.gov/gene/285704","RGMB")</f>
        <v>RGMB</v>
      </c>
      <c r="C637">
        <v>285704</v>
      </c>
      <c r="D637" t="s">
        <v>1274</v>
      </c>
      <c r="E637" s="3" t="str">
        <f>HYPERLINK("http://genome.ucsc.edu/cgi-bin/hgTracks?db=hg19&amp;lastVirtModeType=default&amp;lastVirtModeExtraState=&amp;virtModeType=default&amp;virtMode=0&amp;nonVirtPosition=&amp;position=chr5:98769294-98796494","chr5:98769294-98796494")</f>
        <v>chr5:98769294-98796494</v>
      </c>
      <c r="F637" t="s">
        <v>27</v>
      </c>
      <c r="G637">
        <v>0.24333130890983801</v>
      </c>
      <c r="H637">
        <v>6.3980046269847907E-2</v>
      </c>
      <c r="I637">
        <v>3.8032374638108601</v>
      </c>
      <c r="J637">
        <v>1.4281733616586999E-4</v>
      </c>
      <c r="K637">
        <v>3.1637495509313301E-3</v>
      </c>
      <c r="L637" t="s">
        <v>23</v>
      </c>
      <c r="M637" t="s">
        <v>24</v>
      </c>
      <c r="N637">
        <v>2809.9630401702798</v>
      </c>
      <c r="O637">
        <v>2549.7742126081098</v>
      </c>
      <c r="P637">
        <v>3070.1518677324402</v>
      </c>
      <c r="Q637">
        <v>2388.4824755696</v>
      </c>
      <c r="R637">
        <v>2711.0659496466201</v>
      </c>
      <c r="S637">
        <v>3215.9927119273598</v>
      </c>
      <c r="T637">
        <v>2924.3110235375302</v>
      </c>
    </row>
    <row r="638" spans="1:20" x14ac:dyDescent="0.2">
      <c r="A638" t="s">
        <v>1275</v>
      </c>
      <c r="B638" s="3" t="str">
        <f>HYPERLINK("http://www.ncbi.nlm.nih.gov/gene/340061","TMEM173")</f>
        <v>TMEM173</v>
      </c>
      <c r="C638">
        <v>340061</v>
      </c>
      <c r="D638" t="s">
        <v>1276</v>
      </c>
      <c r="E638" s="3" t="str">
        <f>HYPERLINK("http://genome.ucsc.edu/cgi-bin/hgTracks?db=hg19&amp;lastVirtModeType=default&amp;lastVirtModeExtraState=&amp;virtModeType=default&amp;virtMode=0&amp;nonVirtPosition=&amp;position=chr5:139475527-139482790","chr5:139475527-139482790")</f>
        <v>chr5:139475527-139482790</v>
      </c>
      <c r="F638" t="s">
        <v>22</v>
      </c>
      <c r="G638">
        <v>-0.22279301230652199</v>
      </c>
      <c r="H638">
        <v>5.8580172943404098E-2</v>
      </c>
      <c r="I638">
        <v>-3.8032153391176902</v>
      </c>
      <c r="J638">
        <v>1.4283009715405901E-4</v>
      </c>
      <c r="K638">
        <v>3.1637495509313301E-3</v>
      </c>
      <c r="L638" t="s">
        <v>23</v>
      </c>
      <c r="M638" t="s">
        <v>24</v>
      </c>
      <c r="N638">
        <v>2243.0950489943698</v>
      </c>
      <c r="O638">
        <v>2426.6238233080398</v>
      </c>
      <c r="P638">
        <v>2059.5662746807002</v>
      </c>
      <c r="Q638">
        <v>2354.0861265550602</v>
      </c>
      <c r="R638">
        <v>2499.1615200610299</v>
      </c>
      <c r="S638">
        <v>2075.59775027459</v>
      </c>
      <c r="T638">
        <v>2043.5347990868099</v>
      </c>
    </row>
    <row r="639" spans="1:20" x14ac:dyDescent="0.2">
      <c r="A639" t="s">
        <v>1277</v>
      </c>
      <c r="B639" s="3" t="str">
        <f>HYPERLINK("http://www.ncbi.nlm.nih.gov/gene/1054","CEBPG")</f>
        <v>CEBPG</v>
      </c>
      <c r="C639">
        <v>1054</v>
      </c>
      <c r="D639" t="s">
        <v>1278</v>
      </c>
      <c r="E639" s="3" t="str">
        <f>HYPERLINK("http://genome.ucsc.edu/cgi-bin/hgTracks?db=hg19&amp;lastVirtModeType=default&amp;lastVirtModeExtraState=&amp;virtModeType=default&amp;virtMode=0&amp;nonVirtPosition=&amp;position=chr19:33373668-33382686","chr19:33373668-33382686")</f>
        <v>chr19:33373668-33382686</v>
      </c>
      <c r="F639" t="s">
        <v>27</v>
      </c>
      <c r="G639">
        <v>0.275383064839616</v>
      </c>
      <c r="H639">
        <v>7.24145818626932E-2</v>
      </c>
      <c r="I639">
        <v>3.8028675683272701</v>
      </c>
      <c r="J639">
        <v>1.43030824090522E-4</v>
      </c>
      <c r="K639">
        <v>3.1637495509313301E-3</v>
      </c>
      <c r="L639" t="s">
        <v>23</v>
      </c>
      <c r="M639" t="s">
        <v>24</v>
      </c>
      <c r="N639">
        <v>1136.36728285292</v>
      </c>
      <c r="O639">
        <v>1015.2588626417599</v>
      </c>
      <c r="P639">
        <v>1257.4757030640901</v>
      </c>
      <c r="Q639">
        <v>996.11826746105396</v>
      </c>
      <c r="R639">
        <v>1034.3994578224599</v>
      </c>
      <c r="S639">
        <v>1259.7615623101999</v>
      </c>
      <c r="T639">
        <v>1255.1898438179901</v>
      </c>
    </row>
    <row r="640" spans="1:20" x14ac:dyDescent="0.2">
      <c r="A640" t="s">
        <v>1279</v>
      </c>
      <c r="B640" s="3" t="str">
        <f>HYPERLINK("http://www.ncbi.nlm.nih.gov/gene/3984","LIMK1")</f>
        <v>LIMK1</v>
      </c>
      <c r="C640">
        <v>3984</v>
      </c>
      <c r="D640" t="s">
        <v>1280</v>
      </c>
      <c r="E640" s="3" t="str">
        <f>HYPERLINK("http://genome.ucsc.edu/cgi-bin/hgTracks?db=hg19&amp;lastVirtModeType=default&amp;lastVirtModeExtraState=&amp;virtModeType=default&amp;virtMode=0&amp;nonVirtPosition=&amp;position=chr7:74093155-74122525","chr7:74093155-74122525")</f>
        <v>chr7:74093155-74122525</v>
      </c>
      <c r="F640" t="s">
        <v>27</v>
      </c>
      <c r="G640">
        <v>0.17233889751707601</v>
      </c>
      <c r="H640">
        <v>4.5357239027433598E-2</v>
      </c>
      <c r="I640">
        <v>3.7995896843024299</v>
      </c>
      <c r="J640">
        <v>1.4493585553079999E-4</v>
      </c>
      <c r="K640">
        <v>3.2007251574064301E-3</v>
      </c>
      <c r="L640" t="s">
        <v>23</v>
      </c>
      <c r="M640" t="s">
        <v>24</v>
      </c>
      <c r="N640">
        <v>5175.6315697678001</v>
      </c>
      <c r="O640">
        <v>4855.3419292005101</v>
      </c>
      <c r="P640">
        <v>5495.9212103350901</v>
      </c>
      <c r="Q640">
        <v>4935.1881566060802</v>
      </c>
      <c r="R640">
        <v>4775.49570179493</v>
      </c>
      <c r="S640">
        <v>5528.35066185304</v>
      </c>
      <c r="T640">
        <v>5463.4917588171402</v>
      </c>
    </row>
    <row r="641" spans="1:20" x14ac:dyDescent="0.2">
      <c r="A641" t="s">
        <v>1281</v>
      </c>
      <c r="B641" s="3" t="str">
        <f>HYPERLINK("http://www.ncbi.nlm.nih.gov/gene/89891","WDR34")</f>
        <v>WDR34</v>
      </c>
      <c r="C641">
        <v>89891</v>
      </c>
      <c r="D641" t="s">
        <v>1282</v>
      </c>
      <c r="E641" s="3" t="str">
        <f>HYPERLINK("http://genome.ucsc.edu/cgi-bin/hgTracks?db=hg19&amp;lastVirtModeType=default&amp;lastVirtModeExtraState=&amp;virtModeType=default&amp;virtMode=0&amp;nonVirtPosition=&amp;position=chr9:128633660-128656850","chr9:128633660-128656850")</f>
        <v>chr9:128633660-128656850</v>
      </c>
      <c r="F641" t="s">
        <v>22</v>
      </c>
      <c r="G641">
        <v>-0.29595181468530701</v>
      </c>
      <c r="H641">
        <v>7.7968347059909293E-2</v>
      </c>
      <c r="I641">
        <v>-3.79579439407512</v>
      </c>
      <c r="J641">
        <v>1.4717143497599999E-4</v>
      </c>
      <c r="K641">
        <v>3.2448698701943099E-3</v>
      </c>
      <c r="L641" t="s">
        <v>23</v>
      </c>
      <c r="M641" t="s">
        <v>24</v>
      </c>
      <c r="N641">
        <v>997.64563226459597</v>
      </c>
      <c r="O641">
        <v>1114.12135396708</v>
      </c>
      <c r="P641">
        <v>881.16991056211305</v>
      </c>
      <c r="Q641">
        <v>1070.4143813324599</v>
      </c>
      <c r="R641">
        <v>1157.8283266016999</v>
      </c>
      <c r="S641">
        <v>847.40421458454</v>
      </c>
      <c r="T641">
        <v>914.93560653968598</v>
      </c>
    </row>
    <row r="642" spans="1:20" x14ac:dyDescent="0.2">
      <c r="A642" t="s">
        <v>1283</v>
      </c>
      <c r="B642" s="3" t="str">
        <f>HYPERLINK("http://www.ncbi.nlm.nih.gov/gene/55294","FBXW7")</f>
        <v>FBXW7</v>
      </c>
      <c r="C642">
        <v>55294</v>
      </c>
      <c r="D642" t="s">
        <v>1284</v>
      </c>
      <c r="E642" s="3" t="str">
        <f>HYPERLINK("http://genome.ucsc.edu/cgi-bin/hgTracks?db=hg19&amp;lastVirtModeType=default&amp;lastVirtModeExtraState=&amp;virtModeType=default&amp;virtMode=0&amp;nonVirtPosition=&amp;position=chr4:152321257-152382512","chr4:152321257-152382512")</f>
        <v>chr4:152321257-152382512</v>
      </c>
      <c r="F642" t="s">
        <v>22</v>
      </c>
      <c r="G642">
        <v>-0.32643649113721901</v>
      </c>
      <c r="H642">
        <v>8.6021597670290495E-2</v>
      </c>
      <c r="I642">
        <v>-3.7948201379426498</v>
      </c>
      <c r="J642">
        <v>1.4775052623123799E-4</v>
      </c>
      <c r="K642">
        <v>3.2524088551126699E-3</v>
      </c>
      <c r="L642" t="s">
        <v>23</v>
      </c>
      <c r="M642" t="s">
        <v>24</v>
      </c>
      <c r="N642">
        <v>731.19812120789697</v>
      </c>
      <c r="O642">
        <v>829.53318247826996</v>
      </c>
      <c r="P642">
        <v>632.86305993752399</v>
      </c>
      <c r="Q642">
        <v>879.17068081162097</v>
      </c>
      <c r="R642">
        <v>779.89568414491805</v>
      </c>
      <c r="S642">
        <v>627.41452907539895</v>
      </c>
      <c r="T642">
        <v>638.31159079964903</v>
      </c>
    </row>
    <row r="643" spans="1:20" x14ac:dyDescent="0.2">
      <c r="A643" t="s">
        <v>1285</v>
      </c>
      <c r="B643" s="3" t="str">
        <f>HYPERLINK("http://www.ncbi.nlm.nih.gov/gene/116535","MRGPRF")</f>
        <v>MRGPRF</v>
      </c>
      <c r="C643">
        <v>116535</v>
      </c>
      <c r="D643" t="s">
        <v>1286</v>
      </c>
      <c r="E643" s="3" t="str">
        <f>HYPERLINK("http://genome.ucsc.edu/cgi-bin/hgTracks?db=hg19&amp;lastVirtModeType=default&amp;lastVirtModeExtraState=&amp;virtModeType=default&amp;virtMode=0&amp;nonVirtPosition=&amp;position=chr11:69004393-69013382","chr11:69004393-69013382")</f>
        <v>chr11:69004393-69013382</v>
      </c>
      <c r="F643" t="s">
        <v>22</v>
      </c>
      <c r="G643">
        <v>-0.28272045030721799</v>
      </c>
      <c r="H643">
        <v>7.4704791046215593E-2</v>
      </c>
      <c r="I643">
        <v>-3.78450225678719</v>
      </c>
      <c r="J643">
        <v>1.5401651013228199E-4</v>
      </c>
      <c r="K643">
        <v>3.3849077242854302E-3</v>
      </c>
      <c r="L643" t="s">
        <v>23</v>
      </c>
      <c r="M643" t="s">
        <v>24</v>
      </c>
      <c r="N643">
        <v>1626.8975558853199</v>
      </c>
      <c r="O643">
        <v>1808.06933281397</v>
      </c>
      <c r="P643">
        <v>1445.72577895668</v>
      </c>
      <c r="Q643">
        <v>1805.12039628301</v>
      </c>
      <c r="R643">
        <v>1811.0182693449201</v>
      </c>
      <c r="S643">
        <v>1310.07310473605</v>
      </c>
      <c r="T643">
        <v>1581.3784531773099</v>
      </c>
    </row>
    <row r="644" spans="1:20" x14ac:dyDescent="0.2">
      <c r="A644" t="s">
        <v>1287</v>
      </c>
      <c r="B644" s="3" t="str">
        <f>HYPERLINK("http://www.ncbi.nlm.nih.gov/gene/4126","MANBA")</f>
        <v>MANBA</v>
      </c>
      <c r="C644">
        <v>4126</v>
      </c>
      <c r="D644" t="s">
        <v>1288</v>
      </c>
      <c r="E644" s="3" t="str">
        <f>HYPERLINK("http://genome.ucsc.edu/cgi-bin/hgTracks?db=hg19&amp;lastVirtModeType=default&amp;lastVirtModeExtraState=&amp;virtModeType=default&amp;virtMode=0&amp;nonVirtPosition=&amp;position=chr4:102631485-102760994","chr4:102631485-102760994")</f>
        <v>chr4:102631485-102760994</v>
      </c>
      <c r="F644" t="s">
        <v>22</v>
      </c>
      <c r="G644">
        <v>0.21962352769747301</v>
      </c>
      <c r="H644">
        <v>5.8058696462143997E-2</v>
      </c>
      <c r="I644">
        <v>3.7827843386162501</v>
      </c>
      <c r="J644">
        <v>1.5508377636208601E-4</v>
      </c>
      <c r="K644">
        <v>3.40291025444743E-3</v>
      </c>
      <c r="L644" t="s">
        <v>23</v>
      </c>
      <c r="M644" t="s">
        <v>24</v>
      </c>
      <c r="N644">
        <v>2238.4713870714299</v>
      </c>
      <c r="O644">
        <v>2055.5825567889401</v>
      </c>
      <c r="P644">
        <v>2421.3602173539198</v>
      </c>
      <c r="Q644">
        <v>2012.8743443308299</v>
      </c>
      <c r="R644">
        <v>2098.2907692470399</v>
      </c>
      <c r="S644">
        <v>2445.5355622294201</v>
      </c>
      <c r="T644">
        <v>2397.18487247843</v>
      </c>
    </row>
    <row r="645" spans="1:20" x14ac:dyDescent="0.2">
      <c r="A645" t="s">
        <v>1289</v>
      </c>
      <c r="B645" s="3" t="str">
        <f>HYPERLINK("http://www.ncbi.nlm.nih.gov/gene/135228","CD109")</f>
        <v>CD109</v>
      </c>
      <c r="C645">
        <v>135228</v>
      </c>
      <c r="D645" t="s">
        <v>1290</v>
      </c>
      <c r="E645" s="3" t="str">
        <f>HYPERLINK("http://genome.ucsc.edu/cgi-bin/hgTracks?db=hg19&amp;lastVirtModeType=default&amp;lastVirtModeExtraState=&amp;virtModeType=default&amp;virtMode=0&amp;nonVirtPosition=&amp;position=chr6:73696084-73828317","chr6:73696084-73828317")</f>
        <v>chr6:73696084-73828317</v>
      </c>
      <c r="F645" t="s">
        <v>27</v>
      </c>
      <c r="G645">
        <v>0.168162362474267</v>
      </c>
      <c r="H645">
        <v>4.4480289365513799E-2</v>
      </c>
      <c r="I645">
        <v>3.7806040579548399</v>
      </c>
      <c r="J645">
        <v>1.5644831266824601E-4</v>
      </c>
      <c r="K645">
        <v>3.42736766762353E-3</v>
      </c>
      <c r="L645" t="s">
        <v>23</v>
      </c>
      <c r="M645" t="s">
        <v>24</v>
      </c>
      <c r="N645">
        <v>9916.2975127636291</v>
      </c>
      <c r="O645">
        <v>9318.3130644991397</v>
      </c>
      <c r="P645">
        <v>10514.2819610281</v>
      </c>
      <c r="Q645">
        <v>9163.1873774732303</v>
      </c>
      <c r="R645">
        <v>9473.4387515250401</v>
      </c>
      <c r="S645">
        <v>10184.634588324599</v>
      </c>
      <c r="T645">
        <v>10843.929333731699</v>
      </c>
    </row>
    <row r="646" spans="1:20" x14ac:dyDescent="0.2">
      <c r="A646" t="s">
        <v>1291</v>
      </c>
      <c r="B646" s="3" t="str">
        <f>HYPERLINK("http://www.ncbi.nlm.nih.gov/gene/100288637","LOC100288637")</f>
        <v>LOC100288637</v>
      </c>
      <c r="C646">
        <v>100288637</v>
      </c>
      <c r="D646" t="s">
        <v>1292</v>
      </c>
      <c r="E646" s="3" t="str">
        <f>HYPERLINK("http://genome.ucsc.edu/cgi-bin/hgTracks?db=hg19&amp;lastVirtModeType=default&amp;lastVirtModeExtraState=&amp;virtModeType=default&amp;virtMode=0&amp;nonVirtPosition=&amp;position=chr15:30646114-30773006","chr15:30646114-30773006")</f>
        <v>chr15:30646114-30773006</v>
      </c>
      <c r="F646" t="s">
        <v>27</v>
      </c>
      <c r="G646">
        <v>-0.44036041545042298</v>
      </c>
      <c r="H646">
        <v>0.11663811537334499</v>
      </c>
      <c r="I646">
        <v>-3.77544179311267</v>
      </c>
      <c r="J646">
        <v>1.59724320176695E-4</v>
      </c>
      <c r="K646">
        <v>3.4935555453001498E-3</v>
      </c>
      <c r="L646" t="s">
        <v>23</v>
      </c>
      <c r="M646" t="s">
        <v>24</v>
      </c>
      <c r="N646">
        <v>167.08096175052799</v>
      </c>
      <c r="O646">
        <v>209.28304337962899</v>
      </c>
      <c r="P646">
        <v>124.878880121427</v>
      </c>
      <c r="Q646">
        <v>207.75394804781601</v>
      </c>
      <c r="R646">
        <v>210.812138711442</v>
      </c>
      <c r="S646">
        <v>131.20461063998101</v>
      </c>
      <c r="T646">
        <v>118.55314960287301</v>
      </c>
    </row>
    <row r="647" spans="1:20" x14ac:dyDescent="0.2">
      <c r="A647" t="s">
        <v>1291</v>
      </c>
      <c r="B647" s="3" t="str">
        <f>HYPERLINK("http://www.ncbi.nlm.nih.gov/gene/89839","ARHGAP11B")</f>
        <v>ARHGAP11B</v>
      </c>
      <c r="C647">
        <v>89839</v>
      </c>
      <c r="D647" t="s">
        <v>1293</v>
      </c>
      <c r="E647" s="3" t="str">
        <f>HYPERLINK("http://genome.ucsc.edu/cgi-bin/hgTracks?db=hg19&amp;lastVirtModeType=default&amp;lastVirtModeExtraState=&amp;virtModeType=default&amp;virtMode=0&amp;nonVirtPosition=&amp;position=chr15:30626675-30638810","chr15:30626675-30638810")</f>
        <v>chr15:30626675-30638810</v>
      </c>
      <c r="F647" t="s">
        <v>27</v>
      </c>
      <c r="G647">
        <v>-0.44036041545042298</v>
      </c>
      <c r="H647">
        <v>0.11663811537334499</v>
      </c>
      <c r="I647">
        <v>-3.77544179311267</v>
      </c>
      <c r="J647">
        <v>1.59724320176695E-4</v>
      </c>
      <c r="K647">
        <v>3.4935555453001498E-3</v>
      </c>
      <c r="L647" t="s">
        <v>23</v>
      </c>
      <c r="M647" t="s">
        <v>24</v>
      </c>
      <c r="N647">
        <v>167.08096175052799</v>
      </c>
      <c r="O647">
        <v>209.28304337962899</v>
      </c>
      <c r="P647">
        <v>124.878880121427</v>
      </c>
      <c r="Q647">
        <v>207.75394804781601</v>
      </c>
      <c r="R647">
        <v>210.812138711442</v>
      </c>
      <c r="S647">
        <v>131.20461063998101</v>
      </c>
      <c r="T647">
        <v>118.55314960287301</v>
      </c>
    </row>
    <row r="648" spans="1:20" x14ac:dyDescent="0.2">
      <c r="A648" t="s">
        <v>1294</v>
      </c>
      <c r="B648" s="3" t="str">
        <f>HYPERLINK("http://www.ncbi.nlm.nih.gov/gene/2936","GSR")</f>
        <v>GSR</v>
      </c>
      <c r="C648">
        <v>2936</v>
      </c>
      <c r="D648" t="s">
        <v>1295</v>
      </c>
      <c r="E648" s="3" t="str">
        <f>HYPERLINK("http://genome.ucsc.edu/cgi-bin/hgTracks?db=hg19&amp;lastVirtModeType=default&amp;lastVirtModeExtraState=&amp;virtModeType=default&amp;virtMode=0&amp;nonVirtPosition=&amp;position=chr8:30678062-30727969","chr8:30678062-30727969")</f>
        <v>chr8:30678062-30727969</v>
      </c>
      <c r="F648" t="s">
        <v>22</v>
      </c>
      <c r="G648">
        <v>0.187060139081488</v>
      </c>
      <c r="H648">
        <v>4.9573585794192E-2</v>
      </c>
      <c r="I648">
        <v>3.7733832662030999</v>
      </c>
      <c r="J648">
        <v>1.6104859092286699E-4</v>
      </c>
      <c r="K648">
        <v>3.5169114266181498E-3</v>
      </c>
      <c r="L648" t="s">
        <v>23</v>
      </c>
      <c r="M648" t="s">
        <v>24</v>
      </c>
      <c r="N648">
        <v>3616.5008577056601</v>
      </c>
      <c r="O648">
        <v>3370.11192920647</v>
      </c>
      <c r="P648">
        <v>3862.8897862048502</v>
      </c>
      <c r="Q648">
        <v>3326.81487668623</v>
      </c>
      <c r="R648">
        <v>3413.40898172671</v>
      </c>
      <c r="S648">
        <v>3883.8537751098202</v>
      </c>
      <c r="T648">
        <v>3841.9257972998798</v>
      </c>
    </row>
    <row r="649" spans="1:20" x14ac:dyDescent="0.2">
      <c r="A649" t="s">
        <v>1296</v>
      </c>
      <c r="B649" s="3" t="str">
        <f>HYPERLINK("http://www.ncbi.nlm.nih.gov/gene/4174","MCM5")</f>
        <v>MCM5</v>
      </c>
      <c r="C649">
        <v>4174</v>
      </c>
      <c r="D649" t="s">
        <v>1297</v>
      </c>
      <c r="E649" s="3" t="str">
        <f>HYPERLINK("http://genome.ucsc.edu/cgi-bin/hgTracks?db=hg19&amp;lastVirtModeType=default&amp;lastVirtModeExtraState=&amp;virtModeType=default&amp;virtMode=0&amp;nonVirtPosition=&amp;position=chr22:35400122-35424502","chr22:35400122-35424502")</f>
        <v>chr22:35400122-35424502</v>
      </c>
      <c r="F649" t="s">
        <v>27</v>
      </c>
      <c r="G649">
        <v>-0.271574261721646</v>
      </c>
      <c r="H649">
        <v>7.2038539502861307E-2</v>
      </c>
      <c r="I649">
        <v>-3.7698468569155201</v>
      </c>
      <c r="J649">
        <v>1.6334774811673899E-4</v>
      </c>
      <c r="K649">
        <v>3.56144835878054E-3</v>
      </c>
      <c r="L649" t="s">
        <v>23</v>
      </c>
      <c r="M649" t="s">
        <v>24</v>
      </c>
      <c r="N649">
        <v>1167.23433933819</v>
      </c>
      <c r="O649">
        <v>1289.3386564974101</v>
      </c>
      <c r="P649">
        <v>1045.13002217897</v>
      </c>
      <c r="Q649">
        <v>1260.2822278927099</v>
      </c>
      <c r="R649">
        <v>1318.39508510212</v>
      </c>
      <c r="S649">
        <v>1025.9608651547401</v>
      </c>
      <c r="T649">
        <v>1064.2991792031901</v>
      </c>
    </row>
    <row r="650" spans="1:20" x14ac:dyDescent="0.2">
      <c r="A650" t="s">
        <v>1298</v>
      </c>
      <c r="B650" s="3" t="str">
        <f>HYPERLINK("http://www.ncbi.nlm.nih.gov/gene/51621","KLF13")</f>
        <v>KLF13</v>
      </c>
      <c r="C650">
        <v>51621</v>
      </c>
      <c r="D650" t="s">
        <v>1299</v>
      </c>
      <c r="E650" s="3" t="str">
        <f>HYPERLINK("http://genome.ucsc.edu/cgi-bin/hgTracks?db=hg19&amp;lastVirtModeType=default&amp;lastVirtModeExtraState=&amp;virtModeType=default&amp;virtMode=0&amp;nonVirtPosition=&amp;position=chr15:31326854-31435665","chr15:31326854-31435665")</f>
        <v>chr15:31326854-31435665</v>
      </c>
      <c r="F650" t="s">
        <v>27</v>
      </c>
      <c r="G650">
        <v>0.189975306278658</v>
      </c>
      <c r="H650">
        <v>5.0429723049956202E-2</v>
      </c>
      <c r="I650">
        <v>3.7671296764899198</v>
      </c>
      <c r="J650">
        <v>1.65135235279287E-4</v>
      </c>
      <c r="K650">
        <v>3.5947057406668999E-3</v>
      </c>
      <c r="L650" t="s">
        <v>23</v>
      </c>
      <c r="M650" t="s">
        <v>24</v>
      </c>
      <c r="N650">
        <v>3737.9950204196198</v>
      </c>
      <c r="O650">
        <v>3482.0393032432999</v>
      </c>
      <c r="P650">
        <v>3993.9507375959402</v>
      </c>
      <c r="Q650">
        <v>3533.1929707734598</v>
      </c>
      <c r="R650">
        <v>3430.8856357131499</v>
      </c>
      <c r="S650">
        <v>3907.52979507493</v>
      </c>
      <c r="T650">
        <v>4080.3716801169599</v>
      </c>
    </row>
    <row r="651" spans="1:20" x14ac:dyDescent="0.2">
      <c r="A651" t="s">
        <v>1300</v>
      </c>
      <c r="B651" s="3" t="str">
        <f>HYPERLINK("http://www.ncbi.nlm.nih.gov/gene/283209","PGM2L1")</f>
        <v>PGM2L1</v>
      </c>
      <c r="C651">
        <v>283209</v>
      </c>
      <c r="D651" t="s">
        <v>1301</v>
      </c>
      <c r="E651" s="3" t="str">
        <f>HYPERLINK("http://genome.ucsc.edu/cgi-bin/hgTracks?db=hg19&amp;lastVirtModeType=default&amp;lastVirtModeExtraState=&amp;virtModeType=default&amp;virtMode=0&amp;nonVirtPosition=&amp;position=chr11:74330311-74398465","chr11:74330311-74398465")</f>
        <v>chr11:74330311-74398465</v>
      </c>
      <c r="F651" t="s">
        <v>22</v>
      </c>
      <c r="G651">
        <v>0.26142671440550203</v>
      </c>
      <c r="H651">
        <v>6.9432685086507004E-2</v>
      </c>
      <c r="I651">
        <v>3.7651822636527399</v>
      </c>
      <c r="J651">
        <v>1.66427637089557E-4</v>
      </c>
      <c r="K651">
        <v>3.6170976466659002E-3</v>
      </c>
      <c r="L651" t="s">
        <v>23</v>
      </c>
      <c r="M651" t="s">
        <v>24</v>
      </c>
      <c r="N651">
        <v>1561.2693295777899</v>
      </c>
      <c r="O651">
        <v>1405.9607185888599</v>
      </c>
      <c r="P651">
        <v>1716.5779405667299</v>
      </c>
      <c r="Q651">
        <v>1480.4188615857699</v>
      </c>
      <c r="R651">
        <v>1331.5025755919501</v>
      </c>
      <c r="S651">
        <v>1772.7419948875699</v>
      </c>
      <c r="T651">
        <v>1660.4138862458899</v>
      </c>
    </row>
    <row r="652" spans="1:20" x14ac:dyDescent="0.2">
      <c r="A652" t="s">
        <v>1302</v>
      </c>
      <c r="B652" s="3" t="str">
        <f>HYPERLINK("http://www.ncbi.nlm.nih.gov/gene/84818","IL17RC")</f>
        <v>IL17RC</v>
      </c>
      <c r="C652">
        <v>84818</v>
      </c>
      <c r="D652" t="s">
        <v>1303</v>
      </c>
      <c r="E652" s="3" t="str">
        <f>HYPERLINK("http://genome.ucsc.edu/cgi-bin/hgTracks?db=hg19&amp;lastVirtModeType=default&amp;lastVirtModeExtraState=&amp;virtModeType=default&amp;virtMode=0&amp;nonVirtPosition=&amp;position=chr3:9917073-9933621","chr3:9917073-9933621")</f>
        <v>chr3:9917073-9933621</v>
      </c>
      <c r="F652" t="s">
        <v>27</v>
      </c>
      <c r="G652">
        <v>0.25513203466582401</v>
      </c>
      <c r="H652">
        <v>6.7834770142744402E-2</v>
      </c>
      <c r="I652">
        <v>3.7610805510057901</v>
      </c>
      <c r="J652">
        <v>1.6918093315481899E-4</v>
      </c>
      <c r="K652">
        <v>3.6711191729195901E-3</v>
      </c>
      <c r="L652" t="s">
        <v>23</v>
      </c>
      <c r="M652" t="s">
        <v>24</v>
      </c>
      <c r="N652">
        <v>1412.6945017814701</v>
      </c>
      <c r="O652">
        <v>1276.94515733091</v>
      </c>
      <c r="P652">
        <v>1548.44384623202</v>
      </c>
      <c r="Q652">
        <v>1304.30955463132</v>
      </c>
      <c r="R652">
        <v>1249.58076003051</v>
      </c>
      <c r="S652">
        <v>1520.1977819264</v>
      </c>
      <c r="T652">
        <v>1576.6899105376399</v>
      </c>
    </row>
    <row r="653" spans="1:20" x14ac:dyDescent="0.2">
      <c r="A653" t="s">
        <v>1304</v>
      </c>
      <c r="B653" s="3" t="str">
        <f>HYPERLINK("http://www.ncbi.nlm.nih.gov/gene/1728","NQO1")</f>
        <v>NQO1</v>
      </c>
      <c r="C653">
        <v>1728</v>
      </c>
      <c r="D653" t="s">
        <v>1305</v>
      </c>
      <c r="E653" s="3" t="str">
        <f>HYPERLINK("http://genome.ucsc.edu/cgi-bin/hgTracks?db=hg19&amp;lastVirtModeType=default&amp;lastVirtModeExtraState=&amp;virtModeType=default&amp;virtMode=0&amp;nonVirtPosition=&amp;position=chr16:69709400-69726630","chr16:69709400-69726630")</f>
        <v>chr16:69709400-69726630</v>
      </c>
      <c r="F653" t="s">
        <v>22</v>
      </c>
      <c r="G653">
        <v>-0.14968522783733401</v>
      </c>
      <c r="H653">
        <v>3.9860694131106197E-2</v>
      </c>
      <c r="I653">
        <v>-3.7552087614180301</v>
      </c>
      <c r="J653">
        <v>1.7319705454438901E-4</v>
      </c>
      <c r="K653">
        <v>3.7507034885609701E-3</v>
      </c>
      <c r="L653" t="s">
        <v>23</v>
      </c>
      <c r="M653" t="s">
        <v>24</v>
      </c>
      <c r="N653">
        <v>21198.1118051993</v>
      </c>
      <c r="O653">
        <v>22330.014754942302</v>
      </c>
      <c r="P653">
        <v>20066.2088554564</v>
      </c>
      <c r="Q653">
        <v>22680.9525401871</v>
      </c>
      <c r="R653">
        <v>21979.0769696975</v>
      </c>
      <c r="S653">
        <v>20263.713587638002</v>
      </c>
      <c r="T653">
        <v>19868.7041232747</v>
      </c>
    </row>
    <row r="654" spans="1:20" x14ac:dyDescent="0.2">
      <c r="A654" t="s">
        <v>1306</v>
      </c>
      <c r="B654" s="3" t="str">
        <f>HYPERLINK("http://www.ncbi.nlm.nih.gov/gene/100616358","MIR4800")</f>
        <v>MIR4800</v>
      </c>
      <c r="C654">
        <v>100616358</v>
      </c>
      <c r="D654" t="s">
        <v>1307</v>
      </c>
      <c r="E654" s="3" t="str">
        <f>HYPERLINK("http://genome.ucsc.edu/cgi-bin/hgTracks?db=hg19&amp;lastVirtModeType=default&amp;lastVirtModeExtraState=&amp;virtModeType=default&amp;virtMode=0&amp;nonVirtPosition=&amp;position=chr4:2250076-2250156","chr4:2250076-2250156")</f>
        <v>chr4:2250076-2250156</v>
      </c>
      <c r="F654" t="s">
        <v>22</v>
      </c>
      <c r="G654">
        <v>-0.241893078647337</v>
      </c>
      <c r="H654">
        <v>6.4420268225663505E-2</v>
      </c>
      <c r="I654">
        <v>-3.75492194164713</v>
      </c>
      <c r="J654">
        <v>1.7339550909637301E-4</v>
      </c>
      <c r="K654">
        <v>3.7507034885609701E-3</v>
      </c>
      <c r="L654" t="s">
        <v>23</v>
      </c>
      <c r="M654" t="s">
        <v>24</v>
      </c>
      <c r="N654">
        <v>2130.2239679757299</v>
      </c>
      <c r="O654">
        <v>2326.6423304587802</v>
      </c>
      <c r="P654">
        <v>1933.8056054926799</v>
      </c>
      <c r="Q654">
        <v>2380.2273518061102</v>
      </c>
      <c r="R654">
        <v>2273.0573091114502</v>
      </c>
      <c r="S654">
        <v>1822.0670364815401</v>
      </c>
      <c r="T654">
        <v>2045.5441745038099</v>
      </c>
    </row>
    <row r="655" spans="1:20" x14ac:dyDescent="0.2">
      <c r="A655" t="s">
        <v>1306</v>
      </c>
      <c r="B655" s="3" t="str">
        <f>HYPERLINK("http://www.ncbi.nlm.nih.gov/gene/10608","MXD4")</f>
        <v>MXD4</v>
      </c>
      <c r="C655">
        <v>10608</v>
      </c>
      <c r="D655" t="s">
        <v>1308</v>
      </c>
      <c r="E655" s="3" t="str">
        <f>HYPERLINK("http://genome.ucsc.edu/cgi-bin/hgTracks?db=hg19&amp;lastVirtModeType=default&amp;lastVirtModeExtraState=&amp;virtModeType=default&amp;virtMode=0&amp;nonVirtPosition=&amp;position=chr4:2247432-2262012","chr4:2247432-2262012")</f>
        <v>chr4:2247432-2262012</v>
      </c>
      <c r="F655" t="s">
        <v>22</v>
      </c>
      <c r="G655">
        <v>-0.241893078647337</v>
      </c>
      <c r="H655">
        <v>6.4420268225663505E-2</v>
      </c>
      <c r="I655">
        <v>-3.75492194164713</v>
      </c>
      <c r="J655">
        <v>1.7339550909637301E-4</v>
      </c>
      <c r="K655">
        <v>3.7507034885609701E-3</v>
      </c>
      <c r="L655" t="s">
        <v>23</v>
      </c>
      <c r="M655" t="s">
        <v>24</v>
      </c>
      <c r="N655">
        <v>2130.2239679757299</v>
      </c>
      <c r="O655">
        <v>2326.6423304587802</v>
      </c>
      <c r="P655">
        <v>1933.8056054926799</v>
      </c>
      <c r="Q655">
        <v>2380.2273518061102</v>
      </c>
      <c r="R655">
        <v>2273.0573091114502</v>
      </c>
      <c r="S655">
        <v>1822.0670364815401</v>
      </c>
      <c r="T655">
        <v>2045.5441745038099</v>
      </c>
    </row>
    <row r="656" spans="1:20" x14ac:dyDescent="0.2">
      <c r="A656" t="s">
        <v>1309</v>
      </c>
      <c r="B656" s="3" t="str">
        <f>HYPERLINK("http://www.ncbi.nlm.nih.gov/gene/64129","TINAGL1")</f>
        <v>TINAGL1</v>
      </c>
      <c r="C656">
        <v>64129</v>
      </c>
      <c r="D656" t="s">
        <v>1310</v>
      </c>
      <c r="E656" s="3" t="str">
        <f>HYPERLINK("http://genome.ucsc.edu/cgi-bin/hgTracks?db=hg19&amp;lastVirtModeType=default&amp;lastVirtModeExtraState=&amp;virtModeType=default&amp;virtMode=0&amp;nonVirtPosition=&amp;position=chr1:31578144-31587686","chr1:31578144-31587686")</f>
        <v>chr1:31578144-31587686</v>
      </c>
      <c r="F656" t="s">
        <v>27</v>
      </c>
      <c r="G656">
        <v>-0.31756233801254202</v>
      </c>
      <c r="H656">
        <v>8.4605352122814004E-2</v>
      </c>
      <c r="I656">
        <v>-3.7534544806522998</v>
      </c>
      <c r="J656">
        <v>1.7441421615320299E-4</v>
      </c>
      <c r="K656">
        <v>3.7629627765885399E-3</v>
      </c>
      <c r="L656" t="s">
        <v>23</v>
      </c>
      <c r="M656" t="s">
        <v>24</v>
      </c>
      <c r="N656">
        <v>899.13099921492505</v>
      </c>
      <c r="O656">
        <v>1016.02562895792</v>
      </c>
      <c r="P656">
        <v>782.23636947193199</v>
      </c>
      <c r="Q656">
        <v>982.35972785523802</v>
      </c>
      <c r="R656">
        <v>1049.6915300605999</v>
      </c>
      <c r="S656">
        <v>717.18610477643801</v>
      </c>
      <c r="T656">
        <v>847.28663416742495</v>
      </c>
    </row>
    <row r="657" spans="1:20" x14ac:dyDescent="0.2">
      <c r="A657" t="s">
        <v>1311</v>
      </c>
      <c r="B657" s="3" t="str">
        <f>HYPERLINK("http://www.ncbi.nlm.nih.gov/gene/51523","CXXC5")</f>
        <v>CXXC5</v>
      </c>
      <c r="C657">
        <v>51523</v>
      </c>
      <c r="D657" t="s">
        <v>1312</v>
      </c>
      <c r="E657" s="3" t="str">
        <f>HYPERLINK("http://genome.ucsc.edu/cgi-bin/hgTracks?db=hg19&amp;lastVirtModeType=default&amp;lastVirtModeExtraState=&amp;virtModeType=default&amp;virtMode=0&amp;nonVirtPosition=&amp;position=chr5:139648924-139683885","chr5:139648924-139683885")</f>
        <v>chr5:139648924-139683885</v>
      </c>
      <c r="F657" t="s">
        <v>27</v>
      </c>
      <c r="G657">
        <v>0.229219815090379</v>
      </c>
      <c r="H657">
        <v>6.1071289961748002E-2</v>
      </c>
      <c r="I657">
        <v>3.75331543240614</v>
      </c>
      <c r="J657">
        <v>1.7451103441084399E-4</v>
      </c>
      <c r="K657">
        <v>3.7629627765885399E-3</v>
      </c>
      <c r="L657" t="s">
        <v>23</v>
      </c>
      <c r="M657" t="s">
        <v>24</v>
      </c>
      <c r="N657">
        <v>3056.5808992011798</v>
      </c>
      <c r="O657">
        <v>2798.4312098365599</v>
      </c>
      <c r="P657">
        <v>3314.7305885658002</v>
      </c>
      <c r="Q657">
        <v>2824.6281810739601</v>
      </c>
      <c r="R657">
        <v>2772.2342385991601</v>
      </c>
      <c r="S657">
        <v>3095.6396104380501</v>
      </c>
      <c r="T657">
        <v>3533.8215666935498</v>
      </c>
    </row>
    <row r="658" spans="1:20" x14ac:dyDescent="0.2">
      <c r="A658" t="s">
        <v>1313</v>
      </c>
      <c r="B658" s="3" t="str">
        <f>HYPERLINK("http://www.ncbi.nlm.nih.gov/gene/79659","DYNC2H1")</f>
        <v>DYNC2H1</v>
      </c>
      <c r="C658">
        <v>79659</v>
      </c>
      <c r="D658" t="s">
        <v>1314</v>
      </c>
      <c r="E658" s="3" t="str">
        <f>HYPERLINK("http://genome.ucsc.edu/cgi-bin/hgTracks?db=hg19&amp;lastVirtModeType=default&amp;lastVirtModeExtraState=&amp;virtModeType=default&amp;virtMode=0&amp;nonVirtPosition=&amp;position=chr11:103109430-103479863","chr11:103109430-103479863")</f>
        <v>chr11:103109430-103479863</v>
      </c>
      <c r="F658" t="s">
        <v>27</v>
      </c>
      <c r="G658">
        <v>-0.242429782577331</v>
      </c>
      <c r="H658">
        <v>6.4714515290204402E-2</v>
      </c>
      <c r="I658">
        <v>-3.7461422911101798</v>
      </c>
      <c r="J658">
        <v>1.7957475918333599E-4</v>
      </c>
      <c r="K658">
        <v>3.8660726019470399E-3</v>
      </c>
      <c r="L658" t="s">
        <v>23</v>
      </c>
      <c r="M658" t="s">
        <v>24</v>
      </c>
      <c r="N658">
        <v>1683.35793684296</v>
      </c>
      <c r="O658">
        <v>1838.4589207541901</v>
      </c>
      <c r="P658">
        <v>1528.25695293173</v>
      </c>
      <c r="Q658">
        <v>1861.53040866686</v>
      </c>
      <c r="R658">
        <v>1815.38743284153</v>
      </c>
      <c r="S658">
        <v>1475.8052444918201</v>
      </c>
      <c r="T658">
        <v>1580.7086613716399</v>
      </c>
    </row>
    <row r="659" spans="1:20" x14ac:dyDescent="0.2">
      <c r="A659" t="s">
        <v>1315</v>
      </c>
      <c r="B659" s="3" t="str">
        <f>HYPERLINK("http://www.ncbi.nlm.nih.gov/gene/9136","RRP9")</f>
        <v>RRP9</v>
      </c>
      <c r="C659">
        <v>9136</v>
      </c>
      <c r="D659" t="s">
        <v>1316</v>
      </c>
      <c r="E659" s="3" t="str">
        <f>HYPERLINK("http://genome.ucsc.edu/cgi-bin/hgTracks?db=hg19&amp;lastVirtModeType=default&amp;lastVirtModeExtraState=&amp;virtModeType=default&amp;virtMode=0&amp;nonVirtPosition=&amp;position=chr3:51933425-51941941","chr3:51933425-51941941")</f>
        <v>chr3:51933425-51941941</v>
      </c>
      <c r="F659" t="s">
        <v>22</v>
      </c>
      <c r="G659">
        <v>0.30545005842626799</v>
      </c>
      <c r="H659">
        <v>8.1602124843747695E-2</v>
      </c>
      <c r="I659">
        <v>3.7431630488929799</v>
      </c>
      <c r="J659">
        <v>1.8171822896987299E-4</v>
      </c>
      <c r="K659">
        <v>3.9060874484213798E-3</v>
      </c>
      <c r="L659" t="s">
        <v>23</v>
      </c>
      <c r="M659" t="s">
        <v>24</v>
      </c>
      <c r="N659">
        <v>847.88849977350401</v>
      </c>
      <c r="O659">
        <v>745.39055361096803</v>
      </c>
      <c r="P659">
        <v>950.38644593603999</v>
      </c>
      <c r="Q659">
        <v>762.22309416218798</v>
      </c>
      <c r="R659">
        <v>728.55801305974899</v>
      </c>
      <c r="S659">
        <v>913.49977032047002</v>
      </c>
      <c r="T659">
        <v>987.27312155160905</v>
      </c>
    </row>
    <row r="660" spans="1:20" x14ac:dyDescent="0.2">
      <c r="A660" t="s">
        <v>1317</v>
      </c>
      <c r="B660" s="3" t="str">
        <f>HYPERLINK("http://www.ncbi.nlm.nih.gov/gene/27346","TMEM97")</f>
        <v>TMEM97</v>
      </c>
      <c r="C660">
        <v>27346</v>
      </c>
      <c r="D660" t="s">
        <v>1318</v>
      </c>
      <c r="E660" s="3" t="str">
        <f>HYPERLINK("http://genome.ucsc.edu/cgi-bin/hgTracks?db=hg19&amp;lastVirtModeType=default&amp;lastVirtModeExtraState=&amp;virtModeType=default&amp;virtMode=0&amp;nonVirtPosition=&amp;position=chr17:28319094-28328685","chr17:28319094-28328685")</f>
        <v>chr17:28319094-28328685</v>
      </c>
      <c r="F660" t="s">
        <v>27</v>
      </c>
      <c r="G660">
        <v>-0.36758353594869803</v>
      </c>
      <c r="H660">
        <v>9.8230667078802097E-2</v>
      </c>
      <c r="I660">
        <v>-3.7420445862778999</v>
      </c>
      <c r="J660">
        <v>1.82529119685829E-4</v>
      </c>
      <c r="K660">
        <v>3.9173776954169997E-3</v>
      </c>
      <c r="L660" t="s">
        <v>23</v>
      </c>
      <c r="M660" t="s">
        <v>24</v>
      </c>
      <c r="N660">
        <v>489.79076030688299</v>
      </c>
      <c r="O660">
        <v>568.06242506093395</v>
      </c>
      <c r="P660">
        <v>411.51909555283203</v>
      </c>
      <c r="Q660">
        <v>520.07279709983197</v>
      </c>
      <c r="R660">
        <v>616.05205302203603</v>
      </c>
      <c r="S660">
        <v>425.18185854008902</v>
      </c>
      <c r="T660">
        <v>397.85633256557401</v>
      </c>
    </row>
    <row r="661" spans="1:20" x14ac:dyDescent="0.2">
      <c r="A661" t="s">
        <v>1319</v>
      </c>
      <c r="B661" s="3" t="str">
        <f>HYPERLINK("http://www.ncbi.nlm.nih.gov/gene/10184","LHFPL2")</f>
        <v>LHFPL2</v>
      </c>
      <c r="C661">
        <v>10184</v>
      </c>
      <c r="D661" t="s">
        <v>1320</v>
      </c>
      <c r="E661" s="3" t="str">
        <f>HYPERLINK("http://genome.ucsc.edu/cgi-bin/hgTracks?db=hg19&amp;lastVirtModeType=default&amp;lastVirtModeExtraState=&amp;virtModeType=default&amp;virtMode=0&amp;nonVirtPosition=&amp;position=chr5:78485214-78648825","chr5:78485214-78648825")</f>
        <v>chr5:78485214-78648825</v>
      </c>
      <c r="F661" t="s">
        <v>22</v>
      </c>
      <c r="G661">
        <v>0.19268374188524501</v>
      </c>
      <c r="H661">
        <v>5.1507917931686298E-2</v>
      </c>
      <c r="I661">
        <v>3.7408567385852498</v>
      </c>
      <c r="J661">
        <v>1.8339403919332499E-4</v>
      </c>
      <c r="K661">
        <v>3.9282467927069104E-3</v>
      </c>
      <c r="L661" t="s">
        <v>23</v>
      </c>
      <c r="M661" t="s">
        <v>24</v>
      </c>
      <c r="N661">
        <v>4969.3477297612499</v>
      </c>
      <c r="O661">
        <v>4618.6416266809001</v>
      </c>
      <c r="P661">
        <v>5320.0538328416096</v>
      </c>
      <c r="Q661">
        <v>4662.7690724109298</v>
      </c>
      <c r="R661">
        <v>4574.5141809508696</v>
      </c>
      <c r="S661">
        <v>5569.7836967919802</v>
      </c>
      <c r="T661">
        <v>5070.3239688912299</v>
      </c>
    </row>
    <row r="662" spans="1:20" x14ac:dyDescent="0.2">
      <c r="A662" t="s">
        <v>1321</v>
      </c>
      <c r="B662" s="3" t="str">
        <f>HYPERLINK("http://www.ncbi.nlm.nih.gov/gene/5530","PPP3CA")</f>
        <v>PPP3CA</v>
      </c>
      <c r="C662">
        <v>5530</v>
      </c>
      <c r="D662" t="s">
        <v>1322</v>
      </c>
      <c r="E662" s="3" t="str">
        <f>HYPERLINK("http://genome.ucsc.edu/cgi-bin/hgTracks?db=hg19&amp;lastVirtModeType=default&amp;lastVirtModeExtraState=&amp;virtModeType=default&amp;virtMode=0&amp;nonVirtPosition=&amp;position=chr4:101023429-101347471","chr4:101023429-101347471")</f>
        <v>chr4:101023429-101347471</v>
      </c>
      <c r="F662" t="s">
        <v>22</v>
      </c>
      <c r="G662">
        <v>0.197478895544004</v>
      </c>
      <c r="H662">
        <v>5.2793895021887298E-2</v>
      </c>
      <c r="I662">
        <v>3.7405630984820002</v>
      </c>
      <c r="J662">
        <v>1.8360844349753E-4</v>
      </c>
      <c r="K662">
        <v>3.9282467927069104E-3</v>
      </c>
      <c r="L662" t="s">
        <v>23</v>
      </c>
      <c r="M662" t="s">
        <v>24</v>
      </c>
      <c r="N662">
        <v>3136.81066942083</v>
      </c>
      <c r="O662">
        <v>2908.9363311407501</v>
      </c>
      <c r="P662">
        <v>3364.6850077009199</v>
      </c>
      <c r="Q662">
        <v>2837.0108667191898</v>
      </c>
      <c r="R662">
        <v>2980.8617955622999</v>
      </c>
      <c r="S662">
        <v>3398.4953658250802</v>
      </c>
      <c r="T662">
        <v>3330.87464957676</v>
      </c>
    </row>
    <row r="663" spans="1:20" x14ac:dyDescent="0.2">
      <c r="A663" t="s">
        <v>1323</v>
      </c>
      <c r="B663" s="3" t="str">
        <f>HYPERLINK("http://www.ncbi.nlm.nih.gov/gene/51706","CYB5R1")</f>
        <v>CYB5R1</v>
      </c>
      <c r="C663">
        <v>51706</v>
      </c>
      <c r="D663" t="s">
        <v>1324</v>
      </c>
      <c r="E663" s="3" t="str">
        <f>HYPERLINK("http://genome.ucsc.edu/cgi-bin/hgTracks?db=hg19&amp;lastVirtModeType=default&amp;lastVirtModeExtraState=&amp;virtModeType=default&amp;virtMode=0&amp;nonVirtPosition=&amp;position=chr1:202961872-202967276","chr1:202961872-202967276")</f>
        <v>chr1:202961872-202967276</v>
      </c>
      <c r="F663" t="s">
        <v>22</v>
      </c>
      <c r="G663">
        <v>0.194347864097069</v>
      </c>
      <c r="H663">
        <v>5.20209332995051E-2</v>
      </c>
      <c r="I663">
        <v>3.7359549660159201</v>
      </c>
      <c r="J663">
        <v>1.8700413621231999E-4</v>
      </c>
      <c r="K663">
        <v>3.9946646791522702E-3</v>
      </c>
      <c r="L663" t="s">
        <v>23</v>
      </c>
      <c r="M663" t="s">
        <v>24</v>
      </c>
      <c r="N663">
        <v>3226.4116325981099</v>
      </c>
      <c r="O663">
        <v>2997.5269628405299</v>
      </c>
      <c r="P663">
        <v>3455.2963023556999</v>
      </c>
      <c r="Q663">
        <v>2938.8240598022298</v>
      </c>
      <c r="R663">
        <v>3056.22986587883</v>
      </c>
      <c r="S663">
        <v>3414.2793791351501</v>
      </c>
      <c r="T663">
        <v>3496.3132255762498</v>
      </c>
    </row>
    <row r="664" spans="1:20" x14ac:dyDescent="0.2">
      <c r="A664" t="s">
        <v>1325</v>
      </c>
      <c r="B664" s="3" t="str">
        <f>HYPERLINK("http://www.ncbi.nlm.nih.gov/gene/55831","EMC3")</f>
        <v>EMC3</v>
      </c>
      <c r="C664">
        <v>55831</v>
      </c>
      <c r="D664" t="s">
        <v>1326</v>
      </c>
      <c r="E664" s="3" t="str">
        <f>HYPERLINK("http://genome.ucsc.edu/cgi-bin/hgTracks?db=hg19&amp;lastVirtModeType=default&amp;lastVirtModeExtraState=&amp;virtModeType=default&amp;virtMode=0&amp;nonVirtPosition=&amp;position=chr3:9962679-10011248","chr3:9962679-10011248")</f>
        <v>chr3:9962679-10011248</v>
      </c>
      <c r="F664" t="s">
        <v>22</v>
      </c>
      <c r="G664">
        <v>0.18291908789744299</v>
      </c>
      <c r="H664">
        <v>4.89725872981965E-2</v>
      </c>
      <c r="I664">
        <v>3.7351322033210099</v>
      </c>
      <c r="J664">
        <v>1.8761659960452799E-4</v>
      </c>
      <c r="K664">
        <v>4.0015148475528702E-3</v>
      </c>
      <c r="L664" t="s">
        <v>23</v>
      </c>
      <c r="M664" t="s">
        <v>24</v>
      </c>
      <c r="N664">
        <v>3858.8344251010299</v>
      </c>
      <c r="O664">
        <v>3603.6453463897901</v>
      </c>
      <c r="P664">
        <v>4114.0235038122701</v>
      </c>
      <c r="Q664">
        <v>3663.89909702871</v>
      </c>
      <c r="R664">
        <v>3543.3915957508598</v>
      </c>
      <c r="S664">
        <v>4142.3169930622598</v>
      </c>
      <c r="T664">
        <v>4085.7300145622899</v>
      </c>
    </row>
    <row r="665" spans="1:20" x14ac:dyDescent="0.2">
      <c r="A665" t="s">
        <v>1327</v>
      </c>
      <c r="B665" s="3" t="str">
        <f>HYPERLINK("http://www.ncbi.nlm.nih.gov/gene/8243","SMC1A")</f>
        <v>SMC1A</v>
      </c>
      <c r="C665">
        <v>8243</v>
      </c>
      <c r="D665" t="s">
        <v>1328</v>
      </c>
      <c r="E665" s="3" t="str">
        <f>HYPERLINK("http://genome.ucsc.edu/cgi-bin/hgTracks?db=hg19&amp;lastVirtModeType=default&amp;lastVirtModeExtraState=&amp;virtModeType=default&amp;virtMode=0&amp;nonVirtPosition=&amp;position=chrX:53374148-53422728","chrX:53374148-53422728")</f>
        <v>chrX:53374148-53422728</v>
      </c>
      <c r="F665" t="s">
        <v>22</v>
      </c>
      <c r="G665">
        <v>-0.17272109260534199</v>
      </c>
      <c r="H665">
        <v>4.6361485474103403E-2</v>
      </c>
      <c r="I665">
        <v>-3.7255297331191102</v>
      </c>
      <c r="J665">
        <v>1.9490547566045099E-4</v>
      </c>
      <c r="K665">
        <v>4.1505181571544003E-3</v>
      </c>
      <c r="L665" t="s">
        <v>23</v>
      </c>
      <c r="M665" t="s">
        <v>24</v>
      </c>
      <c r="N665">
        <v>4530.9564782134403</v>
      </c>
      <c r="O665">
        <v>4813.3682161882598</v>
      </c>
      <c r="P665">
        <v>4248.5447402386299</v>
      </c>
      <c r="Q665">
        <v>4776.9649511391999</v>
      </c>
      <c r="R665">
        <v>4849.7714812373097</v>
      </c>
      <c r="S665">
        <v>4208.4125487981901</v>
      </c>
      <c r="T665">
        <v>4288.6769316790696</v>
      </c>
    </row>
    <row r="666" spans="1:20" x14ac:dyDescent="0.2">
      <c r="A666" t="s">
        <v>1329</v>
      </c>
      <c r="B666" s="3" t="str">
        <f>HYPERLINK("http://www.ncbi.nlm.nih.gov/gene/4921","DDR2")</f>
        <v>DDR2</v>
      </c>
      <c r="C666">
        <v>4921</v>
      </c>
      <c r="D666" t="s">
        <v>1330</v>
      </c>
      <c r="E666" s="3" t="str">
        <f>HYPERLINK("http://genome.ucsc.edu/cgi-bin/hgTracks?db=hg19&amp;lastVirtModeType=default&amp;lastVirtModeExtraState=&amp;virtModeType=default&amp;virtMode=0&amp;nonVirtPosition=&amp;position=chr1:162632437-162780457","chr1:162632437-162780457")</f>
        <v>chr1:162632437-162780457</v>
      </c>
      <c r="F666" t="s">
        <v>27</v>
      </c>
      <c r="G666">
        <v>-0.17773814239402899</v>
      </c>
      <c r="H666">
        <v>4.7749199637162697E-2</v>
      </c>
      <c r="I666">
        <v>-3.7223271540597098</v>
      </c>
      <c r="J666">
        <v>1.9739503155794401E-4</v>
      </c>
      <c r="K666">
        <v>4.1907758244062298E-3</v>
      </c>
      <c r="L666" t="s">
        <v>23</v>
      </c>
      <c r="M666" t="s">
        <v>24</v>
      </c>
      <c r="N666">
        <v>7426.3368428513304</v>
      </c>
      <c r="O666">
        <v>7901.5928457544996</v>
      </c>
      <c r="P666">
        <v>6951.0808399481703</v>
      </c>
      <c r="Q666">
        <v>7546.5589737898899</v>
      </c>
      <c r="R666">
        <v>8256.6267177191003</v>
      </c>
      <c r="S666">
        <v>6886.7623073511904</v>
      </c>
      <c r="T666">
        <v>7015.3993725451501</v>
      </c>
    </row>
    <row r="667" spans="1:20" x14ac:dyDescent="0.2">
      <c r="A667" t="s">
        <v>1331</v>
      </c>
      <c r="B667" s="3" t="str">
        <f>HYPERLINK("http://www.ncbi.nlm.nih.gov/gene/23741","EID1")</f>
        <v>EID1</v>
      </c>
      <c r="C667">
        <v>23741</v>
      </c>
      <c r="D667" t="s">
        <v>1332</v>
      </c>
      <c r="E667" s="3" t="str">
        <f>HYPERLINK("http://genome.ucsc.edu/cgi-bin/hgTracks?db=hg19&amp;lastVirtModeType=default&amp;lastVirtModeExtraState=&amp;virtModeType=default&amp;virtMode=0&amp;nonVirtPosition=&amp;position=chr15:48878092-48880183","chr15:48878092-48880183")</f>
        <v>chr15:48878092-48880183</v>
      </c>
      <c r="F667" t="s">
        <v>27</v>
      </c>
      <c r="G667">
        <v>0.17899818814097601</v>
      </c>
      <c r="H667">
        <v>4.8087909470106598E-2</v>
      </c>
      <c r="I667">
        <v>3.7223117019101899</v>
      </c>
      <c r="J667">
        <v>1.9740711554370899E-4</v>
      </c>
      <c r="K667">
        <v>4.1907758244062298E-3</v>
      </c>
      <c r="L667" t="s">
        <v>23</v>
      </c>
      <c r="M667" t="s">
        <v>24</v>
      </c>
      <c r="N667">
        <v>4455.3931063994196</v>
      </c>
      <c r="O667">
        <v>4169.2078323589403</v>
      </c>
      <c r="P667">
        <v>4741.5783804398998</v>
      </c>
      <c r="Q667">
        <v>4244.5094683941297</v>
      </c>
      <c r="R667">
        <v>4093.90619632375</v>
      </c>
      <c r="S667">
        <v>4655.2974256396301</v>
      </c>
      <c r="T667">
        <v>4827.8593352401604</v>
      </c>
    </row>
    <row r="668" spans="1:20" x14ac:dyDescent="0.2">
      <c r="A668" t="s">
        <v>1333</v>
      </c>
      <c r="B668" s="3" t="str">
        <f>HYPERLINK("http://www.ncbi.nlm.nih.gov/gene/83468","GLT8D2")</f>
        <v>GLT8D2</v>
      </c>
      <c r="C668">
        <v>83468</v>
      </c>
      <c r="D668" t="s">
        <v>1334</v>
      </c>
      <c r="E668" s="3" t="str">
        <f>HYPERLINK("http://genome.ucsc.edu/cgi-bin/hgTracks?db=hg19&amp;lastVirtModeType=default&amp;lastVirtModeExtraState=&amp;virtModeType=default&amp;virtMode=0&amp;nonVirtPosition=&amp;position=chr12:103988982-104064177","chr12:103988982-104064177")</f>
        <v>chr12:103988982-104064177</v>
      </c>
      <c r="F668" t="s">
        <v>22</v>
      </c>
      <c r="G668">
        <v>-0.388890242128138</v>
      </c>
      <c r="H668">
        <v>0.104507180667197</v>
      </c>
      <c r="I668">
        <v>-3.7211820244826801</v>
      </c>
      <c r="J668">
        <v>1.9829243819953301E-4</v>
      </c>
      <c r="K668">
        <v>4.2030641382819001E-3</v>
      </c>
      <c r="L668" t="s">
        <v>23</v>
      </c>
      <c r="M668" t="s">
        <v>24</v>
      </c>
      <c r="N668">
        <v>342.71704564297602</v>
      </c>
      <c r="O668">
        <v>404.48710620270703</v>
      </c>
      <c r="P668">
        <v>280.94698508324399</v>
      </c>
      <c r="Q668">
        <v>411.38033421388798</v>
      </c>
      <c r="R668">
        <v>397.59387819152698</v>
      </c>
      <c r="S668">
        <v>293.97724790010801</v>
      </c>
      <c r="T668">
        <v>267.91672226638002</v>
      </c>
    </row>
    <row r="669" spans="1:20" x14ac:dyDescent="0.2">
      <c r="A669" t="s">
        <v>1335</v>
      </c>
      <c r="B669" s="3" t="str">
        <f>HYPERLINK("http://www.ncbi.nlm.nih.gov/gene/113","ADCY7")</f>
        <v>ADCY7</v>
      </c>
      <c r="C669">
        <v>113</v>
      </c>
      <c r="D669" t="s">
        <v>1336</v>
      </c>
      <c r="E669" s="3" t="str">
        <f>HYPERLINK("http://genome.ucsc.edu/cgi-bin/hgTracks?db=hg19&amp;lastVirtModeType=default&amp;lastVirtModeExtraState=&amp;virtModeType=default&amp;virtMode=0&amp;nonVirtPosition=&amp;position=chr16:50287911-50318134","chr16:50287911-50318134")</f>
        <v>chr16:50287911-50318134</v>
      </c>
      <c r="F669" t="s">
        <v>27</v>
      </c>
      <c r="G669">
        <v>-0.21833496134386399</v>
      </c>
      <c r="H669">
        <v>5.86897201755553E-2</v>
      </c>
      <c r="I669">
        <v>-3.7201567956154999</v>
      </c>
      <c r="J669">
        <v>1.9909913284237E-4</v>
      </c>
      <c r="K669">
        <v>4.2088035469781404E-3</v>
      </c>
      <c r="L669" t="s">
        <v>23</v>
      </c>
      <c r="M669" t="s">
        <v>24</v>
      </c>
      <c r="N669">
        <v>2767.466925064</v>
      </c>
      <c r="O669">
        <v>2991.4093757465198</v>
      </c>
      <c r="P669">
        <v>2543.5244743814901</v>
      </c>
      <c r="Q669">
        <v>2874.1589236548898</v>
      </c>
      <c r="R669">
        <v>3108.6598278381498</v>
      </c>
      <c r="S669">
        <v>2453.42756888446</v>
      </c>
      <c r="T669">
        <v>2633.6213798785102</v>
      </c>
    </row>
    <row r="670" spans="1:20" x14ac:dyDescent="0.2">
      <c r="A670" t="s">
        <v>1337</v>
      </c>
      <c r="B670" s="3" t="str">
        <f>HYPERLINK("http://www.ncbi.nlm.nih.gov/gene/811","CALR")</f>
        <v>CALR</v>
      </c>
      <c r="C670">
        <v>811</v>
      </c>
      <c r="D670" t="s">
        <v>1338</v>
      </c>
      <c r="E670" s="3" t="str">
        <f>HYPERLINK("http://genome.ucsc.edu/cgi-bin/hgTracks?db=hg19&amp;lastVirtModeType=default&amp;lastVirtModeExtraState=&amp;virtModeType=default&amp;virtMode=0&amp;nonVirtPosition=&amp;position=chr19:12938599-12944490","chr19:12938599-12944490")</f>
        <v>chr19:12938599-12944490</v>
      </c>
      <c r="F670" t="s">
        <v>27</v>
      </c>
      <c r="G670">
        <v>-0.16071585913933401</v>
      </c>
      <c r="H670">
        <v>4.3202514012139502E-2</v>
      </c>
      <c r="I670">
        <v>-3.7200580293585199</v>
      </c>
      <c r="J670">
        <v>1.99177009041039E-4</v>
      </c>
      <c r="K670">
        <v>4.2088035469781404E-3</v>
      </c>
      <c r="L670" t="s">
        <v>23</v>
      </c>
      <c r="M670" t="s">
        <v>24</v>
      </c>
      <c r="N670">
        <v>30801.468223158801</v>
      </c>
      <c r="O670">
        <v>32572.905645639501</v>
      </c>
      <c r="P670">
        <v>29030.030800678102</v>
      </c>
      <c r="Q670">
        <v>31652.8962171395</v>
      </c>
      <c r="R670">
        <v>33492.915074139499</v>
      </c>
      <c r="S670">
        <v>29510.185884845101</v>
      </c>
      <c r="T670">
        <v>28549.875716511098</v>
      </c>
    </row>
    <row r="671" spans="1:20" x14ac:dyDescent="0.2">
      <c r="A671" t="s">
        <v>1339</v>
      </c>
      <c r="B671" s="3" t="str">
        <f>HYPERLINK("http://www.ncbi.nlm.nih.gov/gene/56888","KCMF1")</f>
        <v>KCMF1</v>
      </c>
      <c r="C671">
        <v>56888</v>
      </c>
      <c r="D671" t="s">
        <v>1340</v>
      </c>
      <c r="E671" s="3" t="str">
        <f>HYPERLINK("http://genome.ucsc.edu/cgi-bin/hgTracks?db=hg19&amp;lastVirtModeType=default&amp;lastVirtModeExtraState=&amp;virtModeType=default&amp;virtMode=0&amp;nonVirtPosition=&amp;position=chr2:84971107-85059472","chr2:84971107-85059472")</f>
        <v>chr2:84971107-85059472</v>
      </c>
      <c r="F671" t="s">
        <v>27</v>
      </c>
      <c r="G671">
        <v>0.208503691664229</v>
      </c>
      <c r="H671">
        <v>5.6057542599509E-2</v>
      </c>
      <c r="I671">
        <v>3.7194582922380102</v>
      </c>
      <c r="J671">
        <v>1.9965051057774499E-4</v>
      </c>
      <c r="K671">
        <v>4.2110026640994397E-3</v>
      </c>
      <c r="L671" t="s">
        <v>23</v>
      </c>
      <c r="M671" t="s">
        <v>24</v>
      </c>
      <c r="N671">
        <v>2517.9936035403298</v>
      </c>
      <c r="O671">
        <v>2324.4634786244901</v>
      </c>
      <c r="P671">
        <v>2711.5237284561699</v>
      </c>
      <c r="Q671">
        <v>2274.2865968413298</v>
      </c>
      <c r="R671">
        <v>2374.6403604076399</v>
      </c>
      <c r="S671">
        <v>2684.2687635442799</v>
      </c>
      <c r="T671">
        <v>2738.77869336806</v>
      </c>
    </row>
    <row r="672" spans="1:20" x14ac:dyDescent="0.2">
      <c r="A672" t="s">
        <v>1341</v>
      </c>
      <c r="B672" s="3" t="str">
        <f>HYPERLINK("http://www.ncbi.nlm.nih.gov/gene/27086","FOXP1")</f>
        <v>FOXP1</v>
      </c>
      <c r="C672">
        <v>27086</v>
      </c>
      <c r="D672" t="s">
        <v>1342</v>
      </c>
      <c r="E672" s="3" t="str">
        <f>HYPERLINK("http://genome.ucsc.edu/cgi-bin/hgTracks?db=hg19&amp;lastVirtModeType=default&amp;lastVirtModeExtraState=&amp;virtModeType=default&amp;virtMode=0&amp;nonVirtPosition=&amp;position=chr3:70954713-71583989","chr3:70954713-71583989")</f>
        <v>chr3:70954713-71583989</v>
      </c>
      <c r="F672" t="s">
        <v>22</v>
      </c>
      <c r="G672">
        <v>0.198996465120517</v>
      </c>
      <c r="H672">
        <v>5.3505915117648101E-2</v>
      </c>
      <c r="I672">
        <v>3.7191488956495</v>
      </c>
      <c r="J672">
        <v>1.99895197194745E-4</v>
      </c>
      <c r="K672">
        <v>4.2110026640994397E-3</v>
      </c>
      <c r="L672" t="s">
        <v>23</v>
      </c>
      <c r="M672" t="s">
        <v>24</v>
      </c>
      <c r="N672">
        <v>3153.2107394705799</v>
      </c>
      <c r="O672">
        <v>2925.8242319117999</v>
      </c>
      <c r="P672">
        <v>3380.59724702937</v>
      </c>
      <c r="Q672">
        <v>2969.0928469350201</v>
      </c>
      <c r="R672">
        <v>2882.5556168885701</v>
      </c>
      <c r="S672">
        <v>3288.9937734864502</v>
      </c>
      <c r="T672">
        <v>3472.2007205722798</v>
      </c>
    </row>
    <row r="673" spans="1:20" x14ac:dyDescent="0.2">
      <c r="A673" t="s">
        <v>1343</v>
      </c>
      <c r="B673" s="3" t="str">
        <f>HYPERLINK("http://www.ncbi.nlm.nih.gov/gene/84973","SNHG7")</f>
        <v>SNHG7</v>
      </c>
      <c r="C673">
        <v>84973</v>
      </c>
      <c r="D673" t="s">
        <v>1344</v>
      </c>
      <c r="E673" s="3" t="str">
        <f>HYPERLINK("http://genome.ucsc.edu/cgi-bin/hgTracks?db=hg19&amp;lastVirtModeType=default&amp;lastVirtModeExtraState=&amp;virtModeType=default&amp;virtMode=0&amp;nonVirtPosition=&amp;position=chr9:136725231-136728184","chr9:136725231-136728184")</f>
        <v>chr9:136725231-136728184</v>
      </c>
      <c r="F673" t="s">
        <v>22</v>
      </c>
      <c r="G673">
        <v>0.296222285885544</v>
      </c>
      <c r="H673">
        <v>7.9683702664862799E-2</v>
      </c>
      <c r="I673">
        <v>3.7174764221412802</v>
      </c>
      <c r="J673">
        <v>2.0122275972897101E-4</v>
      </c>
      <c r="K673">
        <v>4.2324676793299197E-3</v>
      </c>
      <c r="L673" t="s">
        <v>23</v>
      </c>
      <c r="M673" t="s">
        <v>24</v>
      </c>
      <c r="N673">
        <v>884.94163172777803</v>
      </c>
      <c r="O673">
        <v>780.06029849742094</v>
      </c>
      <c r="P673">
        <v>989.82296495813705</v>
      </c>
      <c r="Q673">
        <v>759.47138624102502</v>
      </c>
      <c r="R673">
        <v>800.64921075381699</v>
      </c>
      <c r="S673">
        <v>1013.13635434031</v>
      </c>
      <c r="T673">
        <v>966.50957557596405</v>
      </c>
    </row>
    <row r="674" spans="1:20" x14ac:dyDescent="0.2">
      <c r="A674" t="s">
        <v>1345</v>
      </c>
      <c r="B674" s="3" t="str">
        <f>HYPERLINK("http://www.ncbi.nlm.nih.gov/gene/80346","REEP4")</f>
        <v>REEP4</v>
      </c>
      <c r="C674">
        <v>80346</v>
      </c>
      <c r="D674" t="s">
        <v>1346</v>
      </c>
      <c r="E674" s="3" t="str">
        <f>HYPERLINK("http://genome.ucsc.edu/cgi-bin/hgTracks?db=hg19&amp;lastVirtModeType=default&amp;lastVirtModeExtraState=&amp;virtModeType=default&amp;virtMode=0&amp;nonVirtPosition=&amp;position=chr8:22138013-22141951","chr8:22138013-22141951")</f>
        <v>chr8:22138013-22141951</v>
      </c>
      <c r="F674" t="s">
        <v>22</v>
      </c>
      <c r="G674">
        <v>-0.32238641877665902</v>
      </c>
      <c r="H674">
        <v>8.6778883570261797E-2</v>
      </c>
      <c r="I674">
        <v>-3.71503303007619</v>
      </c>
      <c r="J674">
        <v>2.0317715297050399E-4</v>
      </c>
      <c r="K674">
        <v>4.2670313565658499E-3</v>
      </c>
      <c r="L674" t="s">
        <v>23</v>
      </c>
      <c r="M674" t="s">
        <v>24</v>
      </c>
      <c r="N674">
        <v>690.42627747401798</v>
      </c>
      <c r="O674">
        <v>782.44960399628599</v>
      </c>
      <c r="P674">
        <v>598.40295095174997</v>
      </c>
      <c r="Q674">
        <v>777.35748772858506</v>
      </c>
      <c r="R674">
        <v>787.54172026398601</v>
      </c>
      <c r="S674">
        <v>569.21097999450501</v>
      </c>
      <c r="T674">
        <v>627.59492190899402</v>
      </c>
    </row>
    <row r="675" spans="1:20" x14ac:dyDescent="0.2">
      <c r="A675" t="s">
        <v>1347</v>
      </c>
      <c r="B675" s="3" t="str">
        <f>HYPERLINK("http://www.ncbi.nlm.nih.gov/gene/23452","ANGPTL2")</f>
        <v>ANGPTL2</v>
      </c>
      <c r="C675">
        <v>23452</v>
      </c>
      <c r="D675" t="s">
        <v>1348</v>
      </c>
      <c r="E675" s="3" t="str">
        <f>HYPERLINK("http://genome.ucsc.edu/cgi-bin/hgTracks?db=hg19&amp;lastVirtModeType=default&amp;lastVirtModeExtraState=&amp;virtModeType=default&amp;virtMode=0&amp;nonVirtPosition=&amp;position=chr9:127087348-127122765","chr9:127087348-127122765")</f>
        <v>chr9:127087348-127122765</v>
      </c>
      <c r="F675" t="s">
        <v>22</v>
      </c>
      <c r="G675">
        <v>-0.247584289501385</v>
      </c>
      <c r="H675">
        <v>6.6666303584981601E-2</v>
      </c>
      <c r="I675">
        <v>-3.7137845686281699</v>
      </c>
      <c r="J675">
        <v>2.04182628250045E-4</v>
      </c>
      <c r="K675">
        <v>4.2815169856654997E-3</v>
      </c>
      <c r="L675" t="s">
        <v>23</v>
      </c>
      <c r="M675" t="s">
        <v>24</v>
      </c>
      <c r="N675">
        <v>1430.5273730649101</v>
      </c>
      <c r="O675">
        <v>1564.73644571357</v>
      </c>
      <c r="P675">
        <v>1296.3183004162499</v>
      </c>
      <c r="Q675">
        <v>1547.83570565426</v>
      </c>
      <c r="R675">
        <v>1581.63718577289</v>
      </c>
      <c r="S675">
        <v>1278.50507811591</v>
      </c>
      <c r="T675">
        <v>1314.1315227165901</v>
      </c>
    </row>
    <row r="676" spans="1:20" x14ac:dyDescent="0.2">
      <c r="A676" t="s">
        <v>1349</v>
      </c>
      <c r="B676" s="3" t="str">
        <f>HYPERLINK("http://www.ncbi.nlm.nih.gov/gene/64399","HHIP")</f>
        <v>HHIP</v>
      </c>
      <c r="C676">
        <v>64399</v>
      </c>
      <c r="D676" t="s">
        <v>1350</v>
      </c>
      <c r="E676" s="3" t="str">
        <f>HYPERLINK("http://genome.ucsc.edu/cgi-bin/hgTracks?db=hg19&amp;lastVirtModeType=default&amp;lastVirtModeExtraState=&amp;virtModeType=default&amp;virtMode=0&amp;nonVirtPosition=&amp;position=chr4:144645995-144738729","chr4:144645995-144738729")</f>
        <v>chr4:144645995-144738729</v>
      </c>
      <c r="F676" t="s">
        <v>27</v>
      </c>
      <c r="G676">
        <v>-0.430665433954454</v>
      </c>
      <c r="H676">
        <v>0.115975964858213</v>
      </c>
      <c r="I676">
        <v>-3.7134024664590202</v>
      </c>
      <c r="J676">
        <v>2.0449129543611701E-4</v>
      </c>
      <c r="K676">
        <v>4.2815169856654997E-3</v>
      </c>
      <c r="L676" t="s">
        <v>23</v>
      </c>
      <c r="M676" t="s">
        <v>24</v>
      </c>
      <c r="N676">
        <v>178.473126537117</v>
      </c>
      <c r="O676">
        <v>221.581806081736</v>
      </c>
      <c r="P676">
        <v>135.36444699249799</v>
      </c>
      <c r="Q676">
        <v>210.50565596897999</v>
      </c>
      <c r="R676">
        <v>232.65795619449199</v>
      </c>
      <c r="S676">
        <v>138.11011646313801</v>
      </c>
      <c r="T676">
        <v>132.61877752185799</v>
      </c>
    </row>
    <row r="677" spans="1:20" x14ac:dyDescent="0.2">
      <c r="A677" t="s">
        <v>1351</v>
      </c>
      <c r="B677" s="3" t="str">
        <f>HYPERLINK("http://www.ncbi.nlm.nih.gov/gene/4651","MYO10")</f>
        <v>MYO10</v>
      </c>
      <c r="C677">
        <v>4651</v>
      </c>
      <c r="D677" t="s">
        <v>1352</v>
      </c>
      <c r="E677" s="3" t="str">
        <f>HYPERLINK("http://genome.ucsc.edu/cgi-bin/hgTracks?db=hg19&amp;lastVirtModeType=default&amp;lastVirtModeExtraState=&amp;virtModeType=default&amp;virtMode=0&amp;nonVirtPosition=&amp;position=chr5:16661906-16936276","chr5:16661906-16936276")</f>
        <v>chr5:16661906-16936276</v>
      </c>
      <c r="F677" t="s">
        <v>22</v>
      </c>
      <c r="G677">
        <v>-0.19149330415236701</v>
      </c>
      <c r="H677">
        <v>5.1613715992228498E-2</v>
      </c>
      <c r="I677">
        <v>-3.7101243433276498</v>
      </c>
      <c r="J677">
        <v>2.0715747588036999E-4</v>
      </c>
      <c r="K677">
        <v>4.3250961745515196E-3</v>
      </c>
      <c r="L677" t="s">
        <v>23</v>
      </c>
      <c r="M677" t="s">
        <v>24</v>
      </c>
      <c r="N677">
        <v>4262.7777750451496</v>
      </c>
      <c r="O677">
        <v>4562.0847491465802</v>
      </c>
      <c r="P677">
        <v>3963.4708009437099</v>
      </c>
      <c r="Q677">
        <v>4511.4251367469597</v>
      </c>
      <c r="R677">
        <v>4612.7443615462098</v>
      </c>
      <c r="S677">
        <v>3799.0147035681798</v>
      </c>
      <c r="T677">
        <v>4127.9268983192396</v>
      </c>
    </row>
    <row r="678" spans="1:20" x14ac:dyDescent="0.2">
      <c r="A678" t="s">
        <v>1353</v>
      </c>
      <c r="B678" s="3" t="str">
        <f>HYPERLINK("http://www.ncbi.nlm.nih.gov/gene/8572","PDLIM4")</f>
        <v>PDLIM4</v>
      </c>
      <c r="C678">
        <v>8572</v>
      </c>
      <c r="D678" t="s">
        <v>1354</v>
      </c>
      <c r="E678" s="3" t="str">
        <f>HYPERLINK("http://genome.ucsc.edu/cgi-bin/hgTracks?db=hg19&amp;lastVirtModeType=default&amp;lastVirtModeExtraState=&amp;virtModeType=default&amp;virtMode=0&amp;nonVirtPosition=&amp;position=chr5:132257657-132273454","chr5:132257657-132273454")</f>
        <v>chr5:132257657-132273454</v>
      </c>
      <c r="F678" t="s">
        <v>27</v>
      </c>
      <c r="G678">
        <v>0.210913033720358</v>
      </c>
      <c r="H678">
        <v>5.6848829908889197E-2</v>
      </c>
      <c r="I678">
        <v>3.7100681589820899</v>
      </c>
      <c r="J678">
        <v>2.0720345535076199E-4</v>
      </c>
      <c r="K678">
        <v>4.3250961745515196E-3</v>
      </c>
      <c r="L678" t="s">
        <v>23</v>
      </c>
      <c r="M678" t="s">
        <v>24</v>
      </c>
      <c r="N678">
        <v>3888.6085444311102</v>
      </c>
      <c r="O678">
        <v>3590.1436592206101</v>
      </c>
      <c r="P678">
        <v>4187.0734296416003</v>
      </c>
      <c r="Q678">
        <v>3739.5710648607001</v>
      </c>
      <c r="R678">
        <v>3440.7162535805201</v>
      </c>
      <c r="S678">
        <v>3992.3688666165699</v>
      </c>
      <c r="T678">
        <v>4381.7779926666399</v>
      </c>
    </row>
    <row r="679" spans="1:20" x14ac:dyDescent="0.2">
      <c r="A679" t="s">
        <v>1355</v>
      </c>
      <c r="B679" s="3" t="str">
        <f>HYPERLINK("http://www.ncbi.nlm.nih.gov/gene/11168","PSIP1")</f>
        <v>PSIP1</v>
      </c>
      <c r="C679">
        <v>11168</v>
      </c>
      <c r="D679" t="s">
        <v>1356</v>
      </c>
      <c r="E679" s="3" t="str">
        <f>HYPERLINK("http://genome.ucsc.edu/cgi-bin/hgTracks?db=hg19&amp;lastVirtModeType=default&amp;lastVirtModeExtraState=&amp;virtModeType=default&amp;virtMode=0&amp;nonVirtPosition=&amp;position=chr9:15470643-15510289","chr9:15470643-15510289")</f>
        <v>chr9:15470643-15510289</v>
      </c>
      <c r="F679" t="s">
        <v>22</v>
      </c>
      <c r="G679">
        <v>-0.25242067744208502</v>
      </c>
      <c r="H679">
        <v>6.8068170255817601E-2</v>
      </c>
      <c r="I679">
        <v>-3.7083511499343098</v>
      </c>
      <c r="J679">
        <v>2.0861323189786901E-4</v>
      </c>
      <c r="K679">
        <v>4.3479055657255003E-3</v>
      </c>
      <c r="L679" t="s">
        <v>23</v>
      </c>
      <c r="M679" t="s">
        <v>24</v>
      </c>
      <c r="N679">
        <v>1325.9277070026701</v>
      </c>
      <c r="O679">
        <v>1453.1288663207199</v>
      </c>
      <c r="P679">
        <v>1198.7265476846201</v>
      </c>
      <c r="Q679">
        <v>1461.1569061376199</v>
      </c>
      <c r="R679">
        <v>1445.1008265038199</v>
      </c>
      <c r="S679">
        <v>1202.5445140611801</v>
      </c>
      <c r="T679">
        <v>1194.9085813080501</v>
      </c>
    </row>
    <row r="680" spans="1:20" x14ac:dyDescent="0.2">
      <c r="A680" t="s">
        <v>1357</v>
      </c>
      <c r="B680" s="3" t="str">
        <f>HYPERLINK("http://www.ncbi.nlm.nih.gov/gene/3778","KCNMA1")</f>
        <v>KCNMA1</v>
      </c>
      <c r="C680">
        <v>3778</v>
      </c>
      <c r="D680" t="s">
        <v>1358</v>
      </c>
      <c r="E680" s="3" t="str">
        <f>HYPERLINK("http://genome.ucsc.edu/cgi-bin/hgTracks?db=hg19&amp;lastVirtModeType=default&amp;lastVirtModeExtraState=&amp;virtModeType=default&amp;virtMode=0&amp;nonVirtPosition=&amp;position=chr10:76884876-77637819","chr10:76884876-77637819")</f>
        <v>chr10:76884876-77637819</v>
      </c>
      <c r="F680" t="s">
        <v>22</v>
      </c>
      <c r="G680">
        <v>0.183098388373756</v>
      </c>
      <c r="H680">
        <v>4.9380769128249798E-2</v>
      </c>
      <c r="I680">
        <v>3.7078885486416899</v>
      </c>
      <c r="J680">
        <v>2.0899459546925799E-4</v>
      </c>
      <c r="K680">
        <v>4.3492441309034898E-3</v>
      </c>
      <c r="L680" t="s">
        <v>23</v>
      </c>
      <c r="M680" t="s">
        <v>24</v>
      </c>
      <c r="N680">
        <v>5280.4473888944203</v>
      </c>
      <c r="O680">
        <v>4929.8179950929298</v>
      </c>
      <c r="P680">
        <v>5631.07678269591</v>
      </c>
      <c r="Q680">
        <v>4772.83738925745</v>
      </c>
      <c r="R680">
        <v>5086.7986009284105</v>
      </c>
      <c r="S680">
        <v>5471.13361360403</v>
      </c>
      <c r="T680">
        <v>5791.01995178779</v>
      </c>
    </row>
    <row r="681" spans="1:20" x14ac:dyDescent="0.2">
      <c r="A681" t="s">
        <v>1359</v>
      </c>
      <c r="B681" s="3" t="str">
        <f>HYPERLINK("http://www.ncbi.nlm.nih.gov/gene/4783","NFIL3")</f>
        <v>NFIL3</v>
      </c>
      <c r="C681">
        <v>4783</v>
      </c>
      <c r="D681" t="s">
        <v>1360</v>
      </c>
      <c r="E681" s="3" t="str">
        <f>HYPERLINK("http://genome.ucsc.edu/cgi-bin/hgTracks?db=hg19&amp;lastVirtModeType=default&amp;lastVirtModeExtraState=&amp;virtModeType=default&amp;virtMode=0&amp;nonVirtPosition=&amp;position=chr9:91409044-91424626","chr9:91409044-91424626")</f>
        <v>chr9:91409044-91424626</v>
      </c>
      <c r="F681" t="s">
        <v>22</v>
      </c>
      <c r="G681">
        <v>0.31715617841585397</v>
      </c>
      <c r="H681">
        <v>8.5601379120638699E-2</v>
      </c>
      <c r="I681">
        <v>3.7050358495846498</v>
      </c>
      <c r="J681">
        <v>2.11360836924468E-4</v>
      </c>
      <c r="K681">
        <v>4.3918219963365998E-3</v>
      </c>
      <c r="L681" t="s">
        <v>23</v>
      </c>
      <c r="M681" t="s">
        <v>24</v>
      </c>
      <c r="N681">
        <v>692.14376758276205</v>
      </c>
      <c r="O681">
        <v>602.96804164824403</v>
      </c>
      <c r="P681">
        <v>781.31949351727906</v>
      </c>
      <c r="Q681">
        <v>615.00672037996003</v>
      </c>
      <c r="R681">
        <v>590.92936291652802</v>
      </c>
      <c r="S681">
        <v>780.32215801672999</v>
      </c>
      <c r="T681">
        <v>782.31682901782801</v>
      </c>
    </row>
    <row r="682" spans="1:20" x14ac:dyDescent="0.2">
      <c r="A682" t="s">
        <v>1361</v>
      </c>
      <c r="B682" s="3" t="str">
        <f>HYPERLINK("http://www.ncbi.nlm.nih.gov/gene/2288","FKBP4")</f>
        <v>FKBP4</v>
      </c>
      <c r="C682">
        <v>2288</v>
      </c>
      <c r="D682" t="s">
        <v>1362</v>
      </c>
      <c r="E682" s="3" t="str">
        <f>HYPERLINK("http://genome.ucsc.edu/cgi-bin/hgTracks?db=hg19&amp;lastVirtModeType=default&amp;lastVirtModeExtraState=&amp;virtModeType=default&amp;virtMode=0&amp;nonVirtPosition=&amp;position=chr12:2794941-2805421","chr12:2794941-2805421")</f>
        <v>chr12:2794941-2805421</v>
      </c>
      <c r="F682" t="s">
        <v>27</v>
      </c>
      <c r="G682">
        <v>0.17069190656736499</v>
      </c>
      <c r="H682">
        <v>4.6077657867782403E-2</v>
      </c>
      <c r="I682">
        <v>3.7044397320965698</v>
      </c>
      <c r="J682">
        <v>2.1185846892076801E-4</v>
      </c>
      <c r="K682">
        <v>4.3955023340081899E-3</v>
      </c>
      <c r="L682" t="s">
        <v>23</v>
      </c>
      <c r="M682" t="s">
        <v>24</v>
      </c>
      <c r="N682">
        <v>4859.1526687428104</v>
      </c>
      <c r="O682">
        <v>4561.8952762177996</v>
      </c>
      <c r="P682">
        <v>5156.4100612678203</v>
      </c>
      <c r="Q682">
        <v>4604.9832060665003</v>
      </c>
      <c r="R682">
        <v>4518.8073463690898</v>
      </c>
      <c r="S682">
        <v>5084.4252875072398</v>
      </c>
      <c r="T682">
        <v>5228.3948350283999</v>
      </c>
    </row>
    <row r="683" spans="1:20" x14ac:dyDescent="0.2">
      <c r="A683" t="s">
        <v>1363</v>
      </c>
      <c r="B683" s="3" t="str">
        <f>HYPERLINK("http://www.ncbi.nlm.nih.gov/gene/80206","FHOD3")</f>
        <v>FHOD3</v>
      </c>
      <c r="C683">
        <v>80206</v>
      </c>
      <c r="D683" t="s">
        <v>1364</v>
      </c>
      <c r="E683" s="3" t="str">
        <f>HYPERLINK("http://genome.ucsc.edu/cgi-bin/hgTracks?db=hg19&amp;lastVirtModeType=default&amp;lastVirtModeExtraState=&amp;virtModeType=default&amp;virtMode=0&amp;nonVirtPosition=&amp;position=chr18:36297695-36780220","chr18:36297695-36780220")</f>
        <v>chr18:36297695-36780220</v>
      </c>
      <c r="F683" t="s">
        <v>27</v>
      </c>
      <c r="G683">
        <v>-0.20106374993844101</v>
      </c>
      <c r="H683">
        <v>5.4286701018730399E-2</v>
      </c>
      <c r="I683">
        <v>-3.7037385983183699</v>
      </c>
      <c r="J683">
        <v>2.1244517537858499E-4</v>
      </c>
      <c r="K683">
        <v>4.4010168204560701E-3</v>
      </c>
      <c r="L683" t="s">
        <v>23</v>
      </c>
      <c r="M683" t="s">
        <v>24</v>
      </c>
      <c r="N683">
        <v>3094.8132639222399</v>
      </c>
      <c r="O683">
        <v>3324.55550713604</v>
      </c>
      <c r="P683">
        <v>2865.0710207084298</v>
      </c>
      <c r="Q683">
        <v>3446.5141712568202</v>
      </c>
      <c r="R683">
        <v>3202.5968430152702</v>
      </c>
      <c r="S683">
        <v>2848.0279016362801</v>
      </c>
      <c r="T683">
        <v>2882.11413978058</v>
      </c>
    </row>
    <row r="684" spans="1:20" x14ac:dyDescent="0.2">
      <c r="A684" t="s">
        <v>1365</v>
      </c>
      <c r="B684" s="3" t="str">
        <f>HYPERLINK("http://www.ncbi.nlm.nih.gov/gene/4097","MAFG")</f>
        <v>MAFG</v>
      </c>
      <c r="C684">
        <v>4097</v>
      </c>
      <c r="D684" t="s">
        <v>1366</v>
      </c>
      <c r="E684" s="3" t="str">
        <f>HYPERLINK("http://genome.ucsc.edu/cgi-bin/hgTracks?db=hg19&amp;lastVirtModeType=default&amp;lastVirtModeExtraState=&amp;virtModeType=default&amp;virtMode=0&amp;nonVirtPosition=&amp;position=chr17:81918268-81923568","chr17:81918268-81923568")</f>
        <v>chr17:81918268-81923568</v>
      </c>
      <c r="F684" t="s">
        <v>22</v>
      </c>
      <c r="G684">
        <v>0.21000937069862499</v>
      </c>
      <c r="H684">
        <v>5.6731276379767798E-2</v>
      </c>
      <c r="I684">
        <v>3.7018270009084699</v>
      </c>
      <c r="J684">
        <v>2.1405255431706599E-4</v>
      </c>
      <c r="K684">
        <v>4.4276270435961501E-3</v>
      </c>
      <c r="L684" t="s">
        <v>23</v>
      </c>
      <c r="M684" t="s">
        <v>24</v>
      </c>
      <c r="N684">
        <v>3226.9751799397</v>
      </c>
      <c r="O684">
        <v>2974.1743233749398</v>
      </c>
      <c r="P684">
        <v>3479.7760365044601</v>
      </c>
      <c r="Q684">
        <v>2865.9037998914</v>
      </c>
      <c r="R684">
        <v>3082.4448468584901</v>
      </c>
      <c r="S684">
        <v>3610.5930446791799</v>
      </c>
      <c r="T684">
        <v>3348.9590283297398</v>
      </c>
    </row>
    <row r="685" spans="1:20" x14ac:dyDescent="0.2">
      <c r="A685" t="s">
        <v>1367</v>
      </c>
      <c r="B685" s="3" t="str">
        <f>HYPERLINK("http://www.ncbi.nlm.nih.gov/gene/4675","NAP1L3")</f>
        <v>NAP1L3</v>
      </c>
      <c r="C685">
        <v>4675</v>
      </c>
      <c r="D685" t="s">
        <v>1368</v>
      </c>
      <c r="E685" s="3" t="str">
        <f>HYPERLINK("http://genome.ucsc.edu/cgi-bin/hgTracks?db=hg19&amp;lastVirtModeType=default&amp;lastVirtModeExtraState=&amp;virtModeType=default&amp;virtMode=0&amp;nonVirtPosition=&amp;position=chrX:93670925-93673683","chrX:93670925-93673683")</f>
        <v>chrX:93670925-93673683</v>
      </c>
      <c r="F685" t="s">
        <v>22</v>
      </c>
      <c r="G685">
        <v>-0.35611508413531301</v>
      </c>
      <c r="H685">
        <v>9.6238931491369903E-2</v>
      </c>
      <c r="I685">
        <v>-3.7003225058379501</v>
      </c>
      <c r="J685">
        <v>2.1532564213151399E-4</v>
      </c>
      <c r="K685">
        <v>4.4472527954692396E-3</v>
      </c>
      <c r="L685" t="s">
        <v>23</v>
      </c>
      <c r="M685" t="s">
        <v>24</v>
      </c>
      <c r="N685">
        <v>481.47938356442</v>
      </c>
      <c r="O685">
        <v>556.56157662528403</v>
      </c>
      <c r="P685">
        <v>406.39719050355598</v>
      </c>
      <c r="Q685">
        <v>583.36207928658405</v>
      </c>
      <c r="R685">
        <v>529.76107396398504</v>
      </c>
      <c r="S685">
        <v>399.53283691122101</v>
      </c>
      <c r="T685">
        <v>413.26154409588997</v>
      </c>
    </row>
    <row r="686" spans="1:20" x14ac:dyDescent="0.2">
      <c r="A686" t="s">
        <v>1369</v>
      </c>
      <c r="B686" s="3" t="str">
        <f>HYPERLINK("http://www.ncbi.nlm.nih.gov/gene/100616400","MIR3198-2")</f>
        <v>MIR3198-2</v>
      </c>
      <c r="C686">
        <v>100616400</v>
      </c>
      <c r="D686" t="s">
        <v>1370</v>
      </c>
      <c r="E686" s="3" t="str">
        <f>HYPERLINK("http://genome.ucsc.edu/cgi-bin/hgTracks?db=hg19&amp;lastVirtModeType=default&amp;lastVirtModeExtraState=&amp;virtModeType=default&amp;virtMode=0&amp;nonVirtPosition=&amp;position=chr12:54231396-54231476","chr12:54231396-54231476")</f>
        <v>chr12:54231396-54231476</v>
      </c>
      <c r="F686" t="s">
        <v>22</v>
      </c>
      <c r="G686">
        <v>-0.18788240484518301</v>
      </c>
      <c r="H686">
        <v>5.0854384983633899E-2</v>
      </c>
      <c r="I686">
        <v>-3.6945172949323499</v>
      </c>
      <c r="J686">
        <v>2.2030489923991899E-4</v>
      </c>
      <c r="K686">
        <v>4.5432502077838296E-3</v>
      </c>
      <c r="L686" t="s">
        <v>23</v>
      </c>
      <c r="M686" t="s">
        <v>24</v>
      </c>
      <c r="N686">
        <v>4657.97412916759</v>
      </c>
      <c r="O686">
        <v>4978.9386438660003</v>
      </c>
      <c r="P686">
        <v>4337.0096144691797</v>
      </c>
      <c r="Q686">
        <v>4979.2154833446903</v>
      </c>
      <c r="R686">
        <v>4978.6618043873104</v>
      </c>
      <c r="S686">
        <v>4148.2359980535402</v>
      </c>
      <c r="T686">
        <v>4525.7832308848201</v>
      </c>
    </row>
    <row r="687" spans="1:20" x14ac:dyDescent="0.2">
      <c r="A687" t="s">
        <v>1369</v>
      </c>
      <c r="B687" s="3" t="str">
        <f>HYPERLINK("http://www.ncbi.nlm.nih.gov/gene/23468","CBX5")</f>
        <v>CBX5</v>
      </c>
      <c r="C687">
        <v>23468</v>
      </c>
      <c r="D687" t="s">
        <v>1371</v>
      </c>
      <c r="E687" s="3" t="str">
        <f>HYPERLINK("http://genome.ucsc.edu/cgi-bin/hgTracks?db=hg19&amp;lastVirtModeType=default&amp;lastVirtModeExtraState=&amp;virtModeType=default&amp;virtMode=0&amp;nonVirtPosition=&amp;position=chr12:54230945-54280131","chr12:54230945-54280131")</f>
        <v>chr12:54230945-54280131</v>
      </c>
      <c r="F687" t="s">
        <v>22</v>
      </c>
      <c r="G687">
        <v>-0.18788240484518301</v>
      </c>
      <c r="H687">
        <v>5.0854384983633899E-2</v>
      </c>
      <c r="I687">
        <v>-3.6945172949323499</v>
      </c>
      <c r="J687">
        <v>2.2030489923991899E-4</v>
      </c>
      <c r="K687">
        <v>4.5432502077838296E-3</v>
      </c>
      <c r="L687" t="s">
        <v>23</v>
      </c>
      <c r="M687" t="s">
        <v>24</v>
      </c>
      <c r="N687">
        <v>4657.97412916759</v>
      </c>
      <c r="O687">
        <v>4978.9386438660003</v>
      </c>
      <c r="P687">
        <v>4337.0096144691797</v>
      </c>
      <c r="Q687">
        <v>4979.2154833446903</v>
      </c>
      <c r="R687">
        <v>4978.6618043873104</v>
      </c>
      <c r="S687">
        <v>4148.2359980535402</v>
      </c>
      <c r="T687">
        <v>4525.7832308848201</v>
      </c>
    </row>
    <row r="688" spans="1:20" x14ac:dyDescent="0.2">
      <c r="A688" t="s">
        <v>1372</v>
      </c>
      <c r="B688" s="3" t="str">
        <f>HYPERLINK("http://www.ncbi.nlm.nih.gov/gene/94031","HTRA3")</f>
        <v>HTRA3</v>
      </c>
      <c r="C688">
        <v>94031</v>
      </c>
      <c r="D688" t="s">
        <v>1373</v>
      </c>
      <c r="E688" s="3" t="str">
        <f>HYPERLINK("http://genome.ucsc.edu/cgi-bin/hgTracks?db=hg19&amp;lastVirtModeType=default&amp;lastVirtModeExtraState=&amp;virtModeType=default&amp;virtMode=0&amp;nonVirtPosition=&amp;position=chr4:8269764-8307111","chr4:8269764-8307111")</f>
        <v>chr4:8269764-8307111</v>
      </c>
      <c r="F688" t="s">
        <v>27</v>
      </c>
      <c r="G688">
        <v>0.28844216287165497</v>
      </c>
      <c r="H688">
        <v>7.81183935940723E-2</v>
      </c>
      <c r="I688">
        <v>3.6923719190961801</v>
      </c>
      <c r="J688">
        <v>2.2217223851512399E-4</v>
      </c>
      <c r="K688">
        <v>4.5748799984931003E-3</v>
      </c>
      <c r="L688" t="s">
        <v>23</v>
      </c>
      <c r="M688" t="s">
        <v>24</v>
      </c>
      <c r="N688">
        <v>1177.9725956513701</v>
      </c>
      <c r="O688">
        <v>1046.1786988905401</v>
      </c>
      <c r="P688">
        <v>1309.76649241221</v>
      </c>
      <c r="Q688">
        <v>1084.17292093827</v>
      </c>
      <c r="R688">
        <v>1008.1844768428</v>
      </c>
      <c r="S688">
        <v>1218.3285273712499</v>
      </c>
      <c r="T688">
        <v>1401.2044574531701</v>
      </c>
    </row>
    <row r="689" spans="1:20" x14ac:dyDescent="0.2">
      <c r="A689" t="s">
        <v>1374</v>
      </c>
      <c r="B689" s="3" t="str">
        <f>HYPERLINK("http://www.ncbi.nlm.nih.gov/gene/6990","DYNLT3")</f>
        <v>DYNLT3</v>
      </c>
      <c r="C689">
        <v>6990</v>
      </c>
      <c r="D689" t="s">
        <v>1375</v>
      </c>
      <c r="E689" s="3" t="str">
        <f>HYPERLINK("http://genome.ucsc.edu/cgi-bin/hgTracks?db=hg19&amp;lastVirtModeType=default&amp;lastVirtModeExtraState=&amp;virtModeType=default&amp;virtMode=0&amp;nonVirtPosition=&amp;position=chrX:37838835-37847636","chrX:37838835-37847636")</f>
        <v>chrX:37838835-37847636</v>
      </c>
      <c r="F689" t="s">
        <v>22</v>
      </c>
      <c r="G689">
        <v>0.20037694529229</v>
      </c>
      <c r="H689">
        <v>5.4288878623255703E-2</v>
      </c>
      <c r="I689">
        <v>3.6909391089624601</v>
      </c>
      <c r="J689">
        <v>2.2342762368508299E-4</v>
      </c>
      <c r="K689">
        <v>4.5938327304606199E-3</v>
      </c>
      <c r="L689" t="s">
        <v>23</v>
      </c>
      <c r="M689" t="s">
        <v>24</v>
      </c>
      <c r="N689">
        <v>3336.0836711411298</v>
      </c>
      <c r="O689">
        <v>3088.7275209182599</v>
      </c>
      <c r="P689">
        <v>3583.4398213640102</v>
      </c>
      <c r="Q689">
        <v>3044.7648147670102</v>
      </c>
      <c r="R689">
        <v>3132.6902270695</v>
      </c>
      <c r="S689">
        <v>3718.1216353540499</v>
      </c>
      <c r="T689">
        <v>3448.75800737397</v>
      </c>
    </row>
    <row r="690" spans="1:20" x14ac:dyDescent="0.2">
      <c r="A690" t="s">
        <v>1376</v>
      </c>
      <c r="B690" s="3" t="str">
        <f>HYPERLINK("http://www.ncbi.nlm.nih.gov/gene/5631","PRPS1")</f>
        <v>PRPS1</v>
      </c>
      <c r="C690">
        <v>5631</v>
      </c>
      <c r="D690" t="s">
        <v>1377</v>
      </c>
      <c r="E690" s="3" t="str">
        <f>HYPERLINK("http://genome.ucsc.edu/cgi-bin/hgTracks?db=hg19&amp;lastVirtModeType=default&amp;lastVirtModeExtraState=&amp;virtModeType=default&amp;virtMode=0&amp;nonVirtPosition=&amp;position=chrX:107628423-107651026","chrX:107628423-107651026")</f>
        <v>chrX:107628423-107651026</v>
      </c>
      <c r="F690" t="s">
        <v>27</v>
      </c>
      <c r="G690">
        <v>-0.219875986015933</v>
      </c>
      <c r="H690">
        <v>5.9689164945241603E-2</v>
      </c>
      <c r="I690">
        <v>-3.6836833991168301</v>
      </c>
      <c r="J690">
        <v>2.2988774526760101E-4</v>
      </c>
      <c r="K690">
        <v>4.7195816446106102E-3</v>
      </c>
      <c r="L690" t="s">
        <v>23</v>
      </c>
      <c r="M690" t="s">
        <v>24</v>
      </c>
      <c r="N690">
        <v>2583.6756104359902</v>
      </c>
      <c r="O690">
        <v>2793.5324443381501</v>
      </c>
      <c r="P690">
        <v>2373.8187765338298</v>
      </c>
      <c r="Q690">
        <v>2649.8947280800999</v>
      </c>
      <c r="R690">
        <v>2937.1701605961998</v>
      </c>
      <c r="S690">
        <v>2335.0474690589099</v>
      </c>
      <c r="T690">
        <v>2412.5900840087502</v>
      </c>
    </row>
    <row r="691" spans="1:20" x14ac:dyDescent="0.2">
      <c r="A691" t="s">
        <v>1378</v>
      </c>
      <c r="B691" s="3" t="str">
        <f>HYPERLINK("http://www.ncbi.nlm.nih.gov/gene/55332","DRAM1")</f>
        <v>DRAM1</v>
      </c>
      <c r="C691">
        <v>55332</v>
      </c>
      <c r="D691" t="s">
        <v>1379</v>
      </c>
      <c r="E691" s="3" t="str">
        <f>HYPERLINK("http://genome.ucsc.edu/cgi-bin/hgTracks?db=hg19&amp;lastVirtModeType=default&amp;lastVirtModeExtraState=&amp;virtModeType=default&amp;virtMode=0&amp;nonVirtPosition=&amp;position=chr12:101877326-101923623","chr12:101877326-101923623")</f>
        <v>chr12:101877326-101923623</v>
      </c>
      <c r="F691" t="s">
        <v>27</v>
      </c>
      <c r="G691">
        <v>-0.23932510551056399</v>
      </c>
      <c r="H691">
        <v>6.5054090785459401E-2</v>
      </c>
      <c r="I691">
        <v>-3.6788632754830002</v>
      </c>
      <c r="J691">
        <v>2.3427581293449301E-4</v>
      </c>
      <c r="K691">
        <v>4.8024790711265102E-3</v>
      </c>
      <c r="L691" t="s">
        <v>23</v>
      </c>
      <c r="M691" t="s">
        <v>24</v>
      </c>
      <c r="N691">
        <v>1512.7888345400299</v>
      </c>
      <c r="O691">
        <v>1649.40423928217</v>
      </c>
      <c r="P691">
        <v>1376.1734297978901</v>
      </c>
      <c r="Q691">
        <v>1659.2798764613699</v>
      </c>
      <c r="R691">
        <v>1639.5286021029699</v>
      </c>
      <c r="S691">
        <v>1371.2361563125901</v>
      </c>
      <c r="T691">
        <v>1381.1107032831901</v>
      </c>
    </row>
    <row r="692" spans="1:20" x14ac:dyDescent="0.2">
      <c r="A692" t="s">
        <v>1380</v>
      </c>
      <c r="B692" s="3" t="str">
        <f>HYPERLINK("http://www.ncbi.nlm.nih.gov/gene/348235","SKA2")</f>
        <v>SKA2</v>
      </c>
      <c r="C692">
        <v>348235</v>
      </c>
      <c r="D692" t="s">
        <v>1381</v>
      </c>
      <c r="E692" s="3" t="str">
        <f>HYPERLINK("http://genome.ucsc.edu/cgi-bin/hgTracks?db=hg19&amp;lastVirtModeType=default&amp;lastVirtModeExtraState=&amp;virtModeType=default&amp;virtMode=0&amp;nonVirtPosition=&amp;position=chr17:59109946-59155439","chr17:59109946-59155439")</f>
        <v>chr17:59109946-59155439</v>
      </c>
      <c r="F692" t="s">
        <v>22</v>
      </c>
      <c r="G692">
        <v>-0.29728681084702901</v>
      </c>
      <c r="H692">
        <v>8.1031911646208293E-2</v>
      </c>
      <c r="I692">
        <v>-3.66876215564315</v>
      </c>
      <c r="J692">
        <v>2.43727690563971E-4</v>
      </c>
      <c r="K692">
        <v>4.9887784304392399E-3</v>
      </c>
      <c r="L692" t="s">
        <v>23</v>
      </c>
      <c r="M692" t="s">
        <v>24</v>
      </c>
      <c r="N692">
        <v>900.72635129168702</v>
      </c>
      <c r="O692">
        <v>1008.93082188318</v>
      </c>
      <c r="P692">
        <v>792.52188070018997</v>
      </c>
      <c r="Q692">
        <v>1019.50778479094</v>
      </c>
      <c r="R692">
        <v>998.35385897542801</v>
      </c>
      <c r="S692">
        <v>745.79462890094601</v>
      </c>
      <c r="T692">
        <v>839.24913249943404</v>
      </c>
    </row>
    <row r="693" spans="1:20" x14ac:dyDescent="0.2">
      <c r="A693" t="s">
        <v>1382</v>
      </c>
      <c r="B693" s="3" t="str">
        <f>HYPERLINK("http://www.ncbi.nlm.nih.gov/gene/7169","TPM2")</f>
        <v>TPM2</v>
      </c>
      <c r="C693">
        <v>7169</v>
      </c>
      <c r="D693" t="s">
        <v>1383</v>
      </c>
      <c r="E693" s="3" t="str">
        <f>HYPERLINK("http://genome.ucsc.edu/cgi-bin/hgTracks?db=hg19&amp;lastVirtModeType=default&amp;lastVirtModeExtraState=&amp;virtModeType=default&amp;virtMode=0&amp;nonVirtPosition=&amp;position=chr9:35681992-35690056","chr9:35681992-35690056")</f>
        <v>chr9:35681992-35690056</v>
      </c>
      <c r="F693" t="s">
        <v>22</v>
      </c>
      <c r="G693">
        <v>-0.171030613861963</v>
      </c>
      <c r="H693">
        <v>4.6685963035427401E-2</v>
      </c>
      <c r="I693">
        <v>-3.6634269219674702</v>
      </c>
      <c r="J693">
        <v>2.4886323971980102E-4</v>
      </c>
      <c r="K693">
        <v>5.0863047235727901E-3</v>
      </c>
      <c r="L693" t="s">
        <v>23</v>
      </c>
      <c r="M693" t="s">
        <v>24</v>
      </c>
      <c r="N693">
        <v>13965.314259123101</v>
      </c>
      <c r="O693">
        <v>14831.104672113301</v>
      </c>
      <c r="P693">
        <v>13099.523846132801</v>
      </c>
      <c r="Q693">
        <v>15072.4801381711</v>
      </c>
      <c r="R693">
        <v>14589.729206055599</v>
      </c>
      <c r="S693">
        <v>12526.5875632066</v>
      </c>
      <c r="T693">
        <v>13672.460129059</v>
      </c>
    </row>
    <row r="694" spans="1:20" x14ac:dyDescent="0.2">
      <c r="A694" t="s">
        <v>1384</v>
      </c>
      <c r="B694" s="3" t="str">
        <f>HYPERLINK("http://www.ncbi.nlm.nih.gov/gene/2037","EPB41L2")</f>
        <v>EPB41L2</v>
      </c>
      <c r="C694">
        <v>2037</v>
      </c>
      <c r="D694" t="s">
        <v>1385</v>
      </c>
      <c r="E694" s="3" t="str">
        <f>HYPERLINK("http://genome.ucsc.edu/cgi-bin/hgTracks?db=hg19&amp;lastVirtModeType=default&amp;lastVirtModeExtraState=&amp;virtModeType=default&amp;virtMode=0&amp;nonVirtPosition=&amp;position=chr6:130839347-131063322","chr6:130839347-131063322")</f>
        <v>chr6:130839347-131063322</v>
      </c>
      <c r="F694" t="s">
        <v>22</v>
      </c>
      <c r="G694">
        <v>-0.19213814712456001</v>
      </c>
      <c r="H694">
        <v>5.2576267589203897E-2</v>
      </c>
      <c r="I694">
        <v>-3.6544653307420099</v>
      </c>
      <c r="J694">
        <v>2.5771848352942601E-4</v>
      </c>
      <c r="K694">
        <v>5.2594513141704597E-3</v>
      </c>
      <c r="L694" t="s">
        <v>23</v>
      </c>
      <c r="M694" t="s">
        <v>24</v>
      </c>
      <c r="N694">
        <v>2945.6932977809402</v>
      </c>
      <c r="O694">
        <v>3151.3816511175501</v>
      </c>
      <c r="P694">
        <v>2740.0049444443398</v>
      </c>
      <c r="Q694">
        <v>3112.1816588355</v>
      </c>
      <c r="R694">
        <v>3190.5816433995901</v>
      </c>
      <c r="S694">
        <v>2755.2968234395998</v>
      </c>
      <c r="T694">
        <v>2724.7130654490802</v>
      </c>
    </row>
    <row r="695" spans="1:20" x14ac:dyDescent="0.2">
      <c r="A695" t="s">
        <v>1386</v>
      </c>
      <c r="B695" s="3" t="str">
        <f>HYPERLINK("http://www.ncbi.nlm.nih.gov/gene/3312","HSPA8")</f>
        <v>HSPA8</v>
      </c>
      <c r="C695">
        <v>3312</v>
      </c>
      <c r="D695" t="s">
        <v>1387</v>
      </c>
      <c r="E695" s="3" t="str">
        <f>HYPERLINK("http://genome.ucsc.edu/cgi-bin/hgTracks?db=hg19&amp;lastVirtModeType=default&amp;lastVirtModeExtraState=&amp;virtModeType=default&amp;virtMode=0&amp;nonVirtPosition=&amp;position=chr11:123057491-123062335","chr11:123057491-123062335")</f>
        <v>chr11:123057491-123062335</v>
      </c>
      <c r="F695" t="s">
        <v>22</v>
      </c>
      <c r="G695">
        <v>0.152504328640158</v>
      </c>
      <c r="H695">
        <v>4.1742235298031401E-2</v>
      </c>
      <c r="I695">
        <v>3.6534777678125399</v>
      </c>
      <c r="J695">
        <v>2.5871219869076699E-4</v>
      </c>
      <c r="K695">
        <v>5.2718857248813897E-3</v>
      </c>
      <c r="L695" t="s">
        <v>23</v>
      </c>
      <c r="M695" t="s">
        <v>24</v>
      </c>
      <c r="N695">
        <v>33109.338994869999</v>
      </c>
      <c r="O695">
        <v>31300.641131308199</v>
      </c>
      <c r="P695">
        <v>34918.0368584319</v>
      </c>
      <c r="Q695">
        <v>31146.5819596455</v>
      </c>
      <c r="R695">
        <v>31454.700302970901</v>
      </c>
      <c r="S695">
        <v>35809.980197227902</v>
      </c>
      <c r="T695">
        <v>34026.093519635899</v>
      </c>
    </row>
    <row r="696" spans="1:20" x14ac:dyDescent="0.2">
      <c r="A696" t="s">
        <v>1388</v>
      </c>
      <c r="B696" s="3" t="str">
        <f>HYPERLINK("http://www.ncbi.nlm.nih.gov/gene/23179","RGL1")</f>
        <v>RGL1</v>
      </c>
      <c r="C696">
        <v>23179</v>
      </c>
      <c r="D696" t="s">
        <v>1389</v>
      </c>
      <c r="E696" s="3" t="str">
        <f>HYPERLINK("http://genome.ucsc.edu/cgi-bin/hgTracks?db=hg19&amp;lastVirtModeType=default&amp;lastVirtModeExtraState=&amp;virtModeType=default&amp;virtMode=0&amp;nonVirtPosition=&amp;position=chr1:183805080-183928551","chr1:183805080-183928551")</f>
        <v>chr1:183805080-183928551</v>
      </c>
      <c r="F696" t="s">
        <v>27</v>
      </c>
      <c r="G696">
        <v>-0.31320317374596701</v>
      </c>
      <c r="H696">
        <v>8.5870081843905793E-2</v>
      </c>
      <c r="I696">
        <v>-3.6474074208442699</v>
      </c>
      <c r="J696">
        <v>2.6489971057307198E-4</v>
      </c>
      <c r="K696">
        <v>5.3888187501209802E-3</v>
      </c>
      <c r="L696" t="s">
        <v>23</v>
      </c>
      <c r="M696" t="s">
        <v>24</v>
      </c>
      <c r="N696">
        <v>684.17036099848997</v>
      </c>
      <c r="O696">
        <v>772.21462223505</v>
      </c>
      <c r="P696">
        <v>596.12609976192903</v>
      </c>
      <c r="Q696">
        <v>778.73334168916597</v>
      </c>
      <c r="R696">
        <v>765.69590278093494</v>
      </c>
      <c r="S696">
        <v>580.06248914518005</v>
      </c>
      <c r="T696">
        <v>612.18971037867698</v>
      </c>
    </row>
    <row r="697" spans="1:20" x14ac:dyDescent="0.2">
      <c r="A697" t="s">
        <v>1390</v>
      </c>
      <c r="B697" s="3" t="str">
        <f>HYPERLINK("http://www.ncbi.nlm.nih.gov/gene/9236","CCPG1")</f>
        <v>CCPG1</v>
      </c>
      <c r="C697">
        <v>9236</v>
      </c>
      <c r="D697" t="s">
        <v>1391</v>
      </c>
      <c r="E697" s="3" t="str">
        <f>HYPERLINK("http://genome.ucsc.edu/cgi-bin/hgTracks?db=hg19&amp;lastVirtModeType=default&amp;lastVirtModeExtraState=&amp;virtModeType=default&amp;virtMode=0&amp;nonVirtPosition=&amp;position=chr15:55355222-55408376","chr15:55355222-55408376")</f>
        <v>chr15:55355222-55408376</v>
      </c>
      <c r="F697" t="s">
        <v>22</v>
      </c>
      <c r="G697">
        <v>0.20895553759010299</v>
      </c>
      <c r="H697">
        <v>5.7299323788405902E-2</v>
      </c>
      <c r="I697">
        <v>3.6467365367474698</v>
      </c>
      <c r="J697">
        <v>2.6559199267741799E-4</v>
      </c>
      <c r="K697">
        <v>5.3888187501209802E-3</v>
      </c>
      <c r="L697" t="s">
        <v>23</v>
      </c>
      <c r="M697" t="s">
        <v>24</v>
      </c>
      <c r="N697">
        <v>2525.5970160944898</v>
      </c>
      <c r="O697">
        <v>2329.0583466074299</v>
      </c>
      <c r="P697">
        <v>2722.1356855815402</v>
      </c>
      <c r="Q697">
        <v>2297.67611417122</v>
      </c>
      <c r="R697">
        <v>2360.4405790436499</v>
      </c>
      <c r="S697">
        <v>2804.62186503358</v>
      </c>
      <c r="T697">
        <v>2639.6495061295</v>
      </c>
    </row>
    <row r="698" spans="1:20" x14ac:dyDescent="0.2">
      <c r="A698" t="s">
        <v>1390</v>
      </c>
      <c r="B698" s="3" t="str">
        <f>HYPERLINK("http://www.ncbi.nlm.nih.gov/gene/693213","MIR628")</f>
        <v>MIR628</v>
      </c>
      <c r="C698">
        <v>693213</v>
      </c>
      <c r="D698" t="s">
        <v>1392</v>
      </c>
      <c r="E698" s="3" t="str">
        <f>HYPERLINK("http://genome.ucsc.edu/cgi-bin/hgTracks?db=hg19&amp;lastVirtModeType=default&amp;lastVirtModeExtraState=&amp;virtModeType=default&amp;virtMode=0&amp;nonVirtPosition=&amp;position=chr15:55372939-55373034","chr15:55372939-55373034")</f>
        <v>chr15:55372939-55373034</v>
      </c>
      <c r="F698" t="s">
        <v>22</v>
      </c>
      <c r="G698">
        <v>0.20895553759010299</v>
      </c>
      <c r="H698">
        <v>5.7299323788405902E-2</v>
      </c>
      <c r="I698">
        <v>3.6467365367474698</v>
      </c>
      <c r="J698">
        <v>2.6559199267741799E-4</v>
      </c>
      <c r="K698">
        <v>5.3888187501209802E-3</v>
      </c>
      <c r="L698" t="s">
        <v>23</v>
      </c>
      <c r="M698" t="s">
        <v>24</v>
      </c>
      <c r="N698">
        <v>2525.5970160944898</v>
      </c>
      <c r="O698">
        <v>2329.0583466074299</v>
      </c>
      <c r="P698">
        <v>2722.1356855815402</v>
      </c>
      <c r="Q698">
        <v>2297.67611417122</v>
      </c>
      <c r="R698">
        <v>2360.4405790436499</v>
      </c>
      <c r="S698">
        <v>2804.62186503358</v>
      </c>
      <c r="T698">
        <v>2639.6495061295</v>
      </c>
    </row>
    <row r="699" spans="1:20" x14ac:dyDescent="0.2">
      <c r="A699" t="s">
        <v>1393</v>
      </c>
      <c r="B699" s="3" t="str">
        <f>HYPERLINK("http://www.ncbi.nlm.nih.gov/gene/11237","RNF24")</f>
        <v>RNF24</v>
      </c>
      <c r="C699">
        <v>11237</v>
      </c>
      <c r="D699" t="s">
        <v>1394</v>
      </c>
      <c r="E699" s="3" t="str">
        <f>HYPERLINK("http://genome.ucsc.edu/cgi-bin/hgTracks?db=hg19&amp;lastVirtModeType=default&amp;lastVirtModeExtraState=&amp;virtModeType=default&amp;virtMode=0&amp;nonVirtPosition=&amp;position=chr20:3927308-4015591","chr20:3927308-4015591")</f>
        <v>chr20:3927308-4015591</v>
      </c>
      <c r="F699" t="s">
        <v>22</v>
      </c>
      <c r="G699">
        <v>0.22832248799124699</v>
      </c>
      <c r="H699">
        <v>6.2610707397626197E-2</v>
      </c>
      <c r="I699">
        <v>3.64670034058588</v>
      </c>
      <c r="J699">
        <v>2.6562939150370302E-4</v>
      </c>
      <c r="K699">
        <v>5.3888187501209802E-3</v>
      </c>
      <c r="L699" t="s">
        <v>23</v>
      </c>
      <c r="M699" t="s">
        <v>24</v>
      </c>
      <c r="N699">
        <v>2168.9818220698098</v>
      </c>
      <c r="O699">
        <v>1981.4383916752599</v>
      </c>
      <c r="P699">
        <v>2356.5252524643502</v>
      </c>
      <c r="Q699">
        <v>1939.9540844200101</v>
      </c>
      <c r="R699">
        <v>2022.92269893052</v>
      </c>
      <c r="S699">
        <v>2467.2385805307699</v>
      </c>
      <c r="T699">
        <v>2245.8119243979299</v>
      </c>
    </row>
    <row r="700" spans="1:20" x14ac:dyDescent="0.2">
      <c r="A700" t="s">
        <v>1395</v>
      </c>
      <c r="B700" s="3" t="str">
        <f>HYPERLINK("http://www.ncbi.nlm.nih.gov/gene/79980","DSN1")</f>
        <v>DSN1</v>
      </c>
      <c r="C700">
        <v>79980</v>
      </c>
      <c r="D700" t="s">
        <v>1396</v>
      </c>
      <c r="E700" s="3" t="str">
        <f>HYPERLINK("http://genome.ucsc.edu/cgi-bin/hgTracks?db=hg19&amp;lastVirtModeType=default&amp;lastVirtModeExtraState=&amp;virtModeType=default&amp;virtMode=0&amp;nonVirtPosition=&amp;position=chr20:36751790-36773827","chr20:36751790-36773827")</f>
        <v>chr20:36751790-36773827</v>
      </c>
      <c r="F700" t="s">
        <v>22</v>
      </c>
      <c r="G700">
        <v>-0.31777001667118099</v>
      </c>
      <c r="H700">
        <v>8.7495550243848197E-2</v>
      </c>
      <c r="I700">
        <v>-3.63184202837245</v>
      </c>
      <c r="J700">
        <v>2.8140537309533298E-4</v>
      </c>
      <c r="K700">
        <v>5.7004332151098904E-3</v>
      </c>
      <c r="L700" t="s">
        <v>23</v>
      </c>
      <c r="M700" t="s">
        <v>24</v>
      </c>
      <c r="N700">
        <v>638.22756909535599</v>
      </c>
      <c r="O700">
        <v>722.02201701686295</v>
      </c>
      <c r="P700">
        <v>554.43312117384801</v>
      </c>
      <c r="Q700">
        <v>720.94747534474095</v>
      </c>
      <c r="R700">
        <v>723.09655868898597</v>
      </c>
      <c r="S700">
        <v>543.56195836563597</v>
      </c>
      <c r="T700">
        <v>565.30428398206095</v>
      </c>
    </row>
    <row r="701" spans="1:20" x14ac:dyDescent="0.2">
      <c r="A701" t="s">
        <v>1397</v>
      </c>
      <c r="B701" s="3" t="str">
        <f>HYPERLINK("http://www.ncbi.nlm.nih.gov/gene/51177","PLEKHO1")</f>
        <v>PLEKHO1</v>
      </c>
      <c r="C701">
        <v>51177</v>
      </c>
      <c r="D701" t="s">
        <v>1398</v>
      </c>
      <c r="E701" s="3" t="str">
        <f>HYPERLINK("http://genome.ucsc.edu/cgi-bin/hgTracks?db=hg19&amp;lastVirtModeType=default&amp;lastVirtModeExtraState=&amp;virtModeType=default&amp;virtMode=0&amp;nonVirtPosition=&amp;position=chr1:150150585-150160065","chr1:150150585-150160065")</f>
        <v>chr1:150150585-150160065</v>
      </c>
      <c r="F701" t="s">
        <v>27</v>
      </c>
      <c r="G701">
        <v>0.231555328107134</v>
      </c>
      <c r="H701">
        <v>6.3797939663313999E-2</v>
      </c>
      <c r="I701">
        <v>3.6295110677419902</v>
      </c>
      <c r="J701">
        <v>2.8395855670853502E-4</v>
      </c>
      <c r="K701">
        <v>5.7306761954543503E-3</v>
      </c>
      <c r="L701" t="s">
        <v>23</v>
      </c>
      <c r="M701" t="s">
        <v>24</v>
      </c>
      <c r="N701">
        <v>1733.0598940539801</v>
      </c>
      <c r="O701">
        <v>1583.43127498886</v>
      </c>
      <c r="P701">
        <v>1882.6885131191</v>
      </c>
      <c r="Q701">
        <v>1580.8562007082201</v>
      </c>
      <c r="R701">
        <v>1586.0063492695001</v>
      </c>
      <c r="S701">
        <v>1826.99954064094</v>
      </c>
      <c r="T701">
        <v>1938.3774855972599</v>
      </c>
    </row>
    <row r="702" spans="1:20" x14ac:dyDescent="0.2">
      <c r="A702" t="s">
        <v>1399</v>
      </c>
      <c r="B702" s="3" t="str">
        <f>HYPERLINK("http://www.ncbi.nlm.nih.gov/gene/54843","SYTL2")</f>
        <v>SYTL2</v>
      </c>
      <c r="C702">
        <v>54843</v>
      </c>
      <c r="D702" t="s">
        <v>1400</v>
      </c>
      <c r="E702" s="3" t="str">
        <f>HYPERLINK("http://genome.ucsc.edu/cgi-bin/hgTracks?db=hg19&amp;lastVirtModeType=default&amp;lastVirtModeExtraState=&amp;virtModeType=default&amp;virtMode=0&amp;nonVirtPosition=&amp;position=chr11:85694220-85719350","chr11:85694220-85719350")</f>
        <v>chr11:85694220-85719350</v>
      </c>
      <c r="F702" t="s">
        <v>22</v>
      </c>
      <c r="G702">
        <v>-0.41525500056238501</v>
      </c>
      <c r="H702">
        <v>0.114411419592376</v>
      </c>
      <c r="I702">
        <v>-3.6294891020656102</v>
      </c>
      <c r="J702">
        <v>2.8398271939504902E-4</v>
      </c>
      <c r="K702">
        <v>5.7306761954543503E-3</v>
      </c>
      <c r="L702" t="s">
        <v>23</v>
      </c>
      <c r="M702" t="s">
        <v>24</v>
      </c>
      <c r="N702">
        <v>202.814875053707</v>
      </c>
      <c r="O702">
        <v>248.44783617738199</v>
      </c>
      <c r="P702">
        <v>157.18191393003201</v>
      </c>
      <c r="Q702">
        <v>238.02273518061099</v>
      </c>
      <c r="R702">
        <v>258.872937174154</v>
      </c>
      <c r="S702">
        <v>150.93462727757199</v>
      </c>
      <c r="T702">
        <v>163.429200582492</v>
      </c>
    </row>
    <row r="703" spans="1:20" x14ac:dyDescent="0.2">
      <c r="A703" t="s">
        <v>1401</v>
      </c>
      <c r="B703" s="3" t="str">
        <f>HYPERLINK("http://www.ncbi.nlm.nih.gov/gene/23352","UBR4")</f>
        <v>UBR4</v>
      </c>
      <c r="C703">
        <v>23352</v>
      </c>
      <c r="D703" t="s">
        <v>1402</v>
      </c>
      <c r="E703" s="3" t="str">
        <f>HYPERLINK("http://genome.ucsc.edu/cgi-bin/hgTracks?db=hg19&amp;lastVirtModeType=default&amp;lastVirtModeExtraState=&amp;virtModeType=default&amp;virtMode=0&amp;nonVirtPosition=&amp;position=chr1:19074505-19210252","chr1:19074505-19210252")</f>
        <v>chr1:19074505-19210252</v>
      </c>
      <c r="F703" t="s">
        <v>22</v>
      </c>
      <c r="G703">
        <v>0.14447787449962601</v>
      </c>
      <c r="H703">
        <v>3.9808356672354002E-2</v>
      </c>
      <c r="I703">
        <v>3.6293353098889001</v>
      </c>
      <c r="J703">
        <v>2.8415194785685898E-4</v>
      </c>
      <c r="K703">
        <v>5.7306761954543503E-3</v>
      </c>
      <c r="L703" t="s">
        <v>23</v>
      </c>
      <c r="M703" t="s">
        <v>24</v>
      </c>
      <c r="N703">
        <v>12344.642554537601</v>
      </c>
      <c r="O703">
        <v>11708.6178930882</v>
      </c>
      <c r="P703">
        <v>12980.667215987</v>
      </c>
      <c r="Q703">
        <v>11588.817909978499</v>
      </c>
      <c r="R703">
        <v>11828.4178761979</v>
      </c>
      <c r="S703">
        <v>12850.1598360631</v>
      </c>
      <c r="T703">
        <v>13111.174595910899</v>
      </c>
    </row>
    <row r="704" spans="1:20" x14ac:dyDescent="0.2">
      <c r="A704" t="s">
        <v>1403</v>
      </c>
      <c r="B704" s="3" t="str">
        <f>HYPERLINK("http://www.ncbi.nlm.nih.gov/gene/302","ANXA2")</f>
        <v>ANXA2</v>
      </c>
      <c r="C704">
        <v>302</v>
      </c>
      <c r="D704" t="s">
        <v>1404</v>
      </c>
      <c r="E704" s="3" t="str">
        <f>HYPERLINK("http://genome.ucsc.edu/cgi-bin/hgTracks?db=hg19&amp;lastVirtModeType=default&amp;lastVirtModeExtraState=&amp;virtModeType=default&amp;virtMode=0&amp;nonVirtPosition=&amp;position=chr15:60347150-60397986","chr15:60347150-60397986")</f>
        <v>chr15:60347150-60397986</v>
      </c>
      <c r="F704" t="s">
        <v>22</v>
      </c>
      <c r="G704">
        <v>-0.151556023891114</v>
      </c>
      <c r="H704">
        <v>4.1770112811970801E-2</v>
      </c>
      <c r="I704">
        <v>-3.6283364752531901</v>
      </c>
      <c r="J704">
        <v>2.8525333829990601E-4</v>
      </c>
      <c r="K704">
        <v>5.7444409419161804E-3</v>
      </c>
      <c r="L704" t="s">
        <v>23</v>
      </c>
      <c r="M704" t="s">
        <v>24</v>
      </c>
      <c r="N704">
        <v>27515.975969678399</v>
      </c>
      <c r="O704">
        <v>29008.286455191301</v>
      </c>
      <c r="P704">
        <v>26023.665484165602</v>
      </c>
      <c r="Q704">
        <v>28484.3045459202</v>
      </c>
      <c r="R704">
        <v>29532.268364462401</v>
      </c>
      <c r="S704">
        <v>25496.113999927202</v>
      </c>
      <c r="T704">
        <v>26551.2169684039</v>
      </c>
    </row>
    <row r="705" spans="1:20" x14ac:dyDescent="0.2">
      <c r="A705" t="s">
        <v>1405</v>
      </c>
      <c r="B705" s="3" t="str">
        <f>HYPERLINK("http://www.ncbi.nlm.nih.gov/gene/80176","SPSB1")</f>
        <v>SPSB1</v>
      </c>
      <c r="C705">
        <v>80176</v>
      </c>
      <c r="D705" t="s">
        <v>1406</v>
      </c>
      <c r="E705" s="3" t="str">
        <f>HYPERLINK("http://genome.ucsc.edu/cgi-bin/hgTracks?db=hg19&amp;lastVirtModeType=default&amp;lastVirtModeExtraState=&amp;virtModeType=default&amp;virtMode=0&amp;nonVirtPosition=&amp;position=chr1:9292881-9369531","chr1:9292881-9369531")</f>
        <v>chr1:9292881-9369531</v>
      </c>
      <c r="F705" t="s">
        <v>27</v>
      </c>
      <c r="G705">
        <v>0.331514783312854</v>
      </c>
      <c r="H705">
        <v>9.15644044008775E-2</v>
      </c>
      <c r="I705">
        <v>3.62056396786519</v>
      </c>
      <c r="J705">
        <v>2.9396155984959401E-4</v>
      </c>
      <c r="K705">
        <v>5.9111273193215904E-3</v>
      </c>
      <c r="L705" t="s">
        <v>23</v>
      </c>
      <c r="M705" t="s">
        <v>24</v>
      </c>
      <c r="N705">
        <v>608.31357416114895</v>
      </c>
      <c r="O705">
        <v>522.32290628248404</v>
      </c>
      <c r="P705">
        <v>694.30424203981499</v>
      </c>
      <c r="Q705">
        <v>484.30059412471098</v>
      </c>
      <c r="R705">
        <v>560.34521844025699</v>
      </c>
      <c r="S705">
        <v>701.40209146636596</v>
      </c>
      <c r="T705">
        <v>687.20639261326403</v>
      </c>
    </row>
    <row r="706" spans="1:20" x14ac:dyDescent="0.2">
      <c r="A706" t="s">
        <v>1407</v>
      </c>
      <c r="B706" s="3" t="str">
        <f>HYPERLINK("http://www.ncbi.nlm.nih.gov/gene/7084","TK2")</f>
        <v>TK2</v>
      </c>
      <c r="C706">
        <v>7084</v>
      </c>
      <c r="D706" t="s">
        <v>1408</v>
      </c>
      <c r="E706" s="3" t="str">
        <f>HYPERLINK("http://genome.ucsc.edu/cgi-bin/hgTracks?db=hg19&amp;lastVirtModeType=default&amp;lastVirtModeExtraState=&amp;virtModeType=default&amp;virtMode=0&amp;nonVirtPosition=&amp;position=chr16:66508002-66549825","chr16:66508002-66549825")</f>
        <v>chr16:66508002-66549825</v>
      </c>
      <c r="F706" t="s">
        <v>22</v>
      </c>
      <c r="G706">
        <v>0.188990790052455</v>
      </c>
      <c r="H706">
        <v>5.2223382232621601E-2</v>
      </c>
      <c r="I706">
        <v>3.6188921891466701</v>
      </c>
      <c r="J706">
        <v>2.9586685668403398E-4</v>
      </c>
      <c r="K706">
        <v>5.9407292424082598E-3</v>
      </c>
      <c r="L706" t="s">
        <v>23</v>
      </c>
      <c r="M706" t="s">
        <v>24</v>
      </c>
      <c r="N706">
        <v>3045.97385752131</v>
      </c>
      <c r="O706">
        <v>2835.51124095766</v>
      </c>
      <c r="P706">
        <v>3256.4364740849601</v>
      </c>
      <c r="Q706">
        <v>2845.2659904826801</v>
      </c>
      <c r="R706">
        <v>2825.7564914326399</v>
      </c>
      <c r="S706">
        <v>3297.8722809733599</v>
      </c>
      <c r="T706">
        <v>3215.0006671965498</v>
      </c>
    </row>
    <row r="707" spans="1:20" x14ac:dyDescent="0.2">
      <c r="A707" t="s">
        <v>1409</v>
      </c>
      <c r="B707" s="3" t="str">
        <f>HYPERLINK("http://www.ncbi.nlm.nih.gov/gene/7035","TFPI")</f>
        <v>TFPI</v>
      </c>
      <c r="C707">
        <v>7035</v>
      </c>
      <c r="D707" t="s">
        <v>1410</v>
      </c>
      <c r="E707" s="3" t="str">
        <f>HYPERLINK("http://genome.ucsc.edu/cgi-bin/hgTracks?db=hg19&amp;lastVirtModeType=default&amp;lastVirtModeExtraState=&amp;virtModeType=default&amp;virtMode=0&amp;nonVirtPosition=&amp;position=chr2:187464230-187554505","chr2:187464230-187554505")</f>
        <v>chr2:187464230-187554505</v>
      </c>
      <c r="F707" t="s">
        <v>22</v>
      </c>
      <c r="G707">
        <v>0.19703660758406899</v>
      </c>
      <c r="H707">
        <v>5.4473445614016298E-2</v>
      </c>
      <c r="I707">
        <v>3.6171129871279999</v>
      </c>
      <c r="J707">
        <v>2.9790728371889498E-4</v>
      </c>
      <c r="K707">
        <v>5.9729539311709403E-3</v>
      </c>
      <c r="L707" t="s">
        <v>23</v>
      </c>
      <c r="M707" t="s">
        <v>24</v>
      </c>
      <c r="N707">
        <v>3262.1094822315599</v>
      </c>
      <c r="O707">
        <v>3024.2143335286501</v>
      </c>
      <c r="P707">
        <v>3500.0046309344598</v>
      </c>
      <c r="Q707">
        <v>2991.1065103043202</v>
      </c>
      <c r="R707">
        <v>3057.3221567529799</v>
      </c>
      <c r="S707">
        <v>3632.2960629805302</v>
      </c>
      <c r="T707">
        <v>3367.7131988883898</v>
      </c>
    </row>
    <row r="708" spans="1:20" x14ac:dyDescent="0.2">
      <c r="A708" t="s">
        <v>1411</v>
      </c>
      <c r="B708" s="3" t="str">
        <f>HYPERLINK("http://www.ncbi.nlm.nih.gov/gene/84131","CEP78")</f>
        <v>CEP78</v>
      </c>
      <c r="C708">
        <v>84131</v>
      </c>
      <c r="D708" t="s">
        <v>1412</v>
      </c>
      <c r="E708" s="3" t="str">
        <f>HYPERLINK("http://genome.ucsc.edu/cgi-bin/hgTracks?db=hg19&amp;lastVirtModeType=default&amp;lastVirtModeExtraState=&amp;virtModeType=default&amp;virtMode=0&amp;nonVirtPosition=&amp;position=chr9:78236061-78271883","chr9:78236061-78271883")</f>
        <v>chr9:78236061-78271883</v>
      </c>
      <c r="F708" t="s">
        <v>27</v>
      </c>
      <c r="G708">
        <v>-0.301061863210833</v>
      </c>
      <c r="H708">
        <v>8.33086809833469E-2</v>
      </c>
      <c r="I708">
        <v>-3.61381142585866</v>
      </c>
      <c r="J708">
        <v>3.0172854823961801E-4</v>
      </c>
      <c r="K708">
        <v>6.0248156378211902E-3</v>
      </c>
      <c r="L708" t="s">
        <v>23</v>
      </c>
      <c r="M708" t="s">
        <v>24</v>
      </c>
      <c r="N708">
        <v>774.82389434574202</v>
      </c>
      <c r="O708">
        <v>867.98398395269305</v>
      </c>
      <c r="P708">
        <v>681.66380473879099</v>
      </c>
      <c r="Q708">
        <v>865.41214120580503</v>
      </c>
      <c r="R708">
        <v>870.55582669958005</v>
      </c>
      <c r="S708">
        <v>710.28059895328204</v>
      </c>
      <c r="T708">
        <v>653.04701052430005</v>
      </c>
    </row>
    <row r="709" spans="1:20" x14ac:dyDescent="0.2">
      <c r="A709" t="s">
        <v>1413</v>
      </c>
      <c r="B709" s="3" t="str">
        <f>HYPERLINK("http://www.ncbi.nlm.nih.gov/gene/79901","CYBRD1")</f>
        <v>CYBRD1</v>
      </c>
      <c r="C709">
        <v>79901</v>
      </c>
      <c r="D709" t="s">
        <v>1414</v>
      </c>
      <c r="E709" s="3" t="str">
        <f>HYPERLINK("http://genome.ucsc.edu/cgi-bin/hgTracks?db=hg19&amp;lastVirtModeType=default&amp;lastVirtModeExtraState=&amp;virtModeType=default&amp;virtMode=0&amp;nonVirtPosition=&amp;position=chr2:171522246-171558133","chr2:171522246-171558133")</f>
        <v>chr2:171522246-171558133</v>
      </c>
      <c r="F709" t="s">
        <v>27</v>
      </c>
      <c r="G709">
        <v>0.15130942297863501</v>
      </c>
      <c r="H709">
        <v>4.1870590918126602E-2</v>
      </c>
      <c r="I709">
        <v>3.61373985083002</v>
      </c>
      <c r="J709">
        <v>3.0181189610494098E-4</v>
      </c>
      <c r="K709">
        <v>6.0248156378211902E-3</v>
      </c>
      <c r="L709" t="s">
        <v>23</v>
      </c>
      <c r="M709" t="s">
        <v>24</v>
      </c>
      <c r="N709">
        <v>8428.2794948014798</v>
      </c>
      <c r="O709">
        <v>7969.8597327755297</v>
      </c>
      <c r="P709">
        <v>8886.6992568274309</v>
      </c>
      <c r="Q709">
        <v>7832.7365975908597</v>
      </c>
      <c r="R709">
        <v>8106.9828679601997</v>
      </c>
      <c r="S709">
        <v>8966.3060609533004</v>
      </c>
      <c r="T709">
        <v>8807.0924527015595</v>
      </c>
    </row>
    <row r="710" spans="1:20" x14ac:dyDescent="0.2">
      <c r="A710" t="s">
        <v>1415</v>
      </c>
      <c r="B710" s="3" t="str">
        <f>HYPERLINK("http://www.ncbi.nlm.nih.gov/gene/84896","ATAD1")</f>
        <v>ATAD1</v>
      </c>
      <c r="C710">
        <v>84896</v>
      </c>
      <c r="D710" t="s">
        <v>1416</v>
      </c>
      <c r="E710" s="3" t="str">
        <f>HYPERLINK("http://genome.ucsc.edu/cgi-bin/hgTracks?db=hg19&amp;lastVirtModeType=default&amp;lastVirtModeExtraState=&amp;virtModeType=default&amp;virtMode=0&amp;nonVirtPosition=&amp;position=chr10:87751511-87818231","chr10:87751511-87818231")</f>
        <v>chr10:87751511-87818231</v>
      </c>
      <c r="F710" t="s">
        <v>22</v>
      </c>
      <c r="G710">
        <v>0.20304157669523201</v>
      </c>
      <c r="H710">
        <v>5.6209532754707102E-2</v>
      </c>
      <c r="I710">
        <v>3.61222672996209</v>
      </c>
      <c r="J710">
        <v>3.0357895277783703E-4</v>
      </c>
      <c r="K710">
        <v>6.0512816255745101E-3</v>
      </c>
      <c r="L710" t="s">
        <v>23</v>
      </c>
      <c r="M710" t="s">
        <v>24</v>
      </c>
      <c r="N710">
        <v>2760.41609339973</v>
      </c>
      <c r="O710">
        <v>2551.9111029708401</v>
      </c>
      <c r="P710">
        <v>2968.9210838286099</v>
      </c>
      <c r="Q710">
        <v>2483.4163988497298</v>
      </c>
      <c r="R710">
        <v>2620.40580709196</v>
      </c>
      <c r="S710">
        <v>3044.34156718032</v>
      </c>
      <c r="T710">
        <v>2893.5006004769002</v>
      </c>
    </row>
    <row r="711" spans="1:20" x14ac:dyDescent="0.2">
      <c r="A711" t="s">
        <v>1417</v>
      </c>
      <c r="B711" s="3" t="str">
        <f>HYPERLINK("http://www.ncbi.nlm.nih.gov/gene/23406","COTL1")</f>
        <v>COTL1</v>
      </c>
      <c r="C711">
        <v>23406</v>
      </c>
      <c r="D711" t="s">
        <v>1418</v>
      </c>
      <c r="E711" s="3" t="str">
        <f>HYPERLINK("http://genome.ucsc.edu/cgi-bin/hgTracks?db=hg19&amp;lastVirtModeType=default&amp;lastVirtModeExtraState=&amp;virtModeType=default&amp;virtMode=0&amp;nonVirtPosition=&amp;position=chr16:84565597-84618096","chr16:84565597-84618096")</f>
        <v>chr16:84565597-84618096</v>
      </c>
      <c r="F711" t="s">
        <v>22</v>
      </c>
      <c r="G711">
        <v>-0.17151377769127599</v>
      </c>
      <c r="H711">
        <v>4.7506509477086602E-2</v>
      </c>
      <c r="I711">
        <v>-3.6103216081156302</v>
      </c>
      <c r="J711">
        <v>3.0581757624475802E-4</v>
      </c>
      <c r="K711">
        <v>6.0870569530052402E-3</v>
      </c>
      <c r="L711" t="s">
        <v>23</v>
      </c>
      <c r="M711" t="s">
        <v>24</v>
      </c>
      <c r="N711">
        <v>6653.2417044716203</v>
      </c>
      <c r="O711">
        <v>7068.5971087187399</v>
      </c>
      <c r="P711">
        <v>6237.8863002245098</v>
      </c>
      <c r="Q711">
        <v>7084.2720430344798</v>
      </c>
      <c r="R711">
        <v>7052.9221744029901</v>
      </c>
      <c r="S711">
        <v>5982.1410445176398</v>
      </c>
      <c r="T711">
        <v>6493.6315559313698</v>
      </c>
    </row>
    <row r="712" spans="1:20" x14ac:dyDescent="0.2">
      <c r="A712" t="s">
        <v>1419</v>
      </c>
      <c r="B712" s="3" t="str">
        <f>HYPERLINK("http://www.ncbi.nlm.nih.gov/gene/7010","TEK")</f>
        <v>TEK</v>
      </c>
      <c r="C712">
        <v>7010</v>
      </c>
      <c r="D712" t="s">
        <v>1420</v>
      </c>
      <c r="E712" s="3" t="str">
        <f>HYPERLINK("http://genome.ucsc.edu/cgi-bin/hgTracks?db=hg19&amp;lastVirtModeType=default&amp;lastVirtModeExtraState=&amp;virtModeType=default&amp;virtMode=0&amp;nonVirtPosition=&amp;position=chr9:27109140-27230178","chr9:27109140-27230178")</f>
        <v>chr9:27109140-27230178</v>
      </c>
      <c r="F712" t="s">
        <v>27</v>
      </c>
      <c r="G712">
        <v>-0.377600169890769</v>
      </c>
      <c r="H712">
        <v>0.104865630614977</v>
      </c>
      <c r="I712">
        <v>-3.60080006839571</v>
      </c>
      <c r="J712">
        <v>3.17239462338499E-4</v>
      </c>
      <c r="K712">
        <v>6.3052492558118498E-3</v>
      </c>
      <c r="L712" t="s">
        <v>23</v>
      </c>
      <c r="M712" t="s">
        <v>24</v>
      </c>
      <c r="N712">
        <v>331.35574444429301</v>
      </c>
      <c r="O712">
        <v>390.04063961660103</v>
      </c>
      <c r="P712">
        <v>272.67084927198403</v>
      </c>
      <c r="Q712">
        <v>382.48740104167501</v>
      </c>
      <c r="R712">
        <v>397.59387819152698</v>
      </c>
      <c r="S712">
        <v>265.36872377560098</v>
      </c>
      <c r="T712">
        <v>279.97297476836701</v>
      </c>
    </row>
    <row r="713" spans="1:20" x14ac:dyDescent="0.2">
      <c r="A713" t="s">
        <v>1421</v>
      </c>
      <c r="B713" s="3" t="str">
        <f>HYPERLINK("http://www.ncbi.nlm.nih.gov/gene/9761","MLEC")</f>
        <v>MLEC</v>
      </c>
      <c r="C713">
        <v>9761</v>
      </c>
      <c r="D713" t="s">
        <v>1422</v>
      </c>
      <c r="E713" s="3" t="str">
        <f>HYPERLINK("http://genome.ucsc.edu/cgi-bin/hgTracks?db=hg19&amp;lastVirtModeType=default&amp;lastVirtModeExtraState=&amp;virtModeType=default&amp;virtMode=0&amp;nonVirtPosition=&amp;position=chr12:120688309-120701864","chr12:120688309-120701864")</f>
        <v>chr12:120688309-120701864</v>
      </c>
      <c r="F713" t="s">
        <v>27</v>
      </c>
      <c r="G713">
        <v>-0.14361189242141301</v>
      </c>
      <c r="H713">
        <v>3.9935639704707301E-2</v>
      </c>
      <c r="I713">
        <v>-3.5960834353301898</v>
      </c>
      <c r="J713">
        <v>3.2304422478936099E-4</v>
      </c>
      <c r="K713">
        <v>6.4113292312030301E-3</v>
      </c>
      <c r="L713" t="s">
        <v>23</v>
      </c>
      <c r="M713" t="s">
        <v>24</v>
      </c>
      <c r="N713">
        <v>10649.2833044666</v>
      </c>
      <c r="O713">
        <v>11195.605523579001</v>
      </c>
      <c r="P713">
        <v>10102.9610853541</v>
      </c>
      <c r="Q713">
        <v>11147.1687886318</v>
      </c>
      <c r="R713">
        <v>11244.0422585263</v>
      </c>
      <c r="S713">
        <v>9992.2669261080391</v>
      </c>
      <c r="T713">
        <v>10213.655244600101</v>
      </c>
    </row>
    <row r="714" spans="1:20" x14ac:dyDescent="0.2">
      <c r="A714" t="s">
        <v>1423</v>
      </c>
      <c r="B714" s="3" t="str">
        <f>HYPERLINK("http://www.ncbi.nlm.nih.gov/gene/80307","FER1L4")</f>
        <v>FER1L4</v>
      </c>
      <c r="C714">
        <v>80307</v>
      </c>
      <c r="D714" t="s">
        <v>1424</v>
      </c>
      <c r="E714" s="3" t="str">
        <f>HYPERLINK("http://genome.ucsc.edu/cgi-bin/hgTracks?db=hg19&amp;lastVirtModeType=default&amp;lastVirtModeExtraState=&amp;virtModeType=default&amp;virtMode=0&amp;nonVirtPosition=&amp;position=chr20:35558736-35607562","chr20:35558736-35607562")</f>
        <v>chr20:35558736-35607562</v>
      </c>
      <c r="F714" t="s">
        <v>22</v>
      </c>
      <c r="G714">
        <v>-0.421465206062485</v>
      </c>
      <c r="H714">
        <v>0.117252600515977</v>
      </c>
      <c r="I714">
        <v>-3.5945062557913499</v>
      </c>
      <c r="J714">
        <v>3.2500733645528398E-4</v>
      </c>
      <c r="K714">
        <v>6.4409690926990797E-3</v>
      </c>
      <c r="L714" t="s">
        <v>23</v>
      </c>
      <c r="M714" t="s">
        <v>24</v>
      </c>
      <c r="N714">
        <v>86.236210483492002</v>
      </c>
      <c r="O714">
        <v>114.60597253614</v>
      </c>
      <c r="P714">
        <v>57.866448430844002</v>
      </c>
      <c r="Q714">
        <v>121.075148531178</v>
      </c>
      <c r="R714">
        <v>108.136796541102</v>
      </c>
      <c r="S714">
        <v>62.149552408412099</v>
      </c>
      <c r="T714">
        <v>53.583344453275899</v>
      </c>
    </row>
    <row r="715" spans="1:20" x14ac:dyDescent="0.2">
      <c r="A715" t="s">
        <v>1425</v>
      </c>
      <c r="B715" s="3" t="str">
        <f>HYPERLINK("http://www.ncbi.nlm.nih.gov/gene/57587","CFAP97")</f>
        <v>CFAP97</v>
      </c>
      <c r="C715">
        <v>57587</v>
      </c>
      <c r="D715" t="s">
        <v>1426</v>
      </c>
      <c r="E715" s="3" t="str">
        <f>HYPERLINK("http://genome.ucsc.edu/cgi-bin/hgTracks?db=hg19&amp;lastVirtModeType=default&amp;lastVirtModeExtraState=&amp;virtModeType=default&amp;virtMode=0&amp;nonVirtPosition=&amp;position=chr4:185169025-185204028","chr4:185169025-185204028")</f>
        <v>chr4:185169025-185204028</v>
      </c>
      <c r="F715" t="s">
        <v>22</v>
      </c>
      <c r="G715">
        <v>0.177616396646157</v>
      </c>
      <c r="H715">
        <v>4.9482263892318801E-2</v>
      </c>
      <c r="I715">
        <v>3.58949616841862</v>
      </c>
      <c r="J715">
        <v>3.3131770054618202E-4</v>
      </c>
      <c r="K715">
        <v>6.55655259060655E-3</v>
      </c>
      <c r="L715" t="s">
        <v>23</v>
      </c>
      <c r="M715" t="s">
        <v>24</v>
      </c>
      <c r="N715">
        <v>3543.9976581235101</v>
      </c>
      <c r="O715">
        <v>3316.0015694643498</v>
      </c>
      <c r="P715">
        <v>3771.9937467826599</v>
      </c>
      <c r="Q715">
        <v>3315.80804500157</v>
      </c>
      <c r="R715">
        <v>3316.1950939271301</v>
      </c>
      <c r="S715">
        <v>3753.6356653017201</v>
      </c>
      <c r="T715">
        <v>3790.3518282636001</v>
      </c>
    </row>
    <row r="716" spans="1:20" x14ac:dyDescent="0.2">
      <c r="A716" t="s">
        <v>1427</v>
      </c>
      <c r="B716" s="3" t="str">
        <f>HYPERLINK("http://www.ncbi.nlm.nih.gov/gene/10635","RAD51AP1")</f>
        <v>RAD51AP1</v>
      </c>
      <c r="C716">
        <v>10635</v>
      </c>
      <c r="D716" t="s">
        <v>1428</v>
      </c>
      <c r="E716" s="3" t="str">
        <f>HYPERLINK("http://genome.ucsc.edu/cgi-bin/hgTracks?db=hg19&amp;lastVirtModeType=default&amp;lastVirtModeExtraState=&amp;virtModeType=default&amp;virtMode=0&amp;nonVirtPosition=&amp;position=chr12:4538783-4560047","chr12:4538783-4560047")</f>
        <v>chr12:4538783-4560047</v>
      </c>
      <c r="F716" t="s">
        <v>27</v>
      </c>
      <c r="G716">
        <v>-0.376885430077397</v>
      </c>
      <c r="H716">
        <v>0.10502654287631299</v>
      </c>
      <c r="I716">
        <v>-3.58847791954121</v>
      </c>
      <c r="J716">
        <v>3.3261415708531899E-4</v>
      </c>
      <c r="K716">
        <v>6.5727241358329502E-3</v>
      </c>
      <c r="L716" t="s">
        <v>23</v>
      </c>
      <c r="M716" t="s">
        <v>24</v>
      </c>
      <c r="N716">
        <v>357.89030026474899</v>
      </c>
      <c r="O716">
        <v>422.04768313227601</v>
      </c>
      <c r="P716">
        <v>293.73291739722299</v>
      </c>
      <c r="Q716">
        <v>433.39399758319303</v>
      </c>
      <c r="R716">
        <v>410.70136868135802</v>
      </c>
      <c r="S716">
        <v>269.31472710311903</v>
      </c>
      <c r="T716">
        <v>318.15110769132599</v>
      </c>
    </row>
    <row r="717" spans="1:20" x14ac:dyDescent="0.2">
      <c r="A717" t="s">
        <v>1429</v>
      </c>
      <c r="B717" s="3" t="str">
        <f>HYPERLINK("http://www.ncbi.nlm.nih.gov/gene/8553","BHLHE40")</f>
        <v>BHLHE40</v>
      </c>
      <c r="C717">
        <v>8553</v>
      </c>
      <c r="D717" t="s">
        <v>1430</v>
      </c>
      <c r="E717" s="3" t="str">
        <f>HYPERLINK("http://genome.ucsc.edu/cgi-bin/hgTracks?db=hg19&amp;lastVirtModeType=default&amp;lastVirtModeExtraState=&amp;virtModeType=default&amp;virtMode=0&amp;nonVirtPosition=&amp;position=chr3:4979411-4985180","chr3:4979411-4985180")</f>
        <v>chr3:4979411-4985180</v>
      </c>
      <c r="F717" t="s">
        <v>27</v>
      </c>
      <c r="G717">
        <v>0.16746336660942501</v>
      </c>
      <c r="H717">
        <v>4.6692646480092803E-2</v>
      </c>
      <c r="I717">
        <v>3.5865040693468</v>
      </c>
      <c r="J717">
        <v>3.3514083682365198E-4</v>
      </c>
      <c r="K717">
        <v>6.6131243686324602E-3</v>
      </c>
      <c r="L717" t="s">
        <v>23</v>
      </c>
      <c r="M717" t="s">
        <v>24</v>
      </c>
      <c r="N717">
        <v>5619.3896319384703</v>
      </c>
      <c r="O717">
        <v>5277.20651562475</v>
      </c>
      <c r="P717">
        <v>5961.5727482521797</v>
      </c>
      <c r="Q717">
        <v>5213.1106566435501</v>
      </c>
      <c r="R717">
        <v>5341.3023746059498</v>
      </c>
      <c r="S717">
        <v>6130.1161692995702</v>
      </c>
      <c r="T717">
        <v>5793.0293272047902</v>
      </c>
    </row>
    <row r="718" spans="1:20" x14ac:dyDescent="0.2">
      <c r="A718" t="s">
        <v>1431</v>
      </c>
      <c r="B718" s="3" t="str">
        <f>HYPERLINK("http://www.ncbi.nlm.nih.gov/gene/55247","NEIL3")</f>
        <v>NEIL3</v>
      </c>
      <c r="C718">
        <v>55247</v>
      </c>
      <c r="D718" t="s">
        <v>1432</v>
      </c>
      <c r="E718" s="3" t="str">
        <f>HYPERLINK("http://genome.ucsc.edu/cgi-bin/hgTracks?db=hg19&amp;lastVirtModeType=default&amp;lastVirtModeExtraState=&amp;virtModeType=default&amp;virtMode=0&amp;nonVirtPosition=&amp;position=chr4:177309836-177362938","chr4:177309836-177362938")</f>
        <v>chr4:177309836-177362938</v>
      </c>
      <c r="F718" t="s">
        <v>27</v>
      </c>
      <c r="G718">
        <v>-0.40918472837075698</v>
      </c>
      <c r="H718">
        <v>0.114122387128956</v>
      </c>
      <c r="I718">
        <v>-3.5854904428908001</v>
      </c>
      <c r="J718">
        <v>3.3644532495107602E-4</v>
      </c>
      <c r="K718">
        <v>6.6293264172112903E-3</v>
      </c>
      <c r="L718" t="s">
        <v>23</v>
      </c>
      <c r="M718" t="s">
        <v>24</v>
      </c>
      <c r="N718">
        <v>214.575402979991</v>
      </c>
      <c r="O718">
        <v>261.17194350913297</v>
      </c>
      <c r="P718">
        <v>167.97886245084899</v>
      </c>
      <c r="Q718">
        <v>244.90200498351899</v>
      </c>
      <c r="R718">
        <v>277.44188203474698</v>
      </c>
      <c r="S718">
        <v>178.55665057019999</v>
      </c>
      <c r="T718">
        <v>157.40107433149799</v>
      </c>
    </row>
    <row r="719" spans="1:20" x14ac:dyDescent="0.2">
      <c r="A719" t="s">
        <v>1433</v>
      </c>
      <c r="B719" s="3" t="str">
        <f>HYPERLINK("http://www.ncbi.nlm.nih.gov/gene/79875","THSD4")</f>
        <v>THSD4</v>
      </c>
      <c r="C719">
        <v>79875</v>
      </c>
      <c r="D719" t="s">
        <v>1434</v>
      </c>
      <c r="E719" s="3" t="str">
        <f>HYPERLINK("http://genome.ucsc.edu/cgi-bin/hgTracks?db=hg19&amp;lastVirtModeType=default&amp;lastVirtModeExtraState=&amp;virtModeType=default&amp;virtMode=0&amp;nonVirtPosition=&amp;position=chr15:71141448-71783383","chr15:71141448-71783383")</f>
        <v>chr15:71141448-71783383</v>
      </c>
      <c r="F719" t="s">
        <v>27</v>
      </c>
      <c r="G719">
        <v>-0.34965883225320199</v>
      </c>
      <c r="H719">
        <v>9.7572561850855999E-2</v>
      </c>
      <c r="I719">
        <v>-3.5835774486240402</v>
      </c>
      <c r="J719">
        <v>3.3892020918903701E-4</v>
      </c>
      <c r="K719">
        <v>6.6685104000264702E-3</v>
      </c>
      <c r="L719" t="s">
        <v>23</v>
      </c>
      <c r="M719" t="s">
        <v>24</v>
      </c>
      <c r="N719">
        <v>485.46299418245098</v>
      </c>
      <c r="O719">
        <v>560.66307416398899</v>
      </c>
      <c r="P719">
        <v>410.26291420091201</v>
      </c>
      <c r="Q719">
        <v>548.96573027204499</v>
      </c>
      <c r="R719">
        <v>572.36041805593402</v>
      </c>
      <c r="S719">
        <v>379.80282027363</v>
      </c>
      <c r="T719">
        <v>440.72300812819401</v>
      </c>
    </row>
    <row r="720" spans="1:20" x14ac:dyDescent="0.2">
      <c r="A720" t="s">
        <v>1435</v>
      </c>
      <c r="B720" s="3" t="str">
        <f>HYPERLINK("http://www.ncbi.nlm.nih.gov/gene/920","CD4")</f>
        <v>CD4</v>
      </c>
      <c r="C720">
        <v>920</v>
      </c>
      <c r="D720" t="s">
        <v>1436</v>
      </c>
      <c r="E720" s="3" t="str">
        <f>HYPERLINK("http://genome.ucsc.edu/cgi-bin/hgTracks?db=hg19&amp;lastVirtModeType=default&amp;lastVirtModeExtraState=&amp;virtModeType=default&amp;virtMode=0&amp;nonVirtPosition=&amp;position=chr12:6789471-6820810","chr12:6789471-6820810")</f>
        <v>chr12:6789471-6820810</v>
      </c>
      <c r="F720" t="s">
        <v>27</v>
      </c>
      <c r="G720">
        <v>-0.32411138245454102</v>
      </c>
      <c r="H720">
        <v>9.0496054614985499E-2</v>
      </c>
      <c r="I720">
        <v>-3.5814973794544902</v>
      </c>
      <c r="J720">
        <v>3.4163056533685003E-4</v>
      </c>
      <c r="K720">
        <v>6.7122085573489499E-3</v>
      </c>
      <c r="L720" t="s">
        <v>23</v>
      </c>
      <c r="M720" t="s">
        <v>24</v>
      </c>
      <c r="N720">
        <v>586.66565525995497</v>
      </c>
      <c r="O720">
        <v>666.77232132177403</v>
      </c>
      <c r="P720">
        <v>506.55898919813598</v>
      </c>
      <c r="Q720">
        <v>661.78575503973298</v>
      </c>
      <c r="R720">
        <v>671.75888760381599</v>
      </c>
      <c r="S720">
        <v>487.33141094850203</v>
      </c>
      <c r="T720">
        <v>525.78656744777004</v>
      </c>
    </row>
    <row r="721" spans="1:20" x14ac:dyDescent="0.2">
      <c r="A721" t="s">
        <v>1437</v>
      </c>
      <c r="B721" s="3" t="str">
        <f>HYPERLINK("http://www.ncbi.nlm.nih.gov/gene/64393","ZMAT3")</f>
        <v>ZMAT3</v>
      </c>
      <c r="C721">
        <v>64393</v>
      </c>
      <c r="D721" t="s">
        <v>1438</v>
      </c>
      <c r="E721" s="3" t="str">
        <f>HYPERLINK("http://genome.ucsc.edu/cgi-bin/hgTracks?db=hg19&amp;lastVirtModeType=default&amp;lastVirtModeExtraState=&amp;virtModeType=default&amp;virtMode=0&amp;nonVirtPosition=&amp;position=chr3:179017224-179071868","chr3:179017224-179071868")</f>
        <v>chr3:179017224-179071868</v>
      </c>
      <c r="F721" t="s">
        <v>22</v>
      </c>
      <c r="G721">
        <v>-0.178198910485384</v>
      </c>
      <c r="H721">
        <v>4.9769932389728398E-2</v>
      </c>
      <c r="I721">
        <v>-3.5804531356398002</v>
      </c>
      <c r="J721">
        <v>3.4299886051185699E-4</v>
      </c>
      <c r="K721">
        <v>6.7294511774815598E-3</v>
      </c>
      <c r="L721" t="s">
        <v>23</v>
      </c>
      <c r="M721" t="s">
        <v>24</v>
      </c>
      <c r="N721">
        <v>4498.2094198645</v>
      </c>
      <c r="O721">
        <v>4791.6482831199</v>
      </c>
      <c r="P721">
        <v>4204.7705566091099</v>
      </c>
      <c r="Q721">
        <v>4809.98544619316</v>
      </c>
      <c r="R721">
        <v>4773.3111200466301</v>
      </c>
      <c r="S721">
        <v>4052.5454173612202</v>
      </c>
      <c r="T721">
        <v>4356.9956958570001</v>
      </c>
    </row>
    <row r="722" spans="1:20" x14ac:dyDescent="0.2">
      <c r="A722" t="s">
        <v>1439</v>
      </c>
      <c r="B722" s="3" t="str">
        <f>HYPERLINK("http://www.ncbi.nlm.nih.gov/gene/11096","ADAMTS5")</f>
        <v>ADAMTS5</v>
      </c>
      <c r="C722">
        <v>11096</v>
      </c>
      <c r="D722" t="s">
        <v>1440</v>
      </c>
      <c r="E722" s="3" t="str">
        <f>HYPERLINK("http://genome.ucsc.edu/cgi-bin/hgTracks?db=hg19&amp;lastVirtModeType=default&amp;lastVirtModeExtraState=&amp;virtModeType=default&amp;virtMode=0&amp;nonVirtPosition=&amp;position=chr21:26917911-26967120","chr21:26917911-26967120")</f>
        <v>chr21:26917911-26967120</v>
      </c>
      <c r="F722" t="s">
        <v>22</v>
      </c>
      <c r="G722">
        <v>-0.20079236757445601</v>
      </c>
      <c r="H722">
        <v>5.6090522989823102E-2</v>
      </c>
      <c r="I722">
        <v>-3.5797913243006598</v>
      </c>
      <c r="J722">
        <v>3.4386869859269898E-4</v>
      </c>
      <c r="K722">
        <v>6.7368790464289599E-3</v>
      </c>
      <c r="L722" t="s">
        <v>23</v>
      </c>
      <c r="M722" t="s">
        <v>24</v>
      </c>
      <c r="N722">
        <v>2450.3329564564001</v>
      </c>
      <c r="O722">
        <v>2632.40364327212</v>
      </c>
      <c r="P722">
        <v>2268.2622696406902</v>
      </c>
      <c r="Q722">
        <v>2681.5393691734698</v>
      </c>
      <c r="R722">
        <v>2583.2679173707702</v>
      </c>
      <c r="S722">
        <v>2251.1948983491502</v>
      </c>
      <c r="T722">
        <v>2285.3296409322202</v>
      </c>
    </row>
    <row r="723" spans="1:20" x14ac:dyDescent="0.2">
      <c r="A723" t="s">
        <v>1441</v>
      </c>
      <c r="B723" s="3" t="str">
        <f>HYPERLINK("http://www.ncbi.nlm.nih.gov/gene/54532","USP53")</f>
        <v>USP53</v>
      </c>
      <c r="C723">
        <v>54532</v>
      </c>
      <c r="D723" t="s">
        <v>1442</v>
      </c>
      <c r="E723" s="3" t="str">
        <f>HYPERLINK("http://genome.ucsc.edu/cgi-bin/hgTracks?db=hg19&amp;lastVirtModeType=default&amp;lastVirtModeExtraState=&amp;virtModeType=default&amp;virtMode=0&amp;nonVirtPosition=&amp;position=chr4:119212626-119295518","chr4:119212626-119295518")</f>
        <v>chr4:119212626-119295518</v>
      </c>
      <c r="F723" t="s">
        <v>27</v>
      </c>
      <c r="G723">
        <v>0.242057343325223</v>
      </c>
      <c r="H723">
        <v>6.7678630668877596E-2</v>
      </c>
      <c r="I723">
        <v>3.5765697522679698</v>
      </c>
      <c r="J723">
        <v>3.4813245474473299E-4</v>
      </c>
      <c r="K723">
        <v>6.8106825739932498E-3</v>
      </c>
      <c r="L723" t="s">
        <v>23</v>
      </c>
      <c r="M723" t="s">
        <v>24</v>
      </c>
      <c r="N723">
        <v>1451.9089791633301</v>
      </c>
      <c r="O723">
        <v>1317.1551959240001</v>
      </c>
      <c r="P723">
        <v>1586.6627624026501</v>
      </c>
      <c r="Q723">
        <v>1286.4234531437601</v>
      </c>
      <c r="R723">
        <v>1347.88693870424</v>
      </c>
      <c r="S723">
        <v>1624.76687010563</v>
      </c>
      <c r="T723">
        <v>1548.5586546996699</v>
      </c>
    </row>
    <row r="724" spans="1:20" x14ac:dyDescent="0.2">
      <c r="A724" t="s">
        <v>1443</v>
      </c>
      <c r="B724" s="3" t="str">
        <f>HYPERLINK("http://www.ncbi.nlm.nih.gov/gene/79674","VEPH1")</f>
        <v>VEPH1</v>
      </c>
      <c r="C724">
        <v>79674</v>
      </c>
      <c r="D724" t="s">
        <v>1444</v>
      </c>
      <c r="E724" s="3" t="str">
        <f>HYPERLINK("http://genome.ucsc.edu/cgi-bin/hgTracks?db=hg19&amp;lastVirtModeType=default&amp;lastVirtModeExtraState=&amp;virtModeType=default&amp;virtMode=0&amp;nonVirtPosition=&amp;position=chr3:157259742-157503347","chr3:157259742-157503347")</f>
        <v>chr3:157259742-157503347</v>
      </c>
      <c r="F724" t="s">
        <v>22</v>
      </c>
      <c r="G724">
        <v>-0.26271401585551102</v>
      </c>
      <c r="H724">
        <v>7.3489978803473202E-2</v>
      </c>
      <c r="I724">
        <v>-3.5748277538364901</v>
      </c>
      <c r="J724">
        <v>3.5045854209730698E-4</v>
      </c>
      <c r="K724">
        <v>6.8464222882086397E-3</v>
      </c>
      <c r="L724" t="s">
        <v>23</v>
      </c>
      <c r="M724" t="s">
        <v>24</v>
      </c>
      <c r="N724">
        <v>1120.1319222443799</v>
      </c>
      <c r="O724">
        <v>1233.12255434286</v>
      </c>
      <c r="P724">
        <v>1007.14129014588</v>
      </c>
      <c r="Q724">
        <v>1234.14100264166</v>
      </c>
      <c r="R724">
        <v>1232.10410604407</v>
      </c>
      <c r="S724">
        <v>1041.74487846481</v>
      </c>
      <c r="T724">
        <v>972.53770182695803</v>
      </c>
    </row>
    <row r="725" spans="1:20" x14ac:dyDescent="0.2">
      <c r="A725" t="s">
        <v>1445</v>
      </c>
      <c r="B725" s="3" t="str">
        <f>HYPERLINK("http://www.ncbi.nlm.nih.gov/gene/9050","PSTPIP2")</f>
        <v>PSTPIP2</v>
      </c>
      <c r="C725">
        <v>9050</v>
      </c>
      <c r="D725" t="s">
        <v>1446</v>
      </c>
      <c r="E725" s="3" t="str">
        <f>HYPERLINK("http://genome.ucsc.edu/cgi-bin/hgTracks?db=hg19&amp;lastVirtModeType=default&amp;lastVirtModeExtraState=&amp;virtModeType=default&amp;virtMode=0&amp;nonVirtPosition=&amp;position=chr18:45983535-46072284","chr18:45983535-46072284")</f>
        <v>chr18:45983535-46072284</v>
      </c>
      <c r="F725" t="s">
        <v>22</v>
      </c>
      <c r="G725">
        <v>-0.37049505723637499</v>
      </c>
      <c r="H725">
        <v>0.103753902227622</v>
      </c>
      <c r="I725">
        <v>-3.5709023880717199</v>
      </c>
      <c r="J725">
        <v>3.5575346600139198E-4</v>
      </c>
      <c r="K725">
        <v>6.9399758644994201E-3</v>
      </c>
      <c r="L725" t="s">
        <v>23</v>
      </c>
      <c r="M725" t="s">
        <v>24</v>
      </c>
      <c r="N725">
        <v>348.05252601988002</v>
      </c>
      <c r="O725">
        <v>407.55925507460603</v>
      </c>
      <c r="P725">
        <v>288.54579696515299</v>
      </c>
      <c r="Q725">
        <v>393.49423272632799</v>
      </c>
      <c r="R725">
        <v>421.62427742288298</v>
      </c>
      <c r="S725">
        <v>287.07174207695101</v>
      </c>
      <c r="T725">
        <v>290.01985185335599</v>
      </c>
    </row>
    <row r="726" spans="1:20" x14ac:dyDescent="0.2">
      <c r="A726" t="s">
        <v>1447</v>
      </c>
      <c r="B726" s="3" t="str">
        <f>HYPERLINK("http://www.ncbi.nlm.nih.gov/gene/348654","GEN1")</f>
        <v>GEN1</v>
      </c>
      <c r="C726">
        <v>348654</v>
      </c>
      <c r="D726" t="s">
        <v>1448</v>
      </c>
      <c r="E726" s="3" t="str">
        <f>HYPERLINK("http://genome.ucsc.edu/cgi-bin/hgTracks?db=hg19&amp;lastVirtModeType=default&amp;lastVirtModeExtraState=&amp;virtModeType=default&amp;virtMode=0&amp;nonVirtPosition=&amp;position=chr2:17754159-17785913","chr2:17754159-17785913")</f>
        <v>chr2:17754159-17785913</v>
      </c>
      <c r="F726" t="s">
        <v>27</v>
      </c>
      <c r="G726">
        <v>-0.32603056942744602</v>
      </c>
      <c r="H726">
        <v>9.1377261898889797E-2</v>
      </c>
      <c r="I726">
        <v>-3.5679616860067802</v>
      </c>
      <c r="J726">
        <v>3.59769094905403E-4</v>
      </c>
      <c r="K726">
        <v>7.0083428516089499E-3</v>
      </c>
      <c r="L726" t="s">
        <v>23</v>
      </c>
      <c r="M726" t="s">
        <v>24</v>
      </c>
      <c r="N726">
        <v>614.473980105343</v>
      </c>
      <c r="O726">
        <v>698.43794315093305</v>
      </c>
      <c r="P726">
        <v>530.51001705975204</v>
      </c>
      <c r="Q726">
        <v>730.578453068812</v>
      </c>
      <c r="R726">
        <v>666.29743323305399</v>
      </c>
      <c r="S726">
        <v>559.34597167570905</v>
      </c>
      <c r="T726">
        <v>501.674062443796</v>
      </c>
    </row>
    <row r="727" spans="1:20" x14ac:dyDescent="0.2">
      <c r="A727" t="s">
        <v>1449</v>
      </c>
      <c r="B727" s="3" t="str">
        <f>HYPERLINK("http://www.ncbi.nlm.nih.gov/gene/5834","PYGB")</f>
        <v>PYGB</v>
      </c>
      <c r="C727">
        <v>5834</v>
      </c>
      <c r="D727" t="s">
        <v>1450</v>
      </c>
      <c r="E727" s="3" t="str">
        <f>HYPERLINK("http://genome.ucsc.edu/cgi-bin/hgTracks?db=hg19&amp;lastVirtModeType=default&amp;lastVirtModeExtraState=&amp;virtModeType=default&amp;virtMode=0&amp;nonVirtPosition=&amp;position=chr20:25248069-25298012","chr20:25248069-25298012")</f>
        <v>chr20:25248069-25298012</v>
      </c>
      <c r="F727" t="s">
        <v>27</v>
      </c>
      <c r="G727">
        <v>0.15440425183281201</v>
      </c>
      <c r="H727">
        <v>4.3300822602104903E-2</v>
      </c>
      <c r="I727">
        <v>3.56585031309096</v>
      </c>
      <c r="J727">
        <v>3.6267834487596601E-4</v>
      </c>
      <c r="K727">
        <v>7.0549940732326103E-3</v>
      </c>
      <c r="L727" t="s">
        <v>23</v>
      </c>
      <c r="M727" t="s">
        <v>24</v>
      </c>
      <c r="N727">
        <v>8423.7009117895195</v>
      </c>
      <c r="O727">
        <v>7955.8494243403302</v>
      </c>
      <c r="P727">
        <v>8891.5523992387098</v>
      </c>
      <c r="Q727">
        <v>7739.1785282713099</v>
      </c>
      <c r="R727">
        <v>8172.5203204093596</v>
      </c>
      <c r="S727">
        <v>8821.2904386670107</v>
      </c>
      <c r="T727">
        <v>8961.8143598103998</v>
      </c>
    </row>
    <row r="728" spans="1:20" x14ac:dyDescent="0.2">
      <c r="A728" t="s">
        <v>1451</v>
      </c>
      <c r="B728" s="3" t="str">
        <f>HYPERLINK("http://www.ncbi.nlm.nih.gov/gene/79137","FAM134A")</f>
        <v>FAM134A</v>
      </c>
      <c r="C728">
        <v>79137</v>
      </c>
      <c r="D728" t="s">
        <v>1452</v>
      </c>
      <c r="E728" s="3" t="str">
        <f>HYPERLINK("http://genome.ucsc.edu/cgi-bin/hgTracks?db=hg19&amp;lastVirtModeType=default&amp;lastVirtModeExtraState=&amp;virtModeType=default&amp;virtMode=0&amp;nonVirtPosition=&amp;position=chr2:219178189-219185475","chr2:219178189-219185475")</f>
        <v>chr2:219178189-219185475</v>
      </c>
      <c r="F728" t="s">
        <v>27</v>
      </c>
      <c r="G728">
        <v>0.167183852849284</v>
      </c>
      <c r="H728">
        <v>4.6907495018503102E-2</v>
      </c>
      <c r="I728">
        <v>3.5641181176555401</v>
      </c>
      <c r="J728">
        <v>3.6508153915990299E-4</v>
      </c>
      <c r="K728">
        <v>7.0916830425480299E-3</v>
      </c>
      <c r="L728" t="s">
        <v>23</v>
      </c>
      <c r="M728" t="s">
        <v>24</v>
      </c>
      <c r="N728">
        <v>4735.5750813192799</v>
      </c>
      <c r="O728">
        <v>4448.9703477712001</v>
      </c>
      <c r="P728">
        <v>5022.1798148673697</v>
      </c>
      <c r="Q728">
        <v>4351.8260773194897</v>
      </c>
      <c r="R728">
        <v>4546.1146182229004</v>
      </c>
      <c r="S728">
        <v>4986.7617051511597</v>
      </c>
      <c r="T728">
        <v>5057.5979245835797</v>
      </c>
    </row>
    <row r="729" spans="1:20" x14ac:dyDescent="0.2">
      <c r="A729" t="s">
        <v>1453</v>
      </c>
      <c r="B729" s="3" t="str">
        <f>HYPERLINK("http://www.ncbi.nlm.nih.gov/gene/4170","MCL1")</f>
        <v>MCL1</v>
      </c>
      <c r="C729">
        <v>4170</v>
      </c>
      <c r="D729" t="s">
        <v>1454</v>
      </c>
      <c r="E729" s="3" t="str">
        <f>HYPERLINK("http://genome.ucsc.edu/cgi-bin/hgTracks?db=hg19&amp;lastVirtModeType=default&amp;lastVirtModeExtraState=&amp;virtModeType=default&amp;virtMode=0&amp;nonVirtPosition=&amp;position=chr1:150574550-150579738","chr1:150574550-150579738")</f>
        <v>chr1:150574550-150579738</v>
      </c>
      <c r="F729" t="s">
        <v>22</v>
      </c>
      <c r="G729">
        <v>0.18168227774241499</v>
      </c>
      <c r="H729">
        <v>5.10435721167131E-2</v>
      </c>
      <c r="I729">
        <v>3.5593566478261298</v>
      </c>
      <c r="J729">
        <v>3.7176439075474899E-4</v>
      </c>
      <c r="K729">
        <v>7.2112826800716104E-3</v>
      </c>
      <c r="L729" t="s">
        <v>23</v>
      </c>
      <c r="M729" t="s">
        <v>24</v>
      </c>
      <c r="N729">
        <v>11401.634430198899</v>
      </c>
      <c r="O729">
        <v>10645.134823398001</v>
      </c>
      <c r="P729">
        <v>12158.1340369997</v>
      </c>
      <c r="Q729">
        <v>10728.9091846151</v>
      </c>
      <c r="R729">
        <v>10561.360462180999</v>
      </c>
      <c r="S729">
        <v>12889.619869338299</v>
      </c>
      <c r="T729">
        <v>11426.6482046611</v>
      </c>
    </row>
    <row r="730" spans="1:20" x14ac:dyDescent="0.2">
      <c r="A730" t="s">
        <v>1455</v>
      </c>
      <c r="B730" s="3" t="str">
        <f>HYPERLINK("http://www.ncbi.nlm.nih.gov/gene/221150","SKA3")</f>
        <v>SKA3</v>
      </c>
      <c r="C730">
        <v>221150</v>
      </c>
      <c r="D730" t="s">
        <v>1456</v>
      </c>
      <c r="E730" s="3" t="str">
        <f>HYPERLINK("http://genome.ucsc.edu/cgi-bin/hgTracks?db=hg19&amp;lastVirtModeType=default&amp;lastVirtModeExtraState=&amp;virtModeType=default&amp;virtMode=0&amp;nonVirtPosition=&amp;position=chr13:21153594-21176602","chr13:21153594-21176602")</f>
        <v>chr13:21153594-21176602</v>
      </c>
      <c r="F730" t="s">
        <v>22</v>
      </c>
      <c r="G730">
        <v>-0.37695975169057899</v>
      </c>
      <c r="H730">
        <v>0.10593456077221899</v>
      </c>
      <c r="I730">
        <v>-3.5584208679651002</v>
      </c>
      <c r="J730">
        <v>3.7309115719640301E-4</v>
      </c>
      <c r="K730">
        <v>7.2267967934907702E-3</v>
      </c>
      <c r="L730" t="s">
        <v>23</v>
      </c>
      <c r="M730" t="s">
        <v>24</v>
      </c>
      <c r="N730">
        <v>332.52867043396498</v>
      </c>
      <c r="O730">
        <v>391.33257063405603</v>
      </c>
      <c r="P730">
        <v>273.72477023387302</v>
      </c>
      <c r="Q730">
        <v>363.22544559353298</v>
      </c>
      <c r="R730">
        <v>419.43969567457799</v>
      </c>
      <c r="S730">
        <v>278.19323459003499</v>
      </c>
      <c r="T730">
        <v>269.25630587771099</v>
      </c>
    </row>
    <row r="731" spans="1:20" x14ac:dyDescent="0.2">
      <c r="A731" t="s">
        <v>1457</v>
      </c>
      <c r="B731" s="3" t="str">
        <f>HYPERLINK("http://www.ncbi.nlm.nih.gov/gene/4659","PPP1R12A")</f>
        <v>PPP1R12A</v>
      </c>
      <c r="C731">
        <v>4659</v>
      </c>
      <c r="D731" t="s">
        <v>1458</v>
      </c>
      <c r="E731" s="3" t="str">
        <f>HYPERLINK("http://genome.ucsc.edu/cgi-bin/hgTracks?db=hg19&amp;lastVirtModeType=default&amp;lastVirtModeExtraState=&amp;virtModeType=default&amp;virtMode=0&amp;nonVirtPosition=&amp;position=chr12:79773562-79934951","chr12:79773562-79934951")</f>
        <v>chr12:79773562-79934951</v>
      </c>
      <c r="F731" t="s">
        <v>22</v>
      </c>
      <c r="G731">
        <v>-0.177490031902762</v>
      </c>
      <c r="H731">
        <v>4.9899158481334201E-2</v>
      </c>
      <c r="I731">
        <v>-3.5569744521674802</v>
      </c>
      <c r="J731">
        <v>3.7515062428589401E-4</v>
      </c>
      <c r="K731">
        <v>7.2480735441343598E-3</v>
      </c>
      <c r="L731" t="s">
        <v>23</v>
      </c>
      <c r="M731" t="s">
        <v>24</v>
      </c>
      <c r="N731">
        <v>5493.0368314992002</v>
      </c>
      <c r="O731">
        <v>5849.3017661030399</v>
      </c>
      <c r="P731">
        <v>5136.7718968953604</v>
      </c>
      <c r="Q731">
        <v>5788.2176121666498</v>
      </c>
      <c r="R731">
        <v>5910.3859200394299</v>
      </c>
      <c r="S731">
        <v>4907.8416386008003</v>
      </c>
      <c r="T731">
        <v>5365.7021551899197</v>
      </c>
    </row>
    <row r="732" spans="1:20" x14ac:dyDescent="0.2">
      <c r="A732" t="s">
        <v>1459</v>
      </c>
      <c r="B732" s="3" t="str">
        <f>HYPERLINK("http://www.ncbi.nlm.nih.gov/gene/6385","SDC4")</f>
        <v>SDC4</v>
      </c>
      <c r="C732">
        <v>6385</v>
      </c>
      <c r="D732" t="s">
        <v>1460</v>
      </c>
      <c r="E732" s="3" t="str">
        <f>HYPERLINK("http://genome.ucsc.edu/cgi-bin/hgTracks?db=hg19&amp;lastVirtModeType=default&amp;lastVirtModeExtraState=&amp;virtModeType=default&amp;virtMode=0&amp;nonVirtPosition=&amp;position=chr20:45325288-45348424","chr20:45325288-45348424")</f>
        <v>chr20:45325288-45348424</v>
      </c>
      <c r="F732" t="s">
        <v>22</v>
      </c>
      <c r="G732">
        <v>0.15824873088482599</v>
      </c>
      <c r="H732">
        <v>4.4490542361614302E-2</v>
      </c>
      <c r="I732">
        <v>3.5569072095952001</v>
      </c>
      <c r="J732">
        <v>3.75246625079145E-4</v>
      </c>
      <c r="K732">
        <v>7.2480735441343598E-3</v>
      </c>
      <c r="L732" t="s">
        <v>23</v>
      </c>
      <c r="M732" t="s">
        <v>24</v>
      </c>
      <c r="N732">
        <v>5419.8315336033302</v>
      </c>
      <c r="O732">
        <v>5110.4121827441604</v>
      </c>
      <c r="P732">
        <v>5729.2508844625099</v>
      </c>
      <c r="Q732">
        <v>5083.78038434889</v>
      </c>
      <c r="R732">
        <v>5137.0439811394299</v>
      </c>
      <c r="S732">
        <v>5792.7328847967601</v>
      </c>
      <c r="T732">
        <v>5665.7688841282597</v>
      </c>
    </row>
    <row r="733" spans="1:20" x14ac:dyDescent="0.2">
      <c r="A733" t="s">
        <v>1461</v>
      </c>
      <c r="B733" s="3" t="str">
        <f>HYPERLINK("http://www.ncbi.nlm.nih.gov/gene/7424","VEGFC")</f>
        <v>VEGFC</v>
      </c>
      <c r="C733">
        <v>7424</v>
      </c>
      <c r="D733" t="s">
        <v>1462</v>
      </c>
      <c r="E733" s="3" t="str">
        <f>HYPERLINK("http://genome.ucsc.edu/cgi-bin/hgTracks?db=hg19&amp;lastVirtModeType=default&amp;lastVirtModeExtraState=&amp;virtModeType=default&amp;virtMode=0&amp;nonVirtPosition=&amp;position=chr4:176683533-176792745","chr4:176683533-176792745")</f>
        <v>chr4:176683533-176792745</v>
      </c>
      <c r="F733" t="s">
        <v>22</v>
      </c>
      <c r="G733">
        <v>0.19468775244572201</v>
      </c>
      <c r="H733">
        <v>5.4759615550858801E-2</v>
      </c>
      <c r="I733">
        <v>3.5553162761872099</v>
      </c>
      <c r="J733">
        <v>3.7752467706045399E-4</v>
      </c>
      <c r="K733">
        <v>7.2818191578158404E-3</v>
      </c>
      <c r="L733" t="s">
        <v>23</v>
      </c>
      <c r="M733" t="s">
        <v>24</v>
      </c>
      <c r="N733">
        <v>3088.41058225094</v>
      </c>
      <c r="O733">
        <v>2865.6179121182099</v>
      </c>
      <c r="P733">
        <v>3311.2032523836801</v>
      </c>
      <c r="Q733">
        <v>2755.8354830448802</v>
      </c>
      <c r="R733">
        <v>2975.4003411915401</v>
      </c>
      <c r="S733">
        <v>3351.14332589486</v>
      </c>
      <c r="T733">
        <v>3271.2631788724898</v>
      </c>
    </row>
    <row r="734" spans="1:20" x14ac:dyDescent="0.2">
      <c r="A734" t="s">
        <v>1463</v>
      </c>
      <c r="B734" s="3" t="str">
        <f>HYPERLINK("http://www.ncbi.nlm.nih.gov/gene/3855","KRT7")</f>
        <v>KRT7</v>
      </c>
      <c r="C734">
        <v>3855</v>
      </c>
      <c r="D734" t="s">
        <v>1464</v>
      </c>
      <c r="E734" s="3" t="str">
        <f>HYPERLINK("http://genome.ucsc.edu/cgi-bin/hgTracks?db=hg19&amp;lastVirtModeType=default&amp;lastVirtModeExtraState=&amp;virtModeType=default&amp;virtMode=0&amp;nonVirtPosition=&amp;position=chr12:52233169-52248925","chr12:52233169-52248925")</f>
        <v>chr12:52233169-52248925</v>
      </c>
      <c r="F734" t="s">
        <v>27</v>
      </c>
      <c r="G734">
        <v>-0.38121477474909099</v>
      </c>
      <c r="H734">
        <v>0.10728861406560899</v>
      </c>
      <c r="I734">
        <v>-3.5531708380161602</v>
      </c>
      <c r="J734">
        <v>3.8061719718501298E-4</v>
      </c>
      <c r="K734">
        <v>7.3311576435326903E-3</v>
      </c>
      <c r="L734" t="s">
        <v>23</v>
      </c>
      <c r="M734" t="s">
        <v>24</v>
      </c>
      <c r="N734">
        <v>401.97282218837398</v>
      </c>
      <c r="O734">
        <v>578.74881579485202</v>
      </c>
      <c r="P734">
        <v>225.19682858189699</v>
      </c>
      <c r="Q734">
        <v>565.47597779902401</v>
      </c>
      <c r="R734">
        <v>592.02165379068003</v>
      </c>
      <c r="S734">
        <v>165.73213975576601</v>
      </c>
      <c r="T734">
        <v>284.66151740802798</v>
      </c>
    </row>
    <row r="735" spans="1:20" x14ac:dyDescent="0.2">
      <c r="A735" t="s">
        <v>1465</v>
      </c>
      <c r="B735" s="3" t="str">
        <f>HYPERLINK("http://www.ncbi.nlm.nih.gov/gene/949","SCARB1")</f>
        <v>SCARB1</v>
      </c>
      <c r="C735">
        <v>949</v>
      </c>
      <c r="D735" t="s">
        <v>1466</v>
      </c>
      <c r="E735" s="3" t="str">
        <f>HYPERLINK("http://genome.ucsc.edu/cgi-bin/hgTracks?db=hg19&amp;lastVirtModeType=default&amp;lastVirtModeExtraState=&amp;virtModeType=default&amp;virtMode=0&amp;nonVirtPosition=&amp;position=chr12:124777627-124863973","chr12:124777627-124863973")</f>
        <v>chr12:124777627-124863973</v>
      </c>
      <c r="F735" t="s">
        <v>22</v>
      </c>
      <c r="G735">
        <v>-0.33058516879126099</v>
      </c>
      <c r="H735">
        <v>9.3099400370916394E-2</v>
      </c>
      <c r="I735">
        <v>-3.5508839742702998</v>
      </c>
      <c r="J735">
        <v>3.83939633841224E-4</v>
      </c>
      <c r="K735">
        <v>7.3847799978941702E-3</v>
      </c>
      <c r="L735" t="s">
        <v>23</v>
      </c>
      <c r="M735" t="s">
        <v>24</v>
      </c>
      <c r="N735">
        <v>702.80930012399301</v>
      </c>
      <c r="O735">
        <v>803.57570024199799</v>
      </c>
      <c r="P735">
        <v>602.04290000598905</v>
      </c>
      <c r="Q735">
        <v>839.27091595475497</v>
      </c>
      <c r="R735">
        <v>767.88048452923999</v>
      </c>
      <c r="S735">
        <v>537.64295337435897</v>
      </c>
      <c r="T735">
        <v>666.44284663761903</v>
      </c>
    </row>
    <row r="736" spans="1:20" x14ac:dyDescent="0.2">
      <c r="A736" t="s">
        <v>1467</v>
      </c>
      <c r="B736" s="3" t="str">
        <f>HYPERLINK("http://www.ncbi.nlm.nih.gov/gene/101930085","LOC101930085")</f>
        <v>LOC101930085</v>
      </c>
      <c r="C736">
        <v>101930085</v>
      </c>
      <c r="D736" t="s">
        <v>1468</v>
      </c>
      <c r="E736" s="3" t="str">
        <f>HYPERLINK("http://genome.ucsc.edu/cgi-bin/hgTracks?db=hg19&amp;lastVirtModeType=default&amp;lastVirtModeExtraState=&amp;virtModeType=default&amp;virtMode=0&amp;nonVirtPosition=&amp;position=chr7:35695205-35699412","chr7:35695205-35699412")</f>
        <v>chr7:35695205-35699412</v>
      </c>
      <c r="F736" t="s">
        <v>27</v>
      </c>
      <c r="G736">
        <v>0.390860673299332</v>
      </c>
      <c r="H736">
        <v>0.11024643827561</v>
      </c>
      <c r="I736">
        <v>3.5453360617619301</v>
      </c>
      <c r="J736">
        <v>3.9211281473483501E-4</v>
      </c>
      <c r="K736">
        <v>7.5314217664895402E-3</v>
      </c>
      <c r="L736" t="s">
        <v>23</v>
      </c>
      <c r="M736" t="s">
        <v>24</v>
      </c>
      <c r="N736">
        <v>268.67262105366001</v>
      </c>
      <c r="O736">
        <v>215.41144399490099</v>
      </c>
      <c r="P736">
        <v>321.93379811241903</v>
      </c>
      <c r="Q736">
        <v>203.626386166072</v>
      </c>
      <c r="R736">
        <v>227.19650182372999</v>
      </c>
      <c r="S736">
        <v>334.42378200717002</v>
      </c>
      <c r="T736">
        <v>309.44381421766798</v>
      </c>
    </row>
    <row r="737" spans="1:20" x14ac:dyDescent="0.2">
      <c r="A737" t="s">
        <v>1469</v>
      </c>
      <c r="B737" s="3" t="str">
        <f>HYPERLINK("http://www.ncbi.nlm.nih.gov/gene/133957","CCDC127")</f>
        <v>CCDC127</v>
      </c>
      <c r="C737">
        <v>133957</v>
      </c>
      <c r="D737" t="s">
        <v>1470</v>
      </c>
      <c r="E737" s="3" t="str">
        <f>HYPERLINK("http://genome.ucsc.edu/cgi-bin/hgTracks?db=hg19&amp;lastVirtModeType=default&amp;lastVirtModeExtraState=&amp;virtModeType=default&amp;virtMode=0&amp;nonVirtPosition=&amp;position=chr5:204759-218182","chr5:204759-218182")</f>
        <v>chr5:204759-218182</v>
      </c>
      <c r="F737" t="s">
        <v>22</v>
      </c>
      <c r="G737">
        <v>0.259311660574297</v>
      </c>
      <c r="H737">
        <v>7.3197083158269796E-2</v>
      </c>
      <c r="I737">
        <v>3.5426501902214098</v>
      </c>
      <c r="J737">
        <v>3.96127781356065E-4</v>
      </c>
      <c r="K737">
        <v>7.5978970538700397E-3</v>
      </c>
      <c r="L737" t="s">
        <v>23</v>
      </c>
      <c r="M737" t="s">
        <v>24</v>
      </c>
      <c r="N737">
        <v>1116.3163026463701</v>
      </c>
      <c r="O737">
        <v>1005.08682308787</v>
      </c>
      <c r="P737">
        <v>1227.54578220487</v>
      </c>
      <c r="Q737">
        <v>1014.00436894861</v>
      </c>
      <c r="R737">
        <v>996.16927722712296</v>
      </c>
      <c r="S737">
        <v>1200.5715123974201</v>
      </c>
      <c r="T737">
        <v>1254.5200520123201</v>
      </c>
    </row>
    <row r="738" spans="1:20" x14ac:dyDescent="0.2">
      <c r="A738" t="s">
        <v>1471</v>
      </c>
      <c r="B738" s="3" t="str">
        <f>HYPERLINK("http://www.ncbi.nlm.nih.gov/gene/144717","FAM109A")</f>
        <v>FAM109A</v>
      </c>
      <c r="C738">
        <v>144717</v>
      </c>
      <c r="D738" t="s">
        <v>1472</v>
      </c>
      <c r="E738" s="3" t="str">
        <f>HYPERLINK("http://genome.ucsc.edu/cgi-bin/hgTracks?db=hg19&amp;lastVirtModeType=default&amp;lastVirtModeExtraState=&amp;virtModeType=default&amp;virtMode=0&amp;nonVirtPosition=&amp;position=chr12:111360650-111369121","chr12:111360650-111369121")</f>
        <v>chr12:111360650-111369121</v>
      </c>
      <c r="F738" t="s">
        <v>22</v>
      </c>
      <c r="G738">
        <v>0.303085377356831</v>
      </c>
      <c r="H738">
        <v>8.57722854724291E-2</v>
      </c>
      <c r="I738">
        <v>3.5336050064126598</v>
      </c>
      <c r="J738">
        <v>4.0993321394877099E-4</v>
      </c>
      <c r="K738">
        <v>7.8517096314154305E-3</v>
      </c>
      <c r="L738" t="s">
        <v>23</v>
      </c>
      <c r="M738" t="s">
        <v>24</v>
      </c>
      <c r="N738">
        <v>795.30661972708197</v>
      </c>
      <c r="O738">
        <v>698.50088535827797</v>
      </c>
      <c r="P738">
        <v>892.11235409588505</v>
      </c>
      <c r="Q738">
        <v>747.08870059578999</v>
      </c>
      <c r="R738">
        <v>649.91307012076504</v>
      </c>
      <c r="S738">
        <v>859.24222456709504</v>
      </c>
      <c r="T738">
        <v>924.98248362467496</v>
      </c>
    </row>
    <row r="739" spans="1:20" x14ac:dyDescent="0.2">
      <c r="A739" t="s">
        <v>1473</v>
      </c>
      <c r="B739" s="3" t="str">
        <f>HYPERLINK("http://www.ncbi.nlm.nih.gov/gene/2992","GYG1")</f>
        <v>GYG1</v>
      </c>
      <c r="C739">
        <v>2992</v>
      </c>
      <c r="D739" t="s">
        <v>1474</v>
      </c>
      <c r="E739" s="3" t="str">
        <f>HYPERLINK("http://genome.ucsc.edu/cgi-bin/hgTracks?db=hg19&amp;lastVirtModeType=default&amp;lastVirtModeExtraState=&amp;virtModeType=default&amp;virtMode=0&amp;nonVirtPosition=&amp;position=chr3:148991407-149027669","chr3:148991407-149027669")</f>
        <v>chr3:148991407-149027669</v>
      </c>
      <c r="F739" t="s">
        <v>27</v>
      </c>
      <c r="G739">
        <v>0.20571625872006499</v>
      </c>
      <c r="H739">
        <v>5.82870795904998E-2</v>
      </c>
      <c r="I739">
        <v>3.5293629422736599</v>
      </c>
      <c r="J739">
        <v>4.16561411952913E-4</v>
      </c>
      <c r="K739">
        <v>7.9675358487060807E-3</v>
      </c>
      <c r="L739" t="s">
        <v>23</v>
      </c>
      <c r="M739" t="s">
        <v>24</v>
      </c>
      <c r="N739">
        <v>2115.5929021430702</v>
      </c>
      <c r="O739">
        <v>1954.5564644510901</v>
      </c>
      <c r="P739">
        <v>2276.6293398350399</v>
      </c>
      <c r="Q739">
        <v>1944.08164630175</v>
      </c>
      <c r="R739">
        <v>1965.0312826004299</v>
      </c>
      <c r="S739">
        <v>2269.9384141548599</v>
      </c>
      <c r="T739">
        <v>2283.3202655152199</v>
      </c>
    </row>
    <row r="740" spans="1:20" x14ac:dyDescent="0.2">
      <c r="A740" t="s">
        <v>1475</v>
      </c>
      <c r="B740" s="3" t="str">
        <f>HYPERLINK("http://www.ncbi.nlm.nih.gov/gene/55197","RPRD1A")</f>
        <v>RPRD1A</v>
      </c>
      <c r="C740">
        <v>55197</v>
      </c>
      <c r="D740" t="s">
        <v>1476</v>
      </c>
      <c r="E740" s="3" t="str">
        <f>HYPERLINK("http://genome.ucsc.edu/cgi-bin/hgTracks?db=hg19&amp;lastVirtModeType=default&amp;lastVirtModeExtraState=&amp;virtModeType=default&amp;virtMode=0&amp;nonVirtPosition=&amp;position=chr18:35989823-36067594","chr18:35989823-36067594")</f>
        <v>chr18:35989823-36067594</v>
      </c>
      <c r="F740" t="s">
        <v>22</v>
      </c>
      <c r="G740">
        <v>0.18596617055185999</v>
      </c>
      <c r="H740">
        <v>5.2722965341976499E-2</v>
      </c>
      <c r="I740">
        <v>3.5272327598728399</v>
      </c>
      <c r="J740">
        <v>4.1992743128224202E-4</v>
      </c>
      <c r="K740">
        <v>8.0207309089201494E-3</v>
      </c>
      <c r="L740" t="s">
        <v>23</v>
      </c>
      <c r="M740" t="s">
        <v>24</v>
      </c>
      <c r="N740">
        <v>2995.1598224265299</v>
      </c>
      <c r="O740">
        <v>2791.7464965697</v>
      </c>
      <c r="P740">
        <v>3198.5731482833698</v>
      </c>
      <c r="Q740">
        <v>2754.4596290843001</v>
      </c>
      <c r="R740">
        <v>2829.0333640550998</v>
      </c>
      <c r="S740">
        <v>3162.7216670058601</v>
      </c>
      <c r="T740">
        <v>3234.42462956087</v>
      </c>
    </row>
    <row r="741" spans="1:20" x14ac:dyDescent="0.2">
      <c r="A741" t="s">
        <v>1477</v>
      </c>
      <c r="B741" s="3" t="str">
        <f>HYPERLINK("http://www.ncbi.nlm.nih.gov/gene/1058","CENPA")</f>
        <v>CENPA</v>
      </c>
      <c r="C741">
        <v>1058</v>
      </c>
      <c r="D741" t="s">
        <v>1478</v>
      </c>
      <c r="E741" s="3" t="str">
        <f>HYPERLINK("http://genome.ucsc.edu/cgi-bin/hgTracks?db=hg19&amp;lastVirtModeType=default&amp;lastVirtModeExtraState=&amp;virtModeType=default&amp;virtMode=0&amp;nonVirtPosition=&amp;position=chr2:26786013-26794587","chr2:26786013-26794587")</f>
        <v>chr2:26786013-26794587</v>
      </c>
      <c r="F741" t="s">
        <v>27</v>
      </c>
      <c r="G741">
        <v>-0.41670707535089802</v>
      </c>
      <c r="H741">
        <v>0.118161367686833</v>
      </c>
      <c r="I741">
        <v>-3.5265931963085499</v>
      </c>
      <c r="J741">
        <v>4.20942988330272E-4</v>
      </c>
      <c r="K741">
        <v>8.0289459554399797E-3</v>
      </c>
      <c r="L741" t="s">
        <v>23</v>
      </c>
      <c r="M741" t="s">
        <v>24</v>
      </c>
      <c r="N741">
        <v>110.300219089739</v>
      </c>
      <c r="O741">
        <v>143.99800606660801</v>
      </c>
      <c r="P741">
        <v>76.602432112871199</v>
      </c>
      <c r="Q741">
        <v>130.70612625524899</v>
      </c>
      <c r="R741">
        <v>157.28988587796701</v>
      </c>
      <c r="S741">
        <v>64.122554072171297</v>
      </c>
      <c r="T741">
        <v>89.0823101535712</v>
      </c>
    </row>
    <row r="742" spans="1:20" x14ac:dyDescent="0.2">
      <c r="A742" t="s">
        <v>1479</v>
      </c>
      <c r="B742" s="3" t="str">
        <f>HYPERLINK("http://www.ncbi.nlm.nih.gov/gene/259173","ALS2CL")</f>
        <v>ALS2CL</v>
      </c>
      <c r="C742">
        <v>259173</v>
      </c>
      <c r="D742" t="s">
        <v>1480</v>
      </c>
      <c r="E742" s="3" t="str">
        <f>HYPERLINK("http://genome.ucsc.edu/cgi-bin/hgTracks?db=hg19&amp;lastVirtModeType=default&amp;lastVirtModeExtraState=&amp;virtModeType=default&amp;virtMode=0&amp;nonVirtPosition=&amp;position=chr3:46668994-46693656","chr3:46668994-46693656")</f>
        <v>chr3:46668994-46693656</v>
      </c>
      <c r="F742" t="s">
        <v>22</v>
      </c>
      <c r="G742">
        <v>-0.35718783574312601</v>
      </c>
      <c r="H742">
        <v>0.10131497663260799</v>
      </c>
      <c r="I742">
        <v>-3.5255186115116199</v>
      </c>
      <c r="J742">
        <v>4.2265447725731999E-4</v>
      </c>
      <c r="K742">
        <v>8.0503937515373301E-3</v>
      </c>
      <c r="L742" t="s">
        <v>23</v>
      </c>
      <c r="M742" t="s">
        <v>24</v>
      </c>
      <c r="N742">
        <v>409.30431485071102</v>
      </c>
      <c r="O742">
        <v>475.72188472348</v>
      </c>
      <c r="P742">
        <v>342.88674497794102</v>
      </c>
      <c r="Q742">
        <v>509.06596541517899</v>
      </c>
      <c r="R742">
        <v>442.37780403178101</v>
      </c>
      <c r="S742">
        <v>350.20779531724298</v>
      </c>
      <c r="T742">
        <v>335.56569463864003</v>
      </c>
    </row>
    <row r="743" spans="1:20" x14ac:dyDescent="0.2">
      <c r="A743" t="s">
        <v>1481</v>
      </c>
      <c r="B743" s="3" t="str">
        <f>HYPERLINK("http://www.ncbi.nlm.nih.gov/gene/9532","BAG2")</f>
        <v>BAG2</v>
      </c>
      <c r="C743">
        <v>9532</v>
      </c>
      <c r="D743" t="s">
        <v>1482</v>
      </c>
      <c r="E743" s="3" t="str">
        <f>HYPERLINK("http://genome.ucsc.edu/cgi-bin/hgTracks?db=hg19&amp;lastVirtModeType=default&amp;lastVirtModeExtraState=&amp;virtModeType=default&amp;virtMode=0&amp;nonVirtPosition=&amp;position=chr6:57172305-57185214","chr6:57172305-57185214")</f>
        <v>chr6:57172305-57185214</v>
      </c>
      <c r="F743" t="s">
        <v>27</v>
      </c>
      <c r="G743">
        <v>0.21218637821022601</v>
      </c>
      <c r="H743">
        <v>6.0265576268965101E-2</v>
      </c>
      <c r="I743">
        <v>3.5208553762638699</v>
      </c>
      <c r="J743">
        <v>4.3015715835729198E-4</v>
      </c>
      <c r="K743">
        <v>8.1819351868403604E-3</v>
      </c>
      <c r="L743" t="s">
        <v>23</v>
      </c>
      <c r="M743" t="s">
        <v>24</v>
      </c>
      <c r="N743">
        <v>2266.9313501705901</v>
      </c>
      <c r="O743">
        <v>2090.4144176476402</v>
      </c>
      <c r="P743">
        <v>2443.44828269354</v>
      </c>
      <c r="Q743">
        <v>2160.0907181130601</v>
      </c>
      <c r="R743">
        <v>2020.7381171822101</v>
      </c>
      <c r="S743">
        <v>2374.5075023341001</v>
      </c>
      <c r="T743">
        <v>2512.38906305297</v>
      </c>
    </row>
    <row r="744" spans="1:20" x14ac:dyDescent="0.2">
      <c r="A744" t="s">
        <v>1483</v>
      </c>
      <c r="B744" s="3" t="str">
        <f>HYPERLINK("http://www.ncbi.nlm.nih.gov/gene/8470","SORBS2")</f>
        <v>SORBS2</v>
      </c>
      <c r="C744">
        <v>8470</v>
      </c>
      <c r="D744" t="s">
        <v>1484</v>
      </c>
      <c r="E744" s="3" t="str">
        <f>HYPERLINK("http://genome.ucsc.edu/cgi-bin/hgTracks?db=hg19&amp;lastVirtModeType=default&amp;lastVirtModeExtraState=&amp;virtModeType=default&amp;virtMode=0&amp;nonVirtPosition=&amp;position=chr4:185585443-185956716","chr4:185585443-185956716")</f>
        <v>chr4:185585443-185956716</v>
      </c>
      <c r="F744" t="s">
        <v>22</v>
      </c>
      <c r="G744">
        <v>0.286093571199656</v>
      </c>
      <c r="H744">
        <v>8.1346184491145598E-2</v>
      </c>
      <c r="I744">
        <v>3.5169882028185002</v>
      </c>
      <c r="J744">
        <v>4.3647318050575698E-4</v>
      </c>
      <c r="K744">
        <v>8.2905722956453706E-3</v>
      </c>
      <c r="L744" t="s">
        <v>23</v>
      </c>
      <c r="M744" t="s">
        <v>24</v>
      </c>
      <c r="N744">
        <v>946.67364436736102</v>
      </c>
      <c r="O744">
        <v>839.62129908903103</v>
      </c>
      <c r="P744">
        <v>1053.7259896456901</v>
      </c>
      <c r="Q744">
        <v>839.27091595475497</v>
      </c>
      <c r="R744">
        <v>839.97168222330799</v>
      </c>
      <c r="S744">
        <v>983.54132938391899</v>
      </c>
      <c r="T744">
        <v>1123.9106499074601</v>
      </c>
    </row>
    <row r="745" spans="1:20" x14ac:dyDescent="0.2">
      <c r="A745" t="s">
        <v>1485</v>
      </c>
      <c r="B745" s="3" t="str">
        <f>HYPERLINK("http://www.ncbi.nlm.nih.gov/gene/7763","ZFAND5")</f>
        <v>ZFAND5</v>
      </c>
      <c r="C745">
        <v>7763</v>
      </c>
      <c r="D745" t="s">
        <v>1486</v>
      </c>
      <c r="E745" s="3" t="str">
        <f>HYPERLINK("http://genome.ucsc.edu/cgi-bin/hgTracks?db=hg19&amp;lastVirtModeType=default&amp;lastVirtModeExtraState=&amp;virtModeType=default&amp;virtMode=0&amp;nonVirtPosition=&amp;position=chr9:72351424-72364592","chr9:72351424-72364592")</f>
        <v>chr9:72351424-72364592</v>
      </c>
      <c r="F745" t="s">
        <v>22</v>
      </c>
      <c r="G745">
        <v>0.15890981043913399</v>
      </c>
      <c r="H745">
        <v>4.5225181119706803E-2</v>
      </c>
      <c r="I745">
        <v>3.5137462472182199</v>
      </c>
      <c r="J745">
        <v>4.4183467234686199E-4</v>
      </c>
      <c r="K745">
        <v>8.3759853401174904E-3</v>
      </c>
      <c r="L745" t="s">
        <v>23</v>
      </c>
      <c r="M745" t="s">
        <v>24</v>
      </c>
      <c r="N745">
        <v>5071.6534097388303</v>
      </c>
      <c r="O745">
        <v>4782.70523237611</v>
      </c>
      <c r="P745">
        <v>5360.6015871015597</v>
      </c>
      <c r="Q745">
        <v>4792.0993447055998</v>
      </c>
      <c r="R745">
        <v>4773.3111200466301</v>
      </c>
      <c r="S745">
        <v>5294.5499646975904</v>
      </c>
      <c r="T745">
        <v>5426.65320950552</v>
      </c>
    </row>
    <row r="746" spans="1:20" x14ac:dyDescent="0.2">
      <c r="A746" t="s">
        <v>1487</v>
      </c>
      <c r="B746" s="3" t="str">
        <f>HYPERLINK("http://www.ncbi.nlm.nih.gov/gene/100422894","MIR4260")</f>
        <v>MIR4260</v>
      </c>
      <c r="C746">
        <v>100422894</v>
      </c>
      <c r="D746" t="s">
        <v>1488</v>
      </c>
      <c r="E746" s="3" t="str">
        <f>HYPERLINK("http://genome.ucsc.edu/cgi-bin/hgTracks?db=hg19&amp;lastVirtModeType=default&amp;lastVirtModeExtraState=&amp;virtModeType=default&amp;virtMode=0&amp;nonVirtPosition=&amp;position=chr1:209623443-209623510","chr1:209623443-209623510")</f>
        <v>chr1:209623443-209623510</v>
      </c>
      <c r="F746" t="s">
        <v>22</v>
      </c>
      <c r="G746">
        <v>0.22245543416223601</v>
      </c>
      <c r="H746">
        <v>6.3318076908160104E-2</v>
      </c>
      <c r="I746">
        <v>3.51330054582828</v>
      </c>
      <c r="J746">
        <v>4.4257655411607201E-4</v>
      </c>
      <c r="K746">
        <v>8.3759853401174904E-3</v>
      </c>
      <c r="L746" t="s">
        <v>23</v>
      </c>
      <c r="M746" t="s">
        <v>24</v>
      </c>
      <c r="N746">
        <v>1721.38109716238</v>
      </c>
      <c r="O746">
        <v>1576.73066459348</v>
      </c>
      <c r="P746">
        <v>1866.03152973129</v>
      </c>
      <c r="Q746">
        <v>1542.33228981194</v>
      </c>
      <c r="R746">
        <v>1611.1290393750101</v>
      </c>
      <c r="S746">
        <v>1890.1355938812301</v>
      </c>
      <c r="T746">
        <v>1841.9274655813599</v>
      </c>
    </row>
    <row r="747" spans="1:20" x14ac:dyDescent="0.2">
      <c r="A747" t="s">
        <v>1487</v>
      </c>
      <c r="B747" s="3" t="str">
        <f>HYPERLINK("http://www.ncbi.nlm.nih.gov/gene/3914","LAMB3")</f>
        <v>LAMB3</v>
      </c>
      <c r="C747">
        <v>3914</v>
      </c>
      <c r="D747" t="s">
        <v>1489</v>
      </c>
      <c r="E747" s="3" t="str">
        <f>HYPERLINK("http://genome.ucsc.edu/cgi-bin/hgTracks?db=hg19&amp;lastVirtModeType=default&amp;lastVirtModeExtraState=&amp;virtModeType=default&amp;virtMode=0&amp;nonVirtPosition=&amp;position=chr1:209614872-209651334","chr1:209614872-209651334")</f>
        <v>chr1:209614872-209651334</v>
      </c>
      <c r="F747" t="s">
        <v>22</v>
      </c>
      <c r="G747">
        <v>0.22245543416223601</v>
      </c>
      <c r="H747">
        <v>6.3318076908160104E-2</v>
      </c>
      <c r="I747">
        <v>3.51330054582828</v>
      </c>
      <c r="J747">
        <v>4.4257655411607201E-4</v>
      </c>
      <c r="K747">
        <v>8.3759853401174904E-3</v>
      </c>
      <c r="L747" t="s">
        <v>23</v>
      </c>
      <c r="M747" t="s">
        <v>24</v>
      </c>
      <c r="N747">
        <v>1721.38109716238</v>
      </c>
      <c r="O747">
        <v>1576.73066459348</v>
      </c>
      <c r="P747">
        <v>1866.03152973129</v>
      </c>
      <c r="Q747">
        <v>1542.33228981194</v>
      </c>
      <c r="R747">
        <v>1611.1290393750101</v>
      </c>
      <c r="S747">
        <v>1890.1355938812301</v>
      </c>
      <c r="T747">
        <v>1841.9274655813599</v>
      </c>
    </row>
    <row r="748" spans="1:20" x14ac:dyDescent="0.2">
      <c r="A748" t="s">
        <v>1490</v>
      </c>
      <c r="B748" s="3" t="str">
        <f>HYPERLINK("http://www.ncbi.nlm.nih.gov/gene/57515","SERINC1")</f>
        <v>SERINC1</v>
      </c>
      <c r="C748">
        <v>57515</v>
      </c>
      <c r="D748" t="s">
        <v>1491</v>
      </c>
      <c r="E748" s="3" t="str">
        <f>HYPERLINK("http://genome.ucsc.edu/cgi-bin/hgTracks?db=hg19&amp;lastVirtModeType=default&amp;lastVirtModeExtraState=&amp;virtModeType=default&amp;virtMode=0&amp;nonVirtPosition=&amp;position=chr6:122443347-122471881","chr6:122443347-122471881")</f>
        <v>chr6:122443347-122471881</v>
      </c>
      <c r="F748" t="s">
        <v>22</v>
      </c>
      <c r="G748">
        <v>0.13909532492823901</v>
      </c>
      <c r="H748">
        <v>3.9592595303198502E-2</v>
      </c>
      <c r="I748">
        <v>3.5131651224945601</v>
      </c>
      <c r="J748">
        <v>4.4280220005725403E-4</v>
      </c>
      <c r="K748">
        <v>8.3759853401174904E-3</v>
      </c>
      <c r="L748" t="s">
        <v>23</v>
      </c>
      <c r="M748" t="s">
        <v>24</v>
      </c>
      <c r="N748">
        <v>14809.7198836196</v>
      </c>
      <c r="O748">
        <v>14073.238635313</v>
      </c>
      <c r="P748">
        <v>15546.2011319263</v>
      </c>
      <c r="Q748">
        <v>13903.0042716767</v>
      </c>
      <c r="R748">
        <v>14243.472998949201</v>
      </c>
      <c r="S748">
        <v>15695.2282352038</v>
      </c>
      <c r="T748">
        <v>15397.1740286488</v>
      </c>
    </row>
    <row r="749" spans="1:20" x14ac:dyDescent="0.2">
      <c r="A749" t="s">
        <v>1492</v>
      </c>
      <c r="B749" s="3" t="str">
        <f>HYPERLINK("http://www.ncbi.nlm.nih.gov/gene/59","ACTA2")</f>
        <v>ACTA2</v>
      </c>
      <c r="C749">
        <v>59</v>
      </c>
      <c r="D749" t="s">
        <v>1493</v>
      </c>
      <c r="E749" s="3" t="str">
        <f>HYPERLINK("http://genome.ucsc.edu/cgi-bin/hgTracks?db=hg19&amp;lastVirtModeType=default&amp;lastVirtModeExtraState=&amp;virtModeType=default&amp;virtMode=0&amp;nonVirtPosition=&amp;position=chr10:88935073-88952823","chr10:88935073-88952823")</f>
        <v>chr10:88935073-88952823</v>
      </c>
      <c r="F749" t="s">
        <v>22</v>
      </c>
      <c r="G749">
        <v>-0.29827899607678199</v>
      </c>
      <c r="H749">
        <v>8.50261675981627E-2</v>
      </c>
      <c r="I749">
        <v>-3.5080846814884299</v>
      </c>
      <c r="J749">
        <v>4.5134535673639002E-4</v>
      </c>
      <c r="K749">
        <v>8.5258267524557299E-3</v>
      </c>
      <c r="L749" t="s">
        <v>23</v>
      </c>
      <c r="M749" t="s">
        <v>24</v>
      </c>
      <c r="N749">
        <v>1002.53327868273</v>
      </c>
      <c r="O749">
        <v>1125.6953118245899</v>
      </c>
      <c r="P749">
        <v>879.37124554086301</v>
      </c>
      <c r="Q749">
        <v>1097.93146054409</v>
      </c>
      <c r="R749">
        <v>1153.4591631050901</v>
      </c>
      <c r="S749">
        <v>788.21416467176698</v>
      </c>
      <c r="T749">
        <v>970.52832640995996</v>
      </c>
    </row>
    <row r="750" spans="1:20" x14ac:dyDescent="0.2">
      <c r="A750" t="s">
        <v>1494</v>
      </c>
      <c r="B750" s="3" t="str">
        <f>HYPERLINK("http://www.ncbi.nlm.nih.gov/gene/9404","LPXN")</f>
        <v>LPXN</v>
      </c>
      <c r="C750">
        <v>9404</v>
      </c>
      <c r="D750" t="s">
        <v>1495</v>
      </c>
      <c r="E750" s="3" t="str">
        <f>HYPERLINK("http://genome.ucsc.edu/cgi-bin/hgTracks?db=hg19&amp;lastVirtModeType=default&amp;lastVirtModeExtraState=&amp;virtModeType=default&amp;virtMode=0&amp;nonVirtPosition=&amp;position=chr11:58526870-58578239","chr11:58526870-58578239")</f>
        <v>chr11:58526870-58578239</v>
      </c>
      <c r="F750" t="s">
        <v>22</v>
      </c>
      <c r="G750">
        <v>-0.223137394077464</v>
      </c>
      <c r="H750">
        <v>6.3622542870382603E-2</v>
      </c>
      <c r="I750">
        <v>-3.5072064713298099</v>
      </c>
      <c r="J750">
        <v>4.52837638287793E-4</v>
      </c>
      <c r="K750">
        <v>8.5422494793380901E-3</v>
      </c>
      <c r="L750" t="s">
        <v>23</v>
      </c>
      <c r="M750" t="s">
        <v>24</v>
      </c>
      <c r="N750">
        <v>1912.4943729235299</v>
      </c>
      <c r="O750">
        <v>2070.6381110194702</v>
      </c>
      <c r="P750">
        <v>1754.3506348276001</v>
      </c>
      <c r="Q750">
        <v>2058.2775250300201</v>
      </c>
      <c r="R750">
        <v>2082.9986970089099</v>
      </c>
      <c r="S750">
        <v>1834.89154729598</v>
      </c>
      <c r="T750">
        <v>1673.8097223592099</v>
      </c>
    </row>
    <row r="751" spans="1:20" x14ac:dyDescent="0.2">
      <c r="A751" t="s">
        <v>1496</v>
      </c>
      <c r="B751" s="3" t="str">
        <f>HYPERLINK("http://www.ncbi.nlm.nih.gov/gene/558","AXL")</f>
        <v>AXL</v>
      </c>
      <c r="C751">
        <v>558</v>
      </c>
      <c r="D751" t="s">
        <v>1497</v>
      </c>
      <c r="E751" s="3" t="str">
        <f>HYPERLINK("http://genome.ucsc.edu/cgi-bin/hgTracks?db=hg19&amp;lastVirtModeType=default&amp;lastVirtModeExtraState=&amp;virtModeType=default&amp;virtMode=0&amp;nonVirtPosition=&amp;position=chr19:41219198-41261767","chr19:41219198-41261767")</f>
        <v>chr19:41219198-41261767</v>
      </c>
      <c r="F751" t="s">
        <v>27</v>
      </c>
      <c r="G751">
        <v>-0.158617196593444</v>
      </c>
      <c r="H751">
        <v>4.5246592537862097E-2</v>
      </c>
      <c r="I751">
        <v>-3.50561639444371</v>
      </c>
      <c r="J751">
        <v>4.5555126746559601E-4</v>
      </c>
      <c r="K751">
        <v>8.5816347280538198E-3</v>
      </c>
      <c r="L751" t="s">
        <v>23</v>
      </c>
      <c r="M751" t="s">
        <v>24</v>
      </c>
      <c r="N751">
        <v>9242.6047790204702</v>
      </c>
      <c r="O751">
        <v>9772.0212858533105</v>
      </c>
      <c r="P751">
        <v>8713.18827218763</v>
      </c>
      <c r="Q751">
        <v>9628.2260161497998</v>
      </c>
      <c r="R751">
        <v>9915.8165555568194</v>
      </c>
      <c r="S751">
        <v>8406.9600892775907</v>
      </c>
      <c r="T751">
        <v>9019.4164550976693</v>
      </c>
    </row>
    <row r="752" spans="1:20" x14ac:dyDescent="0.2">
      <c r="A752" t="s">
        <v>1498</v>
      </c>
      <c r="B752" s="3" t="str">
        <f>HYPERLINK("http://www.ncbi.nlm.nih.gov/gene/8764","TNFRSF14")</f>
        <v>TNFRSF14</v>
      </c>
      <c r="C752">
        <v>8764</v>
      </c>
      <c r="D752" t="s">
        <v>1499</v>
      </c>
      <c r="E752" s="3" t="str">
        <f>HYPERLINK("http://genome.ucsc.edu/cgi-bin/hgTracks?db=hg19&amp;lastVirtModeType=default&amp;lastVirtModeExtraState=&amp;virtModeType=default&amp;virtMode=0&amp;nonVirtPosition=&amp;position=chr1:2556364-2565622","chr1:2556364-2565622")</f>
        <v>chr1:2556364-2565622</v>
      </c>
      <c r="F752" t="s">
        <v>27</v>
      </c>
      <c r="G752">
        <v>-0.31307327263928503</v>
      </c>
      <c r="H752">
        <v>8.9389782072017601E-2</v>
      </c>
      <c r="I752">
        <v>-3.5023384707108298</v>
      </c>
      <c r="J752">
        <v>4.6119333320953699E-4</v>
      </c>
      <c r="K752">
        <v>8.6760018815303097E-3</v>
      </c>
      <c r="L752" t="s">
        <v>23</v>
      </c>
      <c r="M752" t="s">
        <v>24</v>
      </c>
      <c r="N752">
        <v>692.52716888721204</v>
      </c>
      <c r="O752">
        <v>781.70381841590802</v>
      </c>
      <c r="P752">
        <v>603.35051935851698</v>
      </c>
      <c r="Q752">
        <v>796.61944317672703</v>
      </c>
      <c r="R752">
        <v>766.78819365508798</v>
      </c>
      <c r="S752">
        <v>650.10404820862902</v>
      </c>
      <c r="T752">
        <v>556.59699050840402</v>
      </c>
    </row>
    <row r="753" spans="1:20" x14ac:dyDescent="0.2">
      <c r="A753" t="s">
        <v>1500</v>
      </c>
      <c r="B753" s="3" t="str">
        <f>HYPERLINK("http://www.ncbi.nlm.nih.gov/gene/22936","ELL2")</f>
        <v>ELL2</v>
      </c>
      <c r="C753">
        <v>22936</v>
      </c>
      <c r="D753" t="s">
        <v>1501</v>
      </c>
      <c r="E753" s="3" t="str">
        <f>HYPERLINK("http://genome.ucsc.edu/cgi-bin/hgTracks?db=hg19&amp;lastVirtModeType=default&amp;lastVirtModeExtraState=&amp;virtModeType=default&amp;virtMode=0&amp;nonVirtPosition=&amp;position=chr5:95885097-95962071","chr5:95885097-95962071")</f>
        <v>chr5:95885097-95962071</v>
      </c>
      <c r="F753" t="s">
        <v>22</v>
      </c>
      <c r="G753">
        <v>-0.16457965610920999</v>
      </c>
      <c r="H753">
        <v>4.7035526135109897E-2</v>
      </c>
      <c r="I753">
        <v>-3.4990499656887701</v>
      </c>
      <c r="J753">
        <v>4.6691907467088698E-4</v>
      </c>
      <c r="K753">
        <v>8.7716824521048703E-3</v>
      </c>
      <c r="L753" t="s">
        <v>23</v>
      </c>
      <c r="M753" t="s">
        <v>24</v>
      </c>
      <c r="N753">
        <v>4453.5718283034103</v>
      </c>
      <c r="O753">
        <v>4719.7726226976501</v>
      </c>
      <c r="P753">
        <v>4187.3710339091604</v>
      </c>
      <c r="Q753">
        <v>4759.0788496516398</v>
      </c>
      <c r="R753">
        <v>4680.4663957436596</v>
      </c>
      <c r="S753">
        <v>4123.5734772565502</v>
      </c>
      <c r="T753">
        <v>4251.1685905617796</v>
      </c>
    </row>
    <row r="754" spans="1:20" x14ac:dyDescent="0.2">
      <c r="A754" t="s">
        <v>1502</v>
      </c>
      <c r="B754" s="3" t="str">
        <f>HYPERLINK("http://www.ncbi.nlm.nih.gov/gene/9517","SPTLC2")</f>
        <v>SPTLC2</v>
      </c>
      <c r="C754">
        <v>9517</v>
      </c>
      <c r="D754" t="s">
        <v>1503</v>
      </c>
      <c r="E754" s="3" t="str">
        <f>HYPERLINK("http://genome.ucsc.edu/cgi-bin/hgTracks?db=hg19&amp;lastVirtModeType=default&amp;lastVirtModeExtraState=&amp;virtModeType=default&amp;virtMode=0&amp;nonVirtPosition=&amp;position=chr14:77505996-77616767","chr14:77505996-77616767")</f>
        <v>chr14:77505996-77616767</v>
      </c>
      <c r="F754" t="s">
        <v>22</v>
      </c>
      <c r="G754">
        <v>-0.19350721262923501</v>
      </c>
      <c r="H754">
        <v>5.5357384643058401E-2</v>
      </c>
      <c r="I754">
        <v>-3.4955988957383002</v>
      </c>
      <c r="J754">
        <v>4.7299913565674098E-4</v>
      </c>
      <c r="K754">
        <v>8.8737484902825601E-3</v>
      </c>
      <c r="L754" t="s">
        <v>23</v>
      </c>
      <c r="M754" t="s">
        <v>24</v>
      </c>
      <c r="N754">
        <v>2749.5247062293902</v>
      </c>
      <c r="O754">
        <v>2944.8242513160399</v>
      </c>
      <c r="P754">
        <v>2554.22516114274</v>
      </c>
      <c r="Q754">
        <v>2867.2796538519801</v>
      </c>
      <c r="R754">
        <v>3022.3688487801001</v>
      </c>
      <c r="S754">
        <v>2509.6581163015899</v>
      </c>
      <c r="T754">
        <v>2598.7922059838802</v>
      </c>
    </row>
    <row r="755" spans="1:20" x14ac:dyDescent="0.2">
      <c r="A755" t="s">
        <v>1504</v>
      </c>
      <c r="B755" s="3" t="str">
        <f>HYPERLINK("http://www.ncbi.nlm.nih.gov/gene/694","BTG1")</f>
        <v>BTG1</v>
      </c>
      <c r="C755">
        <v>694</v>
      </c>
      <c r="D755" t="s">
        <v>1505</v>
      </c>
      <c r="E755" s="3" t="str">
        <f>HYPERLINK("http://genome.ucsc.edu/cgi-bin/hgTracks?db=hg19&amp;lastVirtModeType=default&amp;lastVirtModeExtraState=&amp;virtModeType=default&amp;virtMode=0&amp;nonVirtPosition=&amp;position=chr12:92140277-92145897","chr12:92140277-92145897")</f>
        <v>chr12:92140277-92145897</v>
      </c>
      <c r="F755" t="s">
        <v>22</v>
      </c>
      <c r="G755">
        <v>0.22885829387682399</v>
      </c>
      <c r="H755">
        <v>6.5560830474323997E-2</v>
      </c>
      <c r="I755">
        <v>3.49077783519617</v>
      </c>
      <c r="J755">
        <v>4.81616559915892E-4</v>
      </c>
      <c r="K755">
        <v>9.0230730911018305E-3</v>
      </c>
      <c r="L755" t="s">
        <v>23</v>
      </c>
      <c r="M755" t="s">
        <v>24</v>
      </c>
      <c r="N755">
        <v>1742.22604550597</v>
      </c>
      <c r="O755">
        <v>1590.0848403054199</v>
      </c>
      <c r="P755">
        <v>1894.36725070651</v>
      </c>
      <c r="Q755">
        <v>1571.2252229841499</v>
      </c>
      <c r="R755">
        <v>1608.9444576266999</v>
      </c>
      <c r="S755">
        <v>1976.94766708663</v>
      </c>
      <c r="T755">
        <v>1811.7868343263899</v>
      </c>
    </row>
    <row r="756" spans="1:20" x14ac:dyDescent="0.2">
      <c r="A756" t="s">
        <v>1506</v>
      </c>
      <c r="B756" s="3" t="str">
        <f>HYPERLINK("http://www.ncbi.nlm.nih.gov/gene/64131","XYLT1")</f>
        <v>XYLT1</v>
      </c>
      <c r="C756">
        <v>64131</v>
      </c>
      <c r="D756" t="s">
        <v>1507</v>
      </c>
      <c r="E756" s="3" t="str">
        <f>HYPERLINK("http://genome.ucsc.edu/cgi-bin/hgTracks?db=hg19&amp;lastVirtModeType=default&amp;lastVirtModeExtraState=&amp;virtModeType=default&amp;virtMode=0&amp;nonVirtPosition=&amp;position=chr16:17102323-17470881","chr16:17102323-17470881")</f>
        <v>chr16:17102323-17470881</v>
      </c>
      <c r="F756" t="s">
        <v>22</v>
      </c>
      <c r="G756">
        <v>-0.200260326920222</v>
      </c>
      <c r="H756">
        <v>5.7401596990019302E-2</v>
      </c>
      <c r="I756">
        <v>-3.4887588050040201</v>
      </c>
      <c r="J756">
        <v>4.8526880348154802E-4</v>
      </c>
      <c r="K756">
        <v>9.07909463976256E-3</v>
      </c>
      <c r="L756" t="s">
        <v>23</v>
      </c>
      <c r="M756" t="s">
        <v>24</v>
      </c>
      <c r="N756">
        <v>2980.8111832274599</v>
      </c>
      <c r="O756">
        <v>3203.4593778690901</v>
      </c>
      <c r="P756">
        <v>2758.1629885858401</v>
      </c>
      <c r="Q756">
        <v>3198.8604583521401</v>
      </c>
      <c r="R756">
        <v>3208.0582973860301</v>
      </c>
      <c r="S756">
        <v>2620.1462094721101</v>
      </c>
      <c r="T756">
        <v>2896.1797676995602</v>
      </c>
    </row>
    <row r="757" spans="1:20" x14ac:dyDescent="0.2">
      <c r="A757" t="s">
        <v>1508</v>
      </c>
      <c r="B757" s="3" t="str">
        <f>HYPERLINK("http://www.ncbi.nlm.nih.gov/gene/399959","MIR100HG")</f>
        <v>MIR100HG</v>
      </c>
      <c r="C757">
        <v>399959</v>
      </c>
      <c r="D757" t="s">
        <v>1509</v>
      </c>
      <c r="E757" s="3" t="str">
        <f>HYPERLINK("http://genome.ucsc.edu/cgi-bin/hgTracks?db=hg19&amp;lastVirtModeType=default&amp;lastVirtModeExtraState=&amp;virtModeType=default&amp;virtMode=0&amp;nonVirtPosition=&amp;position=chr11:122089102-122105616","chr11:122089102-122105616")</f>
        <v>chr11:122089102-122105616</v>
      </c>
      <c r="F757" t="s">
        <v>22</v>
      </c>
      <c r="G757">
        <v>0.172849297255697</v>
      </c>
      <c r="H757">
        <v>4.9563629162099901E-2</v>
      </c>
      <c r="I757">
        <v>3.4874221314663298</v>
      </c>
      <c r="J757">
        <v>4.8770091858915302E-4</v>
      </c>
      <c r="K757">
        <v>9.1121667541302995E-3</v>
      </c>
      <c r="L757" t="s">
        <v>23</v>
      </c>
      <c r="M757" t="s">
        <v>24</v>
      </c>
      <c r="N757">
        <v>7064.0482175826201</v>
      </c>
      <c r="O757">
        <v>6619.4780254335101</v>
      </c>
      <c r="P757">
        <v>7508.61840973173</v>
      </c>
      <c r="Q757">
        <v>6748.5636766525804</v>
      </c>
      <c r="R757">
        <v>6490.3923742144298</v>
      </c>
      <c r="S757">
        <v>7856.4926250888002</v>
      </c>
      <c r="T757">
        <v>7160.7441943746599</v>
      </c>
    </row>
    <row r="758" spans="1:20" x14ac:dyDescent="0.2">
      <c r="A758" t="s">
        <v>1510</v>
      </c>
      <c r="B758" s="3" t="str">
        <f>HYPERLINK("http://www.ncbi.nlm.nih.gov/gene/55010","PARPBP")</f>
        <v>PARPBP</v>
      </c>
      <c r="C758">
        <v>55010</v>
      </c>
      <c r="D758" t="s">
        <v>1511</v>
      </c>
      <c r="E758" s="3" t="str">
        <f>HYPERLINK("http://genome.ucsc.edu/cgi-bin/hgTracks?db=hg19&amp;lastVirtModeType=default&amp;lastVirtModeExtraState=&amp;virtModeType=default&amp;virtMode=0&amp;nonVirtPosition=&amp;position=chr12:102120170-102197520","chr12:102120170-102197520")</f>
        <v>chr12:102120170-102197520</v>
      </c>
      <c r="F758" t="s">
        <v>27</v>
      </c>
      <c r="G758">
        <v>-0.36776763880043001</v>
      </c>
      <c r="H758">
        <v>0.105503841025509</v>
      </c>
      <c r="I758">
        <v>-3.48582227173616</v>
      </c>
      <c r="J758">
        <v>4.9062685299473005E-4</v>
      </c>
      <c r="K758">
        <v>9.1543628054009899E-3</v>
      </c>
      <c r="L758" t="s">
        <v>23</v>
      </c>
      <c r="M758" t="s">
        <v>24</v>
      </c>
      <c r="N758">
        <v>342.81358528323602</v>
      </c>
      <c r="O758">
        <v>402.01387776071601</v>
      </c>
      <c r="P758">
        <v>283.61329280575598</v>
      </c>
      <c r="Q758">
        <v>371.480569357023</v>
      </c>
      <c r="R758">
        <v>432.54718616440903</v>
      </c>
      <c r="S758">
        <v>277.20673375815602</v>
      </c>
      <c r="T758">
        <v>290.01985185335599</v>
      </c>
    </row>
    <row r="759" spans="1:20" x14ac:dyDescent="0.2">
      <c r="A759" t="s">
        <v>1512</v>
      </c>
      <c r="B759" s="3" t="str">
        <f>HYPERLINK("http://www.ncbi.nlm.nih.gov/gene/25903","OLFML2B")</f>
        <v>OLFML2B</v>
      </c>
      <c r="C759">
        <v>25903</v>
      </c>
      <c r="D759" t="s">
        <v>1513</v>
      </c>
      <c r="E759" s="3" t="str">
        <f>HYPERLINK("http://genome.ucsc.edu/cgi-bin/hgTracks?db=hg19&amp;lastVirtModeType=default&amp;lastVirtModeExtraState=&amp;virtModeType=default&amp;virtMode=0&amp;nonVirtPosition=&amp;position=chr1:161983191-162024465","chr1:161983191-162024465")</f>
        <v>chr1:161983191-162024465</v>
      </c>
      <c r="F759" t="s">
        <v>22</v>
      </c>
      <c r="G759">
        <v>-0.38452640236449998</v>
      </c>
      <c r="H759">
        <v>0.110356812528158</v>
      </c>
      <c r="I759">
        <v>-3.4843920692833201</v>
      </c>
      <c r="J759">
        <v>4.9325635608949098E-4</v>
      </c>
      <c r="K759">
        <v>9.1784500236245306E-3</v>
      </c>
      <c r="L759" t="s">
        <v>23</v>
      </c>
      <c r="M759" t="s">
        <v>24</v>
      </c>
      <c r="N759">
        <v>261.78648887278001</v>
      </c>
      <c r="O759">
        <v>312.29407732247699</v>
      </c>
      <c r="P759">
        <v>211.278900423083</v>
      </c>
      <c r="Q759">
        <v>295.80860152503698</v>
      </c>
      <c r="R759">
        <v>328.77955311991701</v>
      </c>
      <c r="S759">
        <v>204.205672199068</v>
      </c>
      <c r="T759">
        <v>218.35212864709899</v>
      </c>
    </row>
    <row r="760" spans="1:20" x14ac:dyDescent="0.2">
      <c r="A760" t="s">
        <v>1514</v>
      </c>
      <c r="B760" s="3" t="str">
        <f>HYPERLINK("http://www.ncbi.nlm.nih.gov/gene/56006","SMG9")</f>
        <v>SMG9</v>
      </c>
      <c r="C760">
        <v>56006</v>
      </c>
      <c r="D760" t="s">
        <v>1515</v>
      </c>
      <c r="E760" s="3" t="str">
        <f>HYPERLINK("http://genome.ucsc.edu/cgi-bin/hgTracks?db=hg19&amp;lastVirtModeType=default&amp;lastVirtModeExtraState=&amp;virtModeType=default&amp;virtMode=0&amp;nonVirtPosition=&amp;position=chr19:43727996-43755036","chr19:43727996-43755036")</f>
        <v>chr19:43727996-43755036</v>
      </c>
      <c r="F760" t="s">
        <v>22</v>
      </c>
      <c r="G760">
        <v>0.21419207933534601</v>
      </c>
      <c r="H760">
        <v>6.1480691368571601E-2</v>
      </c>
      <c r="I760">
        <v>3.4838918458363199</v>
      </c>
      <c r="J760">
        <v>4.9417914115736799E-4</v>
      </c>
      <c r="K760">
        <v>9.1831608967915205E-3</v>
      </c>
      <c r="L760" t="s">
        <v>23</v>
      </c>
      <c r="M760" t="s">
        <v>24</v>
      </c>
      <c r="N760">
        <v>1803.0003324495101</v>
      </c>
      <c r="O760">
        <v>1659.1350370779001</v>
      </c>
      <c r="P760">
        <v>1946.8656278211299</v>
      </c>
      <c r="Q760">
        <v>1668.91085418544</v>
      </c>
      <c r="R760">
        <v>1649.3592199703501</v>
      </c>
      <c r="S760">
        <v>1949.3256437940099</v>
      </c>
      <c r="T760">
        <v>1944.4056118482499</v>
      </c>
    </row>
    <row r="761" spans="1:20" x14ac:dyDescent="0.2">
      <c r="A761" t="s">
        <v>1516</v>
      </c>
      <c r="B761" s="3" t="str">
        <f>HYPERLINK("http://www.ncbi.nlm.nih.gov/gene/54801","HAUS6")</f>
        <v>HAUS6</v>
      </c>
      <c r="C761">
        <v>54801</v>
      </c>
      <c r="D761" t="s">
        <v>1517</v>
      </c>
      <c r="E761" s="3" t="str">
        <f>HYPERLINK("http://genome.ucsc.edu/cgi-bin/hgTracks?db=hg19&amp;lastVirtModeType=default&amp;lastVirtModeExtraState=&amp;virtModeType=default&amp;virtMode=0&amp;nonVirtPosition=&amp;position=chr9:19053136-19102942","chr9:19053136-19102942")</f>
        <v>chr9:19053136-19102942</v>
      </c>
      <c r="F761" t="s">
        <v>22</v>
      </c>
      <c r="G761">
        <v>-0.25424146119904201</v>
      </c>
      <c r="H761">
        <v>7.2995615778111006E-2</v>
      </c>
      <c r="I761">
        <v>-3.4829689220222999</v>
      </c>
      <c r="J761">
        <v>4.9588592722952705E-4</v>
      </c>
      <c r="K761">
        <v>9.1951646419278707E-3</v>
      </c>
      <c r="L761" t="s">
        <v>23</v>
      </c>
      <c r="M761" t="s">
        <v>24</v>
      </c>
      <c r="N761">
        <v>1168.92917359176</v>
      </c>
      <c r="O761">
        <v>1284.42334756373</v>
      </c>
      <c r="P761">
        <v>1053.43499961978</v>
      </c>
      <c r="Q761">
        <v>1260.2822278927099</v>
      </c>
      <c r="R761">
        <v>1308.5644672347501</v>
      </c>
      <c r="S761">
        <v>1015.10935600406</v>
      </c>
      <c r="T761">
        <v>1091.7606432355001</v>
      </c>
    </row>
    <row r="762" spans="1:20" x14ac:dyDescent="0.2">
      <c r="A762" t="s">
        <v>1518</v>
      </c>
      <c r="B762" s="3" t="str">
        <f>HYPERLINK("http://www.ncbi.nlm.nih.gov/gene/387763","C11orf96")</f>
        <v>C11orf96</v>
      </c>
      <c r="C762">
        <v>387763</v>
      </c>
      <c r="D762" t="s">
        <v>1519</v>
      </c>
      <c r="E762" s="3" t="str">
        <f>HYPERLINK("http://genome.ucsc.edu/cgi-bin/hgTracks?db=hg19&amp;lastVirtModeType=default&amp;lastVirtModeExtraState=&amp;virtModeType=default&amp;virtMode=0&amp;nonVirtPosition=&amp;position=chr11:43942555-43943883","chr11:43942555-43943883")</f>
        <v>chr11:43942555-43943883</v>
      </c>
      <c r="F762" t="s">
        <v>27</v>
      </c>
      <c r="G762">
        <v>0.384142708422815</v>
      </c>
      <c r="H762">
        <v>0.110296530191396</v>
      </c>
      <c r="I762">
        <v>3.48281770746746</v>
      </c>
      <c r="J762">
        <v>4.9616609559768301E-4</v>
      </c>
      <c r="K762">
        <v>9.1951646419278707E-3</v>
      </c>
      <c r="L762" t="s">
        <v>23</v>
      </c>
      <c r="M762" t="s">
        <v>24</v>
      </c>
      <c r="N762">
        <v>53.460886408356103</v>
      </c>
      <c r="O762">
        <v>31.518756678685399</v>
      </c>
      <c r="P762">
        <v>75.4030161380267</v>
      </c>
      <c r="Q762">
        <v>30.2687871327945</v>
      </c>
      <c r="R762">
        <v>32.768726224576397</v>
      </c>
      <c r="S762">
        <v>67.0820565678099</v>
      </c>
      <c r="T762">
        <v>83.7239757082436</v>
      </c>
    </row>
    <row r="763" spans="1:20" x14ac:dyDescent="0.2">
      <c r="A763" t="s">
        <v>1520</v>
      </c>
      <c r="B763" s="3" t="str">
        <f>HYPERLINK("http://www.ncbi.nlm.nih.gov/gene/55106","SLFN12")</f>
        <v>SLFN12</v>
      </c>
      <c r="C763">
        <v>55106</v>
      </c>
      <c r="D763" t="s">
        <v>1521</v>
      </c>
      <c r="E763" s="3" t="str">
        <f>HYPERLINK("http://genome.ucsc.edu/cgi-bin/hgTracks?db=hg19&amp;lastVirtModeType=default&amp;lastVirtModeExtraState=&amp;virtModeType=default&amp;virtMode=0&amp;nonVirtPosition=&amp;position=chr17:35410921-35432524","chr17:35410921-35432524")</f>
        <v>chr17:35410921-35432524</v>
      </c>
      <c r="F763" t="s">
        <v>22</v>
      </c>
      <c r="G763">
        <v>-0.35148734691435701</v>
      </c>
      <c r="H763">
        <v>0.100974722047165</v>
      </c>
      <c r="I763">
        <v>-3.4809439411002199</v>
      </c>
      <c r="J763">
        <v>4.99650053660245E-4</v>
      </c>
      <c r="K763">
        <v>9.2472345963516903E-3</v>
      </c>
      <c r="L763" t="s">
        <v>23</v>
      </c>
      <c r="M763" t="s">
        <v>24</v>
      </c>
      <c r="N763">
        <v>388.85857378649803</v>
      </c>
      <c r="O763">
        <v>450.77277041823402</v>
      </c>
      <c r="P763">
        <v>326.94437715476198</v>
      </c>
      <c r="Q763">
        <v>447.15253718900902</v>
      </c>
      <c r="R763">
        <v>454.39300364745901</v>
      </c>
      <c r="S763">
        <v>317.65326786521803</v>
      </c>
      <c r="T763">
        <v>336.23548644430599</v>
      </c>
    </row>
    <row r="764" spans="1:20" x14ac:dyDescent="0.2">
      <c r="A764" t="s">
        <v>1522</v>
      </c>
      <c r="B764" s="3" t="str">
        <f>HYPERLINK("http://www.ncbi.nlm.nih.gov/gene/7095","SEC62")</f>
        <v>SEC62</v>
      </c>
      <c r="C764">
        <v>7095</v>
      </c>
      <c r="D764" t="s">
        <v>1523</v>
      </c>
      <c r="E764" s="3" t="str">
        <f>HYPERLINK("http://genome.ucsc.edu/cgi-bin/hgTracks?db=hg19&amp;lastVirtModeType=default&amp;lastVirtModeExtraState=&amp;virtModeType=default&amp;virtMode=0&amp;nonVirtPosition=&amp;position=chr3:169966791-169998373","chr3:169966791-169998373")</f>
        <v>chr3:169966791-169998373</v>
      </c>
      <c r="F764" t="s">
        <v>27</v>
      </c>
      <c r="G764">
        <v>0.15615202801332201</v>
      </c>
      <c r="H764">
        <v>4.4891851981106699E-2</v>
      </c>
      <c r="I764">
        <v>3.47840467974101</v>
      </c>
      <c r="J764">
        <v>5.0440779711935404E-4</v>
      </c>
      <c r="K764">
        <v>9.3227069133353397E-3</v>
      </c>
      <c r="L764" t="s">
        <v>23</v>
      </c>
      <c r="M764" t="s">
        <v>24</v>
      </c>
      <c r="N764">
        <v>6926.5214675552097</v>
      </c>
      <c r="O764">
        <v>6537.9135286871096</v>
      </c>
      <c r="P764">
        <v>7315.1294064233198</v>
      </c>
      <c r="Q764">
        <v>6699.0329340716498</v>
      </c>
      <c r="R764">
        <v>6376.7941233025704</v>
      </c>
      <c r="S764">
        <v>7448.0812806906597</v>
      </c>
      <c r="T764">
        <v>7182.1775321559699</v>
      </c>
    </row>
    <row r="765" spans="1:20" x14ac:dyDescent="0.2">
      <c r="A765" t="s">
        <v>1524</v>
      </c>
      <c r="B765" s="3" t="str">
        <f>HYPERLINK("http://www.ncbi.nlm.nih.gov/gene/57529","RGAG1")</f>
        <v>RGAG1</v>
      </c>
      <c r="C765">
        <v>57529</v>
      </c>
      <c r="D765" t="s">
        <v>1525</v>
      </c>
      <c r="E765" s="3" t="str">
        <f>HYPERLINK("http://genome.ucsc.edu/cgi-bin/hgTracks?db=hg19&amp;lastVirtModeType=default&amp;lastVirtModeExtraState=&amp;virtModeType=default&amp;virtMode=0&amp;nonVirtPosition=&amp;position=chrX:110419056-110456334","chrX:110419056-110456334")</f>
        <v>chrX:110419056-110456334</v>
      </c>
      <c r="F765" t="s">
        <v>27</v>
      </c>
      <c r="G765">
        <v>-0.35107596469778102</v>
      </c>
      <c r="H765">
        <v>0.10095261661313</v>
      </c>
      <c r="I765">
        <v>-3.4776311548532801</v>
      </c>
      <c r="J765">
        <v>5.0586550091135296E-4</v>
      </c>
      <c r="K765">
        <v>9.3370652483153408E-3</v>
      </c>
      <c r="L765" t="s">
        <v>23</v>
      </c>
      <c r="M765" t="s">
        <v>24</v>
      </c>
      <c r="N765">
        <v>36.523424796947097</v>
      </c>
      <c r="O765">
        <v>54.419987171583202</v>
      </c>
      <c r="P765">
        <v>18.626862422311</v>
      </c>
      <c r="Q765">
        <v>56.410012383844197</v>
      </c>
      <c r="R765">
        <v>52.429961959322199</v>
      </c>
      <c r="S765">
        <v>13.8110116463138</v>
      </c>
      <c r="T765">
        <v>23.442713198308201</v>
      </c>
    </row>
    <row r="766" spans="1:20" x14ac:dyDescent="0.2">
      <c r="A766" t="s">
        <v>1526</v>
      </c>
      <c r="B766" s="3" t="str">
        <f>HYPERLINK("http://www.ncbi.nlm.nih.gov/gene/2737","GLI3")</f>
        <v>GLI3</v>
      </c>
      <c r="C766">
        <v>2737</v>
      </c>
      <c r="D766" t="s">
        <v>1527</v>
      </c>
      <c r="E766" s="3" t="str">
        <f>HYPERLINK("http://genome.ucsc.edu/cgi-bin/hgTracks?db=hg19&amp;lastVirtModeType=default&amp;lastVirtModeExtraState=&amp;virtModeType=default&amp;virtMode=0&amp;nonVirtPosition=&amp;position=chr7:41960949-42237019","chr7:41960949-42237019")</f>
        <v>chr7:41960949-42237019</v>
      </c>
      <c r="F766" t="s">
        <v>22</v>
      </c>
      <c r="G766">
        <v>-0.26296762249927402</v>
      </c>
      <c r="H766">
        <v>7.5661539200153893E-2</v>
      </c>
      <c r="I766">
        <v>-3.47557854729367</v>
      </c>
      <c r="J766">
        <v>5.0975268959349302E-4</v>
      </c>
      <c r="K766">
        <v>9.3961671842542598E-3</v>
      </c>
      <c r="L766" t="s">
        <v>23</v>
      </c>
      <c r="M766" t="s">
        <v>24</v>
      </c>
      <c r="N766">
        <v>1057.7172380381501</v>
      </c>
      <c r="O766">
        <v>1167.4960953433299</v>
      </c>
      <c r="P766">
        <v>947.93838073296001</v>
      </c>
      <c r="Q766">
        <v>1174.9792823366599</v>
      </c>
      <c r="R766">
        <v>1160.0129083500001</v>
      </c>
      <c r="S766">
        <v>906.59426449731404</v>
      </c>
      <c r="T766">
        <v>989.28249696860598</v>
      </c>
    </row>
    <row r="767" spans="1:20" x14ac:dyDescent="0.2">
      <c r="A767" t="s">
        <v>1528</v>
      </c>
      <c r="B767" s="3" t="str">
        <f>HYPERLINK("http://www.ncbi.nlm.nih.gov/gene/4853","NOTCH2")</f>
        <v>NOTCH2</v>
      </c>
      <c r="C767">
        <v>4853</v>
      </c>
      <c r="D767" t="s">
        <v>1529</v>
      </c>
      <c r="E767" s="3" t="str">
        <f>HYPERLINK("http://genome.ucsc.edu/cgi-bin/hgTracks?db=hg19&amp;lastVirtModeType=default&amp;lastVirtModeExtraState=&amp;virtModeType=default&amp;virtMode=0&amp;nonVirtPosition=&amp;position=chr1:119911552-120069703","chr1:119911552-120069703")</f>
        <v>chr1:119911552-120069703</v>
      </c>
      <c r="F767" t="s">
        <v>22</v>
      </c>
      <c r="G767">
        <v>0.15227676153082301</v>
      </c>
      <c r="H767">
        <v>4.3909991767678902E-2</v>
      </c>
      <c r="I767">
        <v>3.4679296306065299</v>
      </c>
      <c r="J767">
        <v>5.2448461112143598E-4</v>
      </c>
      <c r="K767">
        <v>9.6547408817709603E-3</v>
      </c>
      <c r="L767" t="s">
        <v>23</v>
      </c>
      <c r="M767" t="s">
        <v>24</v>
      </c>
      <c r="N767">
        <v>35917.1499942589</v>
      </c>
      <c r="O767">
        <v>33956.658703783003</v>
      </c>
      <c r="P767">
        <v>37877.641284734796</v>
      </c>
      <c r="Q767">
        <v>34184.467504609602</v>
      </c>
      <c r="R767">
        <v>33728.849902956499</v>
      </c>
      <c r="S767">
        <v>36595.234859404103</v>
      </c>
      <c r="T767">
        <v>39160.047710065402</v>
      </c>
    </row>
    <row r="768" spans="1:20" x14ac:dyDescent="0.2">
      <c r="A768" t="s">
        <v>1530</v>
      </c>
      <c r="B768" s="3" t="str">
        <f>HYPERLINK("http://www.ncbi.nlm.nih.gov/gene/9445","ITM2B")</f>
        <v>ITM2B</v>
      </c>
      <c r="C768">
        <v>9445</v>
      </c>
      <c r="D768" t="s">
        <v>1531</v>
      </c>
      <c r="E768" s="3" t="str">
        <f>HYPERLINK("http://genome.ucsc.edu/cgi-bin/hgTracks?db=hg19&amp;lastVirtModeType=default&amp;lastVirtModeExtraState=&amp;virtModeType=default&amp;virtMode=0&amp;nonVirtPosition=&amp;position=chr13:48233137-48262096","chr13:48233137-48262096")</f>
        <v>chr13:48233137-48262096</v>
      </c>
      <c r="F768" t="s">
        <v>27</v>
      </c>
      <c r="G768">
        <v>0.139130768489587</v>
      </c>
      <c r="H768">
        <v>4.01264327470355E-2</v>
      </c>
      <c r="I768">
        <v>3.4673096750636501</v>
      </c>
      <c r="J768">
        <v>5.2569587405978404E-4</v>
      </c>
      <c r="K768">
        <v>9.6599580073147596E-3</v>
      </c>
      <c r="L768" t="s">
        <v>23</v>
      </c>
      <c r="M768" t="s">
        <v>24</v>
      </c>
      <c r="N768">
        <v>10207.270273456401</v>
      </c>
      <c r="O768">
        <v>9699.0164566926105</v>
      </c>
      <c r="P768">
        <v>10715.5240902203</v>
      </c>
      <c r="Q768">
        <v>9603.4606448593295</v>
      </c>
      <c r="R768">
        <v>9794.5722685258897</v>
      </c>
      <c r="S768">
        <v>10787.386596603001</v>
      </c>
      <c r="T768">
        <v>10643.6615838376</v>
      </c>
    </row>
    <row r="769" spans="1:20" x14ac:dyDescent="0.2">
      <c r="A769" t="s">
        <v>1532</v>
      </c>
      <c r="B769" s="3" t="str">
        <f>HYPERLINK("http://www.ncbi.nlm.nih.gov/gene/127933","UHMK1")</f>
        <v>UHMK1</v>
      </c>
      <c r="C769">
        <v>127933</v>
      </c>
      <c r="D769" t="s">
        <v>1533</v>
      </c>
      <c r="E769" s="3" t="str">
        <f>HYPERLINK("http://genome.ucsc.edu/cgi-bin/hgTracks?db=hg19&amp;lastVirtModeType=default&amp;lastVirtModeExtraState=&amp;virtModeType=default&amp;virtMode=0&amp;nonVirtPosition=&amp;position=chr1:162497804-162529629","chr1:162497804-162529629")</f>
        <v>chr1:162497804-162529629</v>
      </c>
      <c r="F769" t="s">
        <v>27</v>
      </c>
      <c r="G769">
        <v>-0.15011106662200099</v>
      </c>
      <c r="H769">
        <v>4.3296308117862503E-2</v>
      </c>
      <c r="I769">
        <v>-3.4670638940707001</v>
      </c>
      <c r="J769">
        <v>5.2617679972758705E-4</v>
      </c>
      <c r="K769">
        <v>9.6599580073147596E-3</v>
      </c>
      <c r="L769" t="s">
        <v>23</v>
      </c>
      <c r="M769" t="s">
        <v>24</v>
      </c>
      <c r="N769">
        <v>6452.3390815171497</v>
      </c>
      <c r="O769">
        <v>6800.00547988363</v>
      </c>
      <c r="P769">
        <v>6104.6726831506803</v>
      </c>
      <c r="Q769">
        <v>6719.6707434803702</v>
      </c>
      <c r="R769">
        <v>6880.3402162868897</v>
      </c>
      <c r="S769">
        <v>6028.5065836159802</v>
      </c>
      <c r="T769">
        <v>6180.8387826853796</v>
      </c>
    </row>
    <row r="770" spans="1:20" x14ac:dyDescent="0.2">
      <c r="A770" t="s">
        <v>1534</v>
      </c>
      <c r="B770" s="3" t="str">
        <f>HYPERLINK("http://www.ncbi.nlm.nih.gov/gene/116988","AGAP3")</f>
        <v>AGAP3</v>
      </c>
      <c r="C770">
        <v>116988</v>
      </c>
      <c r="D770" t="s">
        <v>1535</v>
      </c>
      <c r="E770" s="3" t="str">
        <f>HYPERLINK("http://genome.ucsc.edu/cgi-bin/hgTracks?db=hg19&amp;lastVirtModeType=default&amp;lastVirtModeExtraState=&amp;virtModeType=default&amp;virtMode=0&amp;nonVirtPosition=&amp;position=chr7:151085830-151144436","chr7:151085830-151144436")</f>
        <v>chr7:151085830-151144436</v>
      </c>
      <c r="F770" t="s">
        <v>27</v>
      </c>
      <c r="G770">
        <v>0.19531240156333601</v>
      </c>
      <c r="H770">
        <v>5.63522440232017E-2</v>
      </c>
      <c r="I770">
        <v>3.4659205671192299</v>
      </c>
      <c r="J770">
        <v>5.2841937016499796E-4</v>
      </c>
      <c r="K770">
        <v>9.6881594150304597E-3</v>
      </c>
      <c r="L770" t="s">
        <v>23</v>
      </c>
      <c r="M770" t="s">
        <v>24</v>
      </c>
      <c r="N770">
        <v>2504.78394795132</v>
      </c>
      <c r="O770">
        <v>2325.9283391354502</v>
      </c>
      <c r="P770">
        <v>2683.6395567671898</v>
      </c>
      <c r="Q770">
        <v>2336.2000250675001</v>
      </c>
      <c r="R770">
        <v>2315.6566532033999</v>
      </c>
      <c r="S770">
        <v>2621.1327103039798</v>
      </c>
      <c r="T770">
        <v>2746.1464032303902</v>
      </c>
    </row>
    <row r="771" spans="1:20" x14ac:dyDescent="0.2">
      <c r="A771" t="s">
        <v>1536</v>
      </c>
      <c r="B771" s="3" t="str">
        <f>HYPERLINK("http://www.ncbi.nlm.nih.gov/gene/55854","ZC3H15")</f>
        <v>ZC3H15</v>
      </c>
      <c r="C771">
        <v>55854</v>
      </c>
      <c r="D771" t="s">
        <v>1537</v>
      </c>
      <c r="E771" s="3" t="str">
        <f>HYPERLINK("http://genome.ucsc.edu/cgi-bin/hgTracks?db=hg19&amp;lastVirtModeType=default&amp;lastVirtModeExtraState=&amp;virtModeType=default&amp;virtMode=0&amp;nonVirtPosition=&amp;position=chr2:186486157-186509360","chr2:186486157-186509360")</f>
        <v>chr2:186486157-186509360</v>
      </c>
      <c r="F771" t="s">
        <v>27</v>
      </c>
      <c r="G771">
        <v>0.19201843408094699</v>
      </c>
      <c r="H771">
        <v>5.5415101048933102E-2</v>
      </c>
      <c r="I771">
        <v>3.46509219411851</v>
      </c>
      <c r="J771">
        <v>5.3004973735924104E-4</v>
      </c>
      <c r="K771">
        <v>9.7050762325028399E-3</v>
      </c>
      <c r="L771" t="s">
        <v>23</v>
      </c>
      <c r="M771" t="s">
        <v>24</v>
      </c>
      <c r="N771">
        <v>2518.4806883144502</v>
      </c>
      <c r="O771">
        <v>2340.8739060798098</v>
      </c>
      <c r="P771">
        <v>2696.0874705490801</v>
      </c>
      <c r="Q771">
        <v>2316.9380696193598</v>
      </c>
      <c r="R771">
        <v>2364.8097425402598</v>
      </c>
      <c r="S771">
        <v>2669.4712510660802</v>
      </c>
      <c r="T771">
        <v>2722.70369003208</v>
      </c>
    </row>
    <row r="772" spans="1:20" x14ac:dyDescent="0.2">
      <c r="A772" t="s">
        <v>1538</v>
      </c>
      <c r="B772" s="3" t="str">
        <f>HYPERLINK("http://www.ncbi.nlm.nih.gov/gene/196527","ANO6")</f>
        <v>ANO6</v>
      </c>
      <c r="C772">
        <v>196527</v>
      </c>
      <c r="D772" t="s">
        <v>1539</v>
      </c>
      <c r="E772" s="3" t="str">
        <f>HYPERLINK("http://genome.ucsc.edu/cgi-bin/hgTracks?db=hg19&amp;lastVirtModeType=default&amp;lastVirtModeExtraState=&amp;virtModeType=default&amp;virtMode=0&amp;nonVirtPosition=&amp;position=chr12:45215986-45432351","chr12:45215986-45432351")</f>
        <v>chr12:45215986-45432351</v>
      </c>
      <c r="F772" t="s">
        <v>27</v>
      </c>
      <c r="G772">
        <v>0.172108852410288</v>
      </c>
      <c r="H772">
        <v>4.9699597408487103E-2</v>
      </c>
      <c r="I772">
        <v>3.46298282852685</v>
      </c>
      <c r="J772">
        <v>5.3422248723236502E-4</v>
      </c>
      <c r="K772">
        <v>9.7684362532061992E-3</v>
      </c>
      <c r="L772" t="s">
        <v>23</v>
      </c>
      <c r="M772" t="s">
        <v>24</v>
      </c>
      <c r="N772">
        <v>5066.7883958580996</v>
      </c>
      <c r="O772">
        <v>4752.2107407569702</v>
      </c>
      <c r="P772">
        <v>5381.3660509592301</v>
      </c>
      <c r="Q772">
        <v>4708.1722531101204</v>
      </c>
      <c r="R772">
        <v>4796.2492284038299</v>
      </c>
      <c r="S772">
        <v>5167.2913573851201</v>
      </c>
      <c r="T772">
        <v>5595.44074453334</v>
      </c>
    </row>
    <row r="773" spans="1:20" x14ac:dyDescent="0.2">
      <c r="A773" t="s">
        <v>1540</v>
      </c>
      <c r="B773" s="3" t="str">
        <f>HYPERLINK("http://www.ncbi.nlm.nih.gov/gene/8566","PDXK")</f>
        <v>PDXK</v>
      </c>
      <c r="C773">
        <v>8566</v>
      </c>
      <c r="D773" t="s">
        <v>1541</v>
      </c>
      <c r="E773" s="3" t="str">
        <f>HYPERLINK("http://genome.ucsc.edu/cgi-bin/hgTracks?db=hg19&amp;lastVirtModeType=default&amp;lastVirtModeExtraState=&amp;virtModeType=default&amp;virtMode=0&amp;nonVirtPosition=&amp;position=chr21:43719096-43762307","chr21:43719096-43762307")</f>
        <v>chr21:43719096-43762307</v>
      </c>
      <c r="F773" t="s">
        <v>27</v>
      </c>
      <c r="G773">
        <v>0.17619595409351099</v>
      </c>
      <c r="H773">
        <v>5.0923383266672402E-2</v>
      </c>
      <c r="I773">
        <v>3.4600205797564398</v>
      </c>
      <c r="J773">
        <v>5.4013410552860295E-4</v>
      </c>
      <c r="K773">
        <v>9.8633809896394899E-3</v>
      </c>
      <c r="L773" t="s">
        <v>23</v>
      </c>
      <c r="M773" t="s">
        <v>24</v>
      </c>
      <c r="N773">
        <v>3344.2357342914802</v>
      </c>
      <c r="O773">
        <v>3131.0585527455501</v>
      </c>
      <c r="P773">
        <v>3557.4129158374199</v>
      </c>
      <c r="Q773">
        <v>3153.4572776529499</v>
      </c>
      <c r="R773">
        <v>3108.6598278381498</v>
      </c>
      <c r="S773">
        <v>3507.9969581637101</v>
      </c>
      <c r="T773">
        <v>3606.82887351113</v>
      </c>
    </row>
    <row r="774" spans="1:20" x14ac:dyDescent="0.2">
      <c r="A774" t="s">
        <v>1540</v>
      </c>
      <c r="B774" s="3" t="str">
        <f>HYPERLINK("http://www.ncbi.nlm.nih.gov/gene/105372824","LOC105372824")</f>
        <v>LOC105372824</v>
      </c>
      <c r="C774">
        <v>105372824</v>
      </c>
      <c r="D774" t="s">
        <v>1542</v>
      </c>
      <c r="E774" s="3" t="s">
        <v>1543</v>
      </c>
      <c r="F774" t="s">
        <v>1543</v>
      </c>
      <c r="G774">
        <v>0.17619595409351099</v>
      </c>
      <c r="H774">
        <v>5.0923383266672402E-2</v>
      </c>
      <c r="I774">
        <v>3.4600205797564398</v>
      </c>
      <c r="J774">
        <v>5.4013410552860295E-4</v>
      </c>
      <c r="K774">
        <v>9.8633809896394899E-3</v>
      </c>
      <c r="L774" t="s">
        <v>23</v>
      </c>
      <c r="M774" t="s">
        <v>24</v>
      </c>
      <c r="N774">
        <v>3344.2357342914802</v>
      </c>
      <c r="O774">
        <v>3131.0585527455501</v>
      </c>
      <c r="P774">
        <v>3557.4129158374199</v>
      </c>
      <c r="Q774">
        <v>3153.4572776529499</v>
      </c>
      <c r="R774">
        <v>3108.6598278381498</v>
      </c>
      <c r="S774">
        <v>3507.9969581637101</v>
      </c>
      <c r="T774">
        <v>3606.82887351113</v>
      </c>
    </row>
    <row r="775" spans="1:20" x14ac:dyDescent="0.2">
      <c r="A775" t="s">
        <v>1544</v>
      </c>
      <c r="B775" s="3" t="str">
        <f>HYPERLINK("http://www.ncbi.nlm.nih.gov/gene/4150","MAZ")</f>
        <v>MAZ</v>
      </c>
      <c r="C775">
        <v>4150</v>
      </c>
      <c r="D775" t="s">
        <v>1545</v>
      </c>
      <c r="E775" s="3" t="str">
        <f>HYPERLINK("http://genome.ucsc.edu/cgi-bin/hgTracks?db=hg19&amp;lastVirtModeType=default&amp;lastVirtModeExtraState=&amp;virtModeType=default&amp;virtMode=0&amp;nonVirtPosition=&amp;position=chr16:29806536-29811183","chr16:29806536-29811183")</f>
        <v>chr16:29806536-29811183</v>
      </c>
      <c r="F775" t="s">
        <v>27</v>
      </c>
      <c r="G775">
        <v>0.188741285897566</v>
      </c>
      <c r="H775">
        <v>5.4602275184617501E-2</v>
      </c>
      <c r="I775">
        <v>3.4566560689899202</v>
      </c>
      <c r="J775">
        <v>5.4692239965361904E-4</v>
      </c>
      <c r="K775">
        <v>9.9740608894278403E-3</v>
      </c>
      <c r="L775" t="s">
        <v>23</v>
      </c>
      <c r="M775" t="s">
        <v>24</v>
      </c>
      <c r="N775">
        <v>4021.1191382420898</v>
      </c>
      <c r="O775">
        <v>3743.4325139382699</v>
      </c>
      <c r="P775">
        <v>4298.8057625459196</v>
      </c>
      <c r="Q775">
        <v>3621.24762425068</v>
      </c>
      <c r="R775">
        <v>3865.6174036258599</v>
      </c>
      <c r="S775">
        <v>4114.69496976964</v>
      </c>
      <c r="T775">
        <v>4482.9165553222001</v>
      </c>
    </row>
    <row r="776" spans="1:20" x14ac:dyDescent="0.2">
      <c r="A776" t="s">
        <v>1546</v>
      </c>
      <c r="B776" s="3" t="str">
        <f>HYPERLINK("http://www.ncbi.nlm.nih.gov/gene/8073","PTP4A2")</f>
        <v>PTP4A2</v>
      </c>
      <c r="C776">
        <v>8073</v>
      </c>
      <c r="D776" t="s">
        <v>1547</v>
      </c>
      <c r="E776" s="3" t="str">
        <f>HYPERLINK("http://genome.ucsc.edu/cgi-bin/hgTracks?db=hg19&amp;lastVirtModeType=default&amp;lastVirtModeExtraState=&amp;virtModeType=default&amp;virtMode=0&amp;nonVirtPosition=&amp;position=chr1:31906420-31919658","chr1:31906420-31919658")</f>
        <v>chr1:31906420-31919658</v>
      </c>
      <c r="F776" t="s">
        <v>22</v>
      </c>
      <c r="G776">
        <v>0.153793640349634</v>
      </c>
      <c r="H776">
        <v>4.4537054527435199E-2</v>
      </c>
      <c r="I776">
        <v>3.4531614625501601</v>
      </c>
      <c r="J776">
        <v>5.5405726204308303E-4</v>
      </c>
      <c r="K776">
        <v>1.00907586874619E-2</v>
      </c>
      <c r="L776" t="s">
        <v>23</v>
      </c>
      <c r="M776" t="s">
        <v>24</v>
      </c>
      <c r="N776">
        <v>5202.7873175915001</v>
      </c>
      <c r="O776">
        <v>4914.6041158839198</v>
      </c>
      <c r="P776">
        <v>5490.9705192990796</v>
      </c>
      <c r="Q776">
        <v>4900.7918075915404</v>
      </c>
      <c r="R776">
        <v>4928.4164241762901</v>
      </c>
      <c r="S776">
        <v>5520.4586551980101</v>
      </c>
      <c r="T776">
        <v>5461.48238340015</v>
      </c>
    </row>
    <row r="777" spans="1:20" x14ac:dyDescent="0.2">
      <c r="A777" t="s">
        <v>1548</v>
      </c>
      <c r="B777" s="3" t="str">
        <f>HYPERLINK("http://www.ncbi.nlm.nih.gov/gene/114793","FMNL2")</f>
        <v>FMNL2</v>
      </c>
      <c r="C777">
        <v>114793</v>
      </c>
      <c r="D777" t="s">
        <v>1549</v>
      </c>
      <c r="E777" s="3" t="str">
        <f>HYPERLINK("http://genome.ucsc.edu/cgi-bin/hgTracks?db=hg19&amp;lastVirtModeType=default&amp;lastVirtModeExtraState=&amp;virtModeType=default&amp;virtMode=0&amp;nonVirtPosition=&amp;position=chr2:152335236-152649834","chr2:152335236-152649834")</f>
        <v>chr2:152335236-152649834</v>
      </c>
      <c r="F777" t="s">
        <v>27</v>
      </c>
      <c r="G777">
        <v>0.17554519160740301</v>
      </c>
      <c r="H777">
        <v>5.0883618085431001E-2</v>
      </c>
      <c r="I777">
        <v>3.4499353271748698</v>
      </c>
      <c r="J777">
        <v>5.6072086578498603E-4</v>
      </c>
      <c r="K777">
        <v>1.0198575534980501E-2</v>
      </c>
      <c r="L777" t="s">
        <v>23</v>
      </c>
      <c r="M777" t="s">
        <v>24</v>
      </c>
      <c r="N777">
        <v>3375.02659945599</v>
      </c>
      <c r="O777">
        <v>3159.1484880440398</v>
      </c>
      <c r="P777">
        <v>3590.9047108679401</v>
      </c>
      <c r="Q777">
        <v>3108.0540969537601</v>
      </c>
      <c r="R777">
        <v>3210.24287913433</v>
      </c>
      <c r="S777">
        <v>3562.25450391708</v>
      </c>
      <c r="T777">
        <v>3619.5549178187898</v>
      </c>
    </row>
    <row r="778" spans="1:20" x14ac:dyDescent="0.2">
      <c r="A778" t="s">
        <v>1550</v>
      </c>
      <c r="B778" s="3" t="str">
        <f>HYPERLINK("http://www.ncbi.nlm.nih.gov/gene/79160","LOC79160")</f>
        <v>LOC79160</v>
      </c>
      <c r="C778">
        <v>79160</v>
      </c>
      <c r="D778" t="s">
        <v>1551</v>
      </c>
      <c r="E778" s="3" t="str">
        <f>HYPERLINK("http://genome.ucsc.edu/cgi-bin/hgTracks?db=hg19&amp;lastVirtModeType=default&amp;lastVirtModeExtraState=&amp;virtModeType=default&amp;virtMode=0&amp;nonVirtPosition=&amp;position=chr20:58634771-58635738","chr20:58634771-58635738")</f>
        <v>chr20:58634771-58635738</v>
      </c>
      <c r="F778" t="s">
        <v>27</v>
      </c>
      <c r="G778">
        <v>0.30874048067849102</v>
      </c>
      <c r="H778">
        <v>8.9519918108733096E-2</v>
      </c>
      <c r="I778">
        <v>3.4488467728878698</v>
      </c>
      <c r="J778">
        <v>5.6298607161745201E-4</v>
      </c>
      <c r="K778">
        <v>1.0226213226704301E-2</v>
      </c>
      <c r="L778" t="s">
        <v>23</v>
      </c>
      <c r="M778" t="s">
        <v>24</v>
      </c>
      <c r="N778">
        <v>611.11049816010495</v>
      </c>
      <c r="O778">
        <v>533.09321995952905</v>
      </c>
      <c r="P778">
        <v>689.12777636068097</v>
      </c>
      <c r="Q778">
        <v>551.71743819320795</v>
      </c>
      <c r="R778">
        <v>514.46900172585003</v>
      </c>
      <c r="S778">
        <v>681.67207482877404</v>
      </c>
      <c r="T778">
        <v>696.58347789258698</v>
      </c>
    </row>
    <row r="779" spans="1:20" x14ac:dyDescent="0.2">
      <c r="A779" t="s">
        <v>1552</v>
      </c>
      <c r="B779" s="3" t="str">
        <f>HYPERLINK("http://www.ncbi.nlm.nih.gov/gene/1373","CPS1")</f>
        <v>CPS1</v>
      </c>
      <c r="C779">
        <v>1373</v>
      </c>
      <c r="D779" t="s">
        <v>1553</v>
      </c>
      <c r="E779" s="3" t="str">
        <f>HYPERLINK("http://genome.ucsc.edu/cgi-bin/hgTracks?db=hg19&amp;lastVirtModeType=default&amp;lastVirtModeExtraState=&amp;virtModeType=default&amp;virtMode=0&amp;nonVirtPosition=&amp;position=chr2:210556598-210679107","chr2:210556598-210679107")</f>
        <v>chr2:210556598-210679107</v>
      </c>
      <c r="F779" t="s">
        <v>27</v>
      </c>
      <c r="G779">
        <v>-0.28115188184116402</v>
      </c>
      <c r="H779">
        <v>8.1537843825495504E-2</v>
      </c>
      <c r="I779">
        <v>-3.4481152388929401</v>
      </c>
      <c r="J779">
        <v>5.6451312801409595E-4</v>
      </c>
      <c r="K779">
        <v>1.0240387615853601E-2</v>
      </c>
      <c r="L779" t="s">
        <v>23</v>
      </c>
      <c r="M779" t="s">
        <v>24</v>
      </c>
      <c r="N779">
        <v>880.44341495523895</v>
      </c>
      <c r="O779">
        <v>980.64697635539301</v>
      </c>
      <c r="P779">
        <v>780.23985355508603</v>
      </c>
      <c r="Q779">
        <v>978.23216597349403</v>
      </c>
      <c r="R779">
        <v>983.06178673729198</v>
      </c>
      <c r="S779">
        <v>733.95661891839097</v>
      </c>
      <c r="T779">
        <v>826.52308819178097</v>
      </c>
    </row>
    <row r="780" spans="1:20" x14ac:dyDescent="0.2">
      <c r="A780" t="s">
        <v>1554</v>
      </c>
      <c r="B780" s="3" t="str">
        <f>HYPERLINK("http://www.ncbi.nlm.nih.gov/gene/2189","FANCG")</f>
        <v>FANCG</v>
      </c>
      <c r="C780">
        <v>2189</v>
      </c>
      <c r="D780" t="s">
        <v>1555</v>
      </c>
      <c r="E780" s="3" t="str">
        <f>HYPERLINK("http://genome.ucsc.edu/cgi-bin/hgTracks?db=hg19&amp;lastVirtModeType=default&amp;lastVirtModeExtraState=&amp;virtModeType=default&amp;virtMode=0&amp;nonVirtPosition=&amp;position=chr9:35073837-35080016","chr9:35073837-35080016")</f>
        <v>chr9:35073837-35080016</v>
      </c>
      <c r="F780" t="s">
        <v>22</v>
      </c>
      <c r="G780">
        <v>-0.33387898407213301</v>
      </c>
      <c r="H780">
        <v>9.6889375803049294E-2</v>
      </c>
      <c r="I780">
        <v>-3.4459813710723202</v>
      </c>
      <c r="J780">
        <v>5.6898958191822205E-4</v>
      </c>
      <c r="K780">
        <v>1.0294389485922701E-2</v>
      </c>
      <c r="L780" t="s">
        <v>23</v>
      </c>
      <c r="M780" t="s">
        <v>24</v>
      </c>
      <c r="N780">
        <v>466.57745664175201</v>
      </c>
      <c r="O780">
        <v>533.91784487577604</v>
      </c>
      <c r="P780">
        <v>399.23706840772797</v>
      </c>
      <c r="Q780">
        <v>517.32108917866901</v>
      </c>
      <c r="R780">
        <v>550.51460057288398</v>
      </c>
      <c r="S780">
        <v>413.34384855753501</v>
      </c>
      <c r="T780">
        <v>385.13028825792099</v>
      </c>
    </row>
    <row r="781" spans="1:20" x14ac:dyDescent="0.2">
      <c r="A781" t="s">
        <v>1556</v>
      </c>
      <c r="B781" s="3" t="str">
        <f>HYPERLINK("http://www.ncbi.nlm.nih.gov/gene/8654","PDE5A")</f>
        <v>PDE5A</v>
      </c>
      <c r="C781">
        <v>8654</v>
      </c>
      <c r="D781" t="s">
        <v>1557</v>
      </c>
      <c r="E781" s="3" t="str">
        <f>HYPERLINK("http://genome.ucsc.edu/cgi-bin/hgTracks?db=hg19&amp;lastVirtModeType=default&amp;lastVirtModeExtraState=&amp;virtModeType=default&amp;virtMode=0&amp;nonVirtPosition=&amp;position=chr4:119494394-119627287","chr4:119494394-119627287")</f>
        <v>chr4:119494394-119627287</v>
      </c>
      <c r="F781" t="s">
        <v>22</v>
      </c>
      <c r="G781">
        <v>-0.29998297778099098</v>
      </c>
      <c r="H781">
        <v>8.7053009910998E-2</v>
      </c>
      <c r="I781">
        <v>-3.4459805363156399</v>
      </c>
      <c r="J781">
        <v>5.6899133953109001E-4</v>
      </c>
      <c r="K781">
        <v>1.0294389485922701E-2</v>
      </c>
      <c r="L781" t="s">
        <v>23</v>
      </c>
      <c r="M781" t="s">
        <v>24</v>
      </c>
      <c r="N781">
        <v>711.22793762490301</v>
      </c>
      <c r="O781">
        <v>798.89182570866103</v>
      </c>
      <c r="P781">
        <v>623.56404954114601</v>
      </c>
      <c r="Q781">
        <v>756.71967831986103</v>
      </c>
      <c r="R781">
        <v>841.06397309746103</v>
      </c>
      <c r="S781">
        <v>600.77900661465105</v>
      </c>
      <c r="T781">
        <v>646.34909246764096</v>
      </c>
    </row>
    <row r="782" spans="1:20" x14ac:dyDescent="0.2">
      <c r="A782" t="s">
        <v>1558</v>
      </c>
      <c r="B782" s="3" t="str">
        <f>HYPERLINK("http://www.ncbi.nlm.nih.gov/gene/55601","DDX60")</f>
        <v>DDX60</v>
      </c>
      <c r="C782">
        <v>55601</v>
      </c>
      <c r="D782" t="s">
        <v>1559</v>
      </c>
      <c r="E782" s="3" t="str">
        <f>HYPERLINK("http://genome.ucsc.edu/cgi-bin/hgTracks?db=hg19&amp;lastVirtModeType=default&amp;lastVirtModeExtraState=&amp;virtModeType=default&amp;virtMode=0&amp;nonVirtPosition=&amp;position=chr4:168216290-168318807","chr4:168216290-168318807")</f>
        <v>chr4:168216290-168318807</v>
      </c>
      <c r="F782" t="s">
        <v>22</v>
      </c>
      <c r="G782">
        <v>-0.36437621504169998</v>
      </c>
      <c r="H782">
        <v>0.10581123084985</v>
      </c>
      <c r="I782">
        <v>-3.4436440452976398</v>
      </c>
      <c r="J782">
        <v>5.7393077366893995E-4</v>
      </c>
      <c r="K782">
        <v>1.0370074611457E-2</v>
      </c>
      <c r="L782" t="s">
        <v>23</v>
      </c>
      <c r="M782" t="s">
        <v>24</v>
      </c>
      <c r="N782">
        <v>318.706964299822</v>
      </c>
      <c r="O782">
        <v>373.57235356118599</v>
      </c>
      <c r="P782">
        <v>263.84157503845802</v>
      </c>
      <c r="Q782">
        <v>360.47373767237002</v>
      </c>
      <c r="R782">
        <v>386.67096945000202</v>
      </c>
      <c r="S782">
        <v>260.436219616203</v>
      </c>
      <c r="T782">
        <v>267.246930460714</v>
      </c>
    </row>
    <row r="783" spans="1:20" x14ac:dyDescent="0.2">
      <c r="A783" t="s">
        <v>1560</v>
      </c>
      <c r="B783" s="3" t="str">
        <f>HYPERLINK("http://www.ncbi.nlm.nih.gov/gene/79443","FYCO1")</f>
        <v>FYCO1</v>
      </c>
      <c r="C783">
        <v>79443</v>
      </c>
      <c r="D783" t="s">
        <v>1561</v>
      </c>
      <c r="E783" s="3" t="str">
        <f>HYPERLINK("http://genome.ucsc.edu/cgi-bin/hgTracks?db=hg19&amp;lastVirtModeType=default&amp;lastVirtModeExtraState=&amp;virtModeType=default&amp;virtMode=0&amp;nonVirtPosition=&amp;position=chr3:45917898-45995824","chr3:45917898-45995824")</f>
        <v>chr3:45917898-45995824</v>
      </c>
      <c r="F783" t="s">
        <v>22</v>
      </c>
      <c r="G783">
        <v>0.187847869851926</v>
      </c>
      <c r="H783">
        <v>5.46955383721675E-2</v>
      </c>
      <c r="I783">
        <v>3.4344276597799199</v>
      </c>
      <c r="J783">
        <v>5.9380654327316799E-4</v>
      </c>
      <c r="K783">
        <v>1.0715082808484501E-2</v>
      </c>
      <c r="L783" t="s">
        <v>23</v>
      </c>
      <c r="M783" t="s">
        <v>24</v>
      </c>
      <c r="N783">
        <v>2813.4146531824499</v>
      </c>
      <c r="O783">
        <v>2619.6852658543798</v>
      </c>
      <c r="P783">
        <v>3007.14404051052</v>
      </c>
      <c r="Q783">
        <v>2568.7193444057798</v>
      </c>
      <c r="R783">
        <v>2670.6511873029799</v>
      </c>
      <c r="S783">
        <v>2948.6509864879999</v>
      </c>
      <c r="T783">
        <v>3065.63709453305</v>
      </c>
    </row>
    <row r="784" spans="1:20" x14ac:dyDescent="0.2">
      <c r="A784" t="s">
        <v>1562</v>
      </c>
      <c r="B784" s="3" t="str">
        <f>HYPERLINK("http://www.ncbi.nlm.nih.gov/gene/51092","SIDT2")</f>
        <v>SIDT2</v>
      </c>
      <c r="C784">
        <v>51092</v>
      </c>
      <c r="D784" t="s">
        <v>1563</v>
      </c>
      <c r="E784" s="3" t="str">
        <f>HYPERLINK("http://genome.ucsc.edu/cgi-bin/hgTracks?db=hg19&amp;lastVirtModeType=default&amp;lastVirtModeExtraState=&amp;virtModeType=default&amp;virtMode=0&amp;nonVirtPosition=&amp;position=chr11:117179222-117197445","chr11:117179222-117197445")</f>
        <v>chr11:117179222-117197445</v>
      </c>
      <c r="F784" t="s">
        <v>27</v>
      </c>
      <c r="G784">
        <v>-0.197359681777067</v>
      </c>
      <c r="H784">
        <v>5.7471485138315598E-2</v>
      </c>
      <c r="I784">
        <v>-3.4340452713564802</v>
      </c>
      <c r="J784">
        <v>5.9464487246077601E-4</v>
      </c>
      <c r="K784">
        <v>1.07161100932025E-2</v>
      </c>
      <c r="L784" t="s">
        <v>23</v>
      </c>
      <c r="M784" t="s">
        <v>24</v>
      </c>
      <c r="N784">
        <v>2267.2185835564001</v>
      </c>
      <c r="O784">
        <v>2431.3814535699898</v>
      </c>
      <c r="P784">
        <v>2103.0557135428098</v>
      </c>
      <c r="Q784">
        <v>2384.3549136878501</v>
      </c>
      <c r="R784">
        <v>2478.4079934521301</v>
      </c>
      <c r="S784">
        <v>2117.0307852135302</v>
      </c>
      <c r="T784">
        <v>2089.0806418720899</v>
      </c>
    </row>
    <row r="785" spans="1:20" x14ac:dyDescent="0.2">
      <c r="A785" t="s">
        <v>1564</v>
      </c>
      <c r="B785" s="3" t="str">
        <f>HYPERLINK("http://www.ncbi.nlm.nih.gov/gene/54855","FAM46C")</f>
        <v>FAM46C</v>
      </c>
      <c r="C785">
        <v>54855</v>
      </c>
      <c r="D785" t="s">
        <v>1565</v>
      </c>
      <c r="E785" s="3" t="str">
        <f>HYPERLINK("http://genome.ucsc.edu/cgi-bin/hgTracks?db=hg19&amp;lastVirtModeType=default&amp;lastVirtModeExtraState=&amp;virtModeType=default&amp;virtMode=0&amp;nonVirtPosition=&amp;position=chr1:117605981-117628389","chr1:117605981-117628389")</f>
        <v>chr1:117605981-117628389</v>
      </c>
      <c r="F785" t="s">
        <v>27</v>
      </c>
      <c r="G785">
        <v>-0.40156626617170998</v>
      </c>
      <c r="H785">
        <v>0.11695376079976701</v>
      </c>
      <c r="I785">
        <v>-3.4335472705252998</v>
      </c>
      <c r="J785">
        <v>5.9573831617827904E-4</v>
      </c>
      <c r="K785">
        <v>1.07217260735813E-2</v>
      </c>
      <c r="L785" t="s">
        <v>23</v>
      </c>
      <c r="M785" t="s">
        <v>24</v>
      </c>
      <c r="N785">
        <v>183.98882761104201</v>
      </c>
      <c r="O785">
        <v>228.07769272656401</v>
      </c>
      <c r="P785">
        <v>139.89996249551999</v>
      </c>
      <c r="Q785">
        <v>231.143465377703</v>
      </c>
      <c r="R785">
        <v>225.011920075425</v>
      </c>
      <c r="S785">
        <v>118.38009982554701</v>
      </c>
      <c r="T785">
        <v>161.41982516549399</v>
      </c>
    </row>
    <row r="786" spans="1:20" x14ac:dyDescent="0.2">
      <c r="A786" t="s">
        <v>1566</v>
      </c>
      <c r="B786" s="3" t="str">
        <f>HYPERLINK("http://www.ncbi.nlm.nih.gov/gene/6387","CXCL12")</f>
        <v>CXCL12</v>
      </c>
      <c r="C786">
        <v>6387</v>
      </c>
      <c r="D786" t="s">
        <v>1567</v>
      </c>
      <c r="E786" s="3" t="str">
        <f>HYPERLINK("http://genome.ucsc.edu/cgi-bin/hgTracks?db=hg19&amp;lastVirtModeType=default&amp;lastVirtModeExtraState=&amp;virtModeType=default&amp;virtMode=0&amp;nonVirtPosition=&amp;position=chr10:44377061-44385097","chr10:44377061-44385097")</f>
        <v>chr10:44377061-44385097</v>
      </c>
      <c r="F786" t="s">
        <v>22</v>
      </c>
      <c r="G786">
        <v>-0.221008540972085</v>
      </c>
      <c r="H786">
        <v>6.4407655931158797E-2</v>
      </c>
      <c r="I786">
        <v>-3.4314017142357498</v>
      </c>
      <c r="J786">
        <v>6.0047067742850996E-4</v>
      </c>
      <c r="K786">
        <v>1.07927324642917E-2</v>
      </c>
      <c r="L786" t="s">
        <v>23</v>
      </c>
      <c r="M786" t="s">
        <v>24</v>
      </c>
      <c r="N786">
        <v>2989.3876288698898</v>
      </c>
      <c r="O786">
        <v>3240.27174303228</v>
      </c>
      <c r="P786">
        <v>2738.50351470751</v>
      </c>
      <c r="Q786">
        <v>3185.1019187463298</v>
      </c>
      <c r="R786">
        <v>3295.4415673182302</v>
      </c>
      <c r="S786">
        <v>2518.53662378851</v>
      </c>
      <c r="T786">
        <v>2958.4704056265</v>
      </c>
    </row>
    <row r="787" spans="1:20" x14ac:dyDescent="0.2">
      <c r="A787" t="s">
        <v>1568</v>
      </c>
      <c r="B787" s="3" t="str">
        <f>HYPERLINK("http://www.ncbi.nlm.nih.gov/gene/10024","TROAP")</f>
        <v>TROAP</v>
      </c>
      <c r="C787">
        <v>10024</v>
      </c>
      <c r="D787" t="s">
        <v>1569</v>
      </c>
      <c r="E787" s="3" t="str">
        <f>HYPERLINK("http://genome.ucsc.edu/cgi-bin/hgTracks?db=hg19&amp;lastVirtModeType=default&amp;lastVirtModeExtraState=&amp;virtModeType=default&amp;virtMode=0&amp;nonVirtPosition=&amp;position=chr12:49323187-49324388","chr12:49323187-49324388")</f>
        <v>chr12:49323187-49324388</v>
      </c>
      <c r="F787" t="s">
        <v>27</v>
      </c>
      <c r="G787">
        <v>-0.39348362914964402</v>
      </c>
      <c r="H787">
        <v>0.114919018581365</v>
      </c>
      <c r="I787">
        <v>-3.42400791450416</v>
      </c>
      <c r="J787">
        <v>6.1704823850784296E-4</v>
      </c>
      <c r="K787">
        <v>1.1076177412168301E-2</v>
      </c>
      <c r="L787" t="s">
        <v>23</v>
      </c>
      <c r="M787" t="s">
        <v>24</v>
      </c>
      <c r="N787">
        <v>192.2400098167</v>
      </c>
      <c r="O787">
        <v>233.53914709732601</v>
      </c>
      <c r="P787">
        <v>150.94087253607299</v>
      </c>
      <c r="Q787">
        <v>231.143465377703</v>
      </c>
      <c r="R787">
        <v>235.93482881694999</v>
      </c>
      <c r="S787">
        <v>155.86713143697</v>
      </c>
      <c r="T787">
        <v>146.014613635177</v>
      </c>
    </row>
    <row r="788" spans="1:20" x14ac:dyDescent="0.2">
      <c r="A788" t="s">
        <v>1570</v>
      </c>
      <c r="B788" s="3" t="str">
        <f>HYPERLINK("http://www.ncbi.nlm.nih.gov/gene/55839","CENPN")</f>
        <v>CENPN</v>
      </c>
      <c r="C788">
        <v>55839</v>
      </c>
      <c r="D788" t="s">
        <v>1571</v>
      </c>
      <c r="E788" s="3" t="str">
        <f>HYPERLINK("http://genome.ucsc.edu/cgi-bin/hgTracks?db=hg19&amp;lastVirtModeType=default&amp;lastVirtModeExtraState=&amp;virtModeType=default&amp;virtMode=0&amp;nonVirtPosition=&amp;position=chr16:81006497-81031485","chr16:81006497-81031485")</f>
        <v>chr16:81006497-81031485</v>
      </c>
      <c r="F788" t="s">
        <v>27</v>
      </c>
      <c r="G788">
        <v>-0.33035469108298399</v>
      </c>
      <c r="H788">
        <v>9.6525792554471995E-2</v>
      </c>
      <c r="I788">
        <v>-3.4224499207976602</v>
      </c>
      <c r="J788">
        <v>6.2059528685824196E-4</v>
      </c>
      <c r="K788">
        <v>1.1113116332001899E-2</v>
      </c>
      <c r="L788" t="s">
        <v>23</v>
      </c>
      <c r="M788" t="s">
        <v>24</v>
      </c>
      <c r="N788">
        <v>457.95913369760399</v>
      </c>
      <c r="O788">
        <v>524.12918847996696</v>
      </c>
      <c r="P788">
        <v>391.78907891524102</v>
      </c>
      <c r="Q788">
        <v>528.32792086332097</v>
      </c>
      <c r="R788">
        <v>519.93045609661203</v>
      </c>
      <c r="S788">
        <v>385.72182526490701</v>
      </c>
      <c r="T788">
        <v>397.85633256557401</v>
      </c>
    </row>
    <row r="789" spans="1:20" x14ac:dyDescent="0.2">
      <c r="A789" t="s">
        <v>1572</v>
      </c>
      <c r="B789" s="3" t="str">
        <f>HYPERLINK("http://www.ncbi.nlm.nih.gov/gene/253461","ZBTB38")</f>
        <v>ZBTB38</v>
      </c>
      <c r="C789">
        <v>253461</v>
      </c>
      <c r="D789" t="s">
        <v>1573</v>
      </c>
      <c r="E789" s="3" t="str">
        <f>HYPERLINK("http://genome.ucsc.edu/cgi-bin/hgTracks?db=hg19&amp;lastVirtModeType=default&amp;lastVirtModeExtraState=&amp;virtModeType=default&amp;virtMode=0&amp;nonVirtPosition=&amp;position=chr3:141324212-141449790","chr3:141324212-141449790")</f>
        <v>chr3:141324212-141449790</v>
      </c>
      <c r="F789" t="s">
        <v>27</v>
      </c>
      <c r="G789">
        <v>0.15696222330696499</v>
      </c>
      <c r="H789">
        <v>4.5864727585534899E-2</v>
      </c>
      <c r="I789">
        <v>3.42228617872503</v>
      </c>
      <c r="J789">
        <v>6.2096917432689198E-4</v>
      </c>
      <c r="K789">
        <v>1.1113116332001899E-2</v>
      </c>
      <c r="L789" t="s">
        <v>23</v>
      </c>
      <c r="M789" t="s">
        <v>24</v>
      </c>
      <c r="N789">
        <v>5680.9896306185001</v>
      </c>
      <c r="O789">
        <v>5358.5821857491201</v>
      </c>
      <c r="P789">
        <v>6003.3970754878801</v>
      </c>
      <c r="Q789">
        <v>5213.1106566435501</v>
      </c>
      <c r="R789">
        <v>5504.05371485468</v>
      </c>
      <c r="S789">
        <v>5952.5460195612504</v>
      </c>
      <c r="T789">
        <v>6054.2481314145098</v>
      </c>
    </row>
    <row r="790" spans="1:20" x14ac:dyDescent="0.2">
      <c r="A790" t="s">
        <v>1574</v>
      </c>
      <c r="B790" s="3" t="str">
        <f>HYPERLINK("http://www.ncbi.nlm.nih.gov/gene/143888","KDELC2")</f>
        <v>KDELC2</v>
      </c>
      <c r="C790">
        <v>143888</v>
      </c>
      <c r="D790" t="s">
        <v>1575</v>
      </c>
      <c r="E790" s="3" t="str">
        <f>HYPERLINK("http://genome.ucsc.edu/cgi-bin/hgTracks?db=hg19&amp;lastVirtModeType=default&amp;lastVirtModeExtraState=&amp;virtModeType=default&amp;virtMode=0&amp;nonVirtPosition=&amp;position=chr11:108472105-108498432","chr11:108472105-108498432")</f>
        <v>chr11:108472105-108498432</v>
      </c>
      <c r="F790" t="s">
        <v>22</v>
      </c>
      <c r="G790">
        <v>-0.18450633015445</v>
      </c>
      <c r="H790">
        <v>5.3917095788546497E-2</v>
      </c>
      <c r="I790">
        <v>-3.4220376200908902</v>
      </c>
      <c r="J790">
        <v>6.2153713188314603E-4</v>
      </c>
      <c r="K790">
        <v>1.1113116332001899E-2</v>
      </c>
      <c r="L790" t="s">
        <v>23</v>
      </c>
      <c r="M790" t="s">
        <v>24</v>
      </c>
      <c r="N790">
        <v>2798.2669518565499</v>
      </c>
      <c r="O790">
        <v>2987.5965249015098</v>
      </c>
      <c r="P790">
        <v>2608.9373788116</v>
      </c>
      <c r="Q790">
        <v>2948.4550375263002</v>
      </c>
      <c r="R790">
        <v>3026.7380122767099</v>
      </c>
      <c r="S790">
        <v>2568.8481662143699</v>
      </c>
      <c r="T790">
        <v>2649.02659140883</v>
      </c>
    </row>
    <row r="791" spans="1:20" x14ac:dyDescent="0.2">
      <c r="A791" t="s">
        <v>1576</v>
      </c>
      <c r="B791" s="3" t="str">
        <f>HYPERLINK("http://www.ncbi.nlm.nih.gov/gene/6675","UAP1")</f>
        <v>UAP1</v>
      </c>
      <c r="C791">
        <v>6675</v>
      </c>
      <c r="D791" t="s">
        <v>1577</v>
      </c>
      <c r="E791" s="3" t="str">
        <f>HYPERLINK("http://genome.ucsc.edu/cgi-bin/hgTracks?db=hg19&amp;lastVirtModeType=default&amp;lastVirtModeExtraState=&amp;virtModeType=default&amp;virtMode=0&amp;nonVirtPosition=&amp;position=chr1:162561439-162599843","chr1:162561439-162599843")</f>
        <v>chr1:162561439-162599843</v>
      </c>
      <c r="F791" t="s">
        <v>27</v>
      </c>
      <c r="G791">
        <v>-0.136438360069046</v>
      </c>
      <c r="H791">
        <v>3.9907078352441498E-2</v>
      </c>
      <c r="I791">
        <v>-3.4189012501512401</v>
      </c>
      <c r="J791">
        <v>6.2874540056005995E-4</v>
      </c>
      <c r="K791">
        <v>1.12273625303134E-2</v>
      </c>
      <c r="L791" t="s">
        <v>23</v>
      </c>
      <c r="M791" t="s">
        <v>24</v>
      </c>
      <c r="N791">
        <v>9455.4105739516308</v>
      </c>
      <c r="O791">
        <v>9915.0891170180093</v>
      </c>
      <c r="P791">
        <v>8995.7320308852395</v>
      </c>
      <c r="Q791">
        <v>9908.9002241084399</v>
      </c>
      <c r="R791">
        <v>9921.2780099275806</v>
      </c>
      <c r="S791">
        <v>9036.3476200167497</v>
      </c>
      <c r="T791">
        <v>8955.1164417537402</v>
      </c>
    </row>
    <row r="792" spans="1:20" x14ac:dyDescent="0.2">
      <c r="A792" t="s">
        <v>1578</v>
      </c>
      <c r="B792" s="3" t="str">
        <f>HYPERLINK("http://www.ncbi.nlm.nih.gov/gene/56652","C10orf2")</f>
        <v>C10orf2</v>
      </c>
      <c r="C792">
        <v>56652</v>
      </c>
      <c r="D792" t="s">
        <v>1579</v>
      </c>
      <c r="E792" s="3" t="str">
        <f>HYPERLINK("http://genome.ucsc.edu/cgi-bin/hgTracks?db=hg19&amp;lastVirtModeType=default&amp;lastVirtModeExtraState=&amp;virtModeType=default&amp;virtMode=0&amp;nonVirtPosition=&amp;position=chr10:100987535-100994401","chr10:100987535-100994401")</f>
        <v>chr10:100987535-100994401</v>
      </c>
      <c r="F792" t="s">
        <v>27</v>
      </c>
      <c r="G792">
        <v>0.31658193004588597</v>
      </c>
      <c r="H792">
        <v>9.2620159059596405E-2</v>
      </c>
      <c r="I792">
        <v>3.4180672248919501</v>
      </c>
      <c r="J792">
        <v>6.3067527588973101E-4</v>
      </c>
      <c r="K792">
        <v>1.12471791073495E-2</v>
      </c>
      <c r="L792" t="s">
        <v>23</v>
      </c>
      <c r="M792" t="s">
        <v>24</v>
      </c>
      <c r="N792">
        <v>538.726049614977</v>
      </c>
      <c r="O792">
        <v>465.9860033205</v>
      </c>
      <c r="P792">
        <v>611.46609590945297</v>
      </c>
      <c r="Q792">
        <v>462.28693075540599</v>
      </c>
      <c r="R792">
        <v>469.68507588559498</v>
      </c>
      <c r="S792">
        <v>623.46852574788102</v>
      </c>
      <c r="T792">
        <v>599.46366607102402</v>
      </c>
    </row>
    <row r="793" spans="1:20" x14ac:dyDescent="0.2">
      <c r="A793" t="s">
        <v>1580</v>
      </c>
      <c r="B793" s="3" t="str">
        <f>HYPERLINK("http://www.ncbi.nlm.nih.gov/gene/9498","SLC4A8")</f>
        <v>SLC4A8</v>
      </c>
      <c r="C793">
        <v>9498</v>
      </c>
      <c r="D793" t="s">
        <v>1581</v>
      </c>
      <c r="E793" s="3" t="str">
        <f>HYPERLINK("http://genome.ucsc.edu/cgi-bin/hgTracks?db=hg19&amp;lastVirtModeType=default&amp;lastVirtModeExtraState=&amp;virtModeType=default&amp;virtMode=0&amp;nonVirtPosition=&amp;position=chr12:51424809-51474577","chr12:51424809-51474577")</f>
        <v>chr12:51424809-51474577</v>
      </c>
      <c r="F793" t="s">
        <v>27</v>
      </c>
      <c r="G793">
        <v>-0.40452121169703098</v>
      </c>
      <c r="H793">
        <v>0.11838284365874301</v>
      </c>
      <c r="I793">
        <v>-3.4170594251235298</v>
      </c>
      <c r="J793">
        <v>6.33014605379688E-4</v>
      </c>
      <c r="K793">
        <v>1.12658740599223E-2</v>
      </c>
      <c r="L793" t="s">
        <v>23</v>
      </c>
      <c r="M793" t="s">
        <v>24</v>
      </c>
      <c r="N793">
        <v>106.535744699052</v>
      </c>
      <c r="O793">
        <v>136.61455229818799</v>
      </c>
      <c r="P793">
        <v>76.456937099916303</v>
      </c>
      <c r="Q793">
        <v>127.954418334086</v>
      </c>
      <c r="R793">
        <v>145.27468626228901</v>
      </c>
      <c r="S793">
        <v>79.906567382244205</v>
      </c>
      <c r="T793">
        <v>73.0073068175884</v>
      </c>
    </row>
    <row r="794" spans="1:20" x14ac:dyDescent="0.2">
      <c r="A794" t="s">
        <v>1582</v>
      </c>
      <c r="B794" s="3" t="str">
        <f>HYPERLINK("http://www.ncbi.nlm.nih.gov/gene/55366","LGR4")</f>
        <v>LGR4</v>
      </c>
      <c r="C794">
        <v>55366</v>
      </c>
      <c r="D794" t="s">
        <v>1583</v>
      </c>
      <c r="E794" s="3" t="str">
        <f>HYPERLINK("http://genome.ucsc.edu/cgi-bin/hgTracks?db=hg19&amp;lastVirtModeType=default&amp;lastVirtModeExtraState=&amp;virtModeType=default&amp;virtMode=0&amp;nonVirtPosition=&amp;position=chr11:27365960-27472787","chr11:27365960-27472787")</f>
        <v>chr11:27365960-27472787</v>
      </c>
      <c r="F794" t="s">
        <v>22</v>
      </c>
      <c r="G794">
        <v>-0.18819108511185101</v>
      </c>
      <c r="H794">
        <v>5.5078077432729501E-2</v>
      </c>
      <c r="I794">
        <v>-3.4168056309100598</v>
      </c>
      <c r="J794">
        <v>6.3360498972639997E-4</v>
      </c>
      <c r="K794">
        <v>1.12658740599223E-2</v>
      </c>
      <c r="L794" t="s">
        <v>23</v>
      </c>
      <c r="M794" t="s">
        <v>24</v>
      </c>
      <c r="N794">
        <v>5258.9629655316203</v>
      </c>
      <c r="O794">
        <v>5625.2518151865697</v>
      </c>
      <c r="P794">
        <v>4892.6741158766699</v>
      </c>
      <c r="Q794">
        <v>5574.9602482765104</v>
      </c>
      <c r="R794">
        <v>5675.54338209663</v>
      </c>
      <c r="S794">
        <v>4576.3773590892697</v>
      </c>
      <c r="T794">
        <v>5208.9708726640802</v>
      </c>
    </row>
    <row r="795" spans="1:20" x14ac:dyDescent="0.2">
      <c r="A795" t="s">
        <v>1584</v>
      </c>
      <c r="B795" s="3" t="str">
        <f>HYPERLINK("http://www.ncbi.nlm.nih.gov/gene/29956","CERS2")</f>
        <v>CERS2</v>
      </c>
      <c r="C795">
        <v>29956</v>
      </c>
      <c r="D795" t="s">
        <v>1585</v>
      </c>
      <c r="E795" s="3" t="str">
        <f>HYPERLINK("http://genome.ucsc.edu/cgi-bin/hgTracks?db=hg19&amp;lastVirtModeType=default&amp;lastVirtModeExtraState=&amp;virtModeType=default&amp;virtMode=0&amp;nonVirtPosition=&amp;position=chr1:150965172-150975003","chr1:150965172-150975003")</f>
        <v>chr1:150965172-150975003</v>
      </c>
      <c r="F795" t="s">
        <v>22</v>
      </c>
      <c r="G795">
        <v>0.13937903560617099</v>
      </c>
      <c r="H795">
        <v>4.0795194932846703E-2</v>
      </c>
      <c r="I795">
        <v>3.41655520547467</v>
      </c>
      <c r="J795">
        <v>6.3418803954061497E-4</v>
      </c>
      <c r="K795">
        <v>1.12658740599223E-2</v>
      </c>
      <c r="L795" t="s">
        <v>23</v>
      </c>
      <c r="M795" t="s">
        <v>24</v>
      </c>
      <c r="N795">
        <v>9875.1425575806297</v>
      </c>
      <c r="O795">
        <v>9383.2566801256398</v>
      </c>
      <c r="P795">
        <v>10367.0284350356</v>
      </c>
      <c r="Q795">
        <v>9258.1213007533606</v>
      </c>
      <c r="R795">
        <v>9508.3920594979209</v>
      </c>
      <c r="S795">
        <v>10264.5411557068</v>
      </c>
      <c r="T795">
        <v>10469.515714364399</v>
      </c>
    </row>
    <row r="796" spans="1:20" x14ac:dyDescent="0.2">
      <c r="A796" t="s">
        <v>1586</v>
      </c>
      <c r="B796" s="3" t="str">
        <f>HYPERLINK("http://www.ncbi.nlm.nih.gov/gene/1265","CNN2")</f>
        <v>CNN2</v>
      </c>
      <c r="C796">
        <v>1265</v>
      </c>
      <c r="D796" t="s">
        <v>1587</v>
      </c>
      <c r="E796" s="3" t="str">
        <f>HYPERLINK("http://genome.ucsc.edu/cgi-bin/hgTracks?db=hg19&amp;lastVirtModeType=default&amp;lastVirtModeExtraState=&amp;virtModeType=default&amp;virtMode=0&amp;nonVirtPosition=&amp;position=chr19:1026274-1039068","chr19:1026274-1039068")</f>
        <v>chr19:1026274-1039068</v>
      </c>
      <c r="F796" t="s">
        <v>27</v>
      </c>
      <c r="G796">
        <v>-0.35232650354543599</v>
      </c>
      <c r="H796">
        <v>0.103377670646596</v>
      </c>
      <c r="I796">
        <v>-3.4081489875109399</v>
      </c>
      <c r="J796">
        <v>6.5405173102580597E-4</v>
      </c>
      <c r="K796">
        <v>1.1603706907228801E-2</v>
      </c>
      <c r="L796" t="s">
        <v>23</v>
      </c>
      <c r="M796" t="s">
        <v>24</v>
      </c>
      <c r="N796">
        <v>2665.9363794034798</v>
      </c>
      <c r="O796">
        <v>3100.0865878106902</v>
      </c>
      <c r="P796">
        <v>2231.7861709962599</v>
      </c>
      <c r="Q796">
        <v>2980.0996786196702</v>
      </c>
      <c r="R796">
        <v>3220.0734970017102</v>
      </c>
      <c r="S796">
        <v>2030.2187120081301</v>
      </c>
      <c r="T796">
        <v>2433.35362998439</v>
      </c>
    </row>
    <row r="797" spans="1:20" x14ac:dyDescent="0.2">
      <c r="A797" t="s">
        <v>1588</v>
      </c>
      <c r="B797" s="3" t="str">
        <f>HYPERLINK("http://www.ncbi.nlm.nih.gov/gene/84668","FAM126A")</f>
        <v>FAM126A</v>
      </c>
      <c r="C797">
        <v>84668</v>
      </c>
      <c r="D797" t="s">
        <v>1589</v>
      </c>
      <c r="E797" s="3" t="str">
        <f>HYPERLINK("http://genome.ucsc.edu/cgi-bin/hgTracks?db=hg19&amp;lastVirtModeType=default&amp;lastVirtModeExtraState=&amp;virtModeType=default&amp;virtMode=0&amp;nonVirtPosition=&amp;position=chr7:22941258-23014151","chr7:22941258-23014151")</f>
        <v>chr7:22941258-23014151</v>
      </c>
      <c r="F797" t="s">
        <v>22</v>
      </c>
      <c r="G797">
        <v>0.14799690832197099</v>
      </c>
      <c r="H797">
        <v>4.3436545119731801E-2</v>
      </c>
      <c r="I797">
        <v>3.4071979692220302</v>
      </c>
      <c r="J797">
        <v>6.56335034013146E-4</v>
      </c>
      <c r="K797">
        <v>1.1629171390770399E-2</v>
      </c>
      <c r="L797" t="s">
        <v>23</v>
      </c>
      <c r="M797" t="s">
        <v>24</v>
      </c>
      <c r="N797">
        <v>6830.8301885841302</v>
      </c>
      <c r="O797">
        <v>6466.5802227081804</v>
      </c>
      <c r="P797">
        <v>7195.0801544600699</v>
      </c>
      <c r="Q797">
        <v>6324.8006567934599</v>
      </c>
      <c r="R797">
        <v>6608.3597886229099</v>
      </c>
      <c r="S797">
        <v>7192.5775652338598</v>
      </c>
      <c r="T797">
        <v>7197.5827436862901</v>
      </c>
    </row>
    <row r="798" spans="1:20" x14ac:dyDescent="0.2">
      <c r="A798" t="s">
        <v>1590</v>
      </c>
      <c r="B798" s="3" t="str">
        <f>HYPERLINK("http://www.ncbi.nlm.nih.gov/gene/286451","YIPF6")</f>
        <v>YIPF6</v>
      </c>
      <c r="C798">
        <v>286451</v>
      </c>
      <c r="D798" t="s">
        <v>1591</v>
      </c>
      <c r="E798" s="3" t="str">
        <f>HYPERLINK("http://genome.ucsc.edu/cgi-bin/hgTracks?db=hg19&amp;lastVirtModeType=default&amp;lastVirtModeExtraState=&amp;virtModeType=default&amp;virtMode=0&amp;nonVirtPosition=&amp;position=chrX:68498781-68537285","chrX:68498781-68537285")</f>
        <v>chrX:68498781-68537285</v>
      </c>
      <c r="F798" t="s">
        <v>27</v>
      </c>
      <c r="G798">
        <v>0.199433588380833</v>
      </c>
      <c r="H798">
        <v>5.8585816894059402E-2</v>
      </c>
      <c r="I798">
        <v>3.4041274655514</v>
      </c>
      <c r="J798">
        <v>6.6375771586714102E-4</v>
      </c>
      <c r="K798">
        <v>1.1730311201538101E-2</v>
      </c>
      <c r="L798" t="s">
        <v>23</v>
      </c>
      <c r="M798" t="s">
        <v>24</v>
      </c>
      <c r="N798">
        <v>2172.4510068325299</v>
      </c>
      <c r="O798">
        <v>2011.0192518277699</v>
      </c>
      <c r="P798">
        <v>2333.8827618373002</v>
      </c>
      <c r="Q798">
        <v>1999.1158047250201</v>
      </c>
      <c r="R798">
        <v>2022.92269893052</v>
      </c>
      <c r="S798">
        <v>2380.42650732537</v>
      </c>
      <c r="T798">
        <v>2287.3390163492199</v>
      </c>
    </row>
    <row r="799" spans="1:20" x14ac:dyDescent="0.2">
      <c r="A799" t="s">
        <v>1592</v>
      </c>
      <c r="B799" s="3" t="str">
        <f>HYPERLINK("http://www.ncbi.nlm.nih.gov/gene/55161","TMEM33")</f>
        <v>TMEM33</v>
      </c>
      <c r="C799">
        <v>55161</v>
      </c>
      <c r="D799" t="s">
        <v>1593</v>
      </c>
      <c r="E799" s="3" t="str">
        <f>HYPERLINK("http://genome.ucsc.edu/cgi-bin/hgTracks?db=hg19&amp;lastVirtModeType=default&amp;lastVirtModeExtraState=&amp;virtModeType=default&amp;virtMode=0&amp;nonVirtPosition=&amp;position=chr4:41935119-41960807","chr4:41935119-41960807")</f>
        <v>chr4:41935119-41960807</v>
      </c>
      <c r="F799" t="s">
        <v>27</v>
      </c>
      <c r="G799">
        <v>0.190108539107748</v>
      </c>
      <c r="H799">
        <v>5.5855423057294497E-2</v>
      </c>
      <c r="I799">
        <v>3.4035824760066999</v>
      </c>
      <c r="J799">
        <v>6.6508331039326005E-4</v>
      </c>
      <c r="K799">
        <v>1.1730311201538101E-2</v>
      </c>
      <c r="L799" t="s">
        <v>23</v>
      </c>
      <c r="M799" t="s">
        <v>24</v>
      </c>
      <c r="N799">
        <v>2429.99724020545</v>
      </c>
      <c r="O799">
        <v>2260.32286087169</v>
      </c>
      <c r="P799">
        <v>2599.67161953921</v>
      </c>
      <c r="Q799">
        <v>2282.5417206048201</v>
      </c>
      <c r="R799">
        <v>2238.1040011385699</v>
      </c>
      <c r="S799">
        <v>2611.2677019851899</v>
      </c>
      <c r="T799">
        <v>2588.0755370932302</v>
      </c>
    </row>
    <row r="800" spans="1:20" x14ac:dyDescent="0.2">
      <c r="A800" t="s">
        <v>1594</v>
      </c>
      <c r="B800" s="3" t="str">
        <f>HYPERLINK("http://www.ncbi.nlm.nih.gov/gene/9352","TXNL1")</f>
        <v>TXNL1</v>
      </c>
      <c r="C800">
        <v>9352</v>
      </c>
      <c r="D800" t="s">
        <v>1595</v>
      </c>
      <c r="E800" s="3" t="str">
        <f>HYPERLINK("http://genome.ucsc.edu/cgi-bin/hgTracks?db=hg19&amp;lastVirtModeType=default&amp;lastVirtModeExtraState=&amp;virtModeType=default&amp;virtMode=0&amp;nonVirtPosition=&amp;position=chr18:56602821-56638689","chr18:56602821-56638689")</f>
        <v>chr18:56602821-56638689</v>
      </c>
      <c r="F800" t="s">
        <v>22</v>
      </c>
      <c r="G800">
        <v>0.16877741359454601</v>
      </c>
      <c r="H800">
        <v>4.9589218823472801E-2</v>
      </c>
      <c r="I800">
        <v>3.40351023062812</v>
      </c>
      <c r="J800">
        <v>6.6525921967186595E-4</v>
      </c>
      <c r="K800">
        <v>1.1730311201538101E-2</v>
      </c>
      <c r="L800" t="s">
        <v>23</v>
      </c>
      <c r="M800" t="s">
        <v>24</v>
      </c>
      <c r="N800">
        <v>3662.55995872112</v>
      </c>
      <c r="O800">
        <v>3439.5556763515301</v>
      </c>
      <c r="P800">
        <v>3885.5642410907099</v>
      </c>
      <c r="Q800">
        <v>3491.91735195601</v>
      </c>
      <c r="R800">
        <v>3387.1940007470498</v>
      </c>
      <c r="S800">
        <v>3858.2047534809499</v>
      </c>
      <c r="T800">
        <v>3912.9237287004698</v>
      </c>
    </row>
    <row r="801" spans="1:20" x14ac:dyDescent="0.2">
      <c r="A801" t="s">
        <v>1596</v>
      </c>
      <c r="B801" s="3" t="str">
        <f>HYPERLINK("http://www.ncbi.nlm.nih.gov/gene/90102","PHLDB2")</f>
        <v>PHLDB2</v>
      </c>
      <c r="C801">
        <v>90102</v>
      </c>
      <c r="D801" t="s">
        <v>1597</v>
      </c>
      <c r="E801" s="3" t="str">
        <f>HYPERLINK("http://genome.ucsc.edu/cgi-bin/hgTracks?db=hg19&amp;lastVirtModeType=default&amp;lastVirtModeExtraState=&amp;virtModeType=default&amp;virtMode=0&amp;nonVirtPosition=&amp;position=chr3:111859179-111976517","chr3:111859179-111976517")</f>
        <v>chr3:111859179-111976517</v>
      </c>
      <c r="F801" t="s">
        <v>27</v>
      </c>
      <c r="G801">
        <v>-0.19271487318928501</v>
      </c>
      <c r="H801">
        <v>5.6623790152269801E-2</v>
      </c>
      <c r="I801">
        <v>-3.4034258863817799</v>
      </c>
      <c r="J801">
        <v>6.6546464305065303E-4</v>
      </c>
      <c r="K801">
        <v>1.1730311201538101E-2</v>
      </c>
      <c r="L801" t="s">
        <v>23</v>
      </c>
      <c r="M801" t="s">
        <v>24</v>
      </c>
      <c r="N801">
        <v>2608.7996040671501</v>
      </c>
      <c r="O801">
        <v>2795.9630650018298</v>
      </c>
      <c r="P801">
        <v>2421.6361431324699</v>
      </c>
      <c r="Q801">
        <v>2821.8764731527899</v>
      </c>
      <c r="R801">
        <v>2770.0496568508602</v>
      </c>
      <c r="S801">
        <v>2342.9394757139498</v>
      </c>
      <c r="T801">
        <v>2500.33281055099</v>
      </c>
    </row>
    <row r="802" spans="1:20" x14ac:dyDescent="0.2">
      <c r="A802" t="s">
        <v>1598</v>
      </c>
      <c r="B802" s="3" t="str">
        <f>HYPERLINK("http://www.ncbi.nlm.nih.gov/gene/84515","MCM8")</f>
        <v>MCM8</v>
      </c>
      <c r="C802">
        <v>84515</v>
      </c>
      <c r="D802" t="s">
        <v>1599</v>
      </c>
      <c r="E802" s="3" t="str">
        <f>HYPERLINK("http://genome.ucsc.edu/cgi-bin/hgTracks?db=hg19&amp;lastVirtModeType=default&amp;lastVirtModeExtraState=&amp;virtModeType=default&amp;virtMode=0&amp;nonVirtPosition=&amp;position=chr20:5950651-5995206","chr20:5950651-5995206")</f>
        <v>chr20:5950651-5995206</v>
      </c>
      <c r="F802" t="s">
        <v>27</v>
      </c>
      <c r="G802">
        <v>-0.290013075106548</v>
      </c>
      <c r="H802">
        <v>8.5312885664866903E-2</v>
      </c>
      <c r="I802">
        <v>-3.3994052931910099</v>
      </c>
      <c r="J802">
        <v>6.7532563226813504E-4</v>
      </c>
      <c r="K802">
        <v>1.1888852016592E-2</v>
      </c>
      <c r="L802" t="s">
        <v>23</v>
      </c>
      <c r="M802" t="s">
        <v>24</v>
      </c>
      <c r="N802">
        <v>793.12091590689397</v>
      </c>
      <c r="O802">
        <v>885.21395271700999</v>
      </c>
      <c r="P802">
        <v>701.02787909677795</v>
      </c>
      <c r="Q802">
        <v>836.51920803359201</v>
      </c>
      <c r="R802">
        <v>933.90869740042797</v>
      </c>
      <c r="S802">
        <v>734.94311975027097</v>
      </c>
      <c r="T802">
        <v>667.11263844328505</v>
      </c>
    </row>
    <row r="803" spans="1:20" x14ac:dyDescent="0.2">
      <c r="A803" t="s">
        <v>1600</v>
      </c>
      <c r="B803" s="3" t="str">
        <f>HYPERLINK("http://www.ncbi.nlm.nih.gov/gene/84879","MFSD2A")</f>
        <v>MFSD2A</v>
      </c>
      <c r="C803">
        <v>84879</v>
      </c>
      <c r="D803" t="s">
        <v>1601</v>
      </c>
      <c r="E803" s="3" t="str">
        <f>HYPERLINK("http://genome.ucsc.edu/cgi-bin/hgTracks?db=hg19&amp;lastVirtModeType=default&amp;lastVirtModeExtraState=&amp;virtModeType=default&amp;virtMode=0&amp;nonVirtPosition=&amp;position=chr1:39955111-39969968","chr1:39955111-39969968")</f>
        <v>chr1:39955111-39969968</v>
      </c>
      <c r="F803" t="s">
        <v>27</v>
      </c>
      <c r="G803">
        <v>0.36781621745064902</v>
      </c>
      <c r="H803">
        <v>0.10828291359858901</v>
      </c>
      <c r="I803">
        <v>3.3968075407923202</v>
      </c>
      <c r="J803">
        <v>6.8176899063994304E-4</v>
      </c>
      <c r="K803">
        <v>1.19868973559438E-2</v>
      </c>
      <c r="L803" t="s">
        <v>23</v>
      </c>
      <c r="M803" t="s">
        <v>24</v>
      </c>
      <c r="N803">
        <v>285.59961091508598</v>
      </c>
      <c r="O803">
        <v>234.38983635661401</v>
      </c>
      <c r="P803">
        <v>336.80938547355697</v>
      </c>
      <c r="Q803">
        <v>239.39858914119301</v>
      </c>
      <c r="R803">
        <v>229.38108357203501</v>
      </c>
      <c r="S803">
        <v>337.38328450280898</v>
      </c>
      <c r="T803">
        <v>336.23548644430599</v>
      </c>
    </row>
    <row r="804" spans="1:20" x14ac:dyDescent="0.2">
      <c r="A804" t="s">
        <v>1602</v>
      </c>
      <c r="B804" s="3" t="str">
        <f>HYPERLINK("http://www.ncbi.nlm.nih.gov/gene/440","ASNS")</f>
        <v>ASNS</v>
      </c>
      <c r="C804">
        <v>440</v>
      </c>
      <c r="D804" t="s">
        <v>1603</v>
      </c>
      <c r="E804" s="3" t="str">
        <f>HYPERLINK("http://genome.ucsc.edu/cgi-bin/hgTracks?db=hg19&amp;lastVirtModeType=default&amp;lastVirtModeExtraState=&amp;virtModeType=default&amp;virtMode=0&amp;nonVirtPosition=&amp;position=chr7:97852116-97872542","chr7:97852116-97872542")</f>
        <v>chr7:97852116-97872542</v>
      </c>
      <c r="F804" t="s">
        <v>22</v>
      </c>
      <c r="G804">
        <v>0.25131315755494898</v>
      </c>
      <c r="H804">
        <v>7.4055382334370604E-2</v>
      </c>
      <c r="I804">
        <v>3.39358395883009</v>
      </c>
      <c r="J804">
        <v>6.8984408493619805E-4</v>
      </c>
      <c r="K804">
        <v>1.21133441495711E-2</v>
      </c>
      <c r="L804" t="s">
        <v>23</v>
      </c>
      <c r="M804" t="s">
        <v>24</v>
      </c>
      <c r="N804">
        <v>1076.8172853263</v>
      </c>
      <c r="O804">
        <v>971.52018259683496</v>
      </c>
      <c r="P804">
        <v>1182.11438805578</v>
      </c>
      <c r="Q804">
        <v>947.96337884069897</v>
      </c>
      <c r="R804">
        <v>995.07698635297004</v>
      </c>
      <c r="S804">
        <v>1169.98998660916</v>
      </c>
      <c r="T804">
        <v>1194.2387895023901</v>
      </c>
    </row>
    <row r="805" spans="1:20" x14ac:dyDescent="0.2">
      <c r="A805" t="s">
        <v>1604</v>
      </c>
      <c r="B805" s="3" t="str">
        <f>HYPERLINK("http://www.ncbi.nlm.nih.gov/gene/5738","PTGFRN")</f>
        <v>PTGFRN</v>
      </c>
      <c r="C805">
        <v>5738</v>
      </c>
      <c r="D805" t="s">
        <v>1605</v>
      </c>
      <c r="E805" s="3" t="str">
        <f>HYPERLINK("http://genome.ucsc.edu/cgi-bin/hgTracks?db=hg19&amp;lastVirtModeType=default&amp;lastVirtModeExtraState=&amp;virtModeType=default&amp;virtMode=0&amp;nonVirtPosition=&amp;position=chr1:116909922-116990358","chr1:116909922-116990358")</f>
        <v>chr1:116909922-116990358</v>
      </c>
      <c r="F805" t="s">
        <v>27</v>
      </c>
      <c r="G805">
        <v>-0.26698695407019601</v>
      </c>
      <c r="H805">
        <v>7.8696907979327199E-2</v>
      </c>
      <c r="I805">
        <v>-3.3925977643280598</v>
      </c>
      <c r="J805">
        <v>6.92332211080805E-4</v>
      </c>
      <c r="K805">
        <v>1.2141488417854399E-2</v>
      </c>
      <c r="L805" t="s">
        <v>23</v>
      </c>
      <c r="M805" t="s">
        <v>24</v>
      </c>
      <c r="N805">
        <v>957.48052175780504</v>
      </c>
      <c r="O805">
        <v>1059.5856495953201</v>
      </c>
      <c r="P805">
        <v>855.37539392028998</v>
      </c>
      <c r="Q805">
        <v>1055.27998776606</v>
      </c>
      <c r="R805">
        <v>1063.89131142458</v>
      </c>
      <c r="S805">
        <v>811.89018463687603</v>
      </c>
      <c r="T805">
        <v>898.86060320370302</v>
      </c>
    </row>
    <row r="806" spans="1:20" x14ac:dyDescent="0.2">
      <c r="A806" t="s">
        <v>1606</v>
      </c>
      <c r="B806" s="3" t="str">
        <f>HYPERLINK("http://www.ncbi.nlm.nih.gov/gene/57449","PLEKHG5")</f>
        <v>PLEKHG5</v>
      </c>
      <c r="C806">
        <v>57449</v>
      </c>
      <c r="D806" t="s">
        <v>1607</v>
      </c>
      <c r="E806" s="3" t="str">
        <f>HYPERLINK("http://genome.ucsc.edu/cgi-bin/hgTracks?db=hg19&amp;lastVirtModeType=default&amp;lastVirtModeExtraState=&amp;virtModeType=default&amp;virtMode=0&amp;nonVirtPosition=&amp;position=chr1:6466091-6497424","chr1:6466091-6497424")</f>
        <v>chr1:6466091-6497424</v>
      </c>
      <c r="F806" t="s">
        <v>22</v>
      </c>
      <c r="G806">
        <v>-0.218460222490893</v>
      </c>
      <c r="H806">
        <v>6.4414469923809295E-2</v>
      </c>
      <c r="I806">
        <v>-3.3914774545112598</v>
      </c>
      <c r="J806">
        <v>6.9516882248738302E-4</v>
      </c>
      <c r="K806">
        <v>1.21756644081634E-2</v>
      </c>
      <c r="L806" t="s">
        <v>23</v>
      </c>
      <c r="M806" t="s">
        <v>24</v>
      </c>
      <c r="N806">
        <v>1557.0262971393699</v>
      </c>
      <c r="O806">
        <v>1684.68307181304</v>
      </c>
      <c r="P806">
        <v>1429.3695224656899</v>
      </c>
      <c r="Q806">
        <v>1673.0384160671799</v>
      </c>
      <c r="R806">
        <v>1696.3277275589101</v>
      </c>
      <c r="S806">
        <v>1431.4127070572399</v>
      </c>
      <c r="T806">
        <v>1427.3263378741401</v>
      </c>
    </row>
    <row r="807" spans="1:20" x14ac:dyDescent="0.2">
      <c r="A807" t="s">
        <v>1608</v>
      </c>
      <c r="B807" s="3" t="str">
        <f>HYPERLINK("http://www.ncbi.nlm.nih.gov/gene/6091","ROBO1")</f>
        <v>ROBO1</v>
      </c>
      <c r="C807">
        <v>6091</v>
      </c>
      <c r="D807" t="s">
        <v>1609</v>
      </c>
      <c r="E807" s="3" t="str">
        <f>HYPERLINK("http://genome.ucsc.edu/cgi-bin/hgTracks?db=hg19&amp;lastVirtModeType=default&amp;lastVirtModeExtraState=&amp;virtModeType=default&amp;virtMode=0&amp;nonVirtPosition=&amp;position=chr3:78597237-79019459","chr3:78597237-79019459")</f>
        <v>chr3:78597237-79019459</v>
      </c>
      <c r="F807" t="s">
        <v>22</v>
      </c>
      <c r="G807">
        <v>-0.24002543432734799</v>
      </c>
      <c r="H807">
        <v>7.0882486604804201E-2</v>
      </c>
      <c r="I807">
        <v>-3.3862445552393998</v>
      </c>
      <c r="J807">
        <v>7.0856208672865999E-4</v>
      </c>
      <c r="K807">
        <v>1.23944138487205E-2</v>
      </c>
      <c r="L807" t="s">
        <v>23</v>
      </c>
      <c r="M807" t="s">
        <v>24</v>
      </c>
      <c r="N807">
        <v>1333.97290701056</v>
      </c>
      <c r="O807">
        <v>1455.1824800470699</v>
      </c>
      <c r="P807">
        <v>1212.7633339740501</v>
      </c>
      <c r="Q807">
        <v>1390.9883541479601</v>
      </c>
      <c r="R807">
        <v>1519.37660594619</v>
      </c>
      <c r="S807">
        <v>1242.00454733636</v>
      </c>
      <c r="T807">
        <v>1183.5221206117301</v>
      </c>
    </row>
    <row r="808" spans="1:20" x14ac:dyDescent="0.2">
      <c r="A808" t="s">
        <v>1610</v>
      </c>
      <c r="B808" s="3" t="str">
        <f>HYPERLINK("http://www.ncbi.nlm.nih.gov/gene/2175","FANCA")</f>
        <v>FANCA</v>
      </c>
      <c r="C808">
        <v>2175</v>
      </c>
      <c r="D808" t="s">
        <v>1611</v>
      </c>
      <c r="E808" s="3" t="str">
        <f>HYPERLINK("http://genome.ucsc.edu/cgi-bin/hgTracks?db=hg19&amp;lastVirtModeType=default&amp;lastVirtModeExtraState=&amp;virtModeType=default&amp;virtMode=0&amp;nonVirtPosition=&amp;position=chr16:89737550-89816657","chr16:89737550-89816657")</f>
        <v>chr16:89737550-89816657</v>
      </c>
      <c r="F808" t="s">
        <v>22</v>
      </c>
      <c r="G808">
        <v>-0.34901088903570499</v>
      </c>
      <c r="H808">
        <v>0.10341242538701401</v>
      </c>
      <c r="I808">
        <v>-3.3749415288303601</v>
      </c>
      <c r="J808">
        <v>7.3831375760416505E-4</v>
      </c>
      <c r="K808">
        <v>1.28983883716987E-2</v>
      </c>
      <c r="L808" t="s">
        <v>23</v>
      </c>
      <c r="M808" t="s">
        <v>24</v>
      </c>
      <c r="N808">
        <v>351.63877398972602</v>
      </c>
      <c r="O808">
        <v>407.98459970424898</v>
      </c>
      <c r="P808">
        <v>295.29294827520403</v>
      </c>
      <c r="Q808">
        <v>397.621794608073</v>
      </c>
      <c r="R808">
        <v>418.34740480042501</v>
      </c>
      <c r="S808">
        <v>299.89625289138598</v>
      </c>
      <c r="T808">
        <v>290.68964365902201</v>
      </c>
    </row>
    <row r="809" spans="1:20" x14ac:dyDescent="0.2">
      <c r="A809" t="s">
        <v>1612</v>
      </c>
      <c r="B809" s="3" t="str">
        <f>HYPERLINK("http://www.ncbi.nlm.nih.gov/gene/23654","PLXNB2")</f>
        <v>PLXNB2</v>
      </c>
      <c r="C809">
        <v>23654</v>
      </c>
      <c r="D809" t="s">
        <v>1613</v>
      </c>
      <c r="E809" s="3" t="str">
        <f>HYPERLINK("http://genome.ucsc.edu/cgi-bin/hgTracks?db=hg19&amp;lastVirtModeType=default&amp;lastVirtModeExtraState=&amp;virtModeType=default&amp;virtMode=0&amp;nonVirtPosition=&amp;position=chr22:50274978-50307572","chr22:50274978-50307572")</f>
        <v>chr22:50274978-50307572</v>
      </c>
      <c r="F809" t="s">
        <v>22</v>
      </c>
      <c r="G809">
        <v>-0.16299118009725699</v>
      </c>
      <c r="H809">
        <v>4.8369636452309399E-2</v>
      </c>
      <c r="I809">
        <v>-3.3697003337612399</v>
      </c>
      <c r="J809">
        <v>7.5249969437647299E-4</v>
      </c>
      <c r="K809">
        <v>1.31223422597097E-2</v>
      </c>
      <c r="L809" t="s">
        <v>23</v>
      </c>
      <c r="M809" t="s">
        <v>24</v>
      </c>
      <c r="N809">
        <v>16120.3226333646</v>
      </c>
      <c r="O809">
        <v>17074.860719471399</v>
      </c>
      <c r="P809">
        <v>15165.784547257799</v>
      </c>
      <c r="Q809">
        <v>17056.461549329699</v>
      </c>
      <c r="R809">
        <v>17093.2598896132</v>
      </c>
      <c r="S809">
        <v>14366.411614662</v>
      </c>
      <c r="T809">
        <v>15965.1574798536</v>
      </c>
    </row>
    <row r="810" spans="1:20" x14ac:dyDescent="0.2">
      <c r="A810" t="s">
        <v>1614</v>
      </c>
      <c r="B810" s="3" t="str">
        <f>HYPERLINK("http://www.ncbi.nlm.nih.gov/gene/10581","IFITM2")</f>
        <v>IFITM2</v>
      </c>
      <c r="C810">
        <v>10581</v>
      </c>
      <c r="D810" t="s">
        <v>1615</v>
      </c>
      <c r="E810" s="3" t="str">
        <f>HYPERLINK("http://genome.ucsc.edu/cgi-bin/hgTracks?db=hg19&amp;lastVirtModeType=default&amp;lastVirtModeExtraState=&amp;virtModeType=default&amp;virtMode=0&amp;nonVirtPosition=&amp;position=chr11:308106-309410","chr11:308106-309410")</f>
        <v>chr11:308106-309410</v>
      </c>
      <c r="F810" t="s">
        <v>27</v>
      </c>
      <c r="G810">
        <v>-0.26170953461539398</v>
      </c>
      <c r="H810">
        <v>7.7670138148854803E-2</v>
      </c>
      <c r="I810">
        <v>-3.3695000530812398</v>
      </c>
      <c r="J810">
        <v>7.53046766690356E-4</v>
      </c>
      <c r="K810">
        <v>1.31223422597097E-2</v>
      </c>
      <c r="L810" t="s">
        <v>23</v>
      </c>
      <c r="M810" t="s">
        <v>24</v>
      </c>
      <c r="N810">
        <v>939.43544347619502</v>
      </c>
      <c r="O810">
        <v>1036.42692035903</v>
      </c>
      <c r="P810">
        <v>842.44396659335598</v>
      </c>
      <c r="Q810">
        <v>1069.03852737188</v>
      </c>
      <c r="R810">
        <v>1003.81531334619</v>
      </c>
      <c r="S810">
        <v>852.33671874393804</v>
      </c>
      <c r="T810">
        <v>832.55121444277404</v>
      </c>
    </row>
    <row r="811" spans="1:20" x14ac:dyDescent="0.2">
      <c r="A811" t="s">
        <v>1616</v>
      </c>
      <c r="B811" s="3" t="str">
        <f>HYPERLINK("http://www.ncbi.nlm.nih.gov/gene/348995","NUP43")</f>
        <v>NUP43</v>
      </c>
      <c r="C811">
        <v>348995</v>
      </c>
      <c r="D811" t="s">
        <v>1617</v>
      </c>
      <c r="E811" s="3" t="str">
        <f>HYPERLINK("http://genome.ucsc.edu/cgi-bin/hgTracks?db=hg19&amp;lastVirtModeType=default&amp;lastVirtModeExtraState=&amp;virtModeType=default&amp;virtMode=0&amp;nonVirtPosition=&amp;position=chr6:149724315-149746572","chr6:149724315-149746572")</f>
        <v>chr6:149724315-149746572</v>
      </c>
      <c r="F811" t="s">
        <v>22</v>
      </c>
      <c r="G811">
        <v>-0.23452455521811399</v>
      </c>
      <c r="H811">
        <v>6.9616848660953107E-2</v>
      </c>
      <c r="I811">
        <v>-3.36879016687889</v>
      </c>
      <c r="J811">
        <v>7.54988816770506E-4</v>
      </c>
      <c r="K811">
        <v>1.31394881131862E-2</v>
      </c>
      <c r="L811" t="s">
        <v>23</v>
      </c>
      <c r="M811" t="s">
        <v>24</v>
      </c>
      <c r="N811">
        <v>1265.1974617229801</v>
      </c>
      <c r="O811">
        <v>1379.1894249576001</v>
      </c>
      <c r="P811">
        <v>1151.20549848836</v>
      </c>
      <c r="Q811">
        <v>1406.12274771436</v>
      </c>
      <c r="R811">
        <v>1352.2561022008499</v>
      </c>
      <c r="S811">
        <v>1144.34096498029</v>
      </c>
      <c r="T811">
        <v>1158.0700319964301</v>
      </c>
    </row>
    <row r="812" spans="1:20" x14ac:dyDescent="0.2">
      <c r="A812" t="s">
        <v>1618</v>
      </c>
      <c r="B812" s="3" t="str">
        <f>HYPERLINK("http://www.ncbi.nlm.nih.gov/gene/10539","GLRX3")</f>
        <v>GLRX3</v>
      </c>
      <c r="C812">
        <v>10539</v>
      </c>
      <c r="D812" t="s">
        <v>1619</v>
      </c>
      <c r="E812" s="3" t="str">
        <f>HYPERLINK("http://genome.ucsc.edu/cgi-bin/hgTracks?db=hg19&amp;lastVirtModeType=default&amp;lastVirtModeExtraState=&amp;virtModeType=default&amp;virtMode=0&amp;nonVirtPosition=&amp;position=chr10:130136408-130179668","chr10:130136408-130179668")</f>
        <v>chr10:130136408-130179668</v>
      </c>
      <c r="F812" t="s">
        <v>27</v>
      </c>
      <c r="G812">
        <v>0.17076529618392</v>
      </c>
      <c r="H812">
        <v>5.0708249713620701E-2</v>
      </c>
      <c r="I812">
        <v>3.3676038346488402</v>
      </c>
      <c r="J812">
        <v>7.5824467336220902E-4</v>
      </c>
      <c r="K812">
        <v>1.31794264264757E-2</v>
      </c>
      <c r="L812" t="s">
        <v>23</v>
      </c>
      <c r="M812" t="s">
        <v>24</v>
      </c>
      <c r="N812">
        <v>3618.3165593976601</v>
      </c>
      <c r="O812">
        <v>3395.1030049832798</v>
      </c>
      <c r="P812">
        <v>3841.5301138120499</v>
      </c>
      <c r="Q812">
        <v>3399.7351365970499</v>
      </c>
      <c r="R812">
        <v>3390.4708733695102</v>
      </c>
      <c r="S812">
        <v>3748.7031611423199</v>
      </c>
      <c r="T812">
        <v>3934.3570664817798</v>
      </c>
    </row>
    <row r="813" spans="1:20" x14ac:dyDescent="0.2">
      <c r="A813" t="s">
        <v>1620</v>
      </c>
      <c r="B813" s="3" t="str">
        <f>HYPERLINK("http://www.ncbi.nlm.nih.gov/gene/23258","DENND5A")</f>
        <v>DENND5A</v>
      </c>
      <c r="C813">
        <v>23258</v>
      </c>
      <c r="D813" t="s">
        <v>1621</v>
      </c>
      <c r="E813" s="3" t="str">
        <f>HYPERLINK("http://genome.ucsc.edu/cgi-bin/hgTracks?db=hg19&amp;lastVirtModeType=default&amp;lastVirtModeExtraState=&amp;virtModeType=default&amp;virtMode=0&amp;nonVirtPosition=&amp;position=chr11:9138825-9265326","chr11:9138825-9265326")</f>
        <v>chr11:9138825-9265326</v>
      </c>
      <c r="F813" t="s">
        <v>22</v>
      </c>
      <c r="G813">
        <v>0.176399055830255</v>
      </c>
      <c r="H813">
        <v>5.2413221816169697E-2</v>
      </c>
      <c r="I813">
        <v>3.3655449849838202</v>
      </c>
      <c r="J813">
        <v>7.6392609525625802E-4</v>
      </c>
      <c r="K813">
        <v>1.3261370215625699E-2</v>
      </c>
      <c r="L813" t="s">
        <v>23</v>
      </c>
      <c r="M813" t="s">
        <v>24</v>
      </c>
      <c r="N813">
        <v>4728.0855945763997</v>
      </c>
      <c r="O813">
        <v>4420.2668875277705</v>
      </c>
      <c r="P813">
        <v>5035.9043016250298</v>
      </c>
      <c r="Q813">
        <v>4200.4821416555196</v>
      </c>
      <c r="R813">
        <v>4640.0516334000204</v>
      </c>
      <c r="S813">
        <v>5132.7638282693397</v>
      </c>
      <c r="T813">
        <v>4939.0447749807099</v>
      </c>
    </row>
    <row r="814" spans="1:20" x14ac:dyDescent="0.2">
      <c r="A814" t="s">
        <v>1622</v>
      </c>
      <c r="B814" s="3" t="str">
        <f>HYPERLINK("http://www.ncbi.nlm.nih.gov/gene/3727","JUND")</f>
        <v>JUND</v>
      </c>
      <c r="C814">
        <v>3727</v>
      </c>
      <c r="D814" t="s">
        <v>1623</v>
      </c>
      <c r="E814" s="3" t="str">
        <f>HYPERLINK("http://genome.ucsc.edu/cgi-bin/hgTracks?db=hg19&amp;lastVirtModeType=default&amp;lastVirtModeExtraState=&amp;virtModeType=default&amp;virtMode=0&amp;nonVirtPosition=&amp;position=chr19:18279693-18281656","chr19:18279693-18281656")</f>
        <v>chr19:18279693-18281656</v>
      </c>
      <c r="F814" t="s">
        <v>22</v>
      </c>
      <c r="G814">
        <v>0.224502657509318</v>
      </c>
      <c r="H814">
        <v>6.6792907158699802E-2</v>
      </c>
      <c r="I814">
        <v>3.3611751166317698</v>
      </c>
      <c r="J814">
        <v>7.7611601791534302E-4</v>
      </c>
      <c r="K814">
        <v>1.34559482549823E-2</v>
      </c>
      <c r="L814" t="s">
        <v>23</v>
      </c>
      <c r="M814" t="s">
        <v>24</v>
      </c>
      <c r="N814">
        <v>2751.5353266832399</v>
      </c>
      <c r="O814">
        <v>2520.7541024077</v>
      </c>
      <c r="P814">
        <v>2982.3165509587802</v>
      </c>
      <c r="Q814">
        <v>2583.8537379721802</v>
      </c>
      <c r="R814">
        <v>2457.6544668432298</v>
      </c>
      <c r="S814">
        <v>2735.56680680201</v>
      </c>
      <c r="T814">
        <v>3229.06629511554</v>
      </c>
    </row>
    <row r="815" spans="1:20" x14ac:dyDescent="0.2">
      <c r="A815" t="s">
        <v>1624</v>
      </c>
      <c r="B815" s="3" t="str">
        <f>HYPERLINK("http://www.ncbi.nlm.nih.gov/gene/9710","KIAA0355")</f>
        <v>KIAA0355</v>
      </c>
      <c r="C815">
        <v>9710</v>
      </c>
      <c r="D815" t="s">
        <v>1625</v>
      </c>
      <c r="E815" s="3" t="str">
        <f>HYPERLINK("http://genome.ucsc.edu/cgi-bin/hgTracks?db=hg19&amp;lastVirtModeType=default&amp;lastVirtModeExtraState=&amp;virtModeType=default&amp;virtMode=0&amp;nonVirtPosition=&amp;position=chr19:34254550-34355566","chr19:34254550-34355566")</f>
        <v>chr19:34254550-34355566</v>
      </c>
      <c r="F815" t="s">
        <v>27</v>
      </c>
      <c r="G815">
        <v>-0.22209560014032501</v>
      </c>
      <c r="H815">
        <v>6.6166383980449495E-2</v>
      </c>
      <c r="I815">
        <v>-3.3566229069726501</v>
      </c>
      <c r="J815">
        <v>7.8900643628191497E-4</v>
      </c>
      <c r="K815">
        <v>1.36621644787502E-2</v>
      </c>
      <c r="L815" t="s">
        <v>23</v>
      </c>
      <c r="M815" t="s">
        <v>24</v>
      </c>
      <c r="N815">
        <v>1529.30444812513</v>
      </c>
      <c r="O815">
        <v>1657.54937575949</v>
      </c>
      <c r="P815">
        <v>1401.05952049077</v>
      </c>
      <c r="Q815">
        <v>1611.1249878410099</v>
      </c>
      <c r="R815">
        <v>1703.9737636779701</v>
      </c>
      <c r="S815">
        <v>1378.14166213574</v>
      </c>
      <c r="T815">
        <v>1423.9773788458101</v>
      </c>
    </row>
    <row r="816" spans="1:20" x14ac:dyDescent="0.2">
      <c r="A816" t="s">
        <v>1626</v>
      </c>
      <c r="B816" s="3" t="str">
        <f>HYPERLINK("http://www.ncbi.nlm.nih.gov/gene/84230","LRRC8C")</f>
        <v>LRRC8C</v>
      </c>
      <c r="C816">
        <v>84230</v>
      </c>
      <c r="D816" t="s">
        <v>1627</v>
      </c>
      <c r="E816" s="3" t="str">
        <f>HYPERLINK("http://genome.ucsc.edu/cgi-bin/hgTracks?db=hg19&amp;lastVirtModeType=default&amp;lastVirtModeExtraState=&amp;virtModeType=default&amp;virtMode=0&amp;nonVirtPosition=&amp;position=chr1:89633084-89719535","chr1:89633084-89719535")</f>
        <v>chr1:89633084-89719535</v>
      </c>
      <c r="F816" t="s">
        <v>27</v>
      </c>
      <c r="G816">
        <v>0.28139319335003898</v>
      </c>
      <c r="H816">
        <v>8.3848850798952504E-2</v>
      </c>
      <c r="I816">
        <v>3.3559576627322598</v>
      </c>
      <c r="J816">
        <v>7.9090675354070495E-4</v>
      </c>
      <c r="K816">
        <v>1.3677799770564001E-2</v>
      </c>
      <c r="L816" t="s">
        <v>23</v>
      </c>
      <c r="M816" t="s">
        <v>24</v>
      </c>
      <c r="N816">
        <v>791.11638800602498</v>
      </c>
      <c r="O816">
        <v>699.86657210434396</v>
      </c>
      <c r="P816">
        <v>882.36620390770702</v>
      </c>
      <c r="Q816">
        <v>675.54429464554903</v>
      </c>
      <c r="R816">
        <v>724.188849563139</v>
      </c>
      <c r="S816">
        <v>917.44577364798897</v>
      </c>
      <c r="T816">
        <v>847.28663416742495</v>
      </c>
    </row>
    <row r="817" spans="1:20" x14ac:dyDescent="0.2">
      <c r="A817" t="s">
        <v>1628</v>
      </c>
      <c r="B817" s="3" t="str">
        <f>HYPERLINK("http://www.ncbi.nlm.nih.gov/gene/132671","SPATA18")</f>
        <v>SPATA18</v>
      </c>
      <c r="C817">
        <v>132671</v>
      </c>
      <c r="D817" t="s">
        <v>1629</v>
      </c>
      <c r="E817" s="3" t="str">
        <f>HYPERLINK("http://genome.ucsc.edu/cgi-bin/hgTracks?db=hg19&amp;lastVirtModeType=default&amp;lastVirtModeExtraState=&amp;virtModeType=default&amp;virtMode=0&amp;nonVirtPosition=&amp;position=chr4:52051330-52097306","chr4:52051330-52097306")</f>
        <v>chr4:52051330-52097306</v>
      </c>
      <c r="F817" t="s">
        <v>27</v>
      </c>
      <c r="G817">
        <v>-0.26433151685324802</v>
      </c>
      <c r="H817">
        <v>7.88875375734613E-2</v>
      </c>
      <c r="I817">
        <v>-3.3507385955240201</v>
      </c>
      <c r="J817">
        <v>8.0596344347535901E-4</v>
      </c>
      <c r="K817">
        <v>1.39206330778603E-2</v>
      </c>
      <c r="L817" t="s">
        <v>23</v>
      </c>
      <c r="M817" t="s">
        <v>24</v>
      </c>
      <c r="N817">
        <v>896.554040481985</v>
      </c>
      <c r="O817">
        <v>989.98930738577496</v>
      </c>
      <c r="P817">
        <v>803.11877357819401</v>
      </c>
      <c r="Q817">
        <v>957.59435656477001</v>
      </c>
      <c r="R817">
        <v>1022.38425820678</v>
      </c>
      <c r="S817">
        <v>795.11967049492398</v>
      </c>
      <c r="T817">
        <v>811.11787666146404</v>
      </c>
    </row>
    <row r="818" spans="1:20" x14ac:dyDescent="0.2">
      <c r="A818" t="s">
        <v>1630</v>
      </c>
      <c r="B818" s="3" t="str">
        <f>HYPERLINK("http://www.ncbi.nlm.nih.gov/gene/50940","PDE11A")</f>
        <v>PDE11A</v>
      </c>
      <c r="C818">
        <v>50940</v>
      </c>
      <c r="D818" t="s">
        <v>1631</v>
      </c>
      <c r="E818" s="3" t="str">
        <f>HYPERLINK("http://genome.ucsc.edu/cgi-bin/hgTracks?db=hg19&amp;lastVirtModeType=default&amp;lastVirtModeExtraState=&amp;virtModeType=default&amp;virtMode=0&amp;nonVirtPosition=&amp;position=chr2:177623248-178072755","chr2:177623248-178072755")</f>
        <v>chr2:177623248-178072755</v>
      </c>
      <c r="F818" t="s">
        <v>22</v>
      </c>
      <c r="G818">
        <v>-0.37506368411095398</v>
      </c>
      <c r="H818">
        <v>0.111976377799038</v>
      </c>
      <c r="I818">
        <v>-3.34948934304763</v>
      </c>
      <c r="J818">
        <v>8.0960670076415399E-4</v>
      </c>
      <c r="K818">
        <v>1.39659701814838E-2</v>
      </c>
      <c r="L818" t="s">
        <v>23</v>
      </c>
      <c r="M818" t="s">
        <v>24</v>
      </c>
      <c r="N818">
        <v>61.609822332026603</v>
      </c>
      <c r="O818">
        <v>84.662709961338095</v>
      </c>
      <c r="P818">
        <v>38.556934702715203</v>
      </c>
      <c r="Q818">
        <v>74.2961138714046</v>
      </c>
      <c r="R818">
        <v>95.029306051271604</v>
      </c>
      <c r="S818">
        <v>31.568026620145801</v>
      </c>
      <c r="T818">
        <v>45.545842785284499</v>
      </c>
    </row>
    <row r="819" spans="1:20" x14ac:dyDescent="0.2">
      <c r="A819" t="s">
        <v>1632</v>
      </c>
      <c r="B819" s="3" t="str">
        <f>HYPERLINK("http://www.ncbi.nlm.nih.gov/gene/4666","NACA")</f>
        <v>NACA</v>
      </c>
      <c r="C819">
        <v>4666</v>
      </c>
      <c r="D819" t="s">
        <v>1633</v>
      </c>
      <c r="E819" s="3" t="str">
        <f>HYPERLINK("http://genome.ucsc.edu/cgi-bin/hgTracks?db=hg19&amp;lastVirtModeType=default&amp;lastVirtModeExtraState=&amp;virtModeType=default&amp;virtMode=0&amp;nonVirtPosition=&amp;position=chr12:56712426-56725542","chr12:56712426-56725542")</f>
        <v>chr12:56712426-56725542</v>
      </c>
      <c r="F819" t="s">
        <v>22</v>
      </c>
      <c r="G819">
        <v>0.139877081011724</v>
      </c>
      <c r="H819">
        <v>4.1885682847296997E-2</v>
      </c>
      <c r="I819">
        <v>3.3394962551207601</v>
      </c>
      <c r="J819">
        <v>8.3930482576002798E-4</v>
      </c>
      <c r="K819">
        <v>1.4448806325920899E-2</v>
      </c>
      <c r="L819" t="s">
        <v>23</v>
      </c>
      <c r="M819" t="s">
        <v>24</v>
      </c>
      <c r="N819">
        <v>10292.600261839299</v>
      </c>
      <c r="O819">
        <v>9777.0313312513899</v>
      </c>
      <c r="P819">
        <v>10808.1691924272</v>
      </c>
      <c r="Q819">
        <v>9581.4469814900294</v>
      </c>
      <c r="R819">
        <v>9972.6156810127504</v>
      </c>
      <c r="S819">
        <v>10655.1954851311</v>
      </c>
      <c r="T819">
        <v>10961.1428997233</v>
      </c>
    </row>
    <row r="820" spans="1:20" x14ac:dyDescent="0.2">
      <c r="A820" t="s">
        <v>1634</v>
      </c>
      <c r="B820" s="3" t="str">
        <f>HYPERLINK("http://www.ncbi.nlm.nih.gov/gene/285381","DPH3")</f>
        <v>DPH3</v>
      </c>
      <c r="C820">
        <v>285381</v>
      </c>
      <c r="D820" t="s">
        <v>1635</v>
      </c>
      <c r="E820" s="3" t="str">
        <f>HYPERLINK("http://genome.ucsc.edu/cgi-bin/hgTracks?db=hg19&amp;lastVirtModeType=default&amp;lastVirtModeExtraState=&amp;virtModeType=default&amp;virtMode=0&amp;nonVirtPosition=&amp;position=chr3:16257060-16264989","chr3:16257060-16264989")</f>
        <v>chr3:16257060-16264989</v>
      </c>
      <c r="F820" t="s">
        <v>22</v>
      </c>
      <c r="G820">
        <v>0.219494708932222</v>
      </c>
      <c r="H820">
        <v>6.5729490275109201E-2</v>
      </c>
      <c r="I820">
        <v>3.3393642338246101</v>
      </c>
      <c r="J820">
        <v>8.3970385312519497E-4</v>
      </c>
      <c r="K820">
        <v>1.4448806325920899E-2</v>
      </c>
      <c r="L820" t="s">
        <v>23</v>
      </c>
      <c r="M820" t="s">
        <v>24</v>
      </c>
      <c r="N820">
        <v>1518.3840387478799</v>
      </c>
      <c r="O820">
        <v>1391.97139088944</v>
      </c>
      <c r="P820">
        <v>1644.79668660632</v>
      </c>
      <c r="Q820">
        <v>1392.36420810854</v>
      </c>
      <c r="R820">
        <v>1391.5785736703399</v>
      </c>
      <c r="S820">
        <v>1676.0649133633699</v>
      </c>
      <c r="T820">
        <v>1613.5284598492699</v>
      </c>
    </row>
    <row r="821" spans="1:20" x14ac:dyDescent="0.2">
      <c r="A821" t="s">
        <v>1636</v>
      </c>
      <c r="B821" s="3" t="str">
        <f>HYPERLINK("http://www.ncbi.nlm.nih.gov/gene/8506","CNTNAP1")</f>
        <v>CNTNAP1</v>
      </c>
      <c r="C821">
        <v>8506</v>
      </c>
      <c r="D821" t="s">
        <v>1637</v>
      </c>
      <c r="E821" s="3" t="str">
        <f>HYPERLINK("http://genome.ucsc.edu/cgi-bin/hgTracks?db=hg19&amp;lastVirtModeType=default&amp;lastVirtModeExtraState=&amp;virtModeType=default&amp;virtMode=0&amp;nonVirtPosition=&amp;position=chr17:42682613-42699993","chr17:42682613-42699993")</f>
        <v>chr17:42682613-42699993</v>
      </c>
      <c r="F821" t="s">
        <v>27</v>
      </c>
      <c r="G821">
        <v>-0.33939820122219899</v>
      </c>
      <c r="H821">
        <v>0.101714342900283</v>
      </c>
      <c r="I821">
        <v>-3.33677819218605</v>
      </c>
      <c r="J821">
        <v>8.4755559516296703E-4</v>
      </c>
      <c r="K821">
        <v>1.4565635879780599E-2</v>
      </c>
      <c r="L821" t="s">
        <v>23</v>
      </c>
      <c r="M821" t="s">
        <v>24</v>
      </c>
      <c r="N821">
        <v>504.57421864410702</v>
      </c>
      <c r="O821">
        <v>583.70608620010205</v>
      </c>
      <c r="P821">
        <v>425.44235108811199</v>
      </c>
      <c r="Q821">
        <v>576.48280948367596</v>
      </c>
      <c r="R821">
        <v>590.92936291652802</v>
      </c>
      <c r="S821">
        <v>367.96481029107503</v>
      </c>
      <c r="T821">
        <v>482.91989188514901</v>
      </c>
    </row>
    <row r="822" spans="1:20" x14ac:dyDescent="0.2">
      <c r="A822" t="s">
        <v>1638</v>
      </c>
      <c r="B822" s="3" t="str">
        <f>HYPERLINK("http://www.ncbi.nlm.nih.gov/gene/284","ANGPT1")</f>
        <v>ANGPT1</v>
      </c>
      <c r="C822">
        <v>284</v>
      </c>
      <c r="D822" t="s">
        <v>1639</v>
      </c>
      <c r="E822" s="3" t="str">
        <f>HYPERLINK("http://genome.ucsc.edu/cgi-bin/hgTracks?db=hg19&amp;lastVirtModeType=default&amp;lastVirtModeExtraState=&amp;virtModeType=default&amp;virtMode=0&amp;nonVirtPosition=&amp;position=chr8:107249481-107498055","chr8:107249481-107498055")</f>
        <v>chr8:107249481-107498055</v>
      </c>
      <c r="F822" t="s">
        <v>22</v>
      </c>
      <c r="G822">
        <v>-0.29381549689784697</v>
      </c>
      <c r="H822">
        <v>8.8089457923659104E-2</v>
      </c>
      <c r="I822">
        <v>-3.3354217839832301</v>
      </c>
      <c r="J822">
        <v>8.5170109478070397E-4</v>
      </c>
      <c r="K822">
        <v>1.46185592162986E-2</v>
      </c>
      <c r="L822" t="s">
        <v>23</v>
      </c>
      <c r="M822" t="s">
        <v>24</v>
      </c>
      <c r="N822">
        <v>859.82848374550895</v>
      </c>
      <c r="O822">
        <v>965.97988889020303</v>
      </c>
      <c r="P822">
        <v>753.67707860081498</v>
      </c>
      <c r="Q822">
        <v>963.09777240709604</v>
      </c>
      <c r="R822">
        <v>968.86200537330899</v>
      </c>
      <c r="S822">
        <v>672.79356734185797</v>
      </c>
      <c r="T822">
        <v>834.56058985977199</v>
      </c>
    </row>
    <row r="823" spans="1:20" x14ac:dyDescent="0.2">
      <c r="A823" t="s">
        <v>1640</v>
      </c>
      <c r="B823" s="3" t="str">
        <f>HYPERLINK("http://www.ncbi.nlm.nih.gov/gene/22989","MYH15")</f>
        <v>MYH15</v>
      </c>
      <c r="C823">
        <v>22989</v>
      </c>
      <c r="D823" t="s">
        <v>1641</v>
      </c>
      <c r="E823" s="3" t="str">
        <f>HYPERLINK("http://genome.ucsc.edu/cgi-bin/hgTracks?db=hg19&amp;lastVirtModeType=default&amp;lastVirtModeExtraState=&amp;virtModeType=default&amp;virtMode=0&amp;nonVirtPosition=&amp;position=chr3:108380368-108529322","chr3:108380368-108529322")</f>
        <v>chr3:108380368-108529322</v>
      </c>
      <c r="F823" t="s">
        <v>22</v>
      </c>
      <c r="G823">
        <v>-0.33700954244332598</v>
      </c>
      <c r="H823">
        <v>0.10107369023308301</v>
      </c>
      <c r="I823">
        <v>-3.3342954201648198</v>
      </c>
      <c r="J823">
        <v>8.5515780764379705E-4</v>
      </c>
      <c r="K823">
        <v>1.4659542717533801E-2</v>
      </c>
      <c r="L823" t="s">
        <v>23</v>
      </c>
      <c r="M823" t="s">
        <v>24</v>
      </c>
      <c r="N823">
        <v>37.098056352385001</v>
      </c>
      <c r="O823">
        <v>54.582749450579499</v>
      </c>
      <c r="P823">
        <v>19.613363254190599</v>
      </c>
      <c r="Q823">
        <v>63.289282186751997</v>
      </c>
      <c r="R823">
        <v>45.876216714407001</v>
      </c>
      <c r="S823">
        <v>15.784013310072901</v>
      </c>
      <c r="T823">
        <v>23.442713198308201</v>
      </c>
    </row>
    <row r="824" spans="1:20" x14ac:dyDescent="0.2">
      <c r="A824" t="s">
        <v>1642</v>
      </c>
      <c r="B824" s="3" t="str">
        <f>HYPERLINK("http://www.ncbi.nlm.nih.gov/gene/7468","WHSC1")</f>
        <v>WHSC1</v>
      </c>
      <c r="C824">
        <v>7468</v>
      </c>
      <c r="D824" t="s">
        <v>1643</v>
      </c>
      <c r="E824" s="3" t="str">
        <f>HYPERLINK("http://genome.ucsc.edu/cgi-bin/hgTracks?db=hg19&amp;lastVirtModeType=default&amp;lastVirtModeExtraState=&amp;virtModeType=default&amp;virtMode=0&amp;nonVirtPosition=&amp;position=chr4:1900625-1948818","chr4:1900625-1948818")</f>
        <v>chr4:1900625-1948818</v>
      </c>
      <c r="F824" t="s">
        <v>27</v>
      </c>
      <c r="G824">
        <v>-0.177633226670913</v>
      </c>
      <c r="H824">
        <v>5.3285131615263999E-2</v>
      </c>
      <c r="I824">
        <v>-3.33363588089605</v>
      </c>
      <c r="J824">
        <v>8.57187911322201E-4</v>
      </c>
      <c r="K824">
        <v>1.4675998771376601E-2</v>
      </c>
      <c r="L824" t="s">
        <v>23</v>
      </c>
      <c r="M824" t="s">
        <v>24</v>
      </c>
      <c r="N824">
        <v>2962.5360820852502</v>
      </c>
      <c r="O824">
        <v>3154.1015647816598</v>
      </c>
      <c r="P824">
        <v>2770.9705993888301</v>
      </c>
      <c r="Q824">
        <v>3180.9743568645799</v>
      </c>
      <c r="R824">
        <v>3127.2287726987402</v>
      </c>
      <c r="S824">
        <v>2829.28438583057</v>
      </c>
      <c r="T824">
        <v>2712.6568129470902</v>
      </c>
    </row>
    <row r="825" spans="1:20" x14ac:dyDescent="0.2">
      <c r="A825" t="s">
        <v>1644</v>
      </c>
      <c r="B825" s="3" t="str">
        <f>HYPERLINK("http://www.ncbi.nlm.nih.gov/gene/7494","XBP1")</f>
        <v>XBP1</v>
      </c>
      <c r="C825">
        <v>7494</v>
      </c>
      <c r="D825" t="s">
        <v>1645</v>
      </c>
      <c r="E825" s="3" t="str">
        <f>HYPERLINK("http://genome.ucsc.edu/cgi-bin/hgTracks?db=hg19&amp;lastVirtModeType=default&amp;lastVirtModeExtraState=&amp;virtModeType=default&amp;virtMode=0&amp;nonVirtPosition=&amp;position=chr22:28794559-28800572","chr22:28794559-28800572")</f>
        <v>chr22:28794559-28800572</v>
      </c>
      <c r="F825" t="s">
        <v>22</v>
      </c>
      <c r="G825">
        <v>0.21589673850409599</v>
      </c>
      <c r="H825">
        <v>6.4964917455775706E-2</v>
      </c>
      <c r="I825">
        <v>3.32328196447052</v>
      </c>
      <c r="J825">
        <v>8.8964939899034896E-4</v>
      </c>
      <c r="K825">
        <v>1.5212782865029501E-2</v>
      </c>
      <c r="L825" t="s">
        <v>23</v>
      </c>
      <c r="M825" t="s">
        <v>24</v>
      </c>
      <c r="N825">
        <v>2624.9589166636401</v>
      </c>
      <c r="O825">
        <v>2408.36006857641</v>
      </c>
      <c r="P825">
        <v>2841.5577647508699</v>
      </c>
      <c r="Q825">
        <v>2219.2524384180701</v>
      </c>
      <c r="R825">
        <v>2597.4676987347598</v>
      </c>
      <c r="S825">
        <v>2910.1774540447</v>
      </c>
      <c r="T825">
        <v>2772.9380754570302</v>
      </c>
    </row>
    <row r="826" spans="1:20" x14ac:dyDescent="0.2">
      <c r="A826" t="s">
        <v>1646</v>
      </c>
      <c r="B826" s="3" t="str">
        <f>HYPERLINK("http://www.ncbi.nlm.nih.gov/gene/2081","ERN1")</f>
        <v>ERN1</v>
      </c>
      <c r="C826">
        <v>2081</v>
      </c>
      <c r="D826" t="s">
        <v>1647</v>
      </c>
      <c r="E826" s="3" t="str">
        <f>HYPERLINK("http://genome.ucsc.edu/cgi-bin/hgTracks?db=hg19&amp;lastVirtModeType=default&amp;lastVirtModeExtraState=&amp;virtModeType=default&amp;virtMode=0&amp;nonVirtPosition=&amp;position=chr17:64043029-64130142","chr17:64043029-64130142")</f>
        <v>chr17:64043029-64130142</v>
      </c>
      <c r="F826" t="s">
        <v>22</v>
      </c>
      <c r="G826">
        <v>0.29626737032332201</v>
      </c>
      <c r="H826">
        <v>8.92552861028163E-2</v>
      </c>
      <c r="I826">
        <v>3.3193257593958201</v>
      </c>
      <c r="J826">
        <v>9.0235097457730905E-4</v>
      </c>
      <c r="K826">
        <v>1.5410761227089899E-2</v>
      </c>
      <c r="L826" t="s">
        <v>23</v>
      </c>
      <c r="M826" t="s">
        <v>24</v>
      </c>
      <c r="N826">
        <v>685.11069322974197</v>
      </c>
      <c r="O826">
        <v>599.23976005310305</v>
      </c>
      <c r="P826">
        <v>770.98162640637997</v>
      </c>
      <c r="Q826">
        <v>568.22768572018697</v>
      </c>
      <c r="R826">
        <v>630.25183438601903</v>
      </c>
      <c r="S826">
        <v>811.89018463687603</v>
      </c>
      <c r="T826">
        <v>730.07306817588403</v>
      </c>
    </row>
    <row r="827" spans="1:20" x14ac:dyDescent="0.2">
      <c r="A827" t="s">
        <v>1648</v>
      </c>
      <c r="B827" s="3" t="str">
        <f>HYPERLINK("http://www.ncbi.nlm.nih.gov/gene/9866","TRIM66")</f>
        <v>TRIM66</v>
      </c>
      <c r="C827">
        <v>9866</v>
      </c>
      <c r="D827" t="s">
        <v>1649</v>
      </c>
      <c r="E827" s="3" t="str">
        <f>HYPERLINK("http://genome.ucsc.edu/cgi-bin/hgTracks?db=hg19&amp;lastVirtModeType=default&amp;lastVirtModeExtraState=&amp;virtModeType=default&amp;virtMode=0&amp;nonVirtPosition=&amp;position=chr11:8612036-8658836","chr11:8612036-8658836")</f>
        <v>chr11:8612036-8658836</v>
      </c>
      <c r="F827" t="s">
        <v>22</v>
      </c>
      <c r="G827">
        <v>-0.38623592475940799</v>
      </c>
      <c r="H827">
        <v>0.116388292964675</v>
      </c>
      <c r="I827">
        <v>-3.3185118100893001</v>
      </c>
      <c r="J827">
        <v>9.0498495471099403E-4</v>
      </c>
      <c r="K827">
        <v>1.54365219762519E-2</v>
      </c>
      <c r="L827" t="s">
        <v>23</v>
      </c>
      <c r="M827" t="s">
        <v>24</v>
      </c>
      <c r="N827">
        <v>177.28674179201499</v>
      </c>
      <c r="O827">
        <v>216.30409472575101</v>
      </c>
      <c r="P827">
        <v>138.26938885827801</v>
      </c>
      <c r="Q827">
        <v>222.888341614214</v>
      </c>
      <c r="R827">
        <v>209.719847837289</v>
      </c>
      <c r="S827">
        <v>149.94812644569299</v>
      </c>
      <c r="T827">
        <v>126.590651270864</v>
      </c>
    </row>
    <row r="828" spans="1:20" x14ac:dyDescent="0.2">
      <c r="A828" t="s">
        <v>1650</v>
      </c>
      <c r="B828" s="3" t="str">
        <f>HYPERLINK("http://www.ncbi.nlm.nih.gov/gene/64403","CDH24")</f>
        <v>CDH24</v>
      </c>
      <c r="C828">
        <v>64403</v>
      </c>
      <c r="D828" t="s">
        <v>1651</v>
      </c>
      <c r="E828" s="3" t="str">
        <f>HYPERLINK("http://genome.ucsc.edu/cgi-bin/hgTracks?db=hg19&amp;lastVirtModeType=default&amp;lastVirtModeExtraState=&amp;virtModeType=default&amp;virtMode=0&amp;nonVirtPosition=&amp;position=chr14:23047060-23057538","chr14:23047060-23057538")</f>
        <v>chr14:23047060-23057538</v>
      </c>
      <c r="F828" t="s">
        <v>22</v>
      </c>
      <c r="G828">
        <v>-0.35679604610286703</v>
      </c>
      <c r="H828">
        <v>0.10754718076261099</v>
      </c>
      <c r="I828">
        <v>-3.3175769329595202</v>
      </c>
      <c r="J828">
        <v>9.0801905487678902E-4</v>
      </c>
      <c r="K828">
        <v>1.54690351783606E-2</v>
      </c>
      <c r="L828" t="s">
        <v>23</v>
      </c>
      <c r="M828" t="s">
        <v>24</v>
      </c>
      <c r="N828">
        <v>299.51044490122399</v>
      </c>
      <c r="O828">
        <v>351.05958983362598</v>
      </c>
      <c r="P828">
        <v>247.96129996882101</v>
      </c>
      <c r="Q828">
        <v>364.60129955411497</v>
      </c>
      <c r="R828">
        <v>337.51788011313698</v>
      </c>
      <c r="S828">
        <v>257.47671712056501</v>
      </c>
      <c r="T828">
        <v>238.445882817078</v>
      </c>
    </row>
    <row r="829" spans="1:20" x14ac:dyDescent="0.2">
      <c r="A829" t="s">
        <v>1652</v>
      </c>
      <c r="B829" s="3" t="str">
        <f>HYPERLINK("http://www.ncbi.nlm.nih.gov/gene/84081","NSRP1")</f>
        <v>NSRP1</v>
      </c>
      <c r="C829">
        <v>84081</v>
      </c>
      <c r="D829" t="s">
        <v>1653</v>
      </c>
      <c r="E829" s="3" t="str">
        <f>HYPERLINK("http://genome.ucsc.edu/cgi-bin/hgTracks?db=hg19&amp;lastVirtModeType=default&amp;lastVirtModeExtraState=&amp;virtModeType=default&amp;virtMode=0&amp;nonVirtPosition=&amp;position=chr17:30116806-30186475","chr17:30116806-30186475")</f>
        <v>chr17:30116806-30186475</v>
      </c>
      <c r="F829" t="s">
        <v>27</v>
      </c>
      <c r="G829">
        <v>0.220260816960374</v>
      </c>
      <c r="H829">
        <v>6.6421819790091305E-2</v>
      </c>
      <c r="I829">
        <v>3.3160912732660801</v>
      </c>
      <c r="J829">
        <v>9.1286009463606205E-4</v>
      </c>
      <c r="K829">
        <v>1.5532212577964E-2</v>
      </c>
      <c r="L829" t="s">
        <v>23</v>
      </c>
      <c r="M829" t="s">
        <v>24</v>
      </c>
      <c r="N829">
        <v>1770.0662569803701</v>
      </c>
      <c r="O829">
        <v>1623.2363033813299</v>
      </c>
      <c r="P829">
        <v>1916.8962105794201</v>
      </c>
      <c r="Q829">
        <v>1707.4347650817199</v>
      </c>
      <c r="R829">
        <v>1539.0378416809399</v>
      </c>
      <c r="S829">
        <v>1967.08265876784</v>
      </c>
      <c r="T829">
        <v>1866.7097623909999</v>
      </c>
    </row>
    <row r="830" spans="1:20" x14ac:dyDescent="0.2">
      <c r="A830" t="s">
        <v>1652</v>
      </c>
      <c r="B830" s="3" t="str">
        <f>HYPERLINK("http://www.ncbi.nlm.nih.gov/gene/494335","MIR423")</f>
        <v>MIR423</v>
      </c>
      <c r="C830">
        <v>494335</v>
      </c>
      <c r="D830" t="s">
        <v>1654</v>
      </c>
      <c r="E830" s="3" t="str">
        <f>HYPERLINK("http://genome.ucsc.edu/cgi-bin/hgTracks?db=hg19&amp;lastVirtModeType=default&amp;lastVirtModeExtraState=&amp;virtModeType=default&amp;virtMode=0&amp;nonVirtPosition=&amp;position=chr17:30117078-30117172","chr17:30117078-30117172")</f>
        <v>chr17:30117078-30117172</v>
      </c>
      <c r="F830" t="s">
        <v>27</v>
      </c>
      <c r="G830">
        <v>0.220260816960374</v>
      </c>
      <c r="H830">
        <v>6.6421819790091305E-2</v>
      </c>
      <c r="I830">
        <v>3.3160912732660801</v>
      </c>
      <c r="J830">
        <v>9.1286009463606205E-4</v>
      </c>
      <c r="K830">
        <v>1.5532212577964E-2</v>
      </c>
      <c r="L830" t="s">
        <v>23</v>
      </c>
      <c r="M830" t="s">
        <v>24</v>
      </c>
      <c r="N830">
        <v>1770.0662569803701</v>
      </c>
      <c r="O830">
        <v>1623.2363033813299</v>
      </c>
      <c r="P830">
        <v>1916.8962105794201</v>
      </c>
      <c r="Q830">
        <v>1707.4347650817199</v>
      </c>
      <c r="R830">
        <v>1539.0378416809399</v>
      </c>
      <c r="S830">
        <v>1967.08265876784</v>
      </c>
      <c r="T830">
        <v>1866.7097623909999</v>
      </c>
    </row>
    <row r="831" spans="1:20" x14ac:dyDescent="0.2">
      <c r="A831" t="s">
        <v>1655</v>
      </c>
      <c r="B831" s="3" t="str">
        <f>HYPERLINK("http://www.ncbi.nlm.nih.gov/gene/79690","GAL3ST4")</f>
        <v>GAL3ST4</v>
      </c>
      <c r="C831">
        <v>79690</v>
      </c>
      <c r="D831" t="s">
        <v>1656</v>
      </c>
      <c r="E831" s="3" t="str">
        <f>HYPERLINK("http://genome.ucsc.edu/cgi-bin/hgTracks?db=hg19&amp;lastVirtModeType=default&amp;lastVirtModeExtraState=&amp;virtModeType=default&amp;virtMode=0&amp;nonVirtPosition=&amp;position=chr7:100159241-100168750","chr7:100159241-100168750")</f>
        <v>chr7:100159241-100168750</v>
      </c>
      <c r="F831" t="s">
        <v>22</v>
      </c>
      <c r="G831">
        <v>-0.39129766538011501</v>
      </c>
      <c r="H831">
        <v>0.118054804510058</v>
      </c>
      <c r="I831">
        <v>-3.3145424873138398</v>
      </c>
      <c r="J831">
        <v>9.1793228771478602E-4</v>
      </c>
      <c r="K831">
        <v>1.55902975911529E-2</v>
      </c>
      <c r="L831" t="s">
        <v>23</v>
      </c>
      <c r="M831" t="s">
        <v>24</v>
      </c>
      <c r="N831">
        <v>156.09592795002399</v>
      </c>
      <c r="O831">
        <v>195.04130054408299</v>
      </c>
      <c r="P831">
        <v>117.150555355965</v>
      </c>
      <c r="Q831">
        <v>196.747116363164</v>
      </c>
      <c r="R831">
        <v>193.33548472500101</v>
      </c>
      <c r="S831">
        <v>97.663582356076205</v>
      </c>
      <c r="T831">
        <v>136.63752835585399</v>
      </c>
    </row>
    <row r="832" spans="1:20" x14ac:dyDescent="0.2">
      <c r="A832" t="s">
        <v>1657</v>
      </c>
      <c r="B832" s="3" t="str">
        <f>HYPERLINK("http://www.ncbi.nlm.nih.gov/gene/57820","CCNB1IP1")</f>
        <v>CCNB1IP1</v>
      </c>
      <c r="C832">
        <v>57820</v>
      </c>
      <c r="D832" t="s">
        <v>1658</v>
      </c>
      <c r="E832" s="3" t="str">
        <f>HYPERLINK("http://genome.ucsc.edu/cgi-bin/hgTracks?db=hg19&amp;lastVirtModeType=default&amp;lastVirtModeExtraState=&amp;virtModeType=default&amp;virtMode=0&amp;nonVirtPosition=&amp;position=chr14:20311367-20333312","chr14:20311367-20333312")</f>
        <v>chr14:20311367-20333312</v>
      </c>
      <c r="F832" t="s">
        <v>22</v>
      </c>
      <c r="G832">
        <v>0.30146171663211502</v>
      </c>
      <c r="H832">
        <v>9.0956370392046695E-2</v>
      </c>
      <c r="I832">
        <v>3.3143551719657798</v>
      </c>
      <c r="J832">
        <v>9.1854750281839795E-4</v>
      </c>
      <c r="K832">
        <v>1.55902975911529E-2</v>
      </c>
      <c r="L832" t="s">
        <v>23</v>
      </c>
      <c r="M832" t="s">
        <v>24</v>
      </c>
      <c r="N832">
        <v>759.277527440423</v>
      </c>
      <c r="O832">
        <v>661.34774481531804</v>
      </c>
      <c r="P832">
        <v>857.20731006552796</v>
      </c>
      <c r="Q832">
        <v>635.64452978868405</v>
      </c>
      <c r="R832">
        <v>687.05095984195202</v>
      </c>
      <c r="S832">
        <v>940.13529278121905</v>
      </c>
      <c r="T832">
        <v>774.27932734983699</v>
      </c>
    </row>
    <row r="833" spans="1:20" x14ac:dyDescent="0.2">
      <c r="A833" t="s">
        <v>1659</v>
      </c>
      <c r="B833" s="3" t="str">
        <f>HYPERLINK("http://www.ncbi.nlm.nih.gov/gene/5426","POLE")</f>
        <v>POLE</v>
      </c>
      <c r="C833">
        <v>5426</v>
      </c>
      <c r="D833" t="s">
        <v>1660</v>
      </c>
      <c r="E833" s="3" t="str">
        <f>HYPERLINK("http://genome.ucsc.edu/cgi-bin/hgTracks?db=hg19&amp;lastVirtModeType=default&amp;lastVirtModeExtraState=&amp;virtModeType=default&amp;virtMode=0&amp;nonVirtPosition=&amp;position=chr12:132623761-132687524","chr12:132623761-132687524")</f>
        <v>chr12:132623761-132687524</v>
      </c>
      <c r="F833" t="s">
        <v>22</v>
      </c>
      <c r="G833">
        <v>-0.27495841964032502</v>
      </c>
      <c r="H833">
        <v>8.2994385184467098E-2</v>
      </c>
      <c r="I833">
        <v>-3.31297616132934</v>
      </c>
      <c r="J833">
        <v>9.2308847421837103E-4</v>
      </c>
      <c r="K833">
        <v>1.56480041229057E-2</v>
      </c>
      <c r="L833" t="s">
        <v>23</v>
      </c>
      <c r="M833" t="s">
        <v>24</v>
      </c>
      <c r="N833">
        <v>771.38233161086498</v>
      </c>
      <c r="O833">
        <v>856.39412896665795</v>
      </c>
      <c r="P833">
        <v>686.37053425507202</v>
      </c>
      <c r="Q833">
        <v>869.53970308755004</v>
      </c>
      <c r="R833">
        <v>843.24855484576597</v>
      </c>
      <c r="S833">
        <v>708.30759728952296</v>
      </c>
      <c r="T833">
        <v>664.43347122062096</v>
      </c>
    </row>
    <row r="834" spans="1:20" x14ac:dyDescent="0.2">
      <c r="A834" t="s">
        <v>1661</v>
      </c>
      <c r="B834" s="3" t="str">
        <f>HYPERLINK("http://www.ncbi.nlm.nih.gov/gene/10550","ARL6IP5")</f>
        <v>ARL6IP5</v>
      </c>
      <c r="C834">
        <v>10550</v>
      </c>
      <c r="D834" t="s">
        <v>1662</v>
      </c>
      <c r="E834" s="3" t="str">
        <f>HYPERLINK("http://genome.ucsc.edu/cgi-bin/hgTracks?db=hg19&amp;lastVirtModeType=default&amp;lastVirtModeExtraState=&amp;virtModeType=default&amp;virtMode=0&amp;nonVirtPosition=&amp;position=chr3:69084938-69106088","chr3:69084938-69106088")</f>
        <v>chr3:69084938-69106088</v>
      </c>
      <c r="F834" t="s">
        <v>27</v>
      </c>
      <c r="G834">
        <v>0.14502614874361799</v>
      </c>
      <c r="H834">
        <v>4.3780907930914902E-2</v>
      </c>
      <c r="I834">
        <v>3.3125431974244401</v>
      </c>
      <c r="J834">
        <v>9.2451847464502103E-4</v>
      </c>
      <c r="K834">
        <v>1.5652896742323199E-2</v>
      </c>
      <c r="L834" t="s">
        <v>23</v>
      </c>
      <c r="M834" t="s">
        <v>24</v>
      </c>
      <c r="N834">
        <v>6536.23876452903</v>
      </c>
      <c r="O834">
        <v>6196.4124534624498</v>
      </c>
      <c r="P834">
        <v>6876.0650755956203</v>
      </c>
      <c r="Q834">
        <v>6119.7984166668102</v>
      </c>
      <c r="R834">
        <v>6273.0264902580802</v>
      </c>
      <c r="S834">
        <v>6759.5037000387301</v>
      </c>
      <c r="T834">
        <v>6992.6264511525096</v>
      </c>
    </row>
    <row r="835" spans="1:20" x14ac:dyDescent="0.2">
      <c r="A835" t="s">
        <v>1663</v>
      </c>
      <c r="B835" s="3" t="str">
        <f>HYPERLINK("http://www.ncbi.nlm.nih.gov/gene/376267","RAB15")</f>
        <v>RAB15</v>
      </c>
      <c r="C835">
        <v>376267</v>
      </c>
      <c r="D835" t="s">
        <v>1664</v>
      </c>
      <c r="E835" s="3" t="str">
        <f>HYPERLINK("http://genome.ucsc.edu/cgi-bin/hgTracks?db=hg19&amp;lastVirtModeType=default&amp;lastVirtModeExtraState=&amp;virtModeType=default&amp;virtMode=0&amp;nonVirtPosition=&amp;position=chr14:64945813-64972157","chr14:64945813-64972157")</f>
        <v>chr14:64945813-64972157</v>
      </c>
      <c r="F835" t="s">
        <v>22</v>
      </c>
      <c r="G835">
        <v>-0.32429805170628601</v>
      </c>
      <c r="H835">
        <v>9.7925306841738696E-2</v>
      </c>
      <c r="I835">
        <v>-3.3116878789095701</v>
      </c>
      <c r="J835">
        <v>9.2734946957083605E-4</v>
      </c>
      <c r="K835">
        <v>1.5679417370387399E-2</v>
      </c>
      <c r="L835" t="s">
        <v>23</v>
      </c>
      <c r="M835" t="s">
        <v>24</v>
      </c>
      <c r="N835">
        <v>442.211169051458</v>
      </c>
      <c r="O835">
        <v>504.98803383925701</v>
      </c>
      <c r="P835">
        <v>379.43430426365899</v>
      </c>
      <c r="Q835">
        <v>485.67644808529298</v>
      </c>
      <c r="R835">
        <v>524.29961959322202</v>
      </c>
      <c r="S835">
        <v>381.77582193738903</v>
      </c>
      <c r="T835">
        <v>377.09278658992901</v>
      </c>
    </row>
    <row r="836" spans="1:20" x14ac:dyDescent="0.2">
      <c r="A836" t="s">
        <v>1665</v>
      </c>
      <c r="B836" s="3" t="str">
        <f>HYPERLINK("http://www.ncbi.nlm.nih.gov/gene/7453","WARS")</f>
        <v>WARS</v>
      </c>
      <c r="C836">
        <v>7453</v>
      </c>
      <c r="D836" t="s">
        <v>1666</v>
      </c>
      <c r="E836" s="3" t="str">
        <f>HYPERLINK("http://genome.ucsc.edu/cgi-bin/hgTracks?db=hg19&amp;lastVirtModeType=default&amp;lastVirtModeExtraState=&amp;virtModeType=default&amp;virtMode=0&amp;nonVirtPosition=&amp;position=chr14:100333787-100375590","chr14:100333787-100375590")</f>
        <v>chr14:100333787-100375590</v>
      </c>
      <c r="F836" t="s">
        <v>22</v>
      </c>
      <c r="G836">
        <v>0.18159262561848499</v>
      </c>
      <c r="H836">
        <v>5.4838962234495803E-2</v>
      </c>
      <c r="I836">
        <v>3.3113796873467498</v>
      </c>
      <c r="J836">
        <v>9.2837151121150498E-4</v>
      </c>
      <c r="K836">
        <v>1.5679417370387399E-2</v>
      </c>
      <c r="L836" t="s">
        <v>23</v>
      </c>
      <c r="M836" t="s">
        <v>24</v>
      </c>
      <c r="N836">
        <v>4348.1586350104699</v>
      </c>
      <c r="O836">
        <v>4054.66609464365</v>
      </c>
      <c r="P836">
        <v>4641.6511753773002</v>
      </c>
      <c r="Q836">
        <v>3853.7669435889702</v>
      </c>
      <c r="R836">
        <v>4255.5652456983198</v>
      </c>
      <c r="S836">
        <v>4796.3670445984098</v>
      </c>
      <c r="T836">
        <v>4486.9353061561897</v>
      </c>
    </row>
    <row r="837" spans="1:20" x14ac:dyDescent="0.2">
      <c r="A837" t="s">
        <v>1667</v>
      </c>
      <c r="B837" s="3" t="str">
        <f>HYPERLINK("http://www.ncbi.nlm.nih.gov/gene/91107","TRIM47")</f>
        <v>TRIM47</v>
      </c>
      <c r="C837">
        <v>91107</v>
      </c>
      <c r="D837" t="s">
        <v>1668</v>
      </c>
      <c r="E837" s="3" t="str">
        <f>HYPERLINK("http://genome.ucsc.edu/cgi-bin/hgTracks?db=hg19&amp;lastVirtModeType=default&amp;lastVirtModeExtraState=&amp;virtModeType=default&amp;virtMode=0&amp;nonVirtPosition=&amp;position=chr17:75874163-75878575","chr17:75874163-75878575")</f>
        <v>chr17:75874163-75878575</v>
      </c>
      <c r="F837" t="s">
        <v>22</v>
      </c>
      <c r="G837">
        <v>0.37426256520610701</v>
      </c>
      <c r="H837">
        <v>0.11319018353721701</v>
      </c>
      <c r="I837">
        <v>3.3064931384535501</v>
      </c>
      <c r="J837">
        <v>9.4471664195524402E-4</v>
      </c>
      <c r="K837">
        <v>1.59210573313632E-2</v>
      </c>
      <c r="L837" t="s">
        <v>23</v>
      </c>
      <c r="M837" t="s">
        <v>24</v>
      </c>
      <c r="N837">
        <v>224.330774594856</v>
      </c>
      <c r="O837">
        <v>180.25341227145901</v>
      </c>
      <c r="P837">
        <v>268.40813691825201</v>
      </c>
      <c r="Q837">
        <v>185.74028467851099</v>
      </c>
      <c r="R837">
        <v>174.76653986440701</v>
      </c>
      <c r="S837">
        <v>255.503715456805</v>
      </c>
      <c r="T837">
        <v>281.312558379699</v>
      </c>
    </row>
    <row r="838" spans="1:20" x14ac:dyDescent="0.2">
      <c r="A838" t="s">
        <v>1669</v>
      </c>
      <c r="B838" s="3" t="str">
        <f>HYPERLINK("http://www.ncbi.nlm.nih.gov/gene/3481","IGF2")</f>
        <v>IGF2</v>
      </c>
      <c r="C838">
        <v>3481</v>
      </c>
      <c r="D838" t="s">
        <v>1670</v>
      </c>
      <c r="E838" s="3" t="str">
        <f>HYPERLINK("http://genome.ucsc.edu/cgi-bin/hgTracks?db=hg19&amp;lastVirtModeType=default&amp;lastVirtModeExtraState=&amp;virtModeType=default&amp;virtMode=0&amp;nonVirtPosition=&amp;position=chr11:2129111-2137288","chr11:2129111-2137288")</f>
        <v>chr11:2129111-2137288</v>
      </c>
      <c r="F838" t="s">
        <v>22</v>
      </c>
      <c r="G838">
        <v>0.19245571969205699</v>
      </c>
      <c r="H838">
        <v>5.8206872238340999E-2</v>
      </c>
      <c r="I838">
        <v>3.3064088876654401</v>
      </c>
      <c r="J838">
        <v>9.4500077787149301E-4</v>
      </c>
      <c r="K838">
        <v>1.59210573313632E-2</v>
      </c>
      <c r="L838" t="s">
        <v>23</v>
      </c>
      <c r="M838" t="s">
        <v>24</v>
      </c>
      <c r="N838">
        <v>4536.6381129131696</v>
      </c>
      <c r="O838">
        <v>4216.8223054562204</v>
      </c>
      <c r="P838">
        <v>4856.4539203701097</v>
      </c>
      <c r="Q838">
        <v>4234.8784906700603</v>
      </c>
      <c r="R838">
        <v>4198.7661202423897</v>
      </c>
      <c r="S838">
        <v>4509.2953025214601</v>
      </c>
      <c r="T838">
        <v>5203.6125382187602</v>
      </c>
    </row>
    <row r="839" spans="1:20" x14ac:dyDescent="0.2">
      <c r="A839" t="s">
        <v>1671</v>
      </c>
      <c r="B839" s="3" t="str">
        <f>HYPERLINK("http://www.ncbi.nlm.nih.gov/gene/55884","WSB2")</f>
        <v>WSB2</v>
      </c>
      <c r="C839">
        <v>55884</v>
      </c>
      <c r="D839" t="s">
        <v>1672</v>
      </c>
      <c r="E839" s="3" t="str">
        <f>HYPERLINK("http://genome.ucsc.edu/cgi-bin/hgTracks?db=hg19&amp;lastVirtModeType=default&amp;lastVirtModeExtraState=&amp;virtModeType=default&amp;virtMode=0&amp;nonVirtPosition=&amp;position=chr12:118032690-118061211","chr12:118032690-118061211")</f>
        <v>chr12:118032690-118061211</v>
      </c>
      <c r="F839" t="s">
        <v>22</v>
      </c>
      <c r="G839">
        <v>-0.153364055469354</v>
      </c>
      <c r="H839">
        <v>4.6406275338857897E-2</v>
      </c>
      <c r="I839">
        <v>-3.3048128588104202</v>
      </c>
      <c r="J839">
        <v>9.5039836451492397E-4</v>
      </c>
      <c r="K839">
        <v>1.5947220122549701E-2</v>
      </c>
      <c r="L839" t="s">
        <v>23</v>
      </c>
      <c r="M839" t="s">
        <v>24</v>
      </c>
      <c r="N839">
        <v>5347.5254049145897</v>
      </c>
      <c r="O839">
        <v>5641.9674327708599</v>
      </c>
      <c r="P839">
        <v>5053.0833770583204</v>
      </c>
      <c r="Q839">
        <v>5482.7780329175403</v>
      </c>
      <c r="R839">
        <v>5801.1568326241804</v>
      </c>
      <c r="S839">
        <v>5031.1542425857497</v>
      </c>
      <c r="T839">
        <v>5075.0125115308902</v>
      </c>
    </row>
    <row r="840" spans="1:20" x14ac:dyDescent="0.2">
      <c r="A840" t="s">
        <v>1673</v>
      </c>
      <c r="B840" s="3" t="str">
        <f>HYPERLINK("http://www.ncbi.nlm.nih.gov/gene/6872","TAF1")</f>
        <v>TAF1</v>
      </c>
      <c r="C840">
        <v>6872</v>
      </c>
      <c r="D840" t="s">
        <v>1674</v>
      </c>
      <c r="E840" s="3" t="str">
        <f>HYPERLINK("http://genome.ucsc.edu/cgi-bin/hgTracks?db=hg19&amp;lastVirtModeType=default&amp;lastVirtModeExtraState=&amp;virtModeType=default&amp;virtMode=0&amp;nonVirtPosition=&amp;position=chrX:71366238-71466005","chrX:71366238-71466005")</f>
        <v>chrX:71366238-71466005</v>
      </c>
      <c r="F840" t="s">
        <v>27</v>
      </c>
      <c r="G840">
        <v>-0.253609677354658</v>
      </c>
      <c r="H840">
        <v>7.6743159429017202E-2</v>
      </c>
      <c r="I840">
        <v>-3.3046551541734601</v>
      </c>
      <c r="J840">
        <v>9.50933250925126E-4</v>
      </c>
      <c r="K840">
        <v>1.5947220122549701E-2</v>
      </c>
      <c r="L840" t="s">
        <v>23</v>
      </c>
      <c r="M840" t="s">
        <v>24</v>
      </c>
      <c r="N840">
        <v>1024.4254282537499</v>
      </c>
      <c r="O840">
        <v>1126.3934060193999</v>
      </c>
      <c r="P840">
        <v>922.45745048809999</v>
      </c>
      <c r="Q840">
        <v>1173.60342837608</v>
      </c>
      <c r="R840">
        <v>1079.18338366272</v>
      </c>
      <c r="S840">
        <v>946.05429777249606</v>
      </c>
      <c r="T840">
        <v>898.86060320370302</v>
      </c>
    </row>
    <row r="841" spans="1:20" x14ac:dyDescent="0.2">
      <c r="A841" t="s">
        <v>1675</v>
      </c>
      <c r="B841" s="3" t="str">
        <f>HYPERLINK("http://www.ncbi.nlm.nih.gov/gene/23207","PLEKHM2")</f>
        <v>PLEKHM2</v>
      </c>
      <c r="C841">
        <v>23207</v>
      </c>
      <c r="D841" t="s">
        <v>1676</v>
      </c>
      <c r="E841" s="3" t="str">
        <f>HYPERLINK("http://genome.ucsc.edu/cgi-bin/hgTracks?db=hg19&amp;lastVirtModeType=default&amp;lastVirtModeExtraState=&amp;virtModeType=default&amp;virtMode=0&amp;nonVirtPosition=&amp;position=chr1:15684331-15734769","chr1:15684331-15734769")</f>
        <v>chr1:15684331-15734769</v>
      </c>
      <c r="F841" t="s">
        <v>27</v>
      </c>
      <c r="G841">
        <v>0.14959920935217</v>
      </c>
      <c r="H841">
        <v>4.5269625890487997E-2</v>
      </c>
      <c r="I841">
        <v>3.3046265881248198</v>
      </c>
      <c r="J841">
        <v>9.5103016814255203E-4</v>
      </c>
      <c r="K841">
        <v>1.5947220122549701E-2</v>
      </c>
      <c r="L841" t="s">
        <v>23</v>
      </c>
      <c r="M841" t="s">
        <v>24</v>
      </c>
      <c r="N841">
        <v>5115.9375610740599</v>
      </c>
      <c r="O841">
        <v>4839.3994541531401</v>
      </c>
      <c r="P841">
        <v>5392.4756679949796</v>
      </c>
      <c r="Q841">
        <v>4764.5822654939602</v>
      </c>
      <c r="R841">
        <v>4914.2166428123101</v>
      </c>
      <c r="S841">
        <v>5397.1460512130598</v>
      </c>
      <c r="T841">
        <v>5387.8052847768904</v>
      </c>
    </row>
    <row r="842" spans="1:20" x14ac:dyDescent="0.2">
      <c r="A842" t="s">
        <v>1677</v>
      </c>
      <c r="B842" s="3" t="str">
        <f>HYPERLINK("http://www.ncbi.nlm.nih.gov/gene/64065","PERP")</f>
        <v>PERP</v>
      </c>
      <c r="C842">
        <v>64065</v>
      </c>
      <c r="D842" t="s">
        <v>1678</v>
      </c>
      <c r="E842" s="3" t="str">
        <f>HYPERLINK("http://genome.ucsc.edu/cgi-bin/hgTracks?db=hg19&amp;lastVirtModeType=default&amp;lastVirtModeExtraState=&amp;virtModeType=default&amp;virtMode=0&amp;nonVirtPosition=&amp;position=chr6:138088504-138107523","chr6:138088504-138107523")</f>
        <v>chr6:138088504-138107523</v>
      </c>
      <c r="F842" t="s">
        <v>22</v>
      </c>
      <c r="G842">
        <v>-0.15785392001339499</v>
      </c>
      <c r="H842">
        <v>4.7768444756224403E-2</v>
      </c>
      <c r="I842">
        <v>-3.3045647774167</v>
      </c>
      <c r="J842">
        <v>9.5123990721258402E-4</v>
      </c>
      <c r="K842">
        <v>1.5947220122549701E-2</v>
      </c>
      <c r="L842" t="s">
        <v>23</v>
      </c>
      <c r="M842" t="s">
        <v>24</v>
      </c>
      <c r="N842">
        <v>4524.7384560530199</v>
      </c>
      <c r="O842">
        <v>4784.3799002448905</v>
      </c>
      <c r="P842">
        <v>4265.0970118611503</v>
      </c>
      <c r="Q842">
        <v>4909.0469313550302</v>
      </c>
      <c r="R842">
        <v>4659.7128691347598</v>
      </c>
      <c r="S842">
        <v>4265.6295970472102</v>
      </c>
      <c r="T842">
        <v>4264.5644266750996</v>
      </c>
    </row>
    <row r="843" spans="1:20" x14ac:dyDescent="0.2">
      <c r="A843" t="s">
        <v>1679</v>
      </c>
      <c r="B843" s="3" t="str">
        <f>HYPERLINK("http://www.ncbi.nlm.nih.gov/gene/29967","LRP12")</f>
        <v>LRP12</v>
      </c>
      <c r="C843">
        <v>29967</v>
      </c>
      <c r="D843" t="s">
        <v>1680</v>
      </c>
      <c r="E843" s="3" t="str">
        <f>HYPERLINK("http://genome.ucsc.edu/cgi-bin/hgTracks?db=hg19&amp;lastVirtModeType=default&amp;lastVirtModeExtraState=&amp;virtModeType=default&amp;virtMode=0&amp;nonVirtPosition=&amp;position=chr8:104489230-104589024","chr8:104489230-104589024")</f>
        <v>chr8:104489230-104589024</v>
      </c>
      <c r="F843" t="s">
        <v>22</v>
      </c>
      <c r="G843">
        <v>0.167493331467269</v>
      </c>
      <c r="H843">
        <v>5.0690539408683302E-2</v>
      </c>
      <c r="I843">
        <v>3.3042325732003799</v>
      </c>
      <c r="J843">
        <v>9.52367892691281E-4</v>
      </c>
      <c r="K843">
        <v>1.5947220122549701E-2</v>
      </c>
      <c r="L843" t="s">
        <v>23</v>
      </c>
      <c r="M843" t="s">
        <v>24</v>
      </c>
      <c r="N843">
        <v>4358.4130898559197</v>
      </c>
      <c r="O843">
        <v>4089.8762550531601</v>
      </c>
      <c r="P843">
        <v>4626.9499246586702</v>
      </c>
      <c r="Q843">
        <v>3956.9559906325799</v>
      </c>
      <c r="R843">
        <v>4222.7965194737499</v>
      </c>
      <c r="S843">
        <v>4738.1634955175196</v>
      </c>
      <c r="T843">
        <v>4515.7363537998299</v>
      </c>
    </row>
    <row r="844" spans="1:20" x14ac:dyDescent="0.2">
      <c r="A844" t="s">
        <v>1681</v>
      </c>
      <c r="B844" s="3" t="str">
        <f>HYPERLINK("http://www.ncbi.nlm.nih.gov/gene/126321","MFSD12")</f>
        <v>MFSD12</v>
      </c>
      <c r="C844">
        <v>126321</v>
      </c>
      <c r="D844" t="s">
        <v>1682</v>
      </c>
      <c r="E844" s="3" t="str">
        <f>HYPERLINK("http://genome.ucsc.edu/cgi-bin/hgTracks?db=hg19&amp;lastVirtModeType=default&amp;lastVirtModeExtraState=&amp;virtModeType=default&amp;virtMode=0&amp;nonVirtPosition=&amp;position=chr19:3544198-3557584","chr19:3544198-3557584")</f>
        <v>chr19:3544198-3557584</v>
      </c>
      <c r="F844" t="s">
        <v>22</v>
      </c>
      <c r="G844">
        <v>0.17636065382834601</v>
      </c>
      <c r="H844">
        <v>5.3385040345397303E-2</v>
      </c>
      <c r="I844">
        <v>3.3035594370127899</v>
      </c>
      <c r="J844">
        <v>9.5465729800709896E-4</v>
      </c>
      <c r="K844">
        <v>1.59660612010602E-2</v>
      </c>
      <c r="L844" t="s">
        <v>23</v>
      </c>
      <c r="M844" t="s">
        <v>24</v>
      </c>
      <c r="N844">
        <v>3190.7444508045801</v>
      </c>
      <c r="O844">
        <v>2986.5093176346099</v>
      </c>
      <c r="P844">
        <v>3394.9795839745598</v>
      </c>
      <c r="Q844">
        <v>2985.6030944620002</v>
      </c>
      <c r="R844">
        <v>2987.4155408072202</v>
      </c>
      <c r="S844">
        <v>3290.9667751502002</v>
      </c>
      <c r="T844">
        <v>3498.9923927989198</v>
      </c>
    </row>
    <row r="845" spans="1:20" x14ac:dyDescent="0.2">
      <c r="A845" t="s">
        <v>1683</v>
      </c>
      <c r="B845" s="3" t="str">
        <f>HYPERLINK("http://www.ncbi.nlm.nih.gov/gene/151636","DTX3L")</f>
        <v>DTX3L</v>
      </c>
      <c r="C845">
        <v>151636</v>
      </c>
      <c r="D845" t="s">
        <v>1684</v>
      </c>
      <c r="E845" s="3" t="str">
        <f>HYPERLINK("http://genome.ucsc.edu/cgi-bin/hgTracks?db=hg19&amp;lastVirtModeType=default&amp;lastVirtModeExtraState=&amp;virtModeType=default&amp;virtMode=0&amp;nonVirtPosition=&amp;position=chr3:122564337-122575202","chr3:122564337-122575202")</f>
        <v>chr3:122564337-122575202</v>
      </c>
      <c r="F845" t="s">
        <v>27</v>
      </c>
      <c r="G845">
        <v>-0.249111967410378</v>
      </c>
      <c r="H845">
        <v>7.5434881325958797E-2</v>
      </c>
      <c r="I845">
        <v>-3.3023445259223001</v>
      </c>
      <c r="J845">
        <v>9.5880224308130999E-4</v>
      </c>
      <c r="K845">
        <v>1.6012309724195699E-2</v>
      </c>
      <c r="L845" t="s">
        <v>23</v>
      </c>
      <c r="M845" t="s">
        <v>24</v>
      </c>
      <c r="N845">
        <v>1018.09043055527</v>
      </c>
      <c r="O845">
        <v>1116.8412676312</v>
      </c>
      <c r="P845">
        <v>919.33959347935399</v>
      </c>
      <c r="Q845">
        <v>1139.2070793615401</v>
      </c>
      <c r="R845">
        <v>1094.47545590085</v>
      </c>
      <c r="S845">
        <v>939.14879194933906</v>
      </c>
      <c r="T845">
        <v>899.53039500936904</v>
      </c>
    </row>
    <row r="846" spans="1:20" x14ac:dyDescent="0.2">
      <c r="A846" t="s">
        <v>1685</v>
      </c>
      <c r="B846" s="3" t="str">
        <f>HYPERLINK("http://www.ncbi.nlm.nih.gov/gene/283431","GAS2L3")</f>
        <v>GAS2L3</v>
      </c>
      <c r="C846">
        <v>283431</v>
      </c>
      <c r="D846" t="s">
        <v>1686</v>
      </c>
      <c r="E846" s="3" t="str">
        <f>HYPERLINK("http://genome.ucsc.edu/cgi-bin/hgTracks?db=hg19&amp;lastVirtModeType=default&amp;lastVirtModeExtraState=&amp;virtModeType=default&amp;virtMode=0&amp;nonVirtPosition=&amp;position=chr12:100593617-100628288","chr12:100593617-100628288")</f>
        <v>chr12:100593617-100628288</v>
      </c>
      <c r="F846" t="s">
        <v>27</v>
      </c>
      <c r="G846">
        <v>-0.37976372358962701</v>
      </c>
      <c r="H846">
        <v>0.115007944502761</v>
      </c>
      <c r="I846">
        <v>-3.30206513325269</v>
      </c>
      <c r="J846">
        <v>9.5975780904833505E-4</v>
      </c>
      <c r="K846">
        <v>1.6012309724195699E-2</v>
      </c>
      <c r="L846" t="s">
        <v>23</v>
      </c>
      <c r="M846" t="s">
        <v>24</v>
      </c>
      <c r="N846">
        <v>194.56324869875499</v>
      </c>
      <c r="O846">
        <v>234.87303958634499</v>
      </c>
      <c r="P846">
        <v>154.25345781116499</v>
      </c>
      <c r="Q846">
        <v>222.888341614214</v>
      </c>
      <c r="R846">
        <v>246.857737558476</v>
      </c>
      <c r="S846">
        <v>159.81313476448801</v>
      </c>
      <c r="T846">
        <v>148.69378085784101</v>
      </c>
    </row>
    <row r="847" spans="1:20" x14ac:dyDescent="0.2">
      <c r="A847" t="s">
        <v>1687</v>
      </c>
      <c r="B847" s="3" t="str">
        <f>HYPERLINK("http://www.ncbi.nlm.nih.gov/gene/9990","SLC12A6")</f>
        <v>SLC12A6</v>
      </c>
      <c r="C847">
        <v>9990</v>
      </c>
      <c r="D847" t="s">
        <v>1688</v>
      </c>
      <c r="E847" s="3" t="str">
        <f>HYPERLINK("http://genome.ucsc.edu/cgi-bin/hgTracks?db=hg19&amp;lastVirtModeType=default&amp;lastVirtModeExtraState=&amp;virtModeType=default&amp;virtMode=0&amp;nonVirtPosition=&amp;position=chr15:34229995-34336844","chr15:34229995-34336844")</f>
        <v>chr15:34229995-34336844</v>
      </c>
      <c r="F847" t="s">
        <v>22</v>
      </c>
      <c r="G847">
        <v>0.217132702969906</v>
      </c>
      <c r="H847">
        <v>6.5814368836513107E-2</v>
      </c>
      <c r="I847">
        <v>3.2991686588878002</v>
      </c>
      <c r="J847">
        <v>9.6971630148920396E-4</v>
      </c>
      <c r="K847">
        <v>1.61587963045236E-2</v>
      </c>
      <c r="L847" t="s">
        <v>23</v>
      </c>
      <c r="M847" t="s">
        <v>24</v>
      </c>
      <c r="N847">
        <v>2029.4695679041399</v>
      </c>
      <c r="O847">
        <v>1860.7459799954099</v>
      </c>
      <c r="P847">
        <v>2198.1931558128599</v>
      </c>
      <c r="Q847">
        <v>1834.01332945523</v>
      </c>
      <c r="R847">
        <v>1887.4786305355999</v>
      </c>
      <c r="S847">
        <v>2332.0879665632701</v>
      </c>
      <c r="T847">
        <v>2064.2983450624502</v>
      </c>
    </row>
    <row r="848" spans="1:20" x14ac:dyDescent="0.2">
      <c r="A848" t="s">
        <v>1689</v>
      </c>
      <c r="B848" s="3" t="str">
        <f>HYPERLINK("http://www.ncbi.nlm.nih.gov/gene/9201","DCLK1")</f>
        <v>DCLK1</v>
      </c>
      <c r="C848">
        <v>9201</v>
      </c>
      <c r="D848" t="s">
        <v>1690</v>
      </c>
      <c r="E848" s="3" t="str">
        <f>HYPERLINK("http://genome.ucsc.edu/cgi-bin/hgTracks?db=hg19&amp;lastVirtModeType=default&amp;lastVirtModeExtraState=&amp;virtModeType=default&amp;virtMode=0&amp;nonVirtPosition=&amp;position=chr13:35768651-36132020","chr13:35768651-36132020")</f>
        <v>chr13:35768651-36132020</v>
      </c>
      <c r="F848" t="s">
        <v>22</v>
      </c>
      <c r="G848">
        <v>-0.37915080956554797</v>
      </c>
      <c r="H848">
        <v>0.11498558746363</v>
      </c>
      <c r="I848">
        <v>-3.2973768098151899</v>
      </c>
      <c r="J848">
        <v>9.7592475492609405E-4</v>
      </c>
      <c r="K848">
        <v>1.6242514671185E-2</v>
      </c>
      <c r="L848" t="s">
        <v>23</v>
      </c>
      <c r="M848" t="s">
        <v>24</v>
      </c>
      <c r="N848">
        <v>222.379054042626</v>
      </c>
      <c r="O848">
        <v>268.492455070208</v>
      </c>
      <c r="P848">
        <v>176.26565301504399</v>
      </c>
      <c r="Q848">
        <v>231.143465377703</v>
      </c>
      <c r="R848">
        <v>305.84144476271302</v>
      </c>
      <c r="S848">
        <v>169.678143083284</v>
      </c>
      <c r="T848">
        <v>182.85316294680399</v>
      </c>
    </row>
    <row r="849" spans="1:20" x14ac:dyDescent="0.2">
      <c r="A849" t="s">
        <v>1691</v>
      </c>
      <c r="B849" s="3" t="str">
        <f>HYPERLINK("http://www.ncbi.nlm.nih.gov/gene/79751","SLC25A22")</f>
        <v>SLC25A22</v>
      </c>
      <c r="C849">
        <v>79751</v>
      </c>
      <c r="D849" t="s">
        <v>1692</v>
      </c>
      <c r="E849" s="3" t="str">
        <f>HYPERLINK("http://genome.ucsc.edu/cgi-bin/hgTracks?db=hg19&amp;lastVirtModeType=default&amp;lastVirtModeExtraState=&amp;virtModeType=default&amp;virtMode=0&amp;nonVirtPosition=&amp;position=chr11:790474-796263","chr11:790474-796263")</f>
        <v>chr11:790474-796263</v>
      </c>
      <c r="F849" t="s">
        <v>22</v>
      </c>
      <c r="G849">
        <v>0.22472895925228101</v>
      </c>
      <c r="H849">
        <v>6.8193942676491107E-2</v>
      </c>
      <c r="I849">
        <v>3.2954387212715499</v>
      </c>
      <c r="J849">
        <v>9.8268132646568002E-4</v>
      </c>
      <c r="K849">
        <v>1.63327391543048E-2</v>
      </c>
      <c r="L849" t="s">
        <v>23</v>
      </c>
      <c r="M849" t="s">
        <v>24</v>
      </c>
      <c r="N849">
        <v>1448.5058852254899</v>
      </c>
      <c r="O849">
        <v>1326.16627248239</v>
      </c>
      <c r="P849">
        <v>1570.8454979685901</v>
      </c>
      <c r="Q849">
        <v>1357.96785909401</v>
      </c>
      <c r="R849">
        <v>1294.36468587077</v>
      </c>
      <c r="S849">
        <v>1524.14378525392</v>
      </c>
      <c r="T849">
        <v>1617.5472106832699</v>
      </c>
    </row>
    <row r="850" spans="1:20" x14ac:dyDescent="0.2">
      <c r="A850" t="s">
        <v>1693</v>
      </c>
      <c r="B850" s="3" t="str">
        <f>HYPERLINK("http://www.ncbi.nlm.nih.gov/gene/10055","SAE1")</f>
        <v>SAE1</v>
      </c>
      <c r="C850">
        <v>10055</v>
      </c>
      <c r="D850" t="s">
        <v>1694</v>
      </c>
      <c r="E850" s="3" t="str">
        <f>HYPERLINK("http://genome.ucsc.edu/cgi-bin/hgTracks?db=hg19&amp;lastVirtModeType=default&amp;lastVirtModeExtraState=&amp;virtModeType=default&amp;virtMode=0&amp;nonVirtPosition=&amp;position=chr19:47130822-47210636","chr19:47130822-47210636")</f>
        <v>chr19:47130822-47210636</v>
      </c>
      <c r="F850" t="s">
        <v>27</v>
      </c>
      <c r="G850">
        <v>-0.164274466223437</v>
      </c>
      <c r="H850">
        <v>4.98535671190466E-2</v>
      </c>
      <c r="I850">
        <v>-3.2951396603408898</v>
      </c>
      <c r="J850">
        <v>9.8372776297621107E-4</v>
      </c>
      <c r="K850">
        <v>1.63327391543048E-2</v>
      </c>
      <c r="L850" t="s">
        <v>23</v>
      </c>
      <c r="M850" t="s">
        <v>24</v>
      </c>
      <c r="N850">
        <v>3483.4591641775501</v>
      </c>
      <c r="O850">
        <v>3691.2911986726399</v>
      </c>
      <c r="P850">
        <v>3275.6271296824698</v>
      </c>
      <c r="Q850">
        <v>3661.1473891075502</v>
      </c>
      <c r="R850">
        <v>3721.43500823773</v>
      </c>
      <c r="S850">
        <v>3250.5202410431398</v>
      </c>
      <c r="T850">
        <v>3300.7340183217998</v>
      </c>
    </row>
    <row r="851" spans="1:20" x14ac:dyDescent="0.2">
      <c r="A851" t="s">
        <v>1695</v>
      </c>
      <c r="B851" s="3" t="str">
        <f>HYPERLINK("http://www.ncbi.nlm.nih.gov/gene/55505","NOP10")</f>
        <v>NOP10</v>
      </c>
      <c r="C851">
        <v>55505</v>
      </c>
      <c r="D851" t="s">
        <v>1696</v>
      </c>
      <c r="E851" s="3" t="str">
        <f>HYPERLINK("http://genome.ucsc.edu/cgi-bin/hgTracks?db=hg19&amp;lastVirtModeType=default&amp;lastVirtModeExtraState=&amp;virtModeType=default&amp;virtMode=0&amp;nonVirtPosition=&amp;position=chr15:34341715-34343161","chr15:34341715-34343161")</f>
        <v>chr15:34341715-34343161</v>
      </c>
      <c r="F851" t="s">
        <v>22</v>
      </c>
      <c r="G851">
        <v>0.16262278638394401</v>
      </c>
      <c r="H851">
        <v>4.9360696299805197E-2</v>
      </c>
      <c r="I851">
        <v>3.29458047747567</v>
      </c>
      <c r="J851">
        <v>9.8568715432322202E-4</v>
      </c>
      <c r="K851">
        <v>1.6345482024653801E-2</v>
      </c>
      <c r="L851" t="s">
        <v>23</v>
      </c>
      <c r="M851" t="s">
        <v>24</v>
      </c>
      <c r="N851">
        <v>3737.3900128486498</v>
      </c>
      <c r="O851">
        <v>3515.86917239173</v>
      </c>
      <c r="P851">
        <v>3958.9108533055701</v>
      </c>
      <c r="Q851">
        <v>3453.3934410597299</v>
      </c>
      <c r="R851">
        <v>3578.3449037237401</v>
      </c>
      <c r="S851">
        <v>3966.7198449877001</v>
      </c>
      <c r="T851">
        <v>3951.1018616234301</v>
      </c>
    </row>
    <row r="852" spans="1:20" x14ac:dyDescent="0.2">
      <c r="A852" t="s">
        <v>1697</v>
      </c>
      <c r="B852" s="3" t="str">
        <f>HYPERLINK("http://www.ncbi.nlm.nih.gov/gene/6431","SRSF6")</f>
        <v>SRSF6</v>
      </c>
      <c r="C852">
        <v>6431</v>
      </c>
      <c r="D852" t="s">
        <v>1698</v>
      </c>
      <c r="E852" s="3" t="str">
        <f>HYPERLINK("http://genome.ucsc.edu/cgi-bin/hgTracks?db=hg19&amp;lastVirtModeType=default&amp;lastVirtModeExtraState=&amp;virtModeType=default&amp;virtMode=0&amp;nonVirtPosition=&amp;position=chr20:43457863-43463604","chr20:43457863-43463604")</f>
        <v>chr20:43457863-43463604</v>
      </c>
      <c r="F852" t="s">
        <v>27</v>
      </c>
      <c r="G852">
        <v>-0.16795582019963001</v>
      </c>
      <c r="H852">
        <v>5.0996778920510202E-2</v>
      </c>
      <c r="I852">
        <v>-3.2934593861589998</v>
      </c>
      <c r="J852">
        <v>9.8962637689633398E-4</v>
      </c>
      <c r="K852">
        <v>1.638594547928E-2</v>
      </c>
      <c r="L852" t="s">
        <v>23</v>
      </c>
      <c r="M852" t="s">
        <v>24</v>
      </c>
      <c r="N852">
        <v>3622.4283345631702</v>
      </c>
      <c r="O852">
        <v>3843.0922732232998</v>
      </c>
      <c r="P852">
        <v>3401.7643959030302</v>
      </c>
      <c r="Q852">
        <v>3904.67354013048</v>
      </c>
      <c r="R852">
        <v>3781.5110063161201</v>
      </c>
      <c r="S852">
        <v>3481.3614357029601</v>
      </c>
      <c r="T852">
        <v>3322.1673561031098</v>
      </c>
    </row>
    <row r="853" spans="1:20" x14ac:dyDescent="0.2">
      <c r="A853" t="s">
        <v>1699</v>
      </c>
      <c r="B853" s="3" t="str">
        <f>HYPERLINK("http://www.ncbi.nlm.nih.gov/gene/3892","KRT86")</f>
        <v>KRT86</v>
      </c>
      <c r="C853">
        <v>3892</v>
      </c>
      <c r="D853" t="s">
        <v>1700</v>
      </c>
      <c r="E853" s="3" t="str">
        <f>HYPERLINK("http://genome.ucsc.edu/cgi-bin/hgTracks?db=hg19&amp;lastVirtModeType=default&amp;lastVirtModeExtraState=&amp;virtModeType=default&amp;virtMode=0&amp;nonVirtPosition=&amp;position=chr12:52274644-52309163","chr12:52274644-52309163")</f>
        <v>chr12:52274644-52309163</v>
      </c>
      <c r="F853" t="s">
        <v>27</v>
      </c>
      <c r="G853">
        <v>-0.34349457991105298</v>
      </c>
      <c r="H853">
        <v>0.104303990063543</v>
      </c>
      <c r="I853">
        <v>-3.2932065178119698</v>
      </c>
      <c r="J853">
        <v>9.9051690260486399E-4</v>
      </c>
      <c r="K853">
        <v>1.638594547928E-2</v>
      </c>
      <c r="L853" t="s">
        <v>23</v>
      </c>
      <c r="M853" t="s">
        <v>24</v>
      </c>
      <c r="N853">
        <v>39.9423642395315</v>
      </c>
      <c r="O853">
        <v>57.171695092746297</v>
      </c>
      <c r="P853">
        <v>22.713033386316699</v>
      </c>
      <c r="Q853">
        <v>61.913428226170502</v>
      </c>
      <c r="R853">
        <v>52.429961959322199</v>
      </c>
      <c r="S853">
        <v>24.6625207969889</v>
      </c>
      <c r="T853">
        <v>20.763545975644401</v>
      </c>
    </row>
    <row r="854" spans="1:20" x14ac:dyDescent="0.2">
      <c r="A854" t="s">
        <v>1701</v>
      </c>
      <c r="B854" s="3" t="str">
        <f>HYPERLINK("http://www.ncbi.nlm.nih.gov/gene/1266","CNN3")</f>
        <v>CNN3</v>
      </c>
      <c r="C854">
        <v>1266</v>
      </c>
      <c r="D854" t="s">
        <v>1702</v>
      </c>
      <c r="E854" s="3" t="str">
        <f>HYPERLINK("http://genome.ucsc.edu/cgi-bin/hgTracks?db=hg19&amp;lastVirtModeType=default&amp;lastVirtModeExtraState=&amp;virtModeType=default&amp;virtMode=0&amp;nonVirtPosition=&amp;position=chr1:94896948-94927223","chr1:94896948-94927223")</f>
        <v>chr1:94896948-94927223</v>
      </c>
      <c r="F854" t="s">
        <v>22</v>
      </c>
      <c r="G854">
        <v>-0.15734856765359601</v>
      </c>
      <c r="H854">
        <v>4.7799552908071599E-2</v>
      </c>
      <c r="I854">
        <v>-3.29184182865079</v>
      </c>
      <c r="J854">
        <v>9.9533574463393803E-4</v>
      </c>
      <c r="K854">
        <v>1.6445824580614301E-2</v>
      </c>
      <c r="L854" t="s">
        <v>23</v>
      </c>
      <c r="M854" t="s">
        <v>24</v>
      </c>
      <c r="N854">
        <v>7754.3339751246804</v>
      </c>
      <c r="O854">
        <v>8198.7455069830594</v>
      </c>
      <c r="P854">
        <v>7309.9224432662904</v>
      </c>
      <c r="Q854">
        <v>8204.2171669478794</v>
      </c>
      <c r="R854">
        <v>8193.2738470182503</v>
      </c>
      <c r="S854">
        <v>6977.5203838841098</v>
      </c>
      <c r="T854">
        <v>7642.3245026484801</v>
      </c>
    </row>
    <row r="855" spans="1:20" x14ac:dyDescent="0.2">
      <c r="A855" t="s">
        <v>1703</v>
      </c>
      <c r="B855" s="3" t="str">
        <f>HYPERLINK("http://www.ncbi.nlm.nih.gov/gene/1545","CYP1B1")</f>
        <v>CYP1B1</v>
      </c>
      <c r="C855">
        <v>1545</v>
      </c>
      <c r="D855" t="s">
        <v>1704</v>
      </c>
      <c r="E855" s="3" t="str">
        <f>HYPERLINK("http://genome.ucsc.edu/cgi-bin/hgTracks?db=hg19&amp;lastVirtModeType=default&amp;lastVirtModeExtraState=&amp;virtModeType=default&amp;virtMode=0&amp;nonVirtPosition=&amp;position=chr2:38067602-38076181","chr2:38067602-38076181")</f>
        <v>chr2:38067602-38076181</v>
      </c>
      <c r="F855" t="s">
        <v>22</v>
      </c>
      <c r="G855">
        <v>-0.28613750580658498</v>
      </c>
      <c r="H855">
        <v>8.6995741140293195E-2</v>
      </c>
      <c r="I855">
        <v>-3.2890978576198</v>
      </c>
      <c r="J855">
        <v>1.00509071823288E-3</v>
      </c>
      <c r="K855">
        <v>1.6586664504666501E-2</v>
      </c>
      <c r="L855" t="s">
        <v>23</v>
      </c>
      <c r="M855" t="s">
        <v>24</v>
      </c>
      <c r="N855">
        <v>884.22966775672296</v>
      </c>
      <c r="O855">
        <v>988.99619027652398</v>
      </c>
      <c r="P855">
        <v>779.46314523692001</v>
      </c>
      <c r="Q855">
        <v>1091.0521907411801</v>
      </c>
      <c r="R855">
        <v>886.94018981186798</v>
      </c>
      <c r="S855">
        <v>800.05217465432099</v>
      </c>
      <c r="T855">
        <v>758.87411581951994</v>
      </c>
    </row>
    <row r="856" spans="1:20" x14ac:dyDescent="0.2">
      <c r="A856" t="s">
        <v>1705</v>
      </c>
      <c r="B856" s="3" t="str">
        <f>HYPERLINK("http://www.ncbi.nlm.nih.gov/gene/169792","GLIS3")</f>
        <v>GLIS3</v>
      </c>
      <c r="C856">
        <v>169792</v>
      </c>
      <c r="D856" t="s">
        <v>1706</v>
      </c>
      <c r="E856" s="3" t="str">
        <f>HYPERLINK("http://genome.ucsc.edu/cgi-bin/hgTracks?db=hg19&amp;lastVirtModeType=default&amp;lastVirtModeExtraState=&amp;virtModeType=default&amp;virtMode=0&amp;nonVirtPosition=&amp;position=chr9:3824127-4300035","chr9:3824127-4300035")</f>
        <v>chr9:3824127-4300035</v>
      </c>
      <c r="F856" t="s">
        <v>22</v>
      </c>
      <c r="G856">
        <v>0.199381477813592</v>
      </c>
      <c r="H856">
        <v>6.0625022909426299E-2</v>
      </c>
      <c r="I856">
        <v>3.2887654015647598</v>
      </c>
      <c r="J856">
        <v>1.0062786107541599E-3</v>
      </c>
      <c r="K856">
        <v>1.6586664504666501E-2</v>
      </c>
      <c r="L856" t="s">
        <v>23</v>
      </c>
      <c r="M856" t="s">
        <v>24</v>
      </c>
      <c r="N856">
        <v>2168.9658780249702</v>
      </c>
      <c r="O856">
        <v>2009.8792695680399</v>
      </c>
      <c r="P856">
        <v>2328.0524864818999</v>
      </c>
      <c r="Q856">
        <v>2094.04972800514</v>
      </c>
      <c r="R856">
        <v>1925.7088111309399</v>
      </c>
      <c r="S856">
        <v>2304.4659432706499</v>
      </c>
      <c r="T856">
        <v>2351.63902969315</v>
      </c>
    </row>
    <row r="857" spans="1:20" x14ac:dyDescent="0.2">
      <c r="A857" t="s">
        <v>1707</v>
      </c>
      <c r="B857" s="3" t="str">
        <f>HYPERLINK("http://www.ncbi.nlm.nih.gov/gene/50484","RRM2B")</f>
        <v>RRM2B</v>
      </c>
      <c r="C857">
        <v>50484</v>
      </c>
      <c r="D857" t="s">
        <v>1708</v>
      </c>
      <c r="E857" s="3" t="str">
        <f>HYPERLINK("http://genome.ucsc.edu/cgi-bin/hgTracks?db=hg19&amp;lastVirtModeType=default&amp;lastVirtModeExtraState=&amp;virtModeType=default&amp;virtMode=0&amp;nonVirtPosition=&amp;position=chr8:102204500-102239118","chr8:102204500-102239118")</f>
        <v>chr8:102204500-102239118</v>
      </c>
      <c r="F857" t="s">
        <v>22</v>
      </c>
      <c r="G857">
        <v>-0.16150833060772701</v>
      </c>
      <c r="H857">
        <v>4.9150009269844301E-2</v>
      </c>
      <c r="I857">
        <v>-3.2860284872177901</v>
      </c>
      <c r="J857">
        <v>1.0161073314937201E-3</v>
      </c>
      <c r="K857">
        <v>1.6728566559549699E-2</v>
      </c>
      <c r="L857" t="s">
        <v>23</v>
      </c>
      <c r="M857" t="s">
        <v>24</v>
      </c>
      <c r="N857">
        <v>4476.3447746636302</v>
      </c>
      <c r="O857">
        <v>4737.6911647490097</v>
      </c>
      <c r="P857">
        <v>4214.9983845782599</v>
      </c>
      <c r="Q857">
        <v>4588.4729585395198</v>
      </c>
      <c r="R857">
        <v>4886.9093709584904</v>
      </c>
      <c r="S857">
        <v>4160.0740080360902</v>
      </c>
      <c r="T857">
        <v>4269.9227611204196</v>
      </c>
    </row>
    <row r="858" spans="1:20" x14ac:dyDescent="0.2">
      <c r="A858" t="s">
        <v>1709</v>
      </c>
      <c r="B858" s="3" t="str">
        <f>HYPERLINK("http://www.ncbi.nlm.nih.gov/gene/1123","CHN1")</f>
        <v>CHN1</v>
      </c>
      <c r="C858">
        <v>1123</v>
      </c>
      <c r="D858" t="s">
        <v>1710</v>
      </c>
      <c r="E858" s="3" t="str">
        <f>HYPERLINK("http://genome.ucsc.edu/cgi-bin/hgTracks?db=hg19&amp;lastVirtModeType=default&amp;lastVirtModeExtraState=&amp;virtModeType=default&amp;virtMode=0&amp;nonVirtPosition=&amp;position=chr2:174799313-175005379","chr2:174799313-175005379")</f>
        <v>chr2:174799313-175005379</v>
      </c>
      <c r="F858" t="s">
        <v>22</v>
      </c>
      <c r="G858">
        <v>-0.33063178738673898</v>
      </c>
      <c r="H858">
        <v>0.100798140579926</v>
      </c>
      <c r="I858">
        <v>-3.280137763301</v>
      </c>
      <c r="J858">
        <v>1.03756408741845E-3</v>
      </c>
      <c r="K858">
        <v>1.7061335605343699E-2</v>
      </c>
      <c r="L858" t="s">
        <v>23</v>
      </c>
      <c r="M858" t="s">
        <v>24</v>
      </c>
      <c r="N858">
        <v>422.02260451903697</v>
      </c>
      <c r="O858">
        <v>485.85704641306398</v>
      </c>
      <c r="P858">
        <v>358.18816262501002</v>
      </c>
      <c r="Q858">
        <v>517.32108917866901</v>
      </c>
      <c r="R858">
        <v>454.39300364745901</v>
      </c>
      <c r="S858">
        <v>343.30228949408598</v>
      </c>
      <c r="T858">
        <v>373.07403575593401</v>
      </c>
    </row>
    <row r="859" spans="1:20" x14ac:dyDescent="0.2">
      <c r="A859" t="s">
        <v>1711</v>
      </c>
      <c r="B859" s="3" t="str">
        <f>HYPERLINK("http://www.ncbi.nlm.nih.gov/gene/873","CBR1")</f>
        <v>CBR1</v>
      </c>
      <c r="C859">
        <v>873</v>
      </c>
      <c r="D859" t="s">
        <v>1712</v>
      </c>
      <c r="E859" s="3" t="str">
        <f>HYPERLINK("http://genome.ucsc.edu/cgi-bin/hgTracks?db=hg19&amp;lastVirtModeType=default&amp;lastVirtModeExtraState=&amp;virtModeType=default&amp;virtMode=0&amp;nonVirtPosition=&amp;position=chr21:36069923-36073177","chr21:36069923-36073177")</f>
        <v>chr21:36069923-36073177</v>
      </c>
      <c r="F859" t="s">
        <v>27</v>
      </c>
      <c r="G859">
        <v>0.17032226213914101</v>
      </c>
      <c r="H859">
        <v>5.1939740494831597E-2</v>
      </c>
      <c r="I859">
        <v>3.27922820785155</v>
      </c>
      <c r="J859">
        <v>1.0409142360208799E-3</v>
      </c>
      <c r="K859">
        <v>1.70959255482519E-2</v>
      </c>
      <c r="L859" t="s">
        <v>23</v>
      </c>
      <c r="M859" t="s">
        <v>24</v>
      </c>
      <c r="N859">
        <v>3080.1021463245902</v>
      </c>
      <c r="O859">
        <v>2889.1383974700402</v>
      </c>
      <c r="P859">
        <v>3271.0658951791402</v>
      </c>
      <c r="Q859">
        <v>2872.7830696943101</v>
      </c>
      <c r="R859">
        <v>2905.4937252457698</v>
      </c>
      <c r="S859">
        <v>3236.7092293968299</v>
      </c>
      <c r="T859">
        <v>3305.42256096146</v>
      </c>
    </row>
    <row r="860" spans="1:20" x14ac:dyDescent="0.2">
      <c r="A860" t="s">
        <v>1713</v>
      </c>
      <c r="B860" s="3" t="str">
        <f>HYPERLINK("http://www.ncbi.nlm.nih.gov/gene/9837","GINS1")</f>
        <v>GINS1</v>
      </c>
      <c r="C860">
        <v>9837</v>
      </c>
      <c r="D860" t="s">
        <v>1714</v>
      </c>
      <c r="E860" s="3" t="str">
        <f>HYPERLINK("http://genome.ucsc.edu/cgi-bin/hgTracks?db=hg19&amp;lastVirtModeType=default&amp;lastVirtModeExtraState=&amp;virtModeType=default&amp;virtMode=0&amp;nonVirtPosition=&amp;position=chr20:25407682-25448555","chr20:25407682-25448555")</f>
        <v>chr20:25407682-25448555</v>
      </c>
      <c r="F860" t="s">
        <v>27</v>
      </c>
      <c r="G860">
        <v>-0.34388466429119202</v>
      </c>
      <c r="H860">
        <v>0.10489302071003</v>
      </c>
      <c r="I860">
        <v>-3.2784322728376498</v>
      </c>
      <c r="J860">
        <v>1.0438540978222599E-3</v>
      </c>
      <c r="K860">
        <v>1.7120685873419399E-2</v>
      </c>
      <c r="L860" t="s">
        <v>23</v>
      </c>
      <c r="M860" t="s">
        <v>24</v>
      </c>
      <c r="N860">
        <v>339.94978774065203</v>
      </c>
      <c r="O860">
        <v>394.367841641648</v>
      </c>
      <c r="P860">
        <v>285.53173383965702</v>
      </c>
      <c r="Q860">
        <v>371.480569357023</v>
      </c>
      <c r="R860">
        <v>417.255113926273</v>
      </c>
      <c r="S860">
        <v>287.07174207695101</v>
      </c>
      <c r="T860">
        <v>283.99172560236201</v>
      </c>
    </row>
    <row r="861" spans="1:20" x14ac:dyDescent="0.2">
      <c r="A861" t="s">
        <v>1715</v>
      </c>
      <c r="B861" s="3" t="str">
        <f>HYPERLINK("http://www.ncbi.nlm.nih.gov/gene/10890","RAB10")</f>
        <v>RAB10</v>
      </c>
      <c r="C861">
        <v>10890</v>
      </c>
      <c r="D861" t="s">
        <v>1716</v>
      </c>
      <c r="E861" s="3" t="str">
        <f>HYPERLINK("http://genome.ucsc.edu/cgi-bin/hgTracks?db=hg19&amp;lastVirtModeType=default&amp;lastVirtModeExtraState=&amp;virtModeType=default&amp;virtMode=0&amp;nonVirtPosition=&amp;position=chr2:26033859-26137454","chr2:26033859-26137454")</f>
        <v>chr2:26033859-26137454</v>
      </c>
      <c r="F861" t="s">
        <v>27</v>
      </c>
      <c r="G861">
        <v>0.12959849877426199</v>
      </c>
      <c r="H861">
        <v>3.95341010247202E-2</v>
      </c>
      <c r="I861">
        <v>3.2781445743062498</v>
      </c>
      <c r="J861">
        <v>1.0449186288502301E-3</v>
      </c>
      <c r="K861">
        <v>1.7120685873419399E-2</v>
      </c>
      <c r="L861" t="s">
        <v>23</v>
      </c>
      <c r="M861" t="s">
        <v>24</v>
      </c>
      <c r="N861">
        <v>11017.2128570194</v>
      </c>
      <c r="O861">
        <v>10509.045435801099</v>
      </c>
      <c r="P861">
        <v>11525.380278237601</v>
      </c>
      <c r="Q861">
        <v>10595.4513504386</v>
      </c>
      <c r="R861">
        <v>10422.639521163601</v>
      </c>
      <c r="S861">
        <v>11505.5592022113</v>
      </c>
      <c r="T861">
        <v>11545.201354264</v>
      </c>
    </row>
    <row r="862" spans="1:20" x14ac:dyDescent="0.2">
      <c r="A862" t="s">
        <v>1717</v>
      </c>
      <c r="B862" s="3" t="str">
        <f>HYPERLINK("http://www.ncbi.nlm.nih.gov/gene/23216","TBC1D1")</f>
        <v>TBC1D1</v>
      </c>
      <c r="C862">
        <v>23216</v>
      </c>
      <c r="D862" t="s">
        <v>1718</v>
      </c>
      <c r="E862" s="3" t="str">
        <f>HYPERLINK("http://genome.ucsc.edu/cgi-bin/hgTracks?db=hg19&amp;lastVirtModeType=default&amp;lastVirtModeExtraState=&amp;virtModeType=default&amp;virtMode=0&amp;nonVirtPosition=&amp;position=chr4:37891083-38139175","chr4:37891083-38139175")</f>
        <v>chr4:37891083-38139175</v>
      </c>
      <c r="F862" t="s">
        <v>27</v>
      </c>
      <c r="G862">
        <v>-0.19892736543978901</v>
      </c>
      <c r="H862">
        <v>6.0705931922706298E-2</v>
      </c>
      <c r="I862">
        <v>-3.2769015998811</v>
      </c>
      <c r="J862">
        <v>1.04952939021067E-3</v>
      </c>
      <c r="K862">
        <v>1.71757112856195E-2</v>
      </c>
      <c r="L862" t="s">
        <v>23</v>
      </c>
      <c r="M862" t="s">
        <v>24</v>
      </c>
      <c r="N862">
        <v>2127.31881819706</v>
      </c>
      <c r="O862">
        <v>2285.8658119995898</v>
      </c>
      <c r="P862">
        <v>1968.7718243945401</v>
      </c>
      <c r="Q862">
        <v>2249.52122555086</v>
      </c>
      <c r="R862">
        <v>2322.2103984483101</v>
      </c>
      <c r="S862">
        <v>1898.02760053627</v>
      </c>
      <c r="T862">
        <v>2039.5160482528099</v>
      </c>
    </row>
    <row r="863" spans="1:20" x14ac:dyDescent="0.2">
      <c r="A863" t="s">
        <v>1719</v>
      </c>
      <c r="B863" s="3" t="str">
        <f>HYPERLINK("http://www.ncbi.nlm.nih.gov/gene/57060","PCBP4")</f>
        <v>PCBP4</v>
      </c>
      <c r="C863">
        <v>57060</v>
      </c>
      <c r="D863" t="s">
        <v>1720</v>
      </c>
      <c r="E863" s="3" t="str">
        <f>HYPERLINK("http://genome.ucsc.edu/cgi-bin/hgTracks?db=hg19&amp;lastVirtModeType=default&amp;lastVirtModeExtraState=&amp;virtModeType=default&amp;virtMode=0&amp;nonVirtPosition=&amp;position=chr3:51957453-51967434","chr3:51957453-51967434")</f>
        <v>chr3:51957453-51967434</v>
      </c>
      <c r="F863" t="s">
        <v>22</v>
      </c>
      <c r="G863">
        <v>-0.196147166100994</v>
      </c>
      <c r="H863">
        <v>5.99477194486032E-2</v>
      </c>
      <c r="I863">
        <v>-3.2719704419975799</v>
      </c>
      <c r="J863">
        <v>1.0680074112534E-3</v>
      </c>
      <c r="K863">
        <v>1.74572748962206E-2</v>
      </c>
      <c r="L863" t="s">
        <v>23</v>
      </c>
      <c r="M863" t="s">
        <v>24</v>
      </c>
      <c r="N863">
        <v>2270.53564591643</v>
      </c>
      <c r="O863">
        <v>2438.1291090442</v>
      </c>
      <c r="P863">
        <v>2102.9421827886599</v>
      </c>
      <c r="Q863">
        <v>2471.0337132044901</v>
      </c>
      <c r="R863">
        <v>2405.22450488391</v>
      </c>
      <c r="S863">
        <v>2020.3537036893299</v>
      </c>
      <c r="T863">
        <v>2185.5306618879899</v>
      </c>
    </row>
    <row r="864" spans="1:20" x14ac:dyDescent="0.2">
      <c r="A864" t="s">
        <v>1721</v>
      </c>
      <c r="B864" s="3" t="str">
        <f>HYPERLINK("http://www.ncbi.nlm.nih.gov/gene/79850","FAM57A")</f>
        <v>FAM57A</v>
      </c>
      <c r="C864">
        <v>79850</v>
      </c>
      <c r="D864" t="s">
        <v>1722</v>
      </c>
      <c r="E864" s="3" t="str">
        <f>HYPERLINK("http://genome.ucsc.edu/cgi-bin/hgTracks?db=hg19&amp;lastVirtModeType=default&amp;lastVirtModeExtraState=&amp;virtModeType=default&amp;virtMode=0&amp;nonVirtPosition=&amp;position=chr17:732545-742968","chr17:732545-742968")</f>
        <v>chr17:732545-742968</v>
      </c>
      <c r="F864" t="s">
        <v>27</v>
      </c>
      <c r="G864">
        <v>0.22303181140391801</v>
      </c>
      <c r="H864">
        <v>6.8252509514403398E-2</v>
      </c>
      <c r="I864">
        <v>3.2677452153880302</v>
      </c>
      <c r="J864">
        <v>1.08407909452678E-3</v>
      </c>
      <c r="K864">
        <v>1.7698881788500299E-2</v>
      </c>
      <c r="L864" t="s">
        <v>23</v>
      </c>
      <c r="M864" t="s">
        <v>24</v>
      </c>
      <c r="N864">
        <v>1348.44074307444</v>
      </c>
      <c r="O864">
        <v>1233.5269182367299</v>
      </c>
      <c r="P864">
        <v>1463.3545679121401</v>
      </c>
      <c r="Q864">
        <v>1232.7651486810801</v>
      </c>
      <c r="R864">
        <v>1234.28868779238</v>
      </c>
      <c r="S864">
        <v>1486.65675364249</v>
      </c>
      <c r="T864">
        <v>1440.0523821817901</v>
      </c>
    </row>
    <row r="865" spans="1:20" x14ac:dyDescent="0.2">
      <c r="A865" t="s">
        <v>1723</v>
      </c>
      <c r="B865" s="3" t="str">
        <f>HYPERLINK("http://www.ncbi.nlm.nih.gov/gene/149111","CNIH3")</f>
        <v>CNIH3</v>
      </c>
      <c r="C865">
        <v>149111</v>
      </c>
      <c r="D865" t="s">
        <v>1724</v>
      </c>
      <c r="E865" s="3" t="str">
        <f>HYPERLINK("http://genome.ucsc.edu/cgi-bin/hgTracks?db=hg19&amp;lastVirtModeType=default&amp;lastVirtModeExtraState=&amp;virtModeType=default&amp;virtMode=0&amp;nonVirtPosition=&amp;position=chr1:224434894-224740549","chr1:224434894-224740549")</f>
        <v>chr1:224434894-224740549</v>
      </c>
      <c r="F865" t="s">
        <v>27</v>
      </c>
      <c r="G865">
        <v>0.33207096479751602</v>
      </c>
      <c r="H865">
        <v>0.101730030516944</v>
      </c>
      <c r="I865">
        <v>3.2642373457482301</v>
      </c>
      <c r="J865">
        <v>1.0975917714097199E-3</v>
      </c>
      <c r="K865">
        <v>1.7898184962084399E-2</v>
      </c>
      <c r="L865" t="s">
        <v>23</v>
      </c>
      <c r="M865" t="s">
        <v>24</v>
      </c>
      <c r="N865">
        <v>392.60635748312001</v>
      </c>
      <c r="O865">
        <v>333.23643055341103</v>
      </c>
      <c r="P865">
        <v>451.97628441282802</v>
      </c>
      <c r="Q865">
        <v>345.339344105973</v>
      </c>
      <c r="R865">
        <v>321.133517000849</v>
      </c>
      <c r="S865">
        <v>468.58789514278999</v>
      </c>
      <c r="T865">
        <v>435.36467368286702</v>
      </c>
    </row>
    <row r="866" spans="1:20" x14ac:dyDescent="0.2">
      <c r="A866" t="s">
        <v>1725</v>
      </c>
      <c r="B866" s="3" t="str">
        <f>HYPERLINK("http://www.ncbi.nlm.nih.gov/gene/81706","PPP1R14C")</f>
        <v>PPP1R14C</v>
      </c>
      <c r="C866">
        <v>81706</v>
      </c>
      <c r="D866" t="s">
        <v>1726</v>
      </c>
      <c r="E866" s="3" t="str">
        <f>HYPERLINK("http://genome.ucsc.edu/cgi-bin/hgTracks?db=hg19&amp;lastVirtModeType=default&amp;lastVirtModeExtraState=&amp;virtModeType=default&amp;virtMode=0&amp;nonVirtPosition=&amp;position=chr6:150143051-150250392","chr6:150143051-150250392")</f>
        <v>chr6:150143051-150250392</v>
      </c>
      <c r="F866" t="s">
        <v>27</v>
      </c>
      <c r="G866">
        <v>0.38541492802919702</v>
      </c>
      <c r="H866">
        <v>0.118140743484906</v>
      </c>
      <c r="I866">
        <v>3.2623370791503401</v>
      </c>
      <c r="J866">
        <v>1.1049766749451401E-3</v>
      </c>
      <c r="K866">
        <v>1.7997209168880798E-2</v>
      </c>
      <c r="L866" t="s">
        <v>23</v>
      </c>
      <c r="M866" t="s">
        <v>24</v>
      </c>
      <c r="N866">
        <v>148.360259952804</v>
      </c>
      <c r="O866">
        <v>111.386958513769</v>
      </c>
      <c r="P866">
        <v>185.333561391838</v>
      </c>
      <c r="Q866">
        <v>100.43733912245401</v>
      </c>
      <c r="R866">
        <v>122.33657790508499</v>
      </c>
      <c r="S866">
        <v>203.21917136718901</v>
      </c>
      <c r="T866">
        <v>167.447951416487</v>
      </c>
    </row>
    <row r="867" spans="1:20" x14ac:dyDescent="0.2">
      <c r="A867" t="s">
        <v>1727</v>
      </c>
      <c r="B867" s="3" t="str">
        <f>HYPERLINK("http://www.ncbi.nlm.nih.gov/gene/55829","SELENOS")</f>
        <v>SELENOS</v>
      </c>
      <c r="C867">
        <v>55829</v>
      </c>
      <c r="D867" t="s">
        <v>1728</v>
      </c>
      <c r="E867" s="3" t="str">
        <f>HYPERLINK("http://genome.ucsc.edu/cgi-bin/hgTracks?db=hg19&amp;lastVirtModeType=default&amp;lastVirtModeExtraState=&amp;virtModeType=default&amp;virtMode=0&amp;nonVirtPosition=&amp;position=chr15:101270908-101277520","chr15:101270908-101277520")</f>
        <v>chr15:101270908-101277520</v>
      </c>
      <c r="F867" t="s">
        <v>22</v>
      </c>
      <c r="G867">
        <v>0.19818071859349401</v>
      </c>
      <c r="H867">
        <v>6.0759071160463599E-2</v>
      </c>
      <c r="I867">
        <v>3.2617470084442601</v>
      </c>
      <c r="J867">
        <v>1.1072791669344299E-3</v>
      </c>
      <c r="K867">
        <v>1.8003198230192401E-2</v>
      </c>
      <c r="L867" t="s">
        <v>23</v>
      </c>
      <c r="M867" t="s">
        <v>24</v>
      </c>
      <c r="N867">
        <v>2103.7211376863902</v>
      </c>
      <c r="O867">
        <v>1947.03122913946</v>
      </c>
      <c r="P867">
        <v>2260.4110462333201</v>
      </c>
      <c r="Q867">
        <v>1939.9540844200101</v>
      </c>
      <c r="R867">
        <v>1954.10837385891</v>
      </c>
      <c r="S867">
        <v>2339.9799732183101</v>
      </c>
      <c r="T867">
        <v>2180.8421192483302</v>
      </c>
    </row>
    <row r="868" spans="1:20" x14ac:dyDescent="0.2">
      <c r="A868" t="s">
        <v>1729</v>
      </c>
      <c r="B868" s="3" t="str">
        <f>HYPERLINK("http://www.ncbi.nlm.nih.gov/gene/23065","EMC1")</f>
        <v>EMC1</v>
      </c>
      <c r="C868">
        <v>23065</v>
      </c>
      <c r="D868" t="s">
        <v>1730</v>
      </c>
      <c r="E868" s="3" t="str">
        <f>HYPERLINK("http://genome.ucsc.edu/cgi-bin/hgTracks?db=hg19&amp;lastVirtModeType=default&amp;lastVirtModeExtraState=&amp;virtModeType=default&amp;virtMode=0&amp;nonVirtPosition=&amp;position=chr1:19215663-19251559","chr1:19215663-19251559")</f>
        <v>chr1:19215663-19251559</v>
      </c>
      <c r="F868" t="s">
        <v>22</v>
      </c>
      <c r="G868">
        <v>-0.138679813061483</v>
      </c>
      <c r="H868">
        <v>4.2521319691973099E-2</v>
      </c>
      <c r="I868">
        <v>-3.26141836768209</v>
      </c>
      <c r="J868">
        <v>1.1085634660331399E-3</v>
      </c>
      <c r="K868">
        <v>1.8003198230192401E-2</v>
      </c>
      <c r="L868" t="s">
        <v>23</v>
      </c>
      <c r="M868" t="s">
        <v>24</v>
      </c>
      <c r="N868">
        <v>6272.0388831485097</v>
      </c>
      <c r="O868">
        <v>6583.67467450809</v>
      </c>
      <c r="P868">
        <v>5960.4030917889304</v>
      </c>
      <c r="Q868">
        <v>6597.2197409886103</v>
      </c>
      <c r="R868">
        <v>6570.1296080275697</v>
      </c>
      <c r="S868">
        <v>5966.3570312075699</v>
      </c>
      <c r="T868">
        <v>5954.44915237029</v>
      </c>
    </row>
    <row r="869" spans="1:20" x14ac:dyDescent="0.2">
      <c r="A869" t="s">
        <v>1731</v>
      </c>
      <c r="B869" s="3" t="str">
        <f>HYPERLINK("http://www.ncbi.nlm.nih.gov/gene/5534","PPP3R1")</f>
        <v>PPP3R1</v>
      </c>
      <c r="C869">
        <v>5534</v>
      </c>
      <c r="D869" t="s">
        <v>1732</v>
      </c>
      <c r="E869" s="3" t="str">
        <f>HYPERLINK("http://genome.ucsc.edu/cgi-bin/hgTracks?db=hg19&amp;lastVirtModeType=default&amp;lastVirtModeExtraState=&amp;virtModeType=default&amp;virtMode=0&amp;nonVirtPosition=&amp;position=chr2:68178856-68252519","chr2:68178856-68252519")</f>
        <v>chr2:68178856-68252519</v>
      </c>
      <c r="F869" t="s">
        <v>22</v>
      </c>
      <c r="G869">
        <v>0.16998926832412101</v>
      </c>
      <c r="H869">
        <v>5.2124209146242301E-2</v>
      </c>
      <c r="I869">
        <v>3.2612344840991399</v>
      </c>
      <c r="J869">
        <v>1.10928266767629E-3</v>
      </c>
      <c r="K869">
        <v>1.8003198230192401E-2</v>
      </c>
      <c r="L869" t="s">
        <v>23</v>
      </c>
      <c r="M869" t="s">
        <v>24</v>
      </c>
      <c r="N869">
        <v>3140.5348277225098</v>
      </c>
      <c r="O869">
        <v>2945.8319729403102</v>
      </c>
      <c r="P869">
        <v>3335.2376825046999</v>
      </c>
      <c r="Q869">
        <v>2988.3548023831599</v>
      </c>
      <c r="R869">
        <v>2903.3091434974699</v>
      </c>
      <c r="S869">
        <v>3377.7788483556101</v>
      </c>
      <c r="T869">
        <v>3292.6965166537998</v>
      </c>
    </row>
    <row r="870" spans="1:20" x14ac:dyDescent="0.2">
      <c r="A870" t="s">
        <v>1733</v>
      </c>
      <c r="B870" s="3" t="str">
        <f>HYPERLINK("http://www.ncbi.nlm.nih.gov/gene/728084","LOC728084")</f>
        <v>LOC728084</v>
      </c>
      <c r="C870">
        <v>728084</v>
      </c>
      <c r="D870" t="s">
        <v>1734</v>
      </c>
      <c r="E870" s="3" t="str">
        <f>HYPERLINK("http://genome.ucsc.edu/cgi-bin/hgTracks?db=hg19&amp;lastVirtModeType=default&amp;lastVirtModeExtraState=&amp;virtModeType=default&amp;virtMode=0&amp;nonVirtPosition=&amp;position=chr12:89011125-89019692","chr12:89011125-89019692")</f>
        <v>chr12:89011125-89019692</v>
      </c>
      <c r="F870" t="s">
        <v>22</v>
      </c>
      <c r="G870">
        <v>0.38571185218055098</v>
      </c>
      <c r="H870">
        <v>0.118290381671522</v>
      </c>
      <c r="I870">
        <v>3.2607203284847399</v>
      </c>
      <c r="J870">
        <v>1.1112959127861E-3</v>
      </c>
      <c r="K870">
        <v>1.80145533663696E-2</v>
      </c>
      <c r="L870" t="s">
        <v>23</v>
      </c>
      <c r="M870" t="s">
        <v>24</v>
      </c>
      <c r="N870">
        <v>130.31755273796901</v>
      </c>
      <c r="O870">
        <v>97.5705603078667</v>
      </c>
      <c r="P870">
        <v>163.06454516807099</v>
      </c>
      <c r="Q870">
        <v>93.558069319546505</v>
      </c>
      <c r="R870">
        <v>101.58305129618699</v>
      </c>
      <c r="S870">
        <v>166.71864058764501</v>
      </c>
      <c r="T870">
        <v>159.41044974849601</v>
      </c>
    </row>
    <row r="871" spans="1:20" x14ac:dyDescent="0.2">
      <c r="A871" t="s">
        <v>1735</v>
      </c>
      <c r="B871" s="3" t="str">
        <f>HYPERLINK("http://www.ncbi.nlm.nih.gov/gene/221336","BEND6")</f>
        <v>BEND6</v>
      </c>
      <c r="C871">
        <v>221336</v>
      </c>
      <c r="D871" t="s">
        <v>1736</v>
      </c>
      <c r="E871" s="3" t="str">
        <f>HYPERLINK("http://genome.ucsc.edu/cgi-bin/hgTracks?db=hg19&amp;lastVirtModeType=default&amp;lastVirtModeExtraState=&amp;virtModeType=default&amp;virtMode=0&amp;nonVirtPosition=&amp;position=chr6:56954974-57010946","chr6:56954974-57010946")</f>
        <v>chr6:56954974-57010946</v>
      </c>
      <c r="F871" t="s">
        <v>27</v>
      </c>
      <c r="G871">
        <v>0.26278776641157198</v>
      </c>
      <c r="H871">
        <v>8.0606856341223998E-2</v>
      </c>
      <c r="I871">
        <v>3.2601167982428501</v>
      </c>
      <c r="J871">
        <v>1.1136634265020099E-3</v>
      </c>
      <c r="K871">
        <v>1.80292101540677E-2</v>
      </c>
      <c r="L871" t="s">
        <v>23</v>
      </c>
      <c r="M871" t="s">
        <v>24</v>
      </c>
      <c r="N871">
        <v>861.83767286469401</v>
      </c>
      <c r="O871">
        <v>771.70535466228102</v>
      </c>
      <c r="P871">
        <v>951.969991067107</v>
      </c>
      <c r="Q871">
        <v>752.59211643811705</v>
      </c>
      <c r="R871">
        <v>790.81859288644398</v>
      </c>
      <c r="S871">
        <v>923.36477863926598</v>
      </c>
      <c r="T871">
        <v>980.57520349494905</v>
      </c>
    </row>
    <row r="872" spans="1:20" x14ac:dyDescent="0.2">
      <c r="A872" t="s">
        <v>1737</v>
      </c>
      <c r="B872" s="3" t="str">
        <f>HYPERLINK("http://www.ncbi.nlm.nih.gov/gene/85352","KIAA1644")</f>
        <v>KIAA1644</v>
      </c>
      <c r="C872">
        <v>85352</v>
      </c>
      <c r="D872" t="s">
        <v>1738</v>
      </c>
      <c r="E872" s="3" t="str">
        <f>HYPERLINK("http://genome.ucsc.edu/cgi-bin/hgTracks?db=hg19&amp;lastVirtModeType=default&amp;lastVirtModeExtraState=&amp;virtModeType=default&amp;virtMode=0&amp;nonVirtPosition=&amp;position=chr22:44243676-44312851","chr22:44243676-44312851")</f>
        <v>chr22:44243676-44312851</v>
      </c>
      <c r="F872" t="s">
        <v>22</v>
      </c>
      <c r="G872">
        <v>0.225614344838032</v>
      </c>
      <c r="H872">
        <v>6.9210675571904495E-2</v>
      </c>
      <c r="I872">
        <v>3.25982000571048</v>
      </c>
      <c r="J872">
        <v>1.1148293868054101E-3</v>
      </c>
      <c r="K872">
        <v>1.80292101540677E-2</v>
      </c>
      <c r="L872" t="s">
        <v>23</v>
      </c>
      <c r="M872" t="s">
        <v>24</v>
      </c>
      <c r="N872">
        <v>1860.8299669317601</v>
      </c>
      <c r="O872">
        <v>1700.36934073052</v>
      </c>
      <c r="P872">
        <v>2021.2905931329999</v>
      </c>
      <c r="Q872">
        <v>1597.3664482352001</v>
      </c>
      <c r="R872">
        <v>1803.3722332258501</v>
      </c>
      <c r="S872">
        <v>1922.6901213332601</v>
      </c>
      <c r="T872">
        <v>2119.8910649327299</v>
      </c>
    </row>
    <row r="873" spans="1:20" x14ac:dyDescent="0.2">
      <c r="A873" t="s">
        <v>1739</v>
      </c>
      <c r="B873" s="3" t="str">
        <f>HYPERLINK("http://www.ncbi.nlm.nih.gov/gene/22822","PHLDA1")</f>
        <v>PHLDA1</v>
      </c>
      <c r="C873">
        <v>22822</v>
      </c>
      <c r="D873" t="s">
        <v>1740</v>
      </c>
      <c r="E873" s="3" t="str">
        <f>HYPERLINK("http://genome.ucsc.edu/cgi-bin/hgTracks?db=hg19&amp;lastVirtModeType=default&amp;lastVirtModeExtraState=&amp;virtModeType=default&amp;virtMode=0&amp;nonVirtPosition=&amp;position=chr12:76025446-76031776","chr12:76025446-76031776")</f>
        <v>chr12:76025446-76031776</v>
      </c>
      <c r="F873" t="s">
        <v>22</v>
      </c>
      <c r="G873">
        <v>0.33627939753554997</v>
      </c>
      <c r="H873">
        <v>0.10321279748525999</v>
      </c>
      <c r="I873">
        <v>3.2581172657739002</v>
      </c>
      <c r="J873">
        <v>1.1215405043432901E-3</v>
      </c>
      <c r="K873">
        <v>1.8116379831052801E-2</v>
      </c>
      <c r="L873" t="s">
        <v>23</v>
      </c>
      <c r="M873" t="s">
        <v>24</v>
      </c>
      <c r="N873">
        <v>22747.97833745</v>
      </c>
      <c r="O873">
        <v>19220.218909531701</v>
      </c>
      <c r="P873">
        <v>26275.7377653683</v>
      </c>
      <c r="Q873">
        <v>20735.495039924801</v>
      </c>
      <c r="R873">
        <v>17704.942779138601</v>
      </c>
      <c r="S873">
        <v>27723.6328783112</v>
      </c>
      <c r="T873">
        <v>24827.842652425399</v>
      </c>
    </row>
    <row r="874" spans="1:20" x14ac:dyDescent="0.2">
      <c r="A874" t="s">
        <v>1741</v>
      </c>
      <c r="B874" s="3" t="str">
        <f>HYPERLINK("http://www.ncbi.nlm.nih.gov/gene/978","CDA")</f>
        <v>CDA</v>
      </c>
      <c r="C874">
        <v>978</v>
      </c>
      <c r="D874" t="s">
        <v>1742</v>
      </c>
      <c r="E874" s="3" t="str">
        <f>HYPERLINK("http://genome.ucsc.edu/cgi-bin/hgTracks?db=hg19&amp;lastVirtModeType=default&amp;lastVirtModeExtraState=&amp;virtModeType=default&amp;virtMode=0&amp;nonVirtPosition=&amp;position=chr1:20588950-20618907","chr1:20588950-20618907")</f>
        <v>chr1:20588950-20618907</v>
      </c>
      <c r="F874" t="s">
        <v>27</v>
      </c>
      <c r="G874">
        <v>-0.36942184493910801</v>
      </c>
      <c r="H874">
        <v>0.113410625114127</v>
      </c>
      <c r="I874">
        <v>-3.25738302356904</v>
      </c>
      <c r="J874">
        <v>1.1244459297361201E-3</v>
      </c>
      <c r="K874">
        <v>1.8141942918119099E-2</v>
      </c>
      <c r="L874" t="s">
        <v>23</v>
      </c>
      <c r="M874" t="s">
        <v>24</v>
      </c>
      <c r="N874">
        <v>239.580166378261</v>
      </c>
      <c r="O874">
        <v>285.91125045656202</v>
      </c>
      <c r="P874">
        <v>193.249082299962</v>
      </c>
      <c r="Q874">
        <v>251.78127478642699</v>
      </c>
      <c r="R874">
        <v>320.04122612669602</v>
      </c>
      <c r="S874">
        <v>198.286667207791</v>
      </c>
      <c r="T874">
        <v>188.211497392132</v>
      </c>
    </row>
    <row r="875" spans="1:20" x14ac:dyDescent="0.2">
      <c r="A875" t="s">
        <v>1743</v>
      </c>
      <c r="B875" s="3" t="str">
        <f>HYPERLINK("http://www.ncbi.nlm.nih.gov/gene/29979","UBQLN1")</f>
        <v>UBQLN1</v>
      </c>
      <c r="C875">
        <v>29979</v>
      </c>
      <c r="D875" t="s">
        <v>1744</v>
      </c>
      <c r="E875" s="3" t="str">
        <f>HYPERLINK("http://genome.ucsc.edu/cgi-bin/hgTracks?db=hg19&amp;lastVirtModeType=default&amp;lastVirtModeExtraState=&amp;virtModeType=default&amp;virtMode=0&amp;nonVirtPosition=&amp;position=chr9:83659962-83708253","chr9:83659962-83708253")</f>
        <v>chr9:83659962-83708253</v>
      </c>
      <c r="F875" t="s">
        <v>22</v>
      </c>
      <c r="G875">
        <v>0.143661901310604</v>
      </c>
      <c r="H875">
        <v>4.4116659465058702E-2</v>
      </c>
      <c r="I875">
        <v>3.2564093259233999</v>
      </c>
      <c r="J875">
        <v>1.1283096229236099E-3</v>
      </c>
      <c r="K875">
        <v>1.8182888564952301E-2</v>
      </c>
      <c r="L875" t="s">
        <v>23</v>
      </c>
      <c r="M875" t="s">
        <v>24</v>
      </c>
      <c r="N875">
        <v>7353.0377386751697</v>
      </c>
      <c r="O875">
        <v>6973.0439305796699</v>
      </c>
      <c r="P875">
        <v>7733.0315467706596</v>
      </c>
      <c r="Q875">
        <v>6803.5978350758396</v>
      </c>
      <c r="R875">
        <v>7142.4900260835002</v>
      </c>
      <c r="S875">
        <v>7616.7729229420702</v>
      </c>
      <c r="T875">
        <v>7849.2901705992499</v>
      </c>
    </row>
    <row r="876" spans="1:20" x14ac:dyDescent="0.2">
      <c r="A876" t="s">
        <v>1745</v>
      </c>
      <c r="B876" s="3" t="str">
        <f>HYPERLINK("http://www.ncbi.nlm.nih.gov/gene/22949","PTGR1")</f>
        <v>PTGR1</v>
      </c>
      <c r="C876">
        <v>22949</v>
      </c>
      <c r="D876" t="s">
        <v>1746</v>
      </c>
      <c r="E876" s="3" t="str">
        <f>HYPERLINK("http://genome.ucsc.edu/cgi-bin/hgTracks?db=hg19&amp;lastVirtModeType=default&amp;lastVirtModeExtraState=&amp;virtModeType=default&amp;virtMode=0&amp;nonVirtPosition=&amp;position=chr9:111549721-111599855","chr9:111549721-111599855")</f>
        <v>chr9:111549721-111599855</v>
      </c>
      <c r="F876" t="s">
        <v>22</v>
      </c>
      <c r="G876">
        <v>0.14696698368963801</v>
      </c>
      <c r="H876">
        <v>4.5147770098385401E-2</v>
      </c>
      <c r="I876">
        <v>3.2552434676035999</v>
      </c>
      <c r="J876">
        <v>1.1329519663059999E-3</v>
      </c>
      <c r="K876">
        <v>1.82362714388738E-2</v>
      </c>
      <c r="L876" t="s">
        <v>23</v>
      </c>
      <c r="M876" t="s">
        <v>24</v>
      </c>
      <c r="N876">
        <v>6360.2833633151504</v>
      </c>
      <c r="O876">
        <v>6025.3582980646597</v>
      </c>
      <c r="P876">
        <v>6695.2084285656601</v>
      </c>
      <c r="Q876">
        <v>6198.2220924199601</v>
      </c>
      <c r="R876">
        <v>5852.4945037093503</v>
      </c>
      <c r="S876">
        <v>6742.73318589678</v>
      </c>
      <c r="T876">
        <v>6647.6836712345403</v>
      </c>
    </row>
    <row r="877" spans="1:20" x14ac:dyDescent="0.2">
      <c r="A877" t="s">
        <v>1747</v>
      </c>
      <c r="B877" s="3" t="str">
        <f>HYPERLINK("http://www.ncbi.nlm.nih.gov/gene/54492","NEURL1B")</f>
        <v>NEURL1B</v>
      </c>
      <c r="C877">
        <v>54492</v>
      </c>
      <c r="D877" t="s">
        <v>1748</v>
      </c>
      <c r="E877" s="3" t="str">
        <f>HYPERLINK("http://genome.ucsc.edu/cgi-bin/hgTracks?db=hg19&amp;lastVirtModeType=default&amp;lastVirtModeExtraState=&amp;virtModeType=default&amp;virtMode=0&amp;nonVirtPosition=&amp;position=chr5:172641265-172691530","chr5:172641265-172691530")</f>
        <v>chr5:172641265-172691530</v>
      </c>
      <c r="F877" t="s">
        <v>27</v>
      </c>
      <c r="G877">
        <v>-0.38144268282358701</v>
      </c>
      <c r="H877">
        <v>0.117192665520923</v>
      </c>
      <c r="I877">
        <v>-3.2548340898986101</v>
      </c>
      <c r="J877">
        <v>1.13458625588679E-3</v>
      </c>
      <c r="K877">
        <v>1.8241167541889099E-2</v>
      </c>
      <c r="L877" t="s">
        <v>23</v>
      </c>
      <c r="M877" t="s">
        <v>24</v>
      </c>
      <c r="N877">
        <v>84.6416533080818</v>
      </c>
      <c r="O877">
        <v>110.357609846963</v>
      </c>
      <c r="P877">
        <v>58.925696769201103</v>
      </c>
      <c r="Q877">
        <v>116.94758664943301</v>
      </c>
      <c r="R877">
        <v>103.767633044492</v>
      </c>
      <c r="S877">
        <v>56.230547417134801</v>
      </c>
      <c r="T877">
        <v>61.620846121267299</v>
      </c>
    </row>
    <row r="878" spans="1:20" x14ac:dyDescent="0.2">
      <c r="A878" t="s">
        <v>1749</v>
      </c>
      <c r="B878" s="3" t="str">
        <f>HYPERLINK("http://www.ncbi.nlm.nih.gov/gene/1434","CSE1L")</f>
        <v>CSE1L</v>
      </c>
      <c r="C878">
        <v>1434</v>
      </c>
      <c r="D878" t="s">
        <v>1750</v>
      </c>
      <c r="E878" s="3" t="str">
        <f>HYPERLINK("http://genome.ucsc.edu/cgi-bin/hgTracks?db=hg19&amp;lastVirtModeType=default&amp;lastVirtModeExtraState=&amp;virtModeType=default&amp;virtMode=0&amp;nonVirtPosition=&amp;position=chr20:49046245-49096960","chr20:49046245-49096960")</f>
        <v>chr20:49046245-49096960</v>
      </c>
      <c r="F878" t="s">
        <v>27</v>
      </c>
      <c r="G878">
        <v>-0.14555838993054299</v>
      </c>
      <c r="H878">
        <v>4.4729043825626799E-2</v>
      </c>
      <c r="I878">
        <v>-3.2542253864847299</v>
      </c>
      <c r="J878">
        <v>1.1370203095240599E-3</v>
      </c>
      <c r="K878">
        <v>1.8258895228118199E-2</v>
      </c>
      <c r="L878" t="s">
        <v>23</v>
      </c>
      <c r="M878" t="s">
        <v>24</v>
      </c>
      <c r="N878">
        <v>6443.4401084573901</v>
      </c>
      <c r="O878">
        <v>6782.3082050181101</v>
      </c>
      <c r="P878">
        <v>6104.5720118966701</v>
      </c>
      <c r="Q878">
        <v>6733.4292830861896</v>
      </c>
      <c r="R878">
        <v>6831.1871269500298</v>
      </c>
      <c r="S878">
        <v>5948.6000162337295</v>
      </c>
      <c r="T878">
        <v>6260.5440075596198</v>
      </c>
    </row>
    <row r="879" spans="1:20" x14ac:dyDescent="0.2">
      <c r="A879" t="s">
        <v>1751</v>
      </c>
      <c r="B879" s="3" t="str">
        <f>HYPERLINK("http://www.ncbi.nlm.nih.gov/gene/80230","RUFY1")</f>
        <v>RUFY1</v>
      </c>
      <c r="C879">
        <v>80230</v>
      </c>
      <c r="D879" t="s">
        <v>1752</v>
      </c>
      <c r="E879" s="3" t="str">
        <f>HYPERLINK("http://genome.ucsc.edu/cgi-bin/hgTracks?db=hg19&amp;lastVirtModeType=default&amp;lastVirtModeExtraState=&amp;virtModeType=default&amp;virtMode=0&amp;nonVirtPosition=&amp;position=chr5:179559691-179610026","chr5:179559691-179610026")</f>
        <v>chr5:179559691-179610026</v>
      </c>
      <c r="F879" t="s">
        <v>27</v>
      </c>
      <c r="G879">
        <v>0.20127140145314301</v>
      </c>
      <c r="H879">
        <v>6.1864555996833999E-2</v>
      </c>
      <c r="I879">
        <v>3.2534202858166998</v>
      </c>
      <c r="J879">
        <v>1.14024712169151E-3</v>
      </c>
      <c r="K879">
        <v>1.8289297107458899E-2</v>
      </c>
      <c r="L879" t="s">
        <v>23</v>
      </c>
      <c r="M879" t="s">
        <v>24</v>
      </c>
      <c r="N879">
        <v>2017.8309018069201</v>
      </c>
      <c r="O879">
        <v>1868.1605817141301</v>
      </c>
      <c r="P879">
        <v>2167.5012218996999</v>
      </c>
      <c r="Q879">
        <v>1916.5645670901199</v>
      </c>
      <c r="R879">
        <v>1819.7565963381401</v>
      </c>
      <c r="S879">
        <v>2101.2467719034598</v>
      </c>
      <c r="T879">
        <v>2233.7556718959399</v>
      </c>
    </row>
    <row r="880" spans="1:20" x14ac:dyDescent="0.2">
      <c r="A880" t="s">
        <v>1753</v>
      </c>
      <c r="B880" s="3" t="str">
        <f>HYPERLINK("http://www.ncbi.nlm.nih.gov/gene/5985","RFC5")</f>
        <v>RFC5</v>
      </c>
      <c r="C880">
        <v>5985</v>
      </c>
      <c r="D880" t="s">
        <v>1754</v>
      </c>
      <c r="E880" s="3" t="str">
        <f>HYPERLINK("http://genome.ucsc.edu/cgi-bin/hgTracks?db=hg19&amp;lastVirtModeType=default&amp;lastVirtModeExtraState=&amp;virtModeType=default&amp;virtMode=0&amp;nonVirtPosition=&amp;position=chr12:118016700-118032237","chr12:118016700-118032237")</f>
        <v>chr12:118016700-118032237</v>
      </c>
      <c r="F880" t="s">
        <v>27</v>
      </c>
      <c r="G880">
        <v>-0.26936206481965902</v>
      </c>
      <c r="H880">
        <v>8.2844983680589193E-2</v>
      </c>
      <c r="I880">
        <v>-3.2513986104238999</v>
      </c>
      <c r="J880">
        <v>1.14838727096733E-3</v>
      </c>
      <c r="K880">
        <v>1.83983446659415E-2</v>
      </c>
      <c r="L880" t="s">
        <v>23</v>
      </c>
      <c r="M880" t="s">
        <v>24</v>
      </c>
      <c r="N880">
        <v>788.81370487540005</v>
      </c>
      <c r="O880">
        <v>874.31202471126596</v>
      </c>
      <c r="P880">
        <v>703.31538503953402</v>
      </c>
      <c r="Q880">
        <v>842.02262387591804</v>
      </c>
      <c r="R880">
        <v>906.601425546614</v>
      </c>
      <c r="S880">
        <v>686.60457898817197</v>
      </c>
      <c r="T880">
        <v>720.02619109089505</v>
      </c>
    </row>
    <row r="881" spans="1:20" x14ac:dyDescent="0.2">
      <c r="A881" t="s">
        <v>1755</v>
      </c>
      <c r="B881" s="3" t="str">
        <f>HYPERLINK("http://www.ncbi.nlm.nih.gov/gene/1192","CLIC1")</f>
        <v>CLIC1</v>
      </c>
      <c r="C881">
        <v>1192</v>
      </c>
      <c r="D881" t="s">
        <v>1756</v>
      </c>
      <c r="E881" s="3" t="str">
        <f>HYPERLINK("http://genome.ucsc.edu/cgi-bin/hgTracks?db=hg19&amp;lastVirtModeType=default&amp;lastVirtModeExtraState=&amp;virtModeType=default&amp;virtMode=0&amp;nonVirtPosition=&amp;position=chr6_GL000256v2_alt:3029876-3035866","chr6_GL000256v2_alt:3029876-3035866")</f>
        <v>chr6_GL000256v2_alt:3029876-3035866</v>
      </c>
      <c r="F881" t="s">
        <v>22</v>
      </c>
      <c r="G881">
        <v>0.12700861791739801</v>
      </c>
      <c r="H881">
        <v>3.9078278618296297E-2</v>
      </c>
      <c r="I881">
        <v>3.2501077941015701</v>
      </c>
      <c r="J881">
        <v>1.15361272257283E-3</v>
      </c>
      <c r="K881">
        <v>1.8460495772886502E-2</v>
      </c>
      <c r="L881" t="s">
        <v>23</v>
      </c>
      <c r="M881" t="s">
        <v>24</v>
      </c>
      <c r="N881">
        <v>17940.725951198801</v>
      </c>
      <c r="O881">
        <v>17129.102693542201</v>
      </c>
      <c r="P881">
        <v>18752.349208855299</v>
      </c>
      <c r="Q881">
        <v>16994.5481211035</v>
      </c>
      <c r="R881">
        <v>17263.657265981001</v>
      </c>
      <c r="S881">
        <v>18562.986153477599</v>
      </c>
      <c r="T881">
        <v>18941.712264233</v>
      </c>
    </row>
    <row r="882" spans="1:20" x14ac:dyDescent="0.2">
      <c r="A882" t="s">
        <v>1757</v>
      </c>
      <c r="B882" s="3" t="str">
        <f>HYPERLINK("http://www.ncbi.nlm.nih.gov/gene/115207","KCTD12")</f>
        <v>KCTD12</v>
      </c>
      <c r="C882">
        <v>115207</v>
      </c>
      <c r="D882" t="s">
        <v>1758</v>
      </c>
      <c r="E882" s="3" t="str">
        <f>HYPERLINK("http://genome.ucsc.edu/cgi-bin/hgTracks?db=hg19&amp;lastVirtModeType=default&amp;lastVirtModeExtraState=&amp;virtModeType=default&amp;virtMode=0&amp;nonVirtPosition=&amp;position=chr13:76880168-76886405","chr13:76880168-76886405")</f>
        <v>chr13:76880168-76886405</v>
      </c>
      <c r="F882" t="s">
        <v>22</v>
      </c>
      <c r="G882">
        <v>0.19542871008094101</v>
      </c>
      <c r="H882">
        <v>6.01368499498579E-2</v>
      </c>
      <c r="I882">
        <v>3.24973307121821</v>
      </c>
      <c r="J882">
        <v>1.15513377741468E-3</v>
      </c>
      <c r="K882">
        <v>1.84632921019404E-2</v>
      </c>
      <c r="L882" t="s">
        <v>23</v>
      </c>
      <c r="M882" t="s">
        <v>24</v>
      </c>
      <c r="N882">
        <v>2110.41443296036</v>
      </c>
      <c r="O882">
        <v>1957.6286133229901</v>
      </c>
      <c r="P882">
        <v>2263.20025259773</v>
      </c>
      <c r="Q882">
        <v>1926.19554481419</v>
      </c>
      <c r="R882">
        <v>1989.0616818317901</v>
      </c>
      <c r="S882">
        <v>2200.8833559232899</v>
      </c>
      <c r="T882">
        <v>2325.5171492721702</v>
      </c>
    </row>
    <row r="883" spans="1:20" x14ac:dyDescent="0.2">
      <c r="A883" t="s">
        <v>1759</v>
      </c>
      <c r="B883" s="3" t="str">
        <f>HYPERLINK("http://www.ncbi.nlm.nih.gov/gene/1173","AP2M1")</f>
        <v>AP2M1</v>
      </c>
      <c r="C883">
        <v>1173</v>
      </c>
      <c r="D883" t="s">
        <v>1760</v>
      </c>
      <c r="E883" s="3" t="str">
        <f>HYPERLINK("http://genome.ucsc.edu/cgi-bin/hgTracks?db=hg19&amp;lastVirtModeType=default&amp;lastVirtModeExtraState=&amp;virtModeType=default&amp;virtMode=0&amp;nonVirtPosition=&amp;position=chr3:184174845-184184091","chr3:184174845-184184091")</f>
        <v>chr3:184174845-184184091</v>
      </c>
      <c r="F883" t="s">
        <v>27</v>
      </c>
      <c r="G883">
        <v>-0.13176164222412201</v>
      </c>
      <c r="H883">
        <v>4.0575588208582397E-2</v>
      </c>
      <c r="I883">
        <v>-3.2473131762573502</v>
      </c>
      <c r="J883">
        <v>1.16500120459813E-3</v>
      </c>
      <c r="K883">
        <v>1.8599332386331501E-2</v>
      </c>
      <c r="L883" t="s">
        <v>23</v>
      </c>
      <c r="M883" t="s">
        <v>24</v>
      </c>
      <c r="N883">
        <v>20148.071103154201</v>
      </c>
      <c r="O883">
        <v>21097.446014870799</v>
      </c>
      <c r="P883">
        <v>19198.696191437601</v>
      </c>
      <c r="Q883">
        <v>20911.604346879201</v>
      </c>
      <c r="R883">
        <v>21283.287682862399</v>
      </c>
      <c r="S883">
        <v>18806.6518589519</v>
      </c>
      <c r="T883">
        <v>19590.740523923301</v>
      </c>
    </row>
    <row r="884" spans="1:20" x14ac:dyDescent="0.2">
      <c r="A884" t="s">
        <v>1761</v>
      </c>
      <c r="B884" s="3" t="str">
        <f>HYPERLINK("http://www.ncbi.nlm.nih.gov/gene/55219","TMEM57")</f>
        <v>TMEM57</v>
      </c>
      <c r="C884">
        <v>55219</v>
      </c>
      <c r="D884" t="s">
        <v>1762</v>
      </c>
      <c r="E884" s="3" t="str">
        <f>HYPERLINK("http://genome.ucsc.edu/cgi-bin/hgTracks?db=hg19&amp;lastVirtModeType=default&amp;lastVirtModeExtraState=&amp;virtModeType=default&amp;virtMode=0&amp;nonVirtPosition=&amp;position=chr1:25430857-25500207","chr1:25430857-25500207")</f>
        <v>chr1:25430857-25500207</v>
      </c>
      <c r="F884" t="s">
        <v>27</v>
      </c>
      <c r="G884">
        <v>0.21761202689065301</v>
      </c>
      <c r="H884">
        <v>6.7049611722085706E-2</v>
      </c>
      <c r="I884">
        <v>3.2455374654909899</v>
      </c>
      <c r="J884">
        <v>1.1722913775636E-3</v>
      </c>
      <c r="K884">
        <v>1.8693958083612999E-2</v>
      </c>
      <c r="L884" t="s">
        <v>23</v>
      </c>
      <c r="M884" t="s">
        <v>24</v>
      </c>
      <c r="N884">
        <v>1455.46193722419</v>
      </c>
      <c r="O884">
        <v>1335.16718182626</v>
      </c>
      <c r="P884">
        <v>1575.75669262212</v>
      </c>
      <c r="Q884">
        <v>1355.21615117284</v>
      </c>
      <c r="R884">
        <v>1315.1182124796701</v>
      </c>
      <c r="S884">
        <v>1608.9828567955601</v>
      </c>
      <c r="T884">
        <v>1542.5305284486799</v>
      </c>
    </row>
    <row r="885" spans="1:20" x14ac:dyDescent="0.2">
      <c r="A885" t="s">
        <v>1763</v>
      </c>
      <c r="B885" s="3" t="str">
        <f>HYPERLINK("http://www.ncbi.nlm.nih.gov/gene/137964","GPAT4")</f>
        <v>GPAT4</v>
      </c>
      <c r="C885">
        <v>137964</v>
      </c>
      <c r="D885" t="s">
        <v>1764</v>
      </c>
      <c r="E885" s="3" t="str">
        <f>HYPERLINK("http://genome.ucsc.edu/cgi-bin/hgTracks?db=hg19&amp;lastVirtModeType=default&amp;lastVirtModeExtraState=&amp;virtModeType=default&amp;virtMode=0&amp;nonVirtPosition=&amp;position=chr8:41578187-41625001","chr8:41578187-41625001")</f>
        <v>chr8:41578187-41625001</v>
      </c>
      <c r="F885" t="s">
        <v>27</v>
      </c>
      <c r="G885">
        <v>0.14818950542596801</v>
      </c>
      <c r="H885">
        <v>4.5738912019991002E-2</v>
      </c>
      <c r="I885">
        <v>3.2399000955947499</v>
      </c>
      <c r="J885">
        <v>1.19571585705014E-3</v>
      </c>
      <c r="K885">
        <v>1.9024848863981099E-2</v>
      </c>
      <c r="L885" t="s">
        <v>23</v>
      </c>
      <c r="M885" t="s">
        <v>24</v>
      </c>
      <c r="N885">
        <v>4680.7871689516096</v>
      </c>
      <c r="O885">
        <v>4431.2202979128397</v>
      </c>
      <c r="P885">
        <v>4930.3540399903704</v>
      </c>
      <c r="Q885">
        <v>4423.3704832697304</v>
      </c>
      <c r="R885">
        <v>4439.0701125559499</v>
      </c>
      <c r="S885">
        <v>4902.9091344414001</v>
      </c>
      <c r="T885">
        <v>4957.7989455393499</v>
      </c>
    </row>
    <row r="886" spans="1:20" x14ac:dyDescent="0.2">
      <c r="A886" t="s">
        <v>1765</v>
      </c>
      <c r="B886" s="3" t="str">
        <f>HYPERLINK("http://www.ncbi.nlm.nih.gov/gene/65998","C11orf95")</f>
        <v>C11orf95</v>
      </c>
      <c r="C886">
        <v>65998</v>
      </c>
      <c r="D886" t="s">
        <v>1766</v>
      </c>
      <c r="E886" s="3" t="str">
        <f>HYPERLINK("http://genome.ucsc.edu/cgi-bin/hgTracks?db=hg19&amp;lastVirtModeType=default&amp;lastVirtModeExtraState=&amp;virtModeType=default&amp;virtMode=0&amp;nonVirtPosition=&amp;position=chr11:63759891-63768641","chr11:63759891-63768641")</f>
        <v>chr11:63759891-63768641</v>
      </c>
      <c r="F886" t="s">
        <v>22</v>
      </c>
      <c r="G886">
        <v>0.27970247473759702</v>
      </c>
      <c r="H886">
        <v>8.6331222192833595E-2</v>
      </c>
      <c r="I886">
        <v>3.2398762305581599</v>
      </c>
      <c r="J886">
        <v>1.1958159341367699E-3</v>
      </c>
      <c r="K886">
        <v>1.9024848863981099E-2</v>
      </c>
      <c r="L886" t="s">
        <v>23</v>
      </c>
      <c r="M886" t="s">
        <v>24</v>
      </c>
      <c r="N886">
        <v>716.95983458230603</v>
      </c>
      <c r="O886">
        <v>635.90461375907398</v>
      </c>
      <c r="P886">
        <v>798.01505540553796</v>
      </c>
      <c r="Q886">
        <v>659.03404711857002</v>
      </c>
      <c r="R886">
        <v>612.77518039957897</v>
      </c>
      <c r="S886">
        <v>767.49764720229598</v>
      </c>
      <c r="T886">
        <v>828.53246360877904</v>
      </c>
    </row>
    <row r="887" spans="1:20" x14ac:dyDescent="0.2">
      <c r="A887" t="s">
        <v>1767</v>
      </c>
      <c r="B887" s="3" t="str">
        <f>HYPERLINK("http://www.ncbi.nlm.nih.gov/gene/308","ANXA5")</f>
        <v>ANXA5</v>
      </c>
      <c r="C887">
        <v>308</v>
      </c>
      <c r="D887" t="s">
        <v>1768</v>
      </c>
      <c r="E887" s="3" t="str">
        <f>HYPERLINK("http://genome.ucsc.edu/cgi-bin/hgTracks?db=hg19&amp;lastVirtModeType=default&amp;lastVirtModeExtraState=&amp;virtModeType=default&amp;virtMode=0&amp;nonVirtPosition=&amp;position=chr4:121667996-121696992","chr4:121667996-121696992")</f>
        <v>chr4:121667996-121696992</v>
      </c>
      <c r="F887" t="s">
        <v>22</v>
      </c>
      <c r="G887">
        <v>0.12604494522530901</v>
      </c>
      <c r="H887">
        <v>3.8908973575866403E-2</v>
      </c>
      <c r="I887">
        <v>3.2394826602028202</v>
      </c>
      <c r="J887">
        <v>1.19746747234302E-3</v>
      </c>
      <c r="K887">
        <v>1.90290485697708E-2</v>
      </c>
      <c r="L887" t="s">
        <v>23</v>
      </c>
      <c r="M887" t="s">
        <v>24</v>
      </c>
      <c r="N887">
        <v>24206.896177532799</v>
      </c>
      <c r="O887">
        <v>23118.553383309401</v>
      </c>
      <c r="P887">
        <v>25295.238971756298</v>
      </c>
      <c r="Q887">
        <v>22870.8203867474</v>
      </c>
      <c r="R887">
        <v>23366.286379871301</v>
      </c>
      <c r="S887">
        <v>25408.315425889901</v>
      </c>
      <c r="T887">
        <v>25182.162517622699</v>
      </c>
    </row>
    <row r="888" spans="1:20" x14ac:dyDescent="0.2">
      <c r="A888" t="s">
        <v>1769</v>
      </c>
      <c r="B888" s="3" t="str">
        <f>HYPERLINK("http://www.ncbi.nlm.nih.gov/gene/9780","PIEZO1")</f>
        <v>PIEZO1</v>
      </c>
      <c r="C888">
        <v>9780</v>
      </c>
      <c r="D888" t="s">
        <v>1770</v>
      </c>
      <c r="E888" s="3" t="str">
        <f>HYPERLINK("http://genome.ucsc.edu/cgi-bin/hgTracks?db=hg19&amp;lastVirtModeType=default&amp;lastVirtModeExtraState=&amp;virtModeType=default&amp;virtMode=0&amp;nonVirtPosition=&amp;position=chr16:88715337-88785220","chr16:88715337-88785220")</f>
        <v>chr16:88715337-88785220</v>
      </c>
      <c r="F888" t="s">
        <v>22</v>
      </c>
      <c r="G888">
        <v>-0.13988139241182901</v>
      </c>
      <c r="H888">
        <v>4.3196277038707299E-2</v>
      </c>
      <c r="I888">
        <v>-3.2382742680922201</v>
      </c>
      <c r="J888">
        <v>1.20255142119505E-3</v>
      </c>
      <c r="K888">
        <v>1.9079588614638199E-2</v>
      </c>
      <c r="L888" t="s">
        <v>23</v>
      </c>
      <c r="M888" t="s">
        <v>24</v>
      </c>
      <c r="N888">
        <v>10051.6957193423</v>
      </c>
      <c r="O888">
        <v>10555.1384824009</v>
      </c>
      <c r="P888">
        <v>9548.2529562836899</v>
      </c>
      <c r="Q888">
        <v>10258.3671300962</v>
      </c>
      <c r="R888">
        <v>10851.909834705601</v>
      </c>
      <c r="S888">
        <v>9424.0424469454192</v>
      </c>
      <c r="T888">
        <v>9672.4634656219696</v>
      </c>
    </row>
    <row r="889" spans="1:20" x14ac:dyDescent="0.2">
      <c r="A889" t="s">
        <v>1769</v>
      </c>
      <c r="B889" s="3" t="str">
        <f>HYPERLINK("http://www.ncbi.nlm.nih.gov/gene/100616167","MIR4722")</f>
        <v>MIR4722</v>
      </c>
      <c r="C889">
        <v>100616167</v>
      </c>
      <c r="D889" t="s">
        <v>1771</v>
      </c>
      <c r="E889" s="3" t="str">
        <f>HYPERLINK("http://genome.ucsc.edu/cgi-bin/hgTracks?db=hg19&amp;lastVirtModeType=default&amp;lastVirtModeExtraState=&amp;virtModeType=default&amp;virtMode=0&amp;nonVirtPosition=&amp;position=chr16:88716277-88716337","chr16:88716277-88716337")</f>
        <v>chr16:88716277-88716337</v>
      </c>
      <c r="F889" t="s">
        <v>22</v>
      </c>
      <c r="G889">
        <v>-0.13988139241182901</v>
      </c>
      <c r="H889">
        <v>4.3196277038707299E-2</v>
      </c>
      <c r="I889">
        <v>-3.2382742680922201</v>
      </c>
      <c r="J889">
        <v>1.20255142119505E-3</v>
      </c>
      <c r="K889">
        <v>1.9079588614638199E-2</v>
      </c>
      <c r="L889" t="s">
        <v>23</v>
      </c>
      <c r="M889" t="s">
        <v>24</v>
      </c>
      <c r="N889">
        <v>10051.6957193423</v>
      </c>
      <c r="O889">
        <v>10555.1384824009</v>
      </c>
      <c r="P889">
        <v>9548.2529562836899</v>
      </c>
      <c r="Q889">
        <v>10258.3671300962</v>
      </c>
      <c r="R889">
        <v>10851.909834705601</v>
      </c>
      <c r="S889">
        <v>9424.0424469454192</v>
      </c>
      <c r="T889">
        <v>9672.4634656219696</v>
      </c>
    </row>
    <row r="890" spans="1:20" x14ac:dyDescent="0.2">
      <c r="A890" t="s">
        <v>1772</v>
      </c>
      <c r="B890" s="3" t="str">
        <f>HYPERLINK("http://www.ncbi.nlm.nih.gov/gene/10370","CITED2")</f>
        <v>CITED2</v>
      </c>
      <c r="C890">
        <v>10370</v>
      </c>
      <c r="D890" t="s">
        <v>1773</v>
      </c>
      <c r="E890" s="3" t="str">
        <f>HYPERLINK("http://genome.ucsc.edu/cgi-bin/hgTracks?db=hg19&amp;lastVirtModeType=default&amp;lastVirtModeExtraState=&amp;virtModeType=default&amp;virtMode=0&amp;nonVirtPosition=&amp;position=chr6:139372254-139374650","chr6:139372254-139374650")</f>
        <v>chr6:139372254-139374650</v>
      </c>
      <c r="F890" t="s">
        <v>22</v>
      </c>
      <c r="G890">
        <v>-0.25247496027067301</v>
      </c>
      <c r="H890">
        <v>7.7970916434007206E-2</v>
      </c>
      <c r="I890">
        <v>-3.2380658304094898</v>
      </c>
      <c r="J890">
        <v>1.20343037419149E-3</v>
      </c>
      <c r="K890">
        <v>1.9079588614638199E-2</v>
      </c>
      <c r="L890" t="s">
        <v>23</v>
      </c>
      <c r="M890" t="s">
        <v>24</v>
      </c>
      <c r="N890">
        <v>1550.8970879278099</v>
      </c>
      <c r="O890">
        <v>1708.1196342217499</v>
      </c>
      <c r="P890">
        <v>1393.6745416338599</v>
      </c>
      <c r="Q890">
        <v>1767.97233934731</v>
      </c>
      <c r="R890">
        <v>1648.2669290961901</v>
      </c>
      <c r="S890">
        <v>1252.85605648704</v>
      </c>
      <c r="T890">
        <v>1534.4930267806899</v>
      </c>
    </row>
    <row r="891" spans="1:20" x14ac:dyDescent="0.2">
      <c r="A891" t="s">
        <v>1774</v>
      </c>
      <c r="B891" s="3" t="str">
        <f>HYPERLINK("http://www.ncbi.nlm.nih.gov/gene/27303","RBMS3")</f>
        <v>RBMS3</v>
      </c>
      <c r="C891">
        <v>27303</v>
      </c>
      <c r="D891" t="s">
        <v>1775</v>
      </c>
      <c r="E891" s="3" t="str">
        <f>HYPERLINK("http://genome.ucsc.edu/cgi-bin/hgTracks?db=hg19&amp;lastVirtModeType=default&amp;lastVirtModeExtraState=&amp;virtModeType=default&amp;virtMode=0&amp;nonVirtPosition=&amp;position=chr3:29281311-29991318","chr3:29281311-29991318")</f>
        <v>chr3:29281311-29991318</v>
      </c>
      <c r="F891" t="s">
        <v>27</v>
      </c>
      <c r="G891">
        <v>-0.28773554574542098</v>
      </c>
      <c r="H891">
        <v>8.8879251741108806E-2</v>
      </c>
      <c r="I891">
        <v>-3.2373758791708598</v>
      </c>
      <c r="J891">
        <v>1.20634403877251E-3</v>
      </c>
      <c r="K891">
        <v>1.9103697630168899E-2</v>
      </c>
      <c r="L891" t="s">
        <v>23</v>
      </c>
      <c r="M891" t="s">
        <v>24</v>
      </c>
      <c r="N891">
        <v>673.2977888767</v>
      </c>
      <c r="O891">
        <v>754.428340819141</v>
      </c>
      <c r="P891">
        <v>592.16723693425797</v>
      </c>
      <c r="Q891">
        <v>733.33016098997496</v>
      </c>
      <c r="R891">
        <v>775.52652064830795</v>
      </c>
      <c r="S891">
        <v>555.39996834819101</v>
      </c>
      <c r="T891">
        <v>628.93450552032596</v>
      </c>
    </row>
    <row r="892" spans="1:20" x14ac:dyDescent="0.2">
      <c r="A892" t="s">
        <v>1776</v>
      </c>
      <c r="B892" s="3" t="str">
        <f>HYPERLINK("http://www.ncbi.nlm.nih.gov/gene/51520","LARS")</f>
        <v>LARS</v>
      </c>
      <c r="C892">
        <v>51520</v>
      </c>
      <c r="D892" t="s">
        <v>1777</v>
      </c>
      <c r="E892" s="3" t="str">
        <f>HYPERLINK("http://genome.ucsc.edu/cgi-bin/hgTracks?db=hg19&amp;lastVirtModeType=default&amp;lastVirtModeExtraState=&amp;virtModeType=default&amp;virtMode=0&amp;nonVirtPosition=&amp;position=chr5:146113025-146182787","chr5:146113025-146182787")</f>
        <v>chr5:146113025-146182787</v>
      </c>
      <c r="F892" t="s">
        <v>22</v>
      </c>
      <c r="G892">
        <v>0.13626655289331599</v>
      </c>
      <c r="H892">
        <v>4.2103234804228298E-2</v>
      </c>
      <c r="I892">
        <v>3.23648654377575</v>
      </c>
      <c r="J892">
        <v>1.2101093162679201E-3</v>
      </c>
      <c r="K892">
        <v>1.91412216416358E-2</v>
      </c>
      <c r="L892" t="s">
        <v>23</v>
      </c>
      <c r="M892" t="s">
        <v>24</v>
      </c>
      <c r="N892">
        <v>6822.5078599487697</v>
      </c>
      <c r="O892">
        <v>6490.47836130409</v>
      </c>
      <c r="P892">
        <v>7154.5373585934403</v>
      </c>
      <c r="Q892">
        <v>6540.8097286047696</v>
      </c>
      <c r="R892">
        <v>6440.1469940034203</v>
      </c>
      <c r="S892">
        <v>7140.2930211442399</v>
      </c>
      <c r="T892">
        <v>7168.7816960426499</v>
      </c>
    </row>
    <row r="893" spans="1:20" x14ac:dyDescent="0.2">
      <c r="A893" t="s">
        <v>1778</v>
      </c>
      <c r="B893" s="3" t="str">
        <f>HYPERLINK("http://www.ncbi.nlm.nih.gov/gene/9686","VGLL4")</f>
        <v>VGLL4</v>
      </c>
      <c r="C893">
        <v>9686</v>
      </c>
      <c r="D893" t="s">
        <v>1779</v>
      </c>
      <c r="E893" s="3" t="str">
        <f>HYPERLINK("http://genome.ucsc.edu/cgi-bin/hgTracks?db=hg19&amp;lastVirtModeType=default&amp;lastVirtModeExtraState=&amp;virtModeType=default&amp;virtMode=0&amp;nonVirtPosition=&amp;position=chr3:11556066-11582391","chr3:11556066-11582391")</f>
        <v>chr3:11556066-11582391</v>
      </c>
      <c r="F893" t="s">
        <v>22</v>
      </c>
      <c r="G893">
        <v>0.22454854047234599</v>
      </c>
      <c r="H893">
        <v>6.9417563024515599E-2</v>
      </c>
      <c r="I893">
        <v>3.2347511305322501</v>
      </c>
      <c r="J893">
        <v>1.2174880057851101E-3</v>
      </c>
      <c r="K893">
        <v>1.9235749437024101E-2</v>
      </c>
      <c r="L893" t="s">
        <v>23</v>
      </c>
      <c r="M893" t="s">
        <v>24</v>
      </c>
      <c r="N893">
        <v>1343.2403107324301</v>
      </c>
      <c r="O893">
        <v>1227.1887102636499</v>
      </c>
      <c r="P893">
        <v>1459.2919112012301</v>
      </c>
      <c r="Q893">
        <v>1181.8585521395701</v>
      </c>
      <c r="R893">
        <v>1272.51886838772</v>
      </c>
      <c r="S893">
        <v>1455.08872702235</v>
      </c>
      <c r="T893">
        <v>1463.4950953801001</v>
      </c>
    </row>
    <row r="894" spans="1:20" x14ac:dyDescent="0.2">
      <c r="A894" t="s">
        <v>1780</v>
      </c>
      <c r="B894" s="3" t="str">
        <f>HYPERLINK("http://www.ncbi.nlm.nih.gov/gene/8767","RIPK2")</f>
        <v>RIPK2</v>
      </c>
      <c r="C894">
        <v>8767</v>
      </c>
      <c r="D894" t="s">
        <v>1781</v>
      </c>
      <c r="E894" s="3" t="str">
        <f>HYPERLINK("http://genome.ucsc.edu/cgi-bin/hgTracks?db=hg19&amp;lastVirtModeType=default&amp;lastVirtModeExtraState=&amp;virtModeType=default&amp;virtMode=0&amp;nonVirtPosition=&amp;position=chr8:89757746-89791064","chr8:89757746-89791064")</f>
        <v>chr8:89757746-89791064</v>
      </c>
      <c r="F894" t="s">
        <v>27</v>
      </c>
      <c r="G894">
        <v>0.220967866506183</v>
      </c>
      <c r="H894">
        <v>6.8369211732789897E-2</v>
      </c>
      <c r="I894">
        <v>3.23197914537614</v>
      </c>
      <c r="J894">
        <v>1.2293602780801399E-3</v>
      </c>
      <c r="K894">
        <v>1.9400974515064499E-2</v>
      </c>
      <c r="L894" t="s">
        <v>23</v>
      </c>
      <c r="M894" t="s">
        <v>24</v>
      </c>
      <c r="N894">
        <v>1382.22444693695</v>
      </c>
      <c r="O894">
        <v>1267.05159725621</v>
      </c>
      <c r="P894">
        <v>1497.3972966177</v>
      </c>
      <c r="Q894">
        <v>1287.79930710435</v>
      </c>
      <c r="R894">
        <v>1246.3038874080601</v>
      </c>
      <c r="S894">
        <v>1462.9807336773799</v>
      </c>
      <c r="T894">
        <v>1531.8138595580299</v>
      </c>
    </row>
    <row r="895" spans="1:20" x14ac:dyDescent="0.2">
      <c r="A895" t="s">
        <v>1782</v>
      </c>
      <c r="B895" s="3" t="str">
        <f>HYPERLINK("http://www.ncbi.nlm.nih.gov/gene/7052","TGM2")</f>
        <v>TGM2</v>
      </c>
      <c r="C895">
        <v>7052</v>
      </c>
      <c r="D895" t="s">
        <v>1783</v>
      </c>
      <c r="E895" s="3" t="str">
        <f>HYPERLINK("http://genome.ucsc.edu/cgi-bin/hgTracks?db=hg19&amp;lastVirtModeType=default&amp;lastVirtModeExtraState=&amp;virtModeType=default&amp;virtMode=0&amp;nonVirtPosition=&amp;position=chr20:38127386-38165429","chr20:38127386-38165429")</f>
        <v>chr20:38127386-38165429</v>
      </c>
      <c r="F895" t="s">
        <v>22</v>
      </c>
      <c r="G895">
        <v>-0.26565123520342798</v>
      </c>
      <c r="H895">
        <v>8.22630874582094E-2</v>
      </c>
      <c r="I895">
        <v>-3.2292884136932201</v>
      </c>
      <c r="J895">
        <v>1.24098672746714E-3</v>
      </c>
      <c r="K895">
        <v>1.9561944805154399E-2</v>
      </c>
      <c r="L895" t="s">
        <v>23</v>
      </c>
      <c r="M895" t="s">
        <v>24</v>
      </c>
      <c r="N895">
        <v>13091.7164246629</v>
      </c>
      <c r="O895">
        <v>14489.8273624548</v>
      </c>
      <c r="P895">
        <v>11693.6054868712</v>
      </c>
      <c r="Q895">
        <v>14945.901573797601</v>
      </c>
      <c r="R895">
        <v>14033.7531511119</v>
      </c>
      <c r="S895">
        <v>11003.430278784601</v>
      </c>
      <c r="T895">
        <v>12383.780694957701</v>
      </c>
    </row>
    <row r="896" spans="1:20" x14ac:dyDescent="0.2">
      <c r="A896" t="s">
        <v>1784</v>
      </c>
      <c r="B896" s="3" t="str">
        <f>HYPERLINK("http://www.ncbi.nlm.nih.gov/gene/901","CCNG2")</f>
        <v>CCNG2</v>
      </c>
      <c r="C896">
        <v>901</v>
      </c>
      <c r="D896" t="s">
        <v>1785</v>
      </c>
      <c r="E896" s="3" t="str">
        <f>HYPERLINK("http://genome.ucsc.edu/cgi-bin/hgTracks?db=hg19&amp;lastVirtModeType=default&amp;lastVirtModeExtraState=&amp;virtModeType=default&amp;virtMode=0&amp;nonVirtPosition=&amp;position=chr4:77157203-77170060","chr4:77157203-77170060")</f>
        <v>chr4:77157203-77170060</v>
      </c>
      <c r="F896" t="s">
        <v>27</v>
      </c>
      <c r="G896">
        <v>-0.24667347276754301</v>
      </c>
      <c r="H896">
        <v>7.6397094486403194E-2</v>
      </c>
      <c r="I896">
        <v>-3.2288331699767001</v>
      </c>
      <c r="J896">
        <v>1.2429638150544199E-3</v>
      </c>
      <c r="K896">
        <v>1.9570615108675402E-2</v>
      </c>
      <c r="L896" t="s">
        <v>23</v>
      </c>
      <c r="M896" t="s">
        <v>24</v>
      </c>
      <c r="N896">
        <v>1040.4160184187199</v>
      </c>
      <c r="O896">
        <v>1139.7113501737899</v>
      </c>
      <c r="P896">
        <v>941.12068666364905</v>
      </c>
      <c r="Q896">
        <v>1085.5487748988601</v>
      </c>
      <c r="R896">
        <v>1193.87392544873</v>
      </c>
      <c r="S896">
        <v>955.91930609129099</v>
      </c>
      <c r="T896">
        <v>926.322067236007</v>
      </c>
    </row>
    <row r="897" spans="1:20" x14ac:dyDescent="0.2">
      <c r="A897" t="s">
        <v>1786</v>
      </c>
      <c r="B897" s="3" t="str">
        <f>HYPERLINK("http://www.ncbi.nlm.nih.gov/gene/51439","FAM8A1")</f>
        <v>FAM8A1</v>
      </c>
      <c r="C897">
        <v>51439</v>
      </c>
      <c r="D897" t="s">
        <v>1787</v>
      </c>
      <c r="E897" s="3" t="str">
        <f>HYPERLINK("http://genome.ucsc.edu/cgi-bin/hgTracks?db=hg19&amp;lastVirtModeType=default&amp;lastVirtModeExtraState=&amp;virtModeType=default&amp;virtMode=0&amp;nonVirtPosition=&amp;position=chr6:17600286-17611719","chr6:17600286-17611719")</f>
        <v>chr6:17600286-17611719</v>
      </c>
      <c r="F897" t="s">
        <v>27</v>
      </c>
      <c r="G897">
        <v>0.19995955114211</v>
      </c>
      <c r="H897">
        <v>6.1939673034440403E-2</v>
      </c>
      <c r="I897">
        <v>3.2282952322161198</v>
      </c>
      <c r="J897">
        <v>1.2453037853322199E-3</v>
      </c>
      <c r="K897">
        <v>1.9584972605557398E-2</v>
      </c>
      <c r="L897" t="s">
        <v>23</v>
      </c>
      <c r="M897" t="s">
        <v>24</v>
      </c>
      <c r="N897">
        <v>1835.6869157180299</v>
      </c>
      <c r="O897">
        <v>1697.46503774488</v>
      </c>
      <c r="P897">
        <v>1973.9087936911901</v>
      </c>
      <c r="Q897">
        <v>1659.2798764613699</v>
      </c>
      <c r="R897">
        <v>1735.6501990284</v>
      </c>
      <c r="S897">
        <v>1994.7046820604701</v>
      </c>
      <c r="T897">
        <v>1953.1129053219099</v>
      </c>
    </row>
    <row r="898" spans="1:20" x14ac:dyDescent="0.2">
      <c r="A898" t="s">
        <v>1788</v>
      </c>
      <c r="B898" s="3" t="str">
        <f>HYPERLINK("http://www.ncbi.nlm.nih.gov/gene/2595","GANC")</f>
        <v>GANC</v>
      </c>
      <c r="C898">
        <v>2595</v>
      </c>
      <c r="D898" t="s">
        <v>1789</v>
      </c>
      <c r="E898" s="3" t="str">
        <f>HYPERLINK("http://genome.ucsc.edu/cgi-bin/hgTracks?db=hg19&amp;lastVirtModeType=default&amp;lastVirtModeExtraState=&amp;virtModeType=default&amp;virtMode=0&amp;nonVirtPosition=&amp;position=chr15:42274167-42353666","chr15:42274167-42353666")</f>
        <v>chr15:42274167-42353666</v>
      </c>
      <c r="F898" t="s">
        <v>27</v>
      </c>
      <c r="G898">
        <v>-0.291609937058115</v>
      </c>
      <c r="H898">
        <v>9.0383553586305704E-2</v>
      </c>
      <c r="I898">
        <v>-3.2263606097282</v>
      </c>
      <c r="J898">
        <v>1.2537528424438E-3</v>
      </c>
      <c r="K898">
        <v>1.96952651560987E-2</v>
      </c>
      <c r="L898" t="s">
        <v>23</v>
      </c>
      <c r="M898" t="s">
        <v>24</v>
      </c>
      <c r="N898">
        <v>606.34454134407099</v>
      </c>
      <c r="O898">
        <v>681.18191004357504</v>
      </c>
      <c r="P898">
        <v>531.50717264456705</v>
      </c>
      <c r="Q898">
        <v>716.81991346299606</v>
      </c>
      <c r="R898">
        <v>645.54390662415506</v>
      </c>
      <c r="S898">
        <v>523.83194172804497</v>
      </c>
      <c r="T898">
        <v>539.18240356108902</v>
      </c>
    </row>
    <row r="899" spans="1:20" x14ac:dyDescent="0.2">
      <c r="A899" t="s">
        <v>1790</v>
      </c>
      <c r="B899" s="3" t="str">
        <f>HYPERLINK("http://www.ncbi.nlm.nih.gov/gene/89958","SAPCD2")</f>
        <v>SAPCD2</v>
      </c>
      <c r="C899">
        <v>89958</v>
      </c>
      <c r="D899" t="s">
        <v>1791</v>
      </c>
      <c r="E899" s="3" t="str">
        <f>HYPERLINK("http://genome.ucsc.edu/cgi-bin/hgTracks?db=hg19&amp;lastVirtModeType=default&amp;lastVirtModeExtraState=&amp;virtModeType=default&amp;virtMode=0&amp;nonVirtPosition=&amp;position=chr9:137062126-137070576","chr9:137062126-137070576")</f>
        <v>chr9:137062126-137070576</v>
      </c>
      <c r="F899" t="s">
        <v>22</v>
      </c>
      <c r="G899">
        <v>-0.38172783841809599</v>
      </c>
      <c r="H899">
        <v>0.11843910337265</v>
      </c>
      <c r="I899">
        <v>-3.2229882492190902</v>
      </c>
      <c r="J899">
        <v>1.2686075784726701E-3</v>
      </c>
      <c r="K899">
        <v>1.99058173125563E-2</v>
      </c>
      <c r="L899" t="s">
        <v>23</v>
      </c>
      <c r="M899" t="s">
        <v>24</v>
      </c>
      <c r="N899">
        <v>107.462677931576</v>
      </c>
      <c r="O899">
        <v>135.94760605367799</v>
      </c>
      <c r="P899">
        <v>78.977749809473295</v>
      </c>
      <c r="Q899">
        <v>132.08198021582999</v>
      </c>
      <c r="R899">
        <v>139.81323189152599</v>
      </c>
      <c r="S899">
        <v>78.920066550364595</v>
      </c>
      <c r="T899">
        <v>79.035433068581995</v>
      </c>
    </row>
    <row r="900" spans="1:20" x14ac:dyDescent="0.2">
      <c r="A900" t="s">
        <v>1792</v>
      </c>
      <c r="B900" s="3" t="str">
        <f>HYPERLINK("http://www.ncbi.nlm.nih.gov/gene/2252","FGF7")</f>
        <v>FGF7</v>
      </c>
      <c r="C900">
        <v>2252</v>
      </c>
      <c r="D900" t="s">
        <v>1793</v>
      </c>
      <c r="E900" s="3" t="str">
        <f>HYPERLINK("http://genome.ucsc.edu/cgi-bin/hgTracks?db=hg19&amp;lastVirtModeType=default&amp;lastVirtModeExtraState=&amp;virtModeType=default&amp;virtMode=0&amp;nonVirtPosition=&amp;position=chr15:49423177-49487326","chr15:49423177-49487326")</f>
        <v>chr15:49423177-49487326</v>
      </c>
      <c r="F900" t="s">
        <v>27</v>
      </c>
      <c r="G900">
        <v>0.25537716952335798</v>
      </c>
      <c r="H900">
        <v>7.9293803322495998E-2</v>
      </c>
      <c r="I900">
        <v>3.22064472660887</v>
      </c>
      <c r="J900">
        <v>1.2790259476829699E-3</v>
      </c>
      <c r="K900">
        <v>2.0046356396027702E-2</v>
      </c>
      <c r="L900" t="s">
        <v>23</v>
      </c>
      <c r="M900" t="s">
        <v>24</v>
      </c>
      <c r="N900">
        <v>905.89810938563198</v>
      </c>
      <c r="O900">
        <v>814.96083147747299</v>
      </c>
      <c r="P900">
        <v>996.83538729378995</v>
      </c>
      <c r="Q900">
        <v>817.25725258545003</v>
      </c>
      <c r="R900">
        <v>812.66441036949504</v>
      </c>
      <c r="S900">
        <v>960.85181025068903</v>
      </c>
      <c r="T900">
        <v>1032.8189643368901</v>
      </c>
    </row>
    <row r="901" spans="1:20" x14ac:dyDescent="0.2">
      <c r="A901" t="s">
        <v>1794</v>
      </c>
      <c r="B901" s="3" t="str">
        <f>HYPERLINK("http://www.ncbi.nlm.nih.gov/gene/283208","P4HA3")</f>
        <v>P4HA3</v>
      </c>
      <c r="C901">
        <v>283208</v>
      </c>
      <c r="D901" t="s">
        <v>1795</v>
      </c>
      <c r="E901" s="3" t="str">
        <f>HYPERLINK("http://genome.ucsc.edu/cgi-bin/hgTracks?db=hg19&amp;lastVirtModeType=default&amp;lastVirtModeExtraState=&amp;virtModeType=default&amp;virtMode=0&amp;nonVirtPosition=&amp;position=chr11:74266648-74311676","chr11:74266648-74311676")</f>
        <v>chr11:74266648-74311676</v>
      </c>
      <c r="F901" t="s">
        <v>22</v>
      </c>
      <c r="G901">
        <v>0.19028433469940301</v>
      </c>
      <c r="H901">
        <v>5.9099682274565302E-2</v>
      </c>
      <c r="I901">
        <v>3.2197184041595999</v>
      </c>
      <c r="J901">
        <v>1.2831657445334999E-3</v>
      </c>
      <c r="K901">
        <v>2.00882819869092E-2</v>
      </c>
      <c r="L901" t="s">
        <v>23</v>
      </c>
      <c r="M901" t="s">
        <v>24</v>
      </c>
      <c r="N901">
        <v>2169.5091456205801</v>
      </c>
      <c r="O901">
        <v>2016.84310862082</v>
      </c>
      <c r="P901">
        <v>2322.1751826203199</v>
      </c>
      <c r="Q901">
        <v>1986.73311907978</v>
      </c>
      <c r="R901">
        <v>2046.95309816187</v>
      </c>
      <c r="S901">
        <v>2269.9384141548599</v>
      </c>
      <c r="T901">
        <v>2374.41195108579</v>
      </c>
    </row>
    <row r="902" spans="1:20" x14ac:dyDescent="0.2">
      <c r="A902" t="s">
        <v>1796</v>
      </c>
      <c r="B902" s="3" t="str">
        <f>HYPERLINK("http://www.ncbi.nlm.nih.gov/gene/8076","MFAP5")</f>
        <v>MFAP5</v>
      </c>
      <c r="C902">
        <v>8076</v>
      </c>
      <c r="D902" t="s">
        <v>1797</v>
      </c>
      <c r="E902" s="3" t="str">
        <f>HYPERLINK("http://genome.ucsc.edu/cgi-bin/hgTracks?db=hg19&amp;lastVirtModeType=default&amp;lastVirtModeExtraState=&amp;virtModeType=default&amp;virtMode=0&amp;nonVirtPosition=&amp;position=chr12:8645942-8662888","chr12:8645942-8662888")</f>
        <v>chr12:8645942-8662888</v>
      </c>
      <c r="F902" t="s">
        <v>22</v>
      </c>
      <c r="G902">
        <v>-0.20403847471938399</v>
      </c>
      <c r="H902">
        <v>6.3414170649272905E-2</v>
      </c>
      <c r="I902">
        <v>-3.2175533107239902</v>
      </c>
      <c r="J902">
        <v>1.2928899762050001E-3</v>
      </c>
      <c r="K902">
        <v>2.0217438008751899E-2</v>
      </c>
      <c r="L902" t="s">
        <v>23</v>
      </c>
      <c r="M902" t="s">
        <v>24</v>
      </c>
      <c r="N902">
        <v>2403.5890761098699</v>
      </c>
      <c r="O902">
        <v>2588.0355411537398</v>
      </c>
      <c r="P902">
        <v>2219.14261106598</v>
      </c>
      <c r="Q902">
        <v>2468.2820052833299</v>
      </c>
      <c r="R902">
        <v>2707.7890770241602</v>
      </c>
      <c r="S902">
        <v>2112.09828105413</v>
      </c>
      <c r="T902">
        <v>2326.1869410778399</v>
      </c>
    </row>
    <row r="903" spans="1:20" x14ac:dyDescent="0.2">
      <c r="A903" t="s">
        <v>1798</v>
      </c>
      <c r="B903" s="3" t="str">
        <f>HYPERLINK("http://www.ncbi.nlm.nih.gov/gene/23500","DAAM2")</f>
        <v>DAAM2</v>
      </c>
      <c r="C903">
        <v>23500</v>
      </c>
      <c r="D903" t="s">
        <v>1799</v>
      </c>
      <c r="E903" s="3" t="str">
        <f>HYPERLINK("http://genome.ucsc.edu/cgi-bin/hgTracks?db=hg19&amp;lastVirtModeType=default&amp;lastVirtModeExtraState=&amp;virtModeType=default&amp;virtMode=0&amp;nonVirtPosition=&amp;position=chr6:39792996-39904877","chr6:39792996-39904877")</f>
        <v>chr6:39792996-39904877</v>
      </c>
      <c r="F903" t="s">
        <v>27</v>
      </c>
      <c r="G903">
        <v>-0.36294894304678099</v>
      </c>
      <c r="H903">
        <v>0.11285415444338601</v>
      </c>
      <c r="I903">
        <v>-3.2160884536054501</v>
      </c>
      <c r="J903">
        <v>1.29950771788544E-3</v>
      </c>
      <c r="K903">
        <v>2.0294186322959502E-2</v>
      </c>
      <c r="L903" t="s">
        <v>23</v>
      </c>
      <c r="M903" t="s">
        <v>24</v>
      </c>
      <c r="N903">
        <v>229.118188488648</v>
      </c>
      <c r="O903">
        <v>272.82474070251197</v>
      </c>
      <c r="P903">
        <v>185.41163627478301</v>
      </c>
      <c r="Q903">
        <v>257.28469062875303</v>
      </c>
      <c r="R903">
        <v>288.364790776272</v>
      </c>
      <c r="S903">
        <v>176.583648906441</v>
      </c>
      <c r="T903">
        <v>194.23962364312499</v>
      </c>
    </row>
    <row r="904" spans="1:20" x14ac:dyDescent="0.2">
      <c r="A904" t="s">
        <v>1800</v>
      </c>
      <c r="B904" s="3" t="str">
        <f>HYPERLINK("http://www.ncbi.nlm.nih.gov/gene/80005","DOCK5")</f>
        <v>DOCK5</v>
      </c>
      <c r="C904">
        <v>80005</v>
      </c>
      <c r="D904" t="s">
        <v>1801</v>
      </c>
      <c r="E904" s="3" t="str">
        <f>HYPERLINK("http://genome.ucsc.edu/cgi-bin/hgTracks?db=hg19&amp;lastVirtModeType=default&amp;lastVirtModeExtraState=&amp;virtModeType=default&amp;virtMode=0&amp;nonVirtPosition=&amp;position=chr8:25184722-25415716","chr8:25184722-25415716")</f>
        <v>chr8:25184722-25415716</v>
      </c>
      <c r="F904" t="s">
        <v>27</v>
      </c>
      <c r="G904">
        <v>-0.15304944089782599</v>
      </c>
      <c r="H904">
        <v>4.7592774144666297E-2</v>
      </c>
      <c r="I904">
        <v>-3.2158125608019001</v>
      </c>
      <c r="J904">
        <v>1.3007576037539299E-3</v>
      </c>
      <c r="K904">
        <v>2.0294186322959502E-2</v>
      </c>
      <c r="L904" t="s">
        <v>23</v>
      </c>
      <c r="M904" t="s">
        <v>24</v>
      </c>
      <c r="N904">
        <v>4076.3581936153</v>
      </c>
      <c r="O904">
        <v>4301.5479576249099</v>
      </c>
      <c r="P904">
        <v>3851.1684296057001</v>
      </c>
      <c r="Q904">
        <v>4325.6848520684398</v>
      </c>
      <c r="R904">
        <v>4277.4110631813701</v>
      </c>
      <c r="S904">
        <v>3883.8537751098202</v>
      </c>
      <c r="T904">
        <v>3818.4830841015701</v>
      </c>
    </row>
    <row r="905" spans="1:20" x14ac:dyDescent="0.2">
      <c r="A905" t="s">
        <v>1802</v>
      </c>
      <c r="B905" s="3" t="str">
        <f>HYPERLINK("http://www.ncbi.nlm.nih.gov/gene/1983","EIF5")</f>
        <v>EIF5</v>
      </c>
      <c r="C905">
        <v>1983</v>
      </c>
      <c r="D905" t="s">
        <v>1803</v>
      </c>
      <c r="E905" s="3" t="str">
        <f>HYPERLINK("http://genome.ucsc.edu/cgi-bin/hgTracks?db=hg19&amp;lastVirtModeType=default&amp;lastVirtModeExtraState=&amp;virtModeType=default&amp;virtMode=0&amp;nonVirtPosition=&amp;position=chr14:103334001-103345024","chr14:103334001-103345024")</f>
        <v>chr14:103334001-103345024</v>
      </c>
      <c r="F905" t="s">
        <v>27</v>
      </c>
      <c r="G905">
        <v>0.12954192607554699</v>
      </c>
      <c r="H905">
        <v>4.0322092688742497E-2</v>
      </c>
      <c r="I905">
        <v>3.21267864432328</v>
      </c>
      <c r="J905">
        <v>1.31503337585427E-3</v>
      </c>
      <c r="K905">
        <v>2.0493599677801701E-2</v>
      </c>
      <c r="L905" t="s">
        <v>23</v>
      </c>
      <c r="M905" t="s">
        <v>24</v>
      </c>
      <c r="N905">
        <v>9556.3739264004307</v>
      </c>
      <c r="O905">
        <v>9113.04694940833</v>
      </c>
      <c r="P905">
        <v>9999.7009033925406</v>
      </c>
      <c r="Q905">
        <v>9042.1122289420491</v>
      </c>
      <c r="R905">
        <v>9183.9816698746108</v>
      </c>
      <c r="S905">
        <v>10077.1059976497</v>
      </c>
      <c r="T905">
        <v>9922.2958091353703</v>
      </c>
    </row>
    <row r="906" spans="1:20" x14ac:dyDescent="0.2">
      <c r="A906" t="s">
        <v>1804</v>
      </c>
      <c r="B906" s="3" t="str">
        <f>HYPERLINK("http://www.ncbi.nlm.nih.gov/gene/9572","NR1D1")</f>
        <v>NR1D1</v>
      </c>
      <c r="C906">
        <v>9572</v>
      </c>
      <c r="D906" t="s">
        <v>1805</v>
      </c>
      <c r="E906" s="3" t="str">
        <f>HYPERLINK("http://genome.ucsc.edu/cgi-bin/hgTracks?db=hg19&amp;lastVirtModeType=default&amp;lastVirtModeExtraState=&amp;virtModeType=default&amp;virtMode=0&amp;nonVirtPosition=&amp;position=chr17:40092783-40100725","chr17:40092783-40100725")</f>
        <v>chr17:40092783-40100725</v>
      </c>
      <c r="F906" t="s">
        <v>22</v>
      </c>
      <c r="G906">
        <v>0.260241201393211</v>
      </c>
      <c r="H906">
        <v>8.1015929458664301E-2</v>
      </c>
      <c r="I906">
        <v>3.2122226225398101</v>
      </c>
      <c r="J906">
        <v>1.31712267729483E-3</v>
      </c>
      <c r="K906">
        <v>2.0502860835892499E-2</v>
      </c>
      <c r="L906" t="s">
        <v>23</v>
      </c>
      <c r="M906" t="s">
        <v>24</v>
      </c>
      <c r="N906">
        <v>988.57680810470697</v>
      </c>
      <c r="O906">
        <v>887.02023491449199</v>
      </c>
      <c r="P906">
        <v>1090.1333812949199</v>
      </c>
      <c r="Q906">
        <v>880.54653477220199</v>
      </c>
      <c r="R906">
        <v>893.49393505678302</v>
      </c>
      <c r="S906">
        <v>1012.1498535084301</v>
      </c>
      <c r="T906">
        <v>1168.1169090814101</v>
      </c>
    </row>
    <row r="907" spans="1:20" x14ac:dyDescent="0.2">
      <c r="A907" t="s">
        <v>1806</v>
      </c>
      <c r="B907" s="3" t="str">
        <f>HYPERLINK("http://www.ncbi.nlm.nih.gov/gene/8710","SERPINB7")</f>
        <v>SERPINB7</v>
      </c>
      <c r="C907">
        <v>8710</v>
      </c>
      <c r="D907" t="s">
        <v>1807</v>
      </c>
      <c r="E907" s="3" t="str">
        <f>HYPERLINK("http://genome.ucsc.edu/cgi-bin/hgTracks?db=hg19&amp;lastVirtModeType=default&amp;lastVirtModeExtraState=&amp;virtModeType=default&amp;virtMode=0&amp;nonVirtPosition=&amp;position=chr18:63777776-63805376","chr18:63777776-63805376")</f>
        <v>chr18:63777776-63805376</v>
      </c>
      <c r="F907" t="s">
        <v>27</v>
      </c>
      <c r="G907">
        <v>-0.37996232936707502</v>
      </c>
      <c r="H907">
        <v>0.118374859232558</v>
      </c>
      <c r="I907">
        <v>-3.2098228612935999</v>
      </c>
      <c r="J907">
        <v>1.3281679429378501E-3</v>
      </c>
      <c r="K907">
        <v>2.0630569850482498E-2</v>
      </c>
      <c r="L907" t="s">
        <v>23</v>
      </c>
      <c r="M907" t="s">
        <v>24</v>
      </c>
      <c r="N907">
        <v>127.953382991502</v>
      </c>
      <c r="O907">
        <v>159.41596271943399</v>
      </c>
      <c r="P907">
        <v>96.490803263569106</v>
      </c>
      <c r="Q907">
        <v>163.726621309206</v>
      </c>
      <c r="R907">
        <v>155.10530412966199</v>
      </c>
      <c r="S907">
        <v>104.56908817923301</v>
      </c>
      <c r="T907">
        <v>88.412518347905205</v>
      </c>
    </row>
    <row r="908" spans="1:20" x14ac:dyDescent="0.2">
      <c r="A908" t="s">
        <v>1808</v>
      </c>
      <c r="B908" s="3" t="str">
        <f>HYPERLINK("http://www.ncbi.nlm.nih.gov/gene/84795","PYROXD2")</f>
        <v>PYROXD2</v>
      </c>
      <c r="C908">
        <v>84795</v>
      </c>
      <c r="D908" t="s">
        <v>1809</v>
      </c>
      <c r="E908" s="3" t="str">
        <f>HYPERLINK("http://genome.ucsc.edu/cgi-bin/hgTracks?db=hg19&amp;lastVirtModeType=default&amp;lastVirtModeExtraState=&amp;virtModeType=default&amp;virtMode=0&amp;nonVirtPosition=&amp;position=chr10:98383564-98415221","chr10:98383564-98415221")</f>
        <v>chr10:98383564-98415221</v>
      </c>
      <c r="F908" t="s">
        <v>22</v>
      </c>
      <c r="G908">
        <v>-0.37789469413007398</v>
      </c>
      <c r="H908">
        <v>0.117732030693737</v>
      </c>
      <c r="I908">
        <v>-3.20978659675984</v>
      </c>
      <c r="J908">
        <v>1.32833550955053E-3</v>
      </c>
      <c r="K908">
        <v>2.0630569850482498E-2</v>
      </c>
      <c r="L908" t="s">
        <v>23</v>
      </c>
      <c r="M908" t="s">
        <v>24</v>
      </c>
      <c r="N908">
        <v>92.492836936998302</v>
      </c>
      <c r="O908">
        <v>118.996116768532</v>
      </c>
      <c r="P908">
        <v>65.989557105464698</v>
      </c>
      <c r="Q908">
        <v>126.57856437350399</v>
      </c>
      <c r="R908">
        <v>111.41366916356</v>
      </c>
      <c r="S908">
        <v>71.028059895328198</v>
      </c>
      <c r="T908">
        <v>60.951054315601297</v>
      </c>
    </row>
    <row r="909" spans="1:20" x14ac:dyDescent="0.2">
      <c r="A909" t="s">
        <v>1808</v>
      </c>
      <c r="B909" s="3" t="str">
        <f>HYPERLINK("http://www.ncbi.nlm.nih.gov/gene/100302133","MIR1287")</f>
        <v>MIR1287</v>
      </c>
      <c r="C909">
        <v>100302133</v>
      </c>
      <c r="D909" t="s">
        <v>1810</v>
      </c>
      <c r="E909" s="3" t="str">
        <f>HYPERLINK("http://genome.ucsc.edu/cgi-bin/hgTracks?db=hg19&amp;lastVirtModeType=default&amp;lastVirtModeExtraState=&amp;virtModeType=default&amp;virtMode=0&amp;nonVirtPosition=&amp;position=chr10:98395217-98395307","chr10:98395217-98395307")</f>
        <v>chr10:98395217-98395307</v>
      </c>
      <c r="F909" t="s">
        <v>22</v>
      </c>
      <c r="G909">
        <v>-0.37789469413007398</v>
      </c>
      <c r="H909">
        <v>0.117732030693737</v>
      </c>
      <c r="I909">
        <v>-3.20978659675984</v>
      </c>
      <c r="J909">
        <v>1.32833550955053E-3</v>
      </c>
      <c r="K909">
        <v>2.0630569850482498E-2</v>
      </c>
      <c r="L909" t="s">
        <v>23</v>
      </c>
      <c r="M909" t="s">
        <v>24</v>
      </c>
      <c r="N909">
        <v>92.492836936998302</v>
      </c>
      <c r="O909">
        <v>118.996116768532</v>
      </c>
      <c r="P909">
        <v>65.989557105464698</v>
      </c>
      <c r="Q909">
        <v>126.57856437350399</v>
      </c>
      <c r="R909">
        <v>111.41366916356</v>
      </c>
      <c r="S909">
        <v>71.028059895328198</v>
      </c>
      <c r="T909">
        <v>60.951054315601297</v>
      </c>
    </row>
    <row r="910" spans="1:20" x14ac:dyDescent="0.2">
      <c r="A910" t="s">
        <v>1811</v>
      </c>
      <c r="B910" s="3" t="str">
        <f>HYPERLINK("http://www.ncbi.nlm.nih.gov/gene/116064","LRRC58")</f>
        <v>LRRC58</v>
      </c>
      <c r="C910">
        <v>116064</v>
      </c>
      <c r="D910" t="s">
        <v>1812</v>
      </c>
      <c r="E910" s="3" t="str">
        <f>HYPERLINK("http://genome.ucsc.edu/cgi-bin/hgTracks?db=hg19&amp;lastVirtModeType=default&amp;lastVirtModeExtraState=&amp;virtModeType=default&amp;virtMode=0&amp;nonVirtPosition=&amp;position=chr3:120324728-120349339","chr3:120324728-120349339")</f>
        <v>chr3:120324728-120349339</v>
      </c>
      <c r="F910" t="s">
        <v>22</v>
      </c>
      <c r="G910">
        <v>0.17344368062501</v>
      </c>
      <c r="H910">
        <v>5.40590489479775E-2</v>
      </c>
      <c r="I910">
        <v>3.2084116165624699</v>
      </c>
      <c r="J910">
        <v>1.3347032548430701E-3</v>
      </c>
      <c r="K910">
        <v>2.07060185937985E-2</v>
      </c>
      <c r="L910" t="s">
        <v>23</v>
      </c>
      <c r="M910" t="s">
        <v>24</v>
      </c>
      <c r="N910">
        <v>2940.5174105320898</v>
      </c>
      <c r="O910">
        <v>2753.24356640919</v>
      </c>
      <c r="P910">
        <v>3127.7912546549901</v>
      </c>
      <c r="Q910">
        <v>2682.9152231340499</v>
      </c>
      <c r="R910">
        <v>2823.57190968433</v>
      </c>
      <c r="S910">
        <v>3084.78810128738</v>
      </c>
      <c r="T910">
        <v>3170.7944080225998</v>
      </c>
    </row>
    <row r="911" spans="1:20" x14ac:dyDescent="0.2">
      <c r="A911" t="s">
        <v>1813</v>
      </c>
      <c r="B911" s="3" t="str">
        <f>HYPERLINK("http://www.ncbi.nlm.nih.gov/gene/5709","PSMD3")</f>
        <v>PSMD3</v>
      </c>
      <c r="C911">
        <v>5709</v>
      </c>
      <c r="D911" t="s">
        <v>1814</v>
      </c>
      <c r="E911" s="3" t="str">
        <f>HYPERLINK("http://genome.ucsc.edu/cgi-bin/hgTracks?db=hg19&amp;lastVirtModeType=default&amp;lastVirtModeExtraState=&amp;virtModeType=default&amp;virtMode=0&amp;nonVirtPosition=&amp;position=chr17:39980767-39997960","chr17:39980767-39997960")</f>
        <v>chr17:39980767-39997960</v>
      </c>
      <c r="F911" t="s">
        <v>27</v>
      </c>
      <c r="G911">
        <v>0.13865792324704199</v>
      </c>
      <c r="H911">
        <v>4.3250927294637802E-2</v>
      </c>
      <c r="I911">
        <v>3.20589480781452</v>
      </c>
      <c r="J911">
        <v>1.3464319948787999E-3</v>
      </c>
      <c r="K911">
        <v>2.0864371048325201E-2</v>
      </c>
      <c r="L911" t="s">
        <v>23</v>
      </c>
      <c r="M911" t="s">
        <v>24</v>
      </c>
      <c r="N911">
        <v>7019.4730149918696</v>
      </c>
      <c r="O911">
        <v>6672.7008180520297</v>
      </c>
      <c r="P911">
        <v>7366.2452119317104</v>
      </c>
      <c r="Q911">
        <v>6777.4566098247997</v>
      </c>
      <c r="R911">
        <v>6567.9450262792598</v>
      </c>
      <c r="S911">
        <v>7261.6326234654298</v>
      </c>
      <c r="T911">
        <v>7470.8578003979901</v>
      </c>
    </row>
    <row r="912" spans="1:20" x14ac:dyDescent="0.2">
      <c r="A912" t="s">
        <v>1815</v>
      </c>
      <c r="B912" s="3" t="str">
        <f>HYPERLINK("http://www.ncbi.nlm.nih.gov/gene/84447","SYVN1")</f>
        <v>SYVN1</v>
      </c>
      <c r="C912">
        <v>84447</v>
      </c>
      <c r="D912" t="s">
        <v>1816</v>
      </c>
      <c r="E912" s="3" t="str">
        <f>HYPERLINK("http://genome.ucsc.edu/cgi-bin/hgTracks?db=hg19&amp;lastVirtModeType=default&amp;lastVirtModeExtraState=&amp;virtModeType=default&amp;virtMode=0&amp;nonVirtPosition=&amp;position=chr11:65127278-65134532","chr11:65127278-65134532")</f>
        <v>chr11:65127278-65134532</v>
      </c>
      <c r="F912" t="s">
        <v>22</v>
      </c>
      <c r="G912">
        <v>0.184954657054854</v>
      </c>
      <c r="H912">
        <v>5.7704721097987299E-2</v>
      </c>
      <c r="I912">
        <v>3.2051910751078001</v>
      </c>
      <c r="J912">
        <v>1.3497284730247499E-3</v>
      </c>
      <c r="K912">
        <v>2.0891846816096401E-2</v>
      </c>
      <c r="L912" t="s">
        <v>23</v>
      </c>
      <c r="M912" t="s">
        <v>24</v>
      </c>
      <c r="N912">
        <v>2369.4955524020102</v>
      </c>
      <c r="O912">
        <v>2205.9766294287201</v>
      </c>
      <c r="P912">
        <v>2533.0144753753002</v>
      </c>
      <c r="Q912">
        <v>2173.8492577188699</v>
      </c>
      <c r="R912">
        <v>2238.1040011385699</v>
      </c>
      <c r="S912">
        <v>2594.4971878432402</v>
      </c>
      <c r="T912">
        <v>2471.5317629073502</v>
      </c>
    </row>
    <row r="913" spans="1:20" x14ac:dyDescent="0.2">
      <c r="A913" t="s">
        <v>1815</v>
      </c>
      <c r="B913" s="3" t="str">
        <f>HYPERLINK("http://www.ncbi.nlm.nih.gov/gene/102465449","MIR6751")</f>
        <v>MIR6751</v>
      </c>
      <c r="C913">
        <v>102465449</v>
      </c>
      <c r="D913" t="s">
        <v>1817</v>
      </c>
      <c r="E913" s="3" t="str">
        <f>HYPERLINK("http://genome.ucsc.edu/cgi-bin/hgTracks?db=hg19&amp;lastVirtModeType=default&amp;lastVirtModeExtraState=&amp;virtModeType=default&amp;virtMode=0&amp;nonVirtPosition=&amp;position=chr11:65129915-65129978","chr11:65129915-65129978")</f>
        <v>chr11:65129915-65129978</v>
      </c>
      <c r="F913" t="s">
        <v>22</v>
      </c>
      <c r="G913">
        <v>0.184954657054854</v>
      </c>
      <c r="H913">
        <v>5.7704721097987299E-2</v>
      </c>
      <c r="I913">
        <v>3.2051910751078001</v>
      </c>
      <c r="J913">
        <v>1.3497284730247499E-3</v>
      </c>
      <c r="K913">
        <v>2.0891846816096401E-2</v>
      </c>
      <c r="L913" t="s">
        <v>23</v>
      </c>
      <c r="M913" t="s">
        <v>24</v>
      </c>
      <c r="N913">
        <v>2369.4955524020102</v>
      </c>
      <c r="O913">
        <v>2205.9766294287201</v>
      </c>
      <c r="P913">
        <v>2533.0144753753002</v>
      </c>
      <c r="Q913">
        <v>2173.8492577188699</v>
      </c>
      <c r="R913">
        <v>2238.1040011385699</v>
      </c>
      <c r="S913">
        <v>2594.4971878432402</v>
      </c>
      <c r="T913">
        <v>2471.5317629073502</v>
      </c>
    </row>
    <row r="914" spans="1:20" x14ac:dyDescent="0.2">
      <c r="A914" t="s">
        <v>1818</v>
      </c>
      <c r="B914" s="3" t="str">
        <f>HYPERLINK("http://www.ncbi.nlm.nih.gov/gene/4644","MYO5A")</f>
        <v>MYO5A</v>
      </c>
      <c r="C914">
        <v>4644</v>
      </c>
      <c r="D914" t="s">
        <v>1819</v>
      </c>
      <c r="E914" s="3" t="str">
        <f>HYPERLINK("http://genome.ucsc.edu/cgi-bin/hgTracks?db=hg19&amp;lastVirtModeType=default&amp;lastVirtModeExtraState=&amp;virtModeType=default&amp;virtMode=0&amp;nonVirtPosition=&amp;position=chr15:52307283-52529050","chr15:52307283-52529050")</f>
        <v>chr15:52307283-52529050</v>
      </c>
      <c r="F914" t="s">
        <v>22</v>
      </c>
      <c r="G914">
        <v>-0.140794485980828</v>
      </c>
      <c r="H914">
        <v>4.3971126058275502E-2</v>
      </c>
      <c r="I914">
        <v>-3.2019759010545101</v>
      </c>
      <c r="J914">
        <v>1.3648841598215299E-3</v>
      </c>
      <c r="K914">
        <v>2.11016693757442E-2</v>
      </c>
      <c r="L914" t="s">
        <v>23</v>
      </c>
      <c r="M914" t="s">
        <v>24</v>
      </c>
      <c r="N914">
        <v>5928.5795633276202</v>
      </c>
      <c r="O914">
        <v>6226.6341955164198</v>
      </c>
      <c r="P914">
        <v>5630.5249311388297</v>
      </c>
      <c r="Q914">
        <v>6132.1811023120399</v>
      </c>
      <c r="R914">
        <v>6321.0872887207897</v>
      </c>
      <c r="S914">
        <v>5676.3257866349804</v>
      </c>
      <c r="T914">
        <v>5584.72407564268</v>
      </c>
    </row>
    <row r="915" spans="1:20" x14ac:dyDescent="0.2">
      <c r="A915" t="s">
        <v>1820</v>
      </c>
      <c r="B915" s="3" t="str">
        <f>HYPERLINK("http://www.ncbi.nlm.nih.gov/gene/1827","RCAN1")</f>
        <v>RCAN1</v>
      </c>
      <c r="C915">
        <v>1827</v>
      </c>
      <c r="D915" t="s">
        <v>1821</v>
      </c>
      <c r="E915" s="3" t="str">
        <f>HYPERLINK("http://genome.ucsc.edu/cgi-bin/hgTracks?db=hg19&amp;lastVirtModeType=default&amp;lastVirtModeExtraState=&amp;virtModeType=default&amp;virtMode=0&amp;nonVirtPosition=&amp;position=chr21:34516442-34613843","chr21:34516442-34613843")</f>
        <v>chr21:34516442-34613843</v>
      </c>
      <c r="F915" t="s">
        <v>22</v>
      </c>
      <c r="G915">
        <v>-0.17613197780668799</v>
      </c>
      <c r="H915">
        <v>5.5012632281387398E-2</v>
      </c>
      <c r="I915">
        <v>-3.2016642451460999</v>
      </c>
      <c r="J915">
        <v>1.3663615579452299E-3</v>
      </c>
      <c r="K915">
        <v>2.11016693757442E-2</v>
      </c>
      <c r="L915" t="s">
        <v>23</v>
      </c>
      <c r="M915" t="s">
        <v>24</v>
      </c>
      <c r="N915">
        <v>3286.7530045741901</v>
      </c>
      <c r="O915">
        <v>3499.63740434393</v>
      </c>
      <c r="P915">
        <v>3073.8686048044501</v>
      </c>
      <c r="Q915">
        <v>3385.9765969912301</v>
      </c>
      <c r="R915">
        <v>3613.29821169663</v>
      </c>
      <c r="S915">
        <v>2976.2730097806302</v>
      </c>
      <c r="T915">
        <v>3171.46419982827</v>
      </c>
    </row>
    <row r="916" spans="1:20" x14ac:dyDescent="0.2">
      <c r="A916" t="s">
        <v>1822</v>
      </c>
      <c r="B916" s="3" t="str">
        <f>HYPERLINK("http://www.ncbi.nlm.nih.gov/gene/55125","CEP192")</f>
        <v>CEP192</v>
      </c>
      <c r="C916">
        <v>55125</v>
      </c>
      <c r="D916" t="s">
        <v>1823</v>
      </c>
      <c r="E916" s="3" t="str">
        <f>HYPERLINK("http://genome.ucsc.edu/cgi-bin/hgTracks?db=hg19&amp;lastVirtModeType=default&amp;lastVirtModeExtraState=&amp;virtModeType=default&amp;virtMode=0&amp;nonVirtPosition=&amp;position=chr18:12991361-13125052","chr18:12991361-13125052")</f>
        <v>chr18:12991361-13125052</v>
      </c>
      <c r="F916" t="s">
        <v>27</v>
      </c>
      <c r="G916">
        <v>-0.234465093250523</v>
      </c>
      <c r="H916">
        <v>7.3242569859518603E-2</v>
      </c>
      <c r="I916">
        <v>-3.20121336130387</v>
      </c>
      <c r="J916">
        <v>1.36850157387025E-3</v>
      </c>
      <c r="K916">
        <v>2.1110945538871301E-2</v>
      </c>
      <c r="L916" t="s">
        <v>23</v>
      </c>
      <c r="M916" t="s">
        <v>24</v>
      </c>
      <c r="N916">
        <v>1076.8338737803599</v>
      </c>
      <c r="O916">
        <v>1174.2704614673301</v>
      </c>
      <c r="P916">
        <v>979.39728609338999</v>
      </c>
      <c r="Q916">
        <v>1161.2207427308399</v>
      </c>
      <c r="R916">
        <v>1187.32018020382</v>
      </c>
      <c r="S916">
        <v>981.56832772016003</v>
      </c>
      <c r="T916">
        <v>977.22624446661905</v>
      </c>
    </row>
    <row r="917" spans="1:20" x14ac:dyDescent="0.2">
      <c r="A917" t="s">
        <v>1824</v>
      </c>
      <c r="B917" s="3" t="str">
        <f>HYPERLINK("http://www.ncbi.nlm.nih.gov/gene/55697","VAC14")</f>
        <v>VAC14</v>
      </c>
      <c r="C917">
        <v>55697</v>
      </c>
      <c r="D917" t="s">
        <v>1825</v>
      </c>
      <c r="E917" s="3" t="str">
        <f>HYPERLINK("http://genome.ucsc.edu/cgi-bin/hgTracks?db=hg19&amp;lastVirtModeType=default&amp;lastVirtModeExtraState=&amp;virtModeType=default&amp;virtMode=0&amp;nonVirtPosition=&amp;position=chr16:70687438-70801158","chr16:70687438-70801158")</f>
        <v>chr16:70687438-70801158</v>
      </c>
      <c r="F917" t="s">
        <v>22</v>
      </c>
      <c r="G917">
        <v>0.18600001948258299</v>
      </c>
      <c r="H917">
        <v>5.8109614274715303E-2</v>
      </c>
      <c r="I917">
        <v>3.2008476016251199</v>
      </c>
      <c r="J917">
        <v>1.3702398382448499E-3</v>
      </c>
      <c r="K917">
        <v>2.1114010271561599E-2</v>
      </c>
      <c r="L917" t="s">
        <v>23</v>
      </c>
      <c r="M917" t="s">
        <v>24</v>
      </c>
      <c r="N917">
        <v>2379.0053350918402</v>
      </c>
      <c r="O917">
        <v>2217.0775512710202</v>
      </c>
      <c r="P917">
        <v>2540.9331189126701</v>
      </c>
      <c r="Q917">
        <v>2292.17269832889</v>
      </c>
      <c r="R917">
        <v>2141.9824042131399</v>
      </c>
      <c r="S917">
        <v>2516.5636221247501</v>
      </c>
      <c r="T917">
        <v>2565.3026157005802</v>
      </c>
    </row>
    <row r="918" spans="1:20" x14ac:dyDescent="0.2">
      <c r="A918" t="s">
        <v>1826</v>
      </c>
      <c r="B918" s="3" t="str">
        <f>HYPERLINK("http://www.ncbi.nlm.nih.gov/gene/7555","CNBP")</f>
        <v>CNBP</v>
      </c>
      <c r="C918">
        <v>7555</v>
      </c>
      <c r="D918" t="s">
        <v>1827</v>
      </c>
      <c r="E918" s="3" t="str">
        <f>HYPERLINK("http://genome.ucsc.edu/cgi-bin/hgTracks?db=hg19&amp;lastVirtModeType=default&amp;lastVirtModeExtraState=&amp;virtModeType=default&amp;virtMode=0&amp;nonVirtPosition=&amp;position=chr3:129167814-129183967","chr3:129167814-129183967")</f>
        <v>chr3:129167814-129183967</v>
      </c>
      <c r="F918" t="s">
        <v>22</v>
      </c>
      <c r="G918">
        <v>0.13016590501786199</v>
      </c>
      <c r="H918">
        <v>4.0692709455777E-2</v>
      </c>
      <c r="I918">
        <v>3.1987524733225201</v>
      </c>
      <c r="J918">
        <v>1.3802361906799501E-3</v>
      </c>
      <c r="K918">
        <v>2.1244174095381499E-2</v>
      </c>
      <c r="L918" t="s">
        <v>23</v>
      </c>
      <c r="M918" t="s">
        <v>24</v>
      </c>
      <c r="N918">
        <v>8944.6175262648194</v>
      </c>
      <c r="O918">
        <v>8528.7730907286204</v>
      </c>
      <c r="P918">
        <v>9360.4619618010202</v>
      </c>
      <c r="Q918">
        <v>8603.2148155165305</v>
      </c>
      <c r="R918">
        <v>8454.3313659407104</v>
      </c>
      <c r="S918">
        <v>9432.9209544323294</v>
      </c>
      <c r="T918">
        <v>9288.0029691697091</v>
      </c>
    </row>
    <row r="919" spans="1:20" x14ac:dyDescent="0.2">
      <c r="A919" t="s">
        <v>1828</v>
      </c>
      <c r="B919" s="3" t="str">
        <f>HYPERLINK("http://www.ncbi.nlm.nih.gov/gene/7732","RNF112")</f>
        <v>RNF112</v>
      </c>
      <c r="C919">
        <v>7732</v>
      </c>
      <c r="D919" t="s">
        <v>1829</v>
      </c>
      <c r="E919" s="3" t="str">
        <f>HYPERLINK("http://genome.ucsc.edu/cgi-bin/hgTracks?db=hg19&amp;lastVirtModeType=default&amp;lastVirtModeExtraState=&amp;virtModeType=default&amp;virtMode=0&amp;nonVirtPosition=&amp;position=chr17:19411177-19417276","chr17:19411177-19417276")</f>
        <v>chr17:19411177-19417276</v>
      </c>
      <c r="F919" t="s">
        <v>27</v>
      </c>
      <c r="G919">
        <v>-0.37244766451234501</v>
      </c>
      <c r="H919">
        <v>0.11650738208649</v>
      </c>
      <c r="I919">
        <v>-3.1967730957670599</v>
      </c>
      <c r="J919">
        <v>1.38974201263862E-3</v>
      </c>
      <c r="K919">
        <v>2.1366504440948401E-2</v>
      </c>
      <c r="L919" t="s">
        <v>23</v>
      </c>
      <c r="M919" t="s">
        <v>24</v>
      </c>
      <c r="N919">
        <v>167.990236211488</v>
      </c>
      <c r="O919">
        <v>204.10515209529501</v>
      </c>
      <c r="P919">
        <v>131.87532032767999</v>
      </c>
      <c r="Q919">
        <v>210.50565596897999</v>
      </c>
      <c r="R919">
        <v>197.704648221611</v>
      </c>
      <c r="S919">
        <v>135.150613967499</v>
      </c>
      <c r="T919">
        <v>128.600026687862</v>
      </c>
    </row>
    <row r="920" spans="1:20" x14ac:dyDescent="0.2">
      <c r="A920" t="s">
        <v>1830</v>
      </c>
      <c r="B920" s="3" t="str">
        <f>HYPERLINK("http://www.ncbi.nlm.nih.gov/gene/284992","CCDC150")</f>
        <v>CCDC150</v>
      </c>
      <c r="C920">
        <v>284992</v>
      </c>
      <c r="D920" t="s">
        <v>1831</v>
      </c>
      <c r="E920" s="3" t="str">
        <f>HYPERLINK("http://genome.ucsc.edu/cgi-bin/hgTracks?db=hg19&amp;lastVirtModeType=default&amp;lastVirtModeExtraState=&amp;virtModeType=default&amp;virtMode=0&amp;nonVirtPosition=&amp;position=chr2:196639631-196732806","chr2:196639631-196732806")</f>
        <v>chr2:196639631-196732806</v>
      </c>
      <c r="F920" t="s">
        <v>27</v>
      </c>
      <c r="G920">
        <v>-0.378469113802263</v>
      </c>
      <c r="H920">
        <v>0.11846784405943001</v>
      </c>
      <c r="I920">
        <v>-3.1946990916151301</v>
      </c>
      <c r="J920">
        <v>1.39976701389948E-3</v>
      </c>
      <c r="K920">
        <v>2.1496533962617501E-2</v>
      </c>
      <c r="L920" t="s">
        <v>23</v>
      </c>
      <c r="M920" t="s">
        <v>24</v>
      </c>
      <c r="N920">
        <v>110.52266896985201</v>
      </c>
      <c r="O920">
        <v>139.266440147699</v>
      </c>
      <c r="P920">
        <v>81.778897792005196</v>
      </c>
      <c r="Q920">
        <v>143.08881190048299</v>
      </c>
      <c r="R920">
        <v>135.444068394916</v>
      </c>
      <c r="S920">
        <v>83.852570709762404</v>
      </c>
      <c r="T920">
        <v>79.705224874247904</v>
      </c>
    </row>
    <row r="921" spans="1:20" x14ac:dyDescent="0.2">
      <c r="A921" t="s">
        <v>1832</v>
      </c>
      <c r="B921" s="3" t="str">
        <f>HYPERLINK("http://www.ncbi.nlm.nih.gov/gene/55068","ENOX1")</f>
        <v>ENOX1</v>
      </c>
      <c r="C921">
        <v>55068</v>
      </c>
      <c r="D921" t="s">
        <v>1833</v>
      </c>
      <c r="E921" s="3" t="str">
        <f>HYPERLINK("http://genome.ucsc.edu/cgi-bin/hgTracks?db=hg19&amp;lastVirtModeType=default&amp;lastVirtModeExtraState=&amp;virtModeType=default&amp;virtMode=0&amp;nonVirtPosition=&amp;position=chr13:43213560-43629477","chr13:43213560-43629477")</f>
        <v>chr13:43213560-43629477</v>
      </c>
      <c r="F921" t="s">
        <v>22</v>
      </c>
      <c r="G921">
        <v>0.29047904524498203</v>
      </c>
      <c r="H921">
        <v>9.0944279802003897E-2</v>
      </c>
      <c r="I921">
        <v>3.1940331582963601</v>
      </c>
      <c r="J921">
        <v>1.40300001516715E-3</v>
      </c>
      <c r="K921">
        <v>2.15165793352655E-2</v>
      </c>
      <c r="L921" t="s">
        <v>23</v>
      </c>
      <c r="M921" t="s">
        <v>24</v>
      </c>
      <c r="N921">
        <v>576.95362550954701</v>
      </c>
      <c r="O921">
        <v>507.01493691582402</v>
      </c>
      <c r="P921">
        <v>646.89231410327</v>
      </c>
      <c r="Q921">
        <v>515.94523521808696</v>
      </c>
      <c r="R921">
        <v>498.08463861356103</v>
      </c>
      <c r="S921">
        <v>631.36053240291699</v>
      </c>
      <c r="T921">
        <v>662.424095803623</v>
      </c>
    </row>
    <row r="922" spans="1:20" x14ac:dyDescent="0.2">
      <c r="A922" t="s">
        <v>1834</v>
      </c>
      <c r="B922" s="3" t="str">
        <f>HYPERLINK("http://www.ncbi.nlm.nih.gov/gene/29880","ALG5")</f>
        <v>ALG5</v>
      </c>
      <c r="C922">
        <v>29880</v>
      </c>
      <c r="D922" t="s">
        <v>1835</v>
      </c>
      <c r="E922" s="3" t="str">
        <f>HYPERLINK("http://genome.ucsc.edu/cgi-bin/hgTracks?db=hg19&amp;lastVirtModeType=default&amp;lastVirtModeExtraState=&amp;virtModeType=default&amp;virtMode=0&amp;nonVirtPosition=&amp;position=chr13:36949770-36999367","chr13:36949770-36999367")</f>
        <v>chr13:36949770-36999367</v>
      </c>
      <c r="F922" t="s">
        <v>22</v>
      </c>
      <c r="G922">
        <v>0.22082374308691199</v>
      </c>
      <c r="H922">
        <v>6.91417220843831E-2</v>
      </c>
      <c r="I922">
        <v>3.1937842510982102</v>
      </c>
      <c r="J922">
        <v>1.40421018703971E-3</v>
      </c>
      <c r="K922">
        <v>2.15165793352655E-2</v>
      </c>
      <c r="L922" t="s">
        <v>23</v>
      </c>
      <c r="M922" t="s">
        <v>24</v>
      </c>
      <c r="N922">
        <v>1364.20504614794</v>
      </c>
      <c r="O922">
        <v>1247.9683012155799</v>
      </c>
      <c r="P922">
        <v>1480.4417910803099</v>
      </c>
      <c r="Q922">
        <v>1224.51002491759</v>
      </c>
      <c r="R922">
        <v>1271.42657751356</v>
      </c>
      <c r="S922">
        <v>1522.17078359016</v>
      </c>
      <c r="T922">
        <v>1438.7127985704601</v>
      </c>
    </row>
    <row r="923" spans="1:20" x14ac:dyDescent="0.2">
      <c r="A923" t="s">
        <v>1836</v>
      </c>
      <c r="B923" s="3" t="str">
        <f>HYPERLINK("http://www.ncbi.nlm.nih.gov/gene/5226","PGD")</f>
        <v>PGD</v>
      </c>
      <c r="C923">
        <v>5226</v>
      </c>
      <c r="D923" t="s">
        <v>1837</v>
      </c>
      <c r="E923" s="3" t="str">
        <f>HYPERLINK("http://genome.ucsc.edu/cgi-bin/hgTracks?db=hg19&amp;lastVirtModeType=default&amp;lastVirtModeExtraState=&amp;virtModeType=default&amp;virtMode=0&amp;nonVirtPosition=&amp;position=chr1:10398991-10420511","chr1:10398991-10420511")</f>
        <v>chr1:10398991-10420511</v>
      </c>
      <c r="F923" t="s">
        <v>27</v>
      </c>
      <c r="G923">
        <v>0.13954302074467301</v>
      </c>
      <c r="H923">
        <v>4.3724096510059401E-2</v>
      </c>
      <c r="I923">
        <v>3.1914443495148901</v>
      </c>
      <c r="J923">
        <v>1.4156337923782901E-3</v>
      </c>
      <c r="K923">
        <v>2.1656557360867801E-2</v>
      </c>
      <c r="L923" t="s">
        <v>23</v>
      </c>
      <c r="M923" t="s">
        <v>24</v>
      </c>
      <c r="N923">
        <v>12385.4596297802</v>
      </c>
      <c r="O923">
        <v>11761.4471353342</v>
      </c>
      <c r="P923">
        <v>13009.4721242262</v>
      </c>
      <c r="Q923">
        <v>11550.2939990822</v>
      </c>
      <c r="R923">
        <v>11972.6002715861</v>
      </c>
      <c r="S923">
        <v>13394.7082952606</v>
      </c>
      <c r="T923">
        <v>12624.235953191799</v>
      </c>
    </row>
    <row r="924" spans="1:20" x14ac:dyDescent="0.2">
      <c r="A924" t="s">
        <v>1838</v>
      </c>
      <c r="B924" s="3" t="str">
        <f>HYPERLINK("http://www.ncbi.nlm.nih.gov/gene/65983","GRAMD3")</f>
        <v>GRAMD3</v>
      </c>
      <c r="C924">
        <v>65983</v>
      </c>
      <c r="D924" t="s">
        <v>1839</v>
      </c>
      <c r="E924" s="3" t="str">
        <f>HYPERLINK("http://genome.ucsc.edu/cgi-bin/hgTracks?db=hg19&amp;lastVirtModeType=default&amp;lastVirtModeExtraState=&amp;virtModeType=default&amp;virtMode=0&amp;nonVirtPosition=&amp;position=chr5:126423176-126494161","chr5:126423176-126494161")</f>
        <v>chr5:126423176-126494161</v>
      </c>
      <c r="F924" t="s">
        <v>27</v>
      </c>
      <c r="G924">
        <v>-0.24671209712303999</v>
      </c>
      <c r="H924">
        <v>7.7308513087941996E-2</v>
      </c>
      <c r="I924">
        <v>-3.19126687694011</v>
      </c>
      <c r="J924">
        <v>1.4165037153783301E-3</v>
      </c>
      <c r="K924">
        <v>2.1656557360867801E-2</v>
      </c>
      <c r="L924" t="s">
        <v>23</v>
      </c>
      <c r="M924" t="s">
        <v>24</v>
      </c>
      <c r="N924">
        <v>949.80487124410001</v>
      </c>
      <c r="O924">
        <v>1042.26667428062</v>
      </c>
      <c r="P924">
        <v>857.34306820758104</v>
      </c>
      <c r="Q924">
        <v>1025.0112006332699</v>
      </c>
      <c r="R924">
        <v>1059.5221479279701</v>
      </c>
      <c r="S924">
        <v>834.57970377010599</v>
      </c>
      <c r="T924">
        <v>880.106432645057</v>
      </c>
    </row>
    <row r="925" spans="1:20" x14ac:dyDescent="0.2">
      <c r="A925" t="s">
        <v>1840</v>
      </c>
      <c r="B925" s="3" t="str">
        <f>HYPERLINK("http://www.ncbi.nlm.nih.gov/gene/9500","MAGED1")</f>
        <v>MAGED1</v>
      </c>
      <c r="C925">
        <v>9500</v>
      </c>
      <c r="D925" t="s">
        <v>1841</v>
      </c>
      <c r="E925" s="3" t="str">
        <f>HYPERLINK("http://genome.ucsc.edu/cgi-bin/hgTracks?db=hg19&amp;lastVirtModeType=default&amp;lastVirtModeExtraState=&amp;virtModeType=default&amp;virtMode=0&amp;nonVirtPosition=&amp;position=chrX:51893601-51902356","chrX:51893601-51902356")</f>
        <v>chrX:51893601-51902356</v>
      </c>
      <c r="F925" t="s">
        <v>27</v>
      </c>
      <c r="G925">
        <v>-0.129045044361186</v>
      </c>
      <c r="H925">
        <v>4.0448442554698601E-2</v>
      </c>
      <c r="I925">
        <v>-3.1903587928429702</v>
      </c>
      <c r="J925">
        <v>1.4209626179762199E-3</v>
      </c>
      <c r="K925">
        <v>2.17005360166212E-2</v>
      </c>
      <c r="L925" t="s">
        <v>23</v>
      </c>
      <c r="M925" t="s">
        <v>24</v>
      </c>
      <c r="N925">
        <v>12849.625995756</v>
      </c>
      <c r="O925">
        <v>13441.661223579</v>
      </c>
      <c r="P925">
        <v>12257.590767933199</v>
      </c>
      <c r="Q925">
        <v>13232.9633928735</v>
      </c>
      <c r="R925">
        <v>13650.359054284399</v>
      </c>
      <c r="S925">
        <v>12109.2977113216</v>
      </c>
      <c r="T925">
        <v>12405.8838245447</v>
      </c>
    </row>
    <row r="926" spans="1:20" x14ac:dyDescent="0.2">
      <c r="A926" t="s">
        <v>1842</v>
      </c>
      <c r="B926" s="3" t="str">
        <f>HYPERLINK("http://www.ncbi.nlm.nih.gov/gene/121457","IKBIP")</f>
        <v>IKBIP</v>
      </c>
      <c r="C926">
        <v>121457</v>
      </c>
      <c r="D926" t="s">
        <v>1843</v>
      </c>
      <c r="E926" s="3" t="str">
        <f>HYPERLINK("http://genome.ucsc.edu/cgi-bin/hgTracks?db=hg19&amp;lastVirtModeType=default&amp;lastVirtModeExtraState=&amp;virtModeType=default&amp;virtMode=0&amp;nonVirtPosition=&amp;position=chr12:98624251-98645051","chr12:98624251-98645051")</f>
        <v>chr12:98624251-98645051</v>
      </c>
      <c r="F926" t="s">
        <v>22</v>
      </c>
      <c r="G926">
        <v>-0.17076342512326001</v>
      </c>
      <c r="H926">
        <v>5.3535121290369803E-2</v>
      </c>
      <c r="I926">
        <v>-3.18974574087642</v>
      </c>
      <c r="J926">
        <v>1.4239801574782601E-3</v>
      </c>
      <c r="K926">
        <v>2.1708634570968201E-2</v>
      </c>
      <c r="L926" t="s">
        <v>23</v>
      </c>
      <c r="M926" t="s">
        <v>24</v>
      </c>
      <c r="N926">
        <v>2978.9116148917501</v>
      </c>
      <c r="O926">
        <v>3166.1116807900798</v>
      </c>
      <c r="P926">
        <v>2791.7115489934199</v>
      </c>
      <c r="Q926">
        <v>3143.82629992888</v>
      </c>
      <c r="R926">
        <v>3188.3970616512802</v>
      </c>
      <c r="S926">
        <v>2722.7422959875798</v>
      </c>
      <c r="T926">
        <v>2860.68080199927</v>
      </c>
    </row>
    <row r="927" spans="1:20" x14ac:dyDescent="0.2">
      <c r="A927" t="s">
        <v>1844</v>
      </c>
      <c r="B927" s="3" t="str">
        <f>HYPERLINK("http://www.ncbi.nlm.nih.gov/gene/4148","MATN3")</f>
        <v>MATN3</v>
      </c>
      <c r="C927">
        <v>4148</v>
      </c>
      <c r="D927" t="s">
        <v>1845</v>
      </c>
      <c r="E927" s="3" t="str">
        <f>HYPERLINK("http://genome.ucsc.edu/cgi-bin/hgTracks?db=hg19&amp;lastVirtModeType=default&amp;lastVirtModeExtraState=&amp;virtModeType=default&amp;virtMode=0&amp;nonVirtPosition=&amp;position=chr2:19992051-20012694","chr2:19992051-20012694")</f>
        <v>chr2:19992051-20012694</v>
      </c>
      <c r="F927" t="s">
        <v>22</v>
      </c>
      <c r="G927">
        <v>-0.36323065659149201</v>
      </c>
      <c r="H927">
        <v>0.11389343853122599</v>
      </c>
      <c r="I927">
        <v>-3.1892149475485998</v>
      </c>
      <c r="J927">
        <v>1.4265975773592599E-3</v>
      </c>
      <c r="K927">
        <v>2.1708634570968201E-2</v>
      </c>
      <c r="L927" t="s">
        <v>23</v>
      </c>
      <c r="M927" t="s">
        <v>24</v>
      </c>
      <c r="N927">
        <v>63.778116387351702</v>
      </c>
      <c r="O927">
        <v>85.229836134196105</v>
      </c>
      <c r="P927">
        <v>42.326396640507298</v>
      </c>
      <c r="Q927">
        <v>79.799529713730806</v>
      </c>
      <c r="R927">
        <v>90.660142554661405</v>
      </c>
      <c r="S927">
        <v>40.4465341070619</v>
      </c>
      <c r="T927">
        <v>44.206259173952603</v>
      </c>
    </row>
    <row r="928" spans="1:20" x14ac:dyDescent="0.2">
      <c r="A928" t="s">
        <v>1846</v>
      </c>
      <c r="B928" s="3" t="str">
        <f>HYPERLINK("http://www.ncbi.nlm.nih.gov/gene/9397","NMT2")</f>
        <v>NMT2</v>
      </c>
      <c r="C928">
        <v>9397</v>
      </c>
      <c r="D928" t="s">
        <v>1847</v>
      </c>
      <c r="E928" s="3" t="str">
        <f>HYPERLINK("http://genome.ucsc.edu/cgi-bin/hgTracks?db=hg19&amp;lastVirtModeType=default&amp;lastVirtModeExtraState=&amp;virtModeType=default&amp;virtMode=0&amp;nonVirtPosition=&amp;position=chr10:15107865-15168710","chr10:15107865-15168710")</f>
        <v>chr10:15107865-15168710</v>
      </c>
      <c r="F928" t="s">
        <v>22</v>
      </c>
      <c r="G928">
        <v>-0.219105146780495</v>
      </c>
      <c r="H928">
        <v>6.8706154102512296E-2</v>
      </c>
      <c r="I928">
        <v>-3.1890177763928</v>
      </c>
      <c r="J928">
        <v>1.4275709865301E-3</v>
      </c>
      <c r="K928">
        <v>2.1708634570968201E-2</v>
      </c>
      <c r="L928" t="s">
        <v>23</v>
      </c>
      <c r="M928" t="s">
        <v>24</v>
      </c>
      <c r="N928">
        <v>1353.98712203586</v>
      </c>
      <c r="O928">
        <v>1466.63563709716</v>
      </c>
      <c r="P928">
        <v>1241.33860697457</v>
      </c>
      <c r="Q928">
        <v>1422.63299524134</v>
      </c>
      <c r="R928">
        <v>1510.63827895297</v>
      </c>
      <c r="S928">
        <v>1230.1665373538101</v>
      </c>
      <c r="T928">
        <v>1252.5106765953201</v>
      </c>
    </row>
    <row r="929" spans="1:20" x14ac:dyDescent="0.2">
      <c r="A929" t="s">
        <v>1848</v>
      </c>
      <c r="B929" s="3" t="str">
        <f>HYPERLINK("http://www.ncbi.nlm.nih.gov/gene/55367","PIDD1")</f>
        <v>PIDD1</v>
      </c>
      <c r="C929">
        <v>55367</v>
      </c>
      <c r="D929" t="s">
        <v>1849</v>
      </c>
      <c r="E929" s="3" t="str">
        <f>HYPERLINK("http://genome.ucsc.edu/cgi-bin/hgTracks?db=hg19&amp;lastVirtModeType=default&amp;lastVirtModeExtraState=&amp;virtModeType=default&amp;virtMode=0&amp;nonVirtPosition=&amp;position=chr11:799178-805250","chr11:799178-805250")</f>
        <v>chr11:799178-805250</v>
      </c>
      <c r="F929" t="s">
        <v>22</v>
      </c>
      <c r="G929">
        <v>-0.27860584294262097</v>
      </c>
      <c r="H929">
        <v>8.7365562416145195E-2</v>
      </c>
      <c r="I929">
        <v>-3.1889663986314001</v>
      </c>
      <c r="J929">
        <v>1.4278247326099901E-3</v>
      </c>
      <c r="K929">
        <v>2.1708634570968201E-2</v>
      </c>
      <c r="L929" t="s">
        <v>23</v>
      </c>
      <c r="M929" t="s">
        <v>24</v>
      </c>
      <c r="N929">
        <v>726.194981936408</v>
      </c>
      <c r="O929">
        <v>809.66722299296396</v>
      </c>
      <c r="P929">
        <v>642.72274087985204</v>
      </c>
      <c r="Q929">
        <v>861.28457932406002</v>
      </c>
      <c r="R929">
        <v>758.04986666186699</v>
      </c>
      <c r="S929">
        <v>665.88806151870199</v>
      </c>
      <c r="T929">
        <v>619.557420241003</v>
      </c>
    </row>
    <row r="930" spans="1:20" x14ac:dyDescent="0.2">
      <c r="A930" t="s">
        <v>1850</v>
      </c>
      <c r="B930" s="3" t="str">
        <f>HYPERLINK("http://www.ncbi.nlm.nih.gov/gene/3313","HSPA9")</f>
        <v>HSPA9</v>
      </c>
      <c r="C930">
        <v>3313</v>
      </c>
      <c r="D930" t="s">
        <v>1851</v>
      </c>
      <c r="E930" s="3" t="str">
        <f>HYPERLINK("http://genome.ucsc.edu/cgi-bin/hgTracks?db=hg19&amp;lastVirtModeType=default&amp;lastVirtModeExtraState=&amp;virtModeType=default&amp;virtMode=0&amp;nonVirtPosition=&amp;position=chr5:138554881-138575629","chr5:138554881-138575629")</f>
        <v>chr5:138554881-138575629</v>
      </c>
      <c r="F930" t="s">
        <v>22</v>
      </c>
      <c r="G930">
        <v>0.12771137150175499</v>
      </c>
      <c r="H930">
        <v>4.00838838698259E-2</v>
      </c>
      <c r="I930">
        <v>3.18610272189449</v>
      </c>
      <c r="J930">
        <v>1.4420338686592499E-3</v>
      </c>
      <c r="K930">
        <v>2.1900390337533701E-2</v>
      </c>
      <c r="L930" t="s">
        <v>23</v>
      </c>
      <c r="M930" t="s">
        <v>24</v>
      </c>
      <c r="N930">
        <v>13586.987951208401</v>
      </c>
      <c r="O930">
        <v>12965.482199968799</v>
      </c>
      <c r="P930">
        <v>14208.493702448</v>
      </c>
      <c r="Q930">
        <v>12783.059147763301</v>
      </c>
      <c r="R930">
        <v>13147.9052521742</v>
      </c>
      <c r="S930">
        <v>14365.425113830101</v>
      </c>
      <c r="T930">
        <v>14051.5622910659</v>
      </c>
    </row>
    <row r="931" spans="1:20" x14ac:dyDescent="0.2">
      <c r="A931" t="s">
        <v>1852</v>
      </c>
      <c r="B931" s="3" t="str">
        <f>HYPERLINK("http://www.ncbi.nlm.nih.gov/gene/2589","GALNT1")</f>
        <v>GALNT1</v>
      </c>
      <c r="C931">
        <v>2589</v>
      </c>
      <c r="D931" t="s">
        <v>1853</v>
      </c>
      <c r="E931" s="3" t="str">
        <f>HYPERLINK("http://genome.ucsc.edu/cgi-bin/hgTracks?db=hg19&amp;lastVirtModeType=default&amp;lastVirtModeExtraState=&amp;virtModeType=default&amp;virtMode=0&amp;nonVirtPosition=&amp;position=chr18:35654568-35711834","chr18:35654568-35711834")</f>
        <v>chr18:35654568-35711834</v>
      </c>
      <c r="F931" t="s">
        <v>27</v>
      </c>
      <c r="G931">
        <v>-0.14493265965706301</v>
      </c>
      <c r="H931">
        <v>4.55129933602351E-2</v>
      </c>
      <c r="I931">
        <v>-3.1844238086016898</v>
      </c>
      <c r="J931">
        <v>1.45042487703132E-3</v>
      </c>
      <c r="K931">
        <v>2.2003458809300401E-2</v>
      </c>
      <c r="L931" t="s">
        <v>23</v>
      </c>
      <c r="M931" t="s">
        <v>24</v>
      </c>
      <c r="N931">
        <v>9176.3339804974894</v>
      </c>
      <c r="O931">
        <v>9657.9557288402393</v>
      </c>
      <c r="P931">
        <v>8694.7122321547395</v>
      </c>
      <c r="Q931">
        <v>9613.0916225834007</v>
      </c>
      <c r="R931">
        <v>9702.8198350970706</v>
      </c>
      <c r="S931">
        <v>8358.6215485154898</v>
      </c>
      <c r="T931">
        <v>9030.8029157939909</v>
      </c>
    </row>
    <row r="932" spans="1:20" x14ac:dyDescent="0.2">
      <c r="A932" t="s">
        <v>1854</v>
      </c>
      <c r="B932" s="3" t="str">
        <f>HYPERLINK("http://www.ncbi.nlm.nih.gov/gene/5792","PTPRF")</f>
        <v>PTPRF</v>
      </c>
      <c r="C932">
        <v>5792</v>
      </c>
      <c r="D932" t="s">
        <v>1855</v>
      </c>
      <c r="E932" s="3" t="str">
        <f>HYPERLINK("http://genome.ucsc.edu/cgi-bin/hgTracks?db=hg19&amp;lastVirtModeType=default&amp;lastVirtModeExtraState=&amp;virtModeType=default&amp;virtMode=0&amp;nonVirtPosition=&amp;position=chr1:43526036-43623672","chr1:43526036-43623672")</f>
        <v>chr1:43526036-43623672</v>
      </c>
      <c r="F932" t="s">
        <v>27</v>
      </c>
      <c r="G932">
        <v>-0.31670984127183999</v>
      </c>
      <c r="H932">
        <v>9.9503801559864602E-2</v>
      </c>
      <c r="I932">
        <v>-3.1828918725411399</v>
      </c>
      <c r="J932">
        <v>1.4581205524047099E-3</v>
      </c>
      <c r="K932">
        <v>2.2072179193674699E-2</v>
      </c>
      <c r="L932" t="s">
        <v>23</v>
      </c>
      <c r="M932" t="s">
        <v>24</v>
      </c>
      <c r="N932">
        <v>3317.79139708721</v>
      </c>
      <c r="O932">
        <v>3787.7116095062602</v>
      </c>
      <c r="P932">
        <v>2847.8711846681499</v>
      </c>
      <c r="Q932">
        <v>3775.3432678358199</v>
      </c>
      <c r="R932">
        <v>3800.07995117671</v>
      </c>
      <c r="S932">
        <v>2588.5781828519598</v>
      </c>
      <c r="T932">
        <v>3107.16418648434</v>
      </c>
    </row>
    <row r="933" spans="1:20" x14ac:dyDescent="0.2">
      <c r="A933" t="s">
        <v>1856</v>
      </c>
      <c r="B933" s="3" t="str">
        <f>HYPERLINK("http://www.ncbi.nlm.nih.gov/gene/10797","MTHFD2")</f>
        <v>MTHFD2</v>
      </c>
      <c r="C933">
        <v>10797</v>
      </c>
      <c r="D933" t="s">
        <v>1857</v>
      </c>
      <c r="E933" s="3" t="str">
        <f>HYPERLINK("http://genome.ucsc.edu/cgi-bin/hgTracks?db=hg19&amp;lastVirtModeType=default&amp;lastVirtModeExtraState=&amp;virtModeType=default&amp;virtMode=0&amp;nonVirtPosition=&amp;position=chr2:74198562-74215297","chr2:74198562-74215297")</f>
        <v>chr2:74198562-74215297</v>
      </c>
      <c r="F933" t="s">
        <v>27</v>
      </c>
      <c r="G933">
        <v>0.21170541941430801</v>
      </c>
      <c r="H933">
        <v>6.6517736589003104E-2</v>
      </c>
      <c r="I933">
        <v>3.1826912680806401</v>
      </c>
      <c r="J933">
        <v>1.4591310700137201E-3</v>
      </c>
      <c r="K933">
        <v>2.2072179193674699E-2</v>
      </c>
      <c r="L933" t="s">
        <v>23</v>
      </c>
      <c r="M933" t="s">
        <v>24</v>
      </c>
      <c r="N933">
        <v>1668.0706231566</v>
      </c>
      <c r="O933">
        <v>1533.39126483515</v>
      </c>
      <c r="P933">
        <v>1802.7499814780499</v>
      </c>
      <c r="Q933">
        <v>1455.6534902952999</v>
      </c>
      <c r="R933">
        <v>1611.1290393750101</v>
      </c>
      <c r="S933">
        <v>1779.6475007107199</v>
      </c>
      <c r="T933">
        <v>1825.8524622453799</v>
      </c>
    </row>
    <row r="934" spans="1:20" x14ac:dyDescent="0.2">
      <c r="A934" t="s">
        <v>1858</v>
      </c>
      <c r="B934" s="3" t="str">
        <f>HYPERLINK("http://www.ncbi.nlm.nih.gov/gene/54206","ERRFI1")</f>
        <v>ERRFI1</v>
      </c>
      <c r="C934">
        <v>54206</v>
      </c>
      <c r="D934" t="s">
        <v>1859</v>
      </c>
      <c r="E934" s="3" t="str">
        <f>HYPERLINK("http://genome.ucsc.edu/cgi-bin/hgTracks?db=hg19&amp;lastVirtModeType=default&amp;lastVirtModeExtraState=&amp;virtModeType=default&amp;virtMode=0&amp;nonVirtPosition=&amp;position=chr1:8011718-8026333","chr1:8011718-8026333")</f>
        <v>chr1:8011718-8026333</v>
      </c>
      <c r="F934" t="s">
        <v>22</v>
      </c>
      <c r="G934">
        <v>0.20455927636326601</v>
      </c>
      <c r="H934">
        <v>6.4275035013628301E-2</v>
      </c>
      <c r="I934">
        <v>3.1825618814504502</v>
      </c>
      <c r="J934">
        <v>1.4597831798645901E-3</v>
      </c>
      <c r="K934">
        <v>2.2072179193674699E-2</v>
      </c>
      <c r="L934" t="s">
        <v>23</v>
      </c>
      <c r="M934" t="s">
        <v>24</v>
      </c>
      <c r="N934">
        <v>2434.0411356671498</v>
      </c>
      <c r="O934">
        <v>2243.63460024394</v>
      </c>
      <c r="P934">
        <v>2624.44767109035</v>
      </c>
      <c r="Q934">
        <v>2131.1977849408499</v>
      </c>
      <c r="R934">
        <v>2356.07141554704</v>
      </c>
      <c r="S934">
        <v>2757.2698251033598</v>
      </c>
      <c r="T934">
        <v>2491.6255170773302</v>
      </c>
    </row>
    <row r="935" spans="1:20" x14ac:dyDescent="0.2">
      <c r="A935" t="s">
        <v>1860</v>
      </c>
      <c r="B935" s="3" t="str">
        <f>HYPERLINK("http://www.ncbi.nlm.nih.gov/gene/84272","YIPF4")</f>
        <v>YIPF4</v>
      </c>
      <c r="C935">
        <v>84272</v>
      </c>
      <c r="D935" t="s">
        <v>1861</v>
      </c>
      <c r="E935" s="3" t="str">
        <f>HYPERLINK("http://genome.ucsc.edu/cgi-bin/hgTracks?db=hg19&amp;lastVirtModeType=default&amp;lastVirtModeExtraState=&amp;virtModeType=default&amp;virtMode=0&amp;nonVirtPosition=&amp;position=chr2:32277888-32306589","chr2:32277888-32306589")</f>
        <v>chr2:32277888-32306589</v>
      </c>
      <c r="F935" t="s">
        <v>27</v>
      </c>
      <c r="G935">
        <v>0.184839579895726</v>
      </c>
      <c r="H935">
        <v>5.8192717242904597E-2</v>
      </c>
      <c r="I935">
        <v>3.1763352641565099</v>
      </c>
      <c r="J935">
        <v>1.4914847193059301E-3</v>
      </c>
      <c r="K935">
        <v>2.2526675595332099E-2</v>
      </c>
      <c r="L935" t="s">
        <v>23</v>
      </c>
      <c r="M935" t="s">
        <v>24</v>
      </c>
      <c r="N935">
        <v>2281.81704756411</v>
      </c>
      <c r="O935">
        <v>2126.1185948081502</v>
      </c>
      <c r="P935">
        <v>2437.5155003200698</v>
      </c>
      <c r="Q935">
        <v>2177.9768196006198</v>
      </c>
      <c r="R935">
        <v>2074.2603700156901</v>
      </c>
      <c r="S935">
        <v>2473.1575855220499</v>
      </c>
      <c r="T935">
        <v>2401.8734151180902</v>
      </c>
    </row>
    <row r="936" spans="1:20" x14ac:dyDescent="0.2">
      <c r="A936" t="s">
        <v>1862</v>
      </c>
      <c r="B936" s="3" t="str">
        <f>HYPERLINK("http://www.ncbi.nlm.nih.gov/gene/171024","SYNPO2")</f>
        <v>SYNPO2</v>
      </c>
      <c r="C936">
        <v>171024</v>
      </c>
      <c r="D936" t="s">
        <v>1863</v>
      </c>
      <c r="E936" s="3" t="str">
        <f>HYPERLINK("http://genome.ucsc.edu/cgi-bin/hgTracks?db=hg19&amp;lastVirtModeType=default&amp;lastVirtModeExtraState=&amp;virtModeType=default&amp;virtMode=0&amp;nonVirtPosition=&amp;position=chr4:118888840-119061247","chr4:118888840-119061247")</f>
        <v>chr4:118888840-119061247</v>
      </c>
      <c r="F936" t="s">
        <v>27</v>
      </c>
      <c r="G936">
        <v>-0.31673651676417502</v>
      </c>
      <c r="H936">
        <v>9.9765730656467003E-2</v>
      </c>
      <c r="I936">
        <v>-3.1748027572195499</v>
      </c>
      <c r="J936">
        <v>1.4993838321887801E-3</v>
      </c>
      <c r="K936">
        <v>2.2621066968797499E-2</v>
      </c>
      <c r="L936" t="s">
        <v>23</v>
      </c>
      <c r="M936" t="s">
        <v>24</v>
      </c>
      <c r="N936">
        <v>577.82621012373204</v>
      </c>
      <c r="O936">
        <v>660.78061864246001</v>
      </c>
      <c r="P936">
        <v>494.87180160500299</v>
      </c>
      <c r="Q936">
        <v>630.141113946357</v>
      </c>
      <c r="R936">
        <v>691.42012333856201</v>
      </c>
      <c r="S936">
        <v>429.12786186760798</v>
      </c>
      <c r="T936">
        <v>560.61574134239902</v>
      </c>
    </row>
    <row r="937" spans="1:20" x14ac:dyDescent="0.2">
      <c r="A937" t="s">
        <v>1864</v>
      </c>
      <c r="B937" s="3" t="str">
        <f>HYPERLINK("http://www.ncbi.nlm.nih.gov/gene/203259","FAM219A")</f>
        <v>FAM219A</v>
      </c>
      <c r="C937">
        <v>203259</v>
      </c>
      <c r="D937" t="s">
        <v>1865</v>
      </c>
      <c r="E937" s="3" t="str">
        <f>HYPERLINK("http://genome.ucsc.edu/cgi-bin/hgTracks?db=hg19&amp;lastVirtModeType=default&amp;lastVirtModeExtraState=&amp;virtModeType=default&amp;virtMode=0&amp;nonVirtPosition=&amp;position=chr9:34398183-34458570","chr9:34398183-34458570")</f>
        <v>chr9:34398183-34458570</v>
      </c>
      <c r="F937" t="s">
        <v>22</v>
      </c>
      <c r="G937">
        <v>0.18445256866027701</v>
      </c>
      <c r="H937">
        <v>5.8107565263713398E-2</v>
      </c>
      <c r="I937">
        <v>3.1743296733078301</v>
      </c>
      <c r="J937">
        <v>1.5018300575813501E-3</v>
      </c>
      <c r="K937">
        <v>2.2633074076561201E-2</v>
      </c>
      <c r="L937" t="s">
        <v>23</v>
      </c>
      <c r="M937" t="s">
        <v>24</v>
      </c>
      <c r="N937">
        <v>2188.4770613617102</v>
      </c>
      <c r="O937">
        <v>2038.96167566904</v>
      </c>
      <c r="P937">
        <v>2337.9924470543901</v>
      </c>
      <c r="Q937">
        <v>2058.2775250300201</v>
      </c>
      <c r="R937">
        <v>2019.6458263080599</v>
      </c>
      <c r="S937">
        <v>2370.5614990065801</v>
      </c>
      <c r="T937">
        <v>2305.4233951022002</v>
      </c>
    </row>
    <row r="938" spans="1:20" x14ac:dyDescent="0.2">
      <c r="A938" t="s">
        <v>1866</v>
      </c>
      <c r="B938" s="3" t="str">
        <f>HYPERLINK("http://www.ncbi.nlm.nih.gov/gene/134957","STXBP5")</f>
        <v>STXBP5</v>
      </c>
      <c r="C938">
        <v>134957</v>
      </c>
      <c r="D938" t="s">
        <v>1867</v>
      </c>
      <c r="E938" s="3" t="str">
        <f>HYPERLINK("http://genome.ucsc.edu/cgi-bin/hgTracks?db=hg19&amp;lastVirtModeType=default&amp;lastVirtModeExtraState=&amp;virtModeType=default&amp;virtMode=0&amp;nonVirtPosition=&amp;position=chr6:147204357-147390476","chr6:147204357-147390476")</f>
        <v>chr6:147204357-147390476</v>
      </c>
      <c r="F938" t="s">
        <v>27</v>
      </c>
      <c r="G938">
        <v>-0.188637644498759</v>
      </c>
      <c r="H938">
        <v>5.9463545541290297E-2</v>
      </c>
      <c r="I938">
        <v>-3.1723241993327198</v>
      </c>
      <c r="J938">
        <v>1.51224085991784E-3</v>
      </c>
      <c r="K938">
        <v>2.2735914860921899E-2</v>
      </c>
      <c r="L938" t="s">
        <v>23</v>
      </c>
      <c r="M938" t="s">
        <v>24</v>
      </c>
      <c r="N938">
        <v>2216.2201406322201</v>
      </c>
      <c r="O938">
        <v>2372.9019303312698</v>
      </c>
      <c r="P938">
        <v>2059.53835093318</v>
      </c>
      <c r="Q938">
        <v>2373.3480820032</v>
      </c>
      <c r="R938">
        <v>2372.45577865933</v>
      </c>
      <c r="S938">
        <v>1987.7991762373099</v>
      </c>
      <c r="T938">
        <v>2131.2775256290502</v>
      </c>
    </row>
    <row r="939" spans="1:20" x14ac:dyDescent="0.2">
      <c r="A939" t="s">
        <v>1868</v>
      </c>
      <c r="B939" s="3" t="str">
        <f>HYPERLINK("http://www.ncbi.nlm.nih.gov/gene/9448","MAP4K4")</f>
        <v>MAP4K4</v>
      </c>
      <c r="C939">
        <v>9448</v>
      </c>
      <c r="D939" t="s">
        <v>1869</v>
      </c>
      <c r="E939" s="3" t="str">
        <f>HYPERLINK("http://genome.ucsc.edu/cgi-bin/hgTracks?db=hg19&amp;lastVirtModeType=default&amp;lastVirtModeExtraState=&amp;virtModeType=default&amp;virtMode=0&amp;nonVirtPosition=&amp;position=chr2:101697702-101894690","chr2:101697702-101894690")</f>
        <v>chr2:101697702-101894690</v>
      </c>
      <c r="F939" t="s">
        <v>27</v>
      </c>
      <c r="G939">
        <v>0.13600441956871001</v>
      </c>
      <c r="H939">
        <v>4.2874031755073698E-2</v>
      </c>
      <c r="I939">
        <v>3.17218637952366</v>
      </c>
      <c r="J939">
        <v>1.51295874479886E-3</v>
      </c>
      <c r="K939">
        <v>2.2735914860921899E-2</v>
      </c>
      <c r="L939" t="s">
        <v>23</v>
      </c>
      <c r="M939" t="s">
        <v>24</v>
      </c>
      <c r="N939">
        <v>16226.168000539799</v>
      </c>
      <c r="O939">
        <v>15433.5876584583</v>
      </c>
      <c r="P939">
        <v>17018.748342621198</v>
      </c>
      <c r="Q939">
        <v>14951.404989639899</v>
      </c>
      <c r="R939">
        <v>15915.770327276799</v>
      </c>
      <c r="S939">
        <v>16838.582699352199</v>
      </c>
      <c r="T939">
        <v>17198.913985890202</v>
      </c>
    </row>
    <row r="940" spans="1:20" x14ac:dyDescent="0.2">
      <c r="A940" t="s">
        <v>1870</v>
      </c>
      <c r="B940" s="3" t="str">
        <f>HYPERLINK("http://www.ncbi.nlm.nih.gov/gene/201475","RAB12")</f>
        <v>RAB12</v>
      </c>
      <c r="C940">
        <v>201475</v>
      </c>
      <c r="D940" t="s">
        <v>1871</v>
      </c>
      <c r="E940" s="3" t="str">
        <f>HYPERLINK("http://genome.ucsc.edu/cgi-bin/hgTracks?db=hg19&amp;lastVirtModeType=default&amp;lastVirtModeExtraState=&amp;virtModeType=default&amp;virtMode=0&amp;nonVirtPosition=&amp;position=chr18:8609444-8639382","chr18:8609444-8639382")</f>
        <v>chr18:8609444-8639382</v>
      </c>
      <c r="F940" t="s">
        <v>27</v>
      </c>
      <c r="G940">
        <v>0.22155498577479599</v>
      </c>
      <c r="H940">
        <v>6.9845817839376906E-2</v>
      </c>
      <c r="I940">
        <v>3.1720580076004201</v>
      </c>
      <c r="J940">
        <v>1.5136276992869901E-3</v>
      </c>
      <c r="K940">
        <v>2.2735914860921899E-2</v>
      </c>
      <c r="L940" t="s">
        <v>23</v>
      </c>
      <c r="M940" t="s">
        <v>24</v>
      </c>
      <c r="N940">
        <v>1266.7766056885901</v>
      </c>
      <c r="O940">
        <v>1158.8156269502001</v>
      </c>
      <c r="P940">
        <v>1374.73758442699</v>
      </c>
      <c r="Q940">
        <v>1154.34147292793</v>
      </c>
      <c r="R940">
        <v>1163.28978097246</v>
      </c>
      <c r="S940">
        <v>1399.8446804370899</v>
      </c>
      <c r="T940">
        <v>1349.6304884168901</v>
      </c>
    </row>
    <row r="941" spans="1:20" x14ac:dyDescent="0.2">
      <c r="A941" t="s">
        <v>1872</v>
      </c>
      <c r="B941" s="3" t="str">
        <f>HYPERLINK("http://www.ncbi.nlm.nih.gov/gene/5510","PPP1R7")</f>
        <v>PPP1R7</v>
      </c>
      <c r="C941">
        <v>5510</v>
      </c>
      <c r="D941" t="s">
        <v>1873</v>
      </c>
      <c r="E941" s="3" t="str">
        <f>HYPERLINK("http://genome.ucsc.edu/cgi-bin/hgTracks?db=hg19&amp;lastVirtModeType=default&amp;lastVirtModeExtraState=&amp;virtModeType=default&amp;virtMode=0&amp;nonVirtPosition=&amp;position=chr2:241149572-241183650","chr2:241149572-241183650")</f>
        <v>chr2:241149572-241183650</v>
      </c>
      <c r="F941" t="s">
        <v>27</v>
      </c>
      <c r="G941">
        <v>0.167877176190105</v>
      </c>
      <c r="H941">
        <v>5.3028622071716498E-2</v>
      </c>
      <c r="I941">
        <v>3.1657842431407301</v>
      </c>
      <c r="J941">
        <v>1.5466546782784999E-3</v>
      </c>
      <c r="K941">
        <v>2.3188198143963602E-2</v>
      </c>
      <c r="L941" t="s">
        <v>23</v>
      </c>
      <c r="M941" t="s">
        <v>24</v>
      </c>
      <c r="N941">
        <v>2855.94295128678</v>
      </c>
      <c r="O941">
        <v>2681.31513099412</v>
      </c>
      <c r="P941">
        <v>3030.5707715794301</v>
      </c>
      <c r="Q941">
        <v>2689.7944929369601</v>
      </c>
      <c r="R941">
        <v>2672.8357690512798</v>
      </c>
      <c r="S941">
        <v>3004.8815339051298</v>
      </c>
      <c r="T941">
        <v>3056.26000925372</v>
      </c>
    </row>
    <row r="942" spans="1:20" x14ac:dyDescent="0.2">
      <c r="A942" t="s">
        <v>1874</v>
      </c>
      <c r="B942" s="3" t="str">
        <f>HYPERLINK("http://www.ncbi.nlm.nih.gov/gene/11252","PACSIN2")</f>
        <v>PACSIN2</v>
      </c>
      <c r="C942">
        <v>11252</v>
      </c>
      <c r="D942" t="s">
        <v>1875</v>
      </c>
      <c r="E942" s="3" t="str">
        <f>HYPERLINK("http://genome.ucsc.edu/cgi-bin/hgTracks?db=hg19&amp;lastVirtModeType=default&amp;lastVirtModeExtraState=&amp;virtModeType=default&amp;virtMode=0&amp;nonVirtPosition=&amp;position=chr22:42869765-42959881","chr22:42869765-42959881")</f>
        <v>chr22:42869765-42959881</v>
      </c>
      <c r="F942" t="s">
        <v>22</v>
      </c>
      <c r="G942">
        <v>-0.16764394314186001</v>
      </c>
      <c r="H942">
        <v>5.29619407368008E-2</v>
      </c>
      <c r="I942">
        <v>-3.1653663141798698</v>
      </c>
      <c r="J942">
        <v>1.54887818767857E-3</v>
      </c>
      <c r="K942">
        <v>2.3188198143963602E-2</v>
      </c>
      <c r="L942" t="s">
        <v>23</v>
      </c>
      <c r="M942" t="s">
        <v>24</v>
      </c>
      <c r="N942">
        <v>3137.3700276944201</v>
      </c>
      <c r="O942">
        <v>3331.5034490603098</v>
      </c>
      <c r="P942">
        <v>2943.2366063285299</v>
      </c>
      <c r="Q942">
        <v>3370.8422034248401</v>
      </c>
      <c r="R942">
        <v>3292.1646946957799</v>
      </c>
      <c r="S942">
        <v>2869.73091993763</v>
      </c>
      <c r="T942">
        <v>3016.7422927194302</v>
      </c>
    </row>
    <row r="943" spans="1:20" x14ac:dyDescent="0.2">
      <c r="A943" t="s">
        <v>1876</v>
      </c>
      <c r="B943" s="3" t="str">
        <f>HYPERLINK("http://www.ncbi.nlm.nih.gov/gene/51421","AMOTL2")</f>
        <v>AMOTL2</v>
      </c>
      <c r="C943">
        <v>51421</v>
      </c>
      <c r="D943" t="s">
        <v>1877</v>
      </c>
      <c r="E943" s="3" t="str">
        <f>HYPERLINK("http://genome.ucsc.edu/cgi-bin/hgTracks?db=hg19&amp;lastVirtModeType=default&amp;lastVirtModeExtraState=&amp;virtModeType=default&amp;virtMode=0&amp;nonVirtPosition=&amp;position=chr3:134355344-134375417","chr3:134355344-134375417")</f>
        <v>chr3:134355344-134375417</v>
      </c>
      <c r="F943" t="s">
        <v>22</v>
      </c>
      <c r="G943">
        <v>-0.33965118225167501</v>
      </c>
      <c r="H943">
        <v>0.10731266278502501</v>
      </c>
      <c r="I943">
        <v>-3.16506154480654</v>
      </c>
      <c r="J943">
        <v>1.5505015092616801E-3</v>
      </c>
      <c r="K943">
        <v>2.3188198143963602E-2</v>
      </c>
      <c r="L943" t="s">
        <v>23</v>
      </c>
      <c r="M943" t="s">
        <v>24</v>
      </c>
      <c r="N943">
        <v>3513.4278489001499</v>
      </c>
      <c r="O943">
        <v>4089.6613640880901</v>
      </c>
      <c r="P943">
        <v>2937.1943337122002</v>
      </c>
      <c r="Q943">
        <v>3864.7737752736198</v>
      </c>
      <c r="R943">
        <v>4314.5489529025599</v>
      </c>
      <c r="S943">
        <v>2671.4442527298402</v>
      </c>
      <c r="T943">
        <v>3202.9444146945698</v>
      </c>
    </row>
    <row r="944" spans="1:20" x14ac:dyDescent="0.2">
      <c r="A944" t="s">
        <v>1878</v>
      </c>
      <c r="B944" s="3" t="str">
        <f>HYPERLINK("http://www.ncbi.nlm.nih.gov/gene/647024","C6orf132")</f>
        <v>C6orf132</v>
      </c>
      <c r="C944">
        <v>647024</v>
      </c>
      <c r="D944" t="s">
        <v>1879</v>
      </c>
      <c r="E944" s="3" t="str">
        <f>HYPERLINK("http://genome.ucsc.edu/cgi-bin/hgTracks?db=hg19&amp;lastVirtModeType=default&amp;lastVirtModeExtraState=&amp;virtModeType=default&amp;virtMode=0&amp;nonVirtPosition=&amp;position=chr6:42101118-42142977","chr6:42101118-42142977")</f>
        <v>chr6:42101118-42142977</v>
      </c>
      <c r="F944" t="s">
        <v>22</v>
      </c>
      <c r="G944">
        <v>-0.36317337087630902</v>
      </c>
      <c r="H944">
        <v>0.114797879850668</v>
      </c>
      <c r="I944">
        <v>-3.16358953099774</v>
      </c>
      <c r="J944">
        <v>1.55836411512604E-3</v>
      </c>
      <c r="K944">
        <v>2.32803981207391E-2</v>
      </c>
      <c r="L944" t="s">
        <v>23</v>
      </c>
      <c r="M944" t="s">
        <v>24</v>
      </c>
      <c r="N944">
        <v>227.586575377592</v>
      </c>
      <c r="O944">
        <v>272.59903621617099</v>
      </c>
      <c r="P944">
        <v>182.57411453901199</v>
      </c>
      <c r="Q944">
        <v>233.89517329886601</v>
      </c>
      <c r="R944">
        <v>311.30289913347599</v>
      </c>
      <c r="S944">
        <v>175.59714807456101</v>
      </c>
      <c r="T944">
        <v>189.55108100346399</v>
      </c>
    </row>
    <row r="945" spans="1:20" x14ac:dyDescent="0.2">
      <c r="A945" t="s">
        <v>1880</v>
      </c>
      <c r="B945" s="3" t="str">
        <f>HYPERLINK("http://www.ncbi.nlm.nih.gov/gene/550","AUP1")</f>
        <v>AUP1</v>
      </c>
      <c r="C945">
        <v>550</v>
      </c>
      <c r="D945" t="s">
        <v>1881</v>
      </c>
      <c r="E945" s="3" t="str">
        <f>HYPERLINK("http://genome.ucsc.edu/cgi-bin/hgTracks?db=hg19&amp;lastVirtModeType=default&amp;lastVirtModeExtraState=&amp;virtModeType=default&amp;virtMode=0&amp;nonVirtPosition=&amp;position=chr2:74526647-74529897","chr2:74526647-74529897")</f>
        <v>chr2:74526647-74529897</v>
      </c>
      <c r="F945" t="s">
        <v>22</v>
      </c>
      <c r="G945">
        <v>0.13776765486408901</v>
      </c>
      <c r="H945">
        <v>4.3632002176295002E-2</v>
      </c>
      <c r="I945">
        <v>3.1574910155953599</v>
      </c>
      <c r="J945">
        <v>1.59133140360201E-3</v>
      </c>
      <c r="K945">
        <v>2.3720782415428202E-2</v>
      </c>
      <c r="L945" t="s">
        <v>23</v>
      </c>
      <c r="M945" t="s">
        <v>24</v>
      </c>
      <c r="N945">
        <v>6018.4884621605297</v>
      </c>
      <c r="O945">
        <v>5720.6110830963398</v>
      </c>
      <c r="P945">
        <v>6316.3658412247196</v>
      </c>
      <c r="Q945">
        <v>5768.95565671851</v>
      </c>
      <c r="R945">
        <v>5672.2665094741797</v>
      </c>
      <c r="S945">
        <v>6387.5928864201396</v>
      </c>
      <c r="T945">
        <v>6245.1387960293096</v>
      </c>
    </row>
    <row r="946" spans="1:20" x14ac:dyDescent="0.2">
      <c r="A946" t="s">
        <v>1882</v>
      </c>
      <c r="B946" s="3" t="str">
        <f>HYPERLINK("http://www.ncbi.nlm.nih.gov/gene/7025","NR2F1")</f>
        <v>NR2F1</v>
      </c>
      <c r="C946">
        <v>7025</v>
      </c>
      <c r="D946" t="s">
        <v>1883</v>
      </c>
      <c r="E946" s="3" t="str">
        <f>HYPERLINK("http://genome.ucsc.edu/cgi-bin/hgTracks?db=hg19&amp;lastVirtModeType=default&amp;lastVirtModeExtraState=&amp;virtModeType=default&amp;virtMode=0&amp;nonVirtPosition=&amp;position=chr5:93583336-93594609","chr5:93583336-93594609")</f>
        <v>chr5:93583336-93594609</v>
      </c>
      <c r="F946" t="s">
        <v>27</v>
      </c>
      <c r="G946">
        <v>0.25837581021275802</v>
      </c>
      <c r="H946">
        <v>8.1830636219402703E-2</v>
      </c>
      <c r="I946">
        <v>3.1574459413954101</v>
      </c>
      <c r="J946">
        <v>1.59157743775271E-3</v>
      </c>
      <c r="K946">
        <v>2.3720782415428202E-2</v>
      </c>
      <c r="L946" t="s">
        <v>23</v>
      </c>
      <c r="M946" t="s">
        <v>24</v>
      </c>
      <c r="N946">
        <v>844.21171078380303</v>
      </c>
      <c r="O946">
        <v>757.93600153519901</v>
      </c>
      <c r="P946">
        <v>930.48742003240602</v>
      </c>
      <c r="Q946">
        <v>793.86773525556396</v>
      </c>
      <c r="R946">
        <v>722.00426781483304</v>
      </c>
      <c r="S946">
        <v>910.54026782483197</v>
      </c>
      <c r="T946">
        <v>950.43457223998098</v>
      </c>
    </row>
    <row r="947" spans="1:20" x14ac:dyDescent="0.2">
      <c r="A947" t="s">
        <v>1884</v>
      </c>
      <c r="B947" s="3" t="str">
        <f>HYPERLINK("http://www.ncbi.nlm.nih.gov/gene/5935","RBM3")</f>
        <v>RBM3</v>
      </c>
      <c r="C947">
        <v>5935</v>
      </c>
      <c r="D947" t="s">
        <v>1885</v>
      </c>
      <c r="E947" s="3" t="str">
        <f>HYPERLINK("http://genome.ucsc.edu/cgi-bin/hgTracks?db=hg19&amp;lastVirtModeType=default&amp;lastVirtModeExtraState=&amp;virtModeType=default&amp;virtMode=0&amp;nonVirtPosition=&amp;position=chrX:48574352-48581165","chrX:48574352-48581165")</f>
        <v>chrX:48574352-48581165</v>
      </c>
      <c r="F947" t="s">
        <v>27</v>
      </c>
      <c r="G947">
        <v>-0.14234573782125701</v>
      </c>
      <c r="H947">
        <v>4.5086360632512E-2</v>
      </c>
      <c r="I947">
        <v>-3.1571795954320399</v>
      </c>
      <c r="J947">
        <v>1.5930319822523901E-3</v>
      </c>
      <c r="K947">
        <v>2.3720782415428202E-2</v>
      </c>
      <c r="L947" t="s">
        <v>23</v>
      </c>
      <c r="M947" t="s">
        <v>24</v>
      </c>
      <c r="N947">
        <v>5456.8317080125298</v>
      </c>
      <c r="O947">
        <v>5734.3753526161699</v>
      </c>
      <c r="P947">
        <v>5179.2880634088997</v>
      </c>
      <c r="Q947">
        <v>5690.5319809653602</v>
      </c>
      <c r="R947">
        <v>5778.2187242669697</v>
      </c>
      <c r="S947">
        <v>5272.8469463962401</v>
      </c>
      <c r="T947">
        <v>5085.7291804215502</v>
      </c>
    </row>
    <row r="948" spans="1:20" x14ac:dyDescent="0.2">
      <c r="A948" t="s">
        <v>1886</v>
      </c>
      <c r="B948" s="3" t="str">
        <f>HYPERLINK("http://www.ncbi.nlm.nih.gov/gene/9849","ZNF518A")</f>
        <v>ZNF518A</v>
      </c>
      <c r="C948">
        <v>9849</v>
      </c>
      <c r="D948" t="s">
        <v>1887</v>
      </c>
      <c r="E948" s="3" t="str">
        <f>HYPERLINK("http://genome.ucsc.edu/cgi-bin/hgTracks?db=hg19&amp;lastVirtModeType=default&amp;lastVirtModeExtraState=&amp;virtModeType=default&amp;virtMode=0&amp;nonVirtPosition=&amp;position=chr10:96130279-96163761","chr10:96130279-96163761")</f>
        <v>chr10:96130279-96163761</v>
      </c>
      <c r="F948" t="s">
        <v>27</v>
      </c>
      <c r="G948">
        <v>-0.27190449467182998</v>
      </c>
      <c r="H948">
        <v>8.6182019101811197E-2</v>
      </c>
      <c r="I948">
        <v>-3.15500260385656</v>
      </c>
      <c r="J948">
        <v>1.6049667296376201E-3</v>
      </c>
      <c r="K948">
        <v>2.387257454474E-2</v>
      </c>
      <c r="L948" t="s">
        <v>23</v>
      </c>
      <c r="M948" t="s">
        <v>24</v>
      </c>
      <c r="N948">
        <v>676.86928548146705</v>
      </c>
      <c r="O948">
        <v>751.576812826327</v>
      </c>
      <c r="P948">
        <v>602.16175813660698</v>
      </c>
      <c r="Q948">
        <v>737.45772287171997</v>
      </c>
      <c r="R948">
        <v>765.69590278093494</v>
      </c>
      <c r="S948">
        <v>615.57651909284402</v>
      </c>
      <c r="T948">
        <v>588.74699718036902</v>
      </c>
    </row>
    <row r="949" spans="1:20" x14ac:dyDescent="0.2">
      <c r="A949" t="s">
        <v>1888</v>
      </c>
      <c r="B949" s="3" t="str">
        <f>HYPERLINK("http://www.ncbi.nlm.nih.gov/gene/4677","NARS")</f>
        <v>NARS</v>
      </c>
      <c r="C949">
        <v>4677</v>
      </c>
      <c r="D949" t="s">
        <v>1889</v>
      </c>
      <c r="E949" s="3" t="str">
        <f>HYPERLINK("http://genome.ucsc.edu/cgi-bin/hgTracks?db=hg19&amp;lastVirtModeType=default&amp;lastVirtModeExtraState=&amp;virtModeType=default&amp;virtMode=0&amp;nonVirtPosition=&amp;position=chr18:57600660-57621945","chr18:57600660-57621945")</f>
        <v>chr18:57600660-57621945</v>
      </c>
      <c r="F949" t="s">
        <v>22</v>
      </c>
      <c r="G949">
        <v>0.12781280083236099</v>
      </c>
      <c r="H949">
        <v>4.0546363380781797E-2</v>
      </c>
      <c r="I949">
        <v>3.1522629941441598</v>
      </c>
      <c r="J949">
        <v>1.62010282447336E-3</v>
      </c>
      <c r="K949">
        <v>2.4071603613031001E-2</v>
      </c>
      <c r="L949" t="s">
        <v>23</v>
      </c>
      <c r="M949" t="s">
        <v>24</v>
      </c>
      <c r="N949">
        <v>8369.6131277642999</v>
      </c>
      <c r="O949">
        <v>7987.9867895712096</v>
      </c>
      <c r="P949">
        <v>8751.2394659574093</v>
      </c>
      <c r="Q949">
        <v>8003.3424887029696</v>
      </c>
      <c r="R949">
        <v>7972.6310904394404</v>
      </c>
      <c r="S949">
        <v>8729.5458613022092</v>
      </c>
      <c r="T949">
        <v>8772.9330706126002</v>
      </c>
    </row>
    <row r="950" spans="1:20" x14ac:dyDescent="0.2">
      <c r="A950" t="s">
        <v>1890</v>
      </c>
      <c r="B950" s="3" t="str">
        <f>HYPERLINK("http://www.ncbi.nlm.nih.gov/gene/55345","ZGRF1")</f>
        <v>ZGRF1</v>
      </c>
      <c r="C950">
        <v>55345</v>
      </c>
      <c r="D950" t="s">
        <v>1891</v>
      </c>
      <c r="E950" s="3" t="str">
        <f>HYPERLINK("http://genome.ucsc.edu/cgi-bin/hgTracks?db=hg19&amp;lastVirtModeType=default&amp;lastVirtModeExtraState=&amp;virtModeType=default&amp;virtMode=0&amp;nonVirtPosition=&amp;position=chr4:112539332-112636995","chr4:112539332-112636995")</f>
        <v>chr4:112539332-112636995</v>
      </c>
      <c r="F950" t="s">
        <v>22</v>
      </c>
      <c r="G950">
        <v>-0.354262754642589</v>
      </c>
      <c r="H950">
        <v>0.112440051657364</v>
      </c>
      <c r="I950">
        <v>-3.1506811800667398</v>
      </c>
      <c r="J950">
        <v>1.62890192090781E-3</v>
      </c>
      <c r="K950">
        <v>2.4176075098264201E-2</v>
      </c>
      <c r="L950" t="s">
        <v>23</v>
      </c>
      <c r="M950" t="s">
        <v>24</v>
      </c>
      <c r="N950">
        <v>229.752005391144</v>
      </c>
      <c r="O950">
        <v>271.75343056414198</v>
      </c>
      <c r="P950">
        <v>187.75058021814601</v>
      </c>
      <c r="Q950">
        <v>262.788106471079</v>
      </c>
      <c r="R950">
        <v>280.71875465720501</v>
      </c>
      <c r="S950">
        <v>195.32716471215201</v>
      </c>
      <c r="T950">
        <v>180.17399572414001</v>
      </c>
    </row>
    <row r="951" spans="1:20" x14ac:dyDescent="0.2">
      <c r="A951" t="s">
        <v>1892</v>
      </c>
      <c r="B951" s="3" t="str">
        <f>HYPERLINK("http://www.ncbi.nlm.nih.gov/gene/1786","DNMT1")</f>
        <v>DNMT1</v>
      </c>
      <c r="C951">
        <v>1786</v>
      </c>
      <c r="D951" t="s">
        <v>1893</v>
      </c>
      <c r="E951" s="3" t="str">
        <f>HYPERLINK("http://genome.ucsc.edu/cgi-bin/hgTracks?db=hg19&amp;lastVirtModeType=default&amp;lastVirtModeExtraState=&amp;virtModeType=default&amp;virtMode=0&amp;nonVirtPosition=&amp;position=chr19:10133343-10195135","chr19:10133343-10195135")</f>
        <v>chr19:10133343-10195135</v>
      </c>
      <c r="F951" t="s">
        <v>22</v>
      </c>
      <c r="G951">
        <v>-0.17520564645099501</v>
      </c>
      <c r="H951">
        <v>5.5614376585321902E-2</v>
      </c>
      <c r="I951">
        <v>-3.15036609611546</v>
      </c>
      <c r="J951">
        <v>1.6306598706354301E-3</v>
      </c>
      <c r="K951">
        <v>2.4176075098264201E-2</v>
      </c>
      <c r="L951" t="s">
        <v>23</v>
      </c>
      <c r="M951" t="s">
        <v>24</v>
      </c>
      <c r="N951">
        <v>2497.81348278009</v>
      </c>
      <c r="O951">
        <v>2659.4642299038201</v>
      </c>
      <c r="P951">
        <v>2336.1627356563599</v>
      </c>
      <c r="Q951">
        <v>2652.6464360012601</v>
      </c>
      <c r="R951">
        <v>2666.28202380637</v>
      </c>
      <c r="S951">
        <v>2296.5739366156099</v>
      </c>
      <c r="T951">
        <v>2375.75153469712</v>
      </c>
    </row>
    <row r="952" spans="1:20" x14ac:dyDescent="0.2">
      <c r="A952" t="s">
        <v>1894</v>
      </c>
      <c r="B952" s="3" t="str">
        <f>HYPERLINK("http://www.ncbi.nlm.nih.gov/gene/2334","AFF2")</f>
        <v>AFF2</v>
      </c>
      <c r="C952">
        <v>2334</v>
      </c>
      <c r="D952" t="s">
        <v>1895</v>
      </c>
      <c r="E952" s="3" t="str">
        <f>HYPERLINK("http://genome.ucsc.edu/cgi-bin/hgTracks?db=hg19&amp;lastVirtModeType=default&amp;lastVirtModeExtraState=&amp;virtModeType=default&amp;virtMode=0&amp;nonVirtPosition=&amp;position=chrX:148500618-149000663","chrX:148500618-149000663")</f>
        <v>chrX:148500618-149000663</v>
      </c>
      <c r="F952" t="s">
        <v>27</v>
      </c>
      <c r="G952">
        <v>-0.36883934848150901</v>
      </c>
      <c r="H952">
        <v>0.11713763099682201</v>
      </c>
      <c r="I952">
        <v>-3.1487690620234199</v>
      </c>
      <c r="J952">
        <v>1.6395970955007601E-3</v>
      </c>
      <c r="K952">
        <v>2.42823267469735E-2</v>
      </c>
      <c r="L952" t="s">
        <v>23</v>
      </c>
      <c r="M952" t="s">
        <v>24</v>
      </c>
      <c r="N952">
        <v>158.00491914431501</v>
      </c>
      <c r="O952">
        <v>192.45235490191499</v>
      </c>
      <c r="P952">
        <v>123.557483386714</v>
      </c>
      <c r="Q952">
        <v>198.12297032374599</v>
      </c>
      <c r="R952">
        <v>186.78173948008501</v>
      </c>
      <c r="S952">
        <v>129.23160897622199</v>
      </c>
      <c r="T952">
        <v>117.883357797207</v>
      </c>
    </row>
    <row r="953" spans="1:20" x14ac:dyDescent="0.2">
      <c r="A953" t="s">
        <v>1896</v>
      </c>
      <c r="B953" s="3" t="str">
        <f>HYPERLINK("http://www.ncbi.nlm.nih.gov/gene/10505","SEMA4F")</f>
        <v>SEMA4F</v>
      </c>
      <c r="C953">
        <v>10505</v>
      </c>
      <c r="D953" t="s">
        <v>1897</v>
      </c>
      <c r="E953" s="3" t="str">
        <f>HYPERLINK("http://genome.ucsc.edu/cgi-bin/hgTracks?db=hg19&amp;lastVirtModeType=default&amp;lastVirtModeExtraState=&amp;virtModeType=default&amp;virtMode=0&amp;nonVirtPosition=&amp;position=chr2:74654227-74683854","chr2:74654227-74683854")</f>
        <v>chr2:74654227-74683854</v>
      </c>
      <c r="F953" t="s">
        <v>27</v>
      </c>
      <c r="G953">
        <v>-0.24297731908610301</v>
      </c>
      <c r="H953">
        <v>7.7268059277101495E-2</v>
      </c>
      <c r="I953">
        <v>-3.1446023280425499</v>
      </c>
      <c r="J953">
        <v>1.66312736003371E-3</v>
      </c>
      <c r="K953">
        <v>2.4604237988675601E-2</v>
      </c>
      <c r="L953" t="s">
        <v>23</v>
      </c>
      <c r="M953" t="s">
        <v>24</v>
      </c>
      <c r="N953">
        <v>927.66372991825904</v>
      </c>
      <c r="O953">
        <v>1015.94678962205</v>
      </c>
      <c r="P953">
        <v>839.38067021446898</v>
      </c>
      <c r="Q953">
        <v>997.49412142163499</v>
      </c>
      <c r="R953">
        <v>1034.3994578224599</v>
      </c>
      <c r="S953">
        <v>839.51220792950403</v>
      </c>
      <c r="T953">
        <v>839.24913249943404</v>
      </c>
    </row>
    <row r="954" spans="1:20" x14ac:dyDescent="0.2">
      <c r="A954" t="s">
        <v>1898</v>
      </c>
      <c r="B954" s="3" t="str">
        <f>HYPERLINK("http://www.ncbi.nlm.nih.gov/gene/8994","LIMD1")</f>
        <v>LIMD1</v>
      </c>
      <c r="C954">
        <v>8994</v>
      </c>
      <c r="D954" t="s">
        <v>1899</v>
      </c>
      <c r="E954" s="3" t="str">
        <f>HYPERLINK("http://genome.ucsc.edu/cgi-bin/hgTracks?db=hg19&amp;lastVirtModeType=default&amp;lastVirtModeExtraState=&amp;virtModeType=default&amp;virtMode=0&amp;nonVirtPosition=&amp;position=chr3:45594830-45681263","chr3:45594830-45681263")</f>
        <v>chr3:45594830-45681263</v>
      </c>
      <c r="F954" t="s">
        <v>27</v>
      </c>
      <c r="G954">
        <v>0.209524216249451</v>
      </c>
      <c r="H954">
        <v>6.6662049083760999E-2</v>
      </c>
      <c r="I954">
        <v>3.1430809452944302</v>
      </c>
      <c r="J954">
        <v>1.67179602060596E-3</v>
      </c>
      <c r="K954">
        <v>2.4705830416584199E-2</v>
      </c>
      <c r="L954" t="s">
        <v>23</v>
      </c>
      <c r="M954" t="s">
        <v>24</v>
      </c>
      <c r="N954">
        <v>1597.4233534797199</v>
      </c>
      <c r="O954">
        <v>1469.90169619835</v>
      </c>
      <c r="P954">
        <v>1724.9450107610901</v>
      </c>
      <c r="Q954">
        <v>1491.42569327042</v>
      </c>
      <c r="R954">
        <v>1448.37769912628</v>
      </c>
      <c r="S954">
        <v>1791.48551069328</v>
      </c>
      <c r="T954">
        <v>1658.4045108288899</v>
      </c>
    </row>
    <row r="955" spans="1:20" x14ac:dyDescent="0.2">
      <c r="A955" t="s">
        <v>1900</v>
      </c>
      <c r="B955" s="3" t="str">
        <f>HYPERLINK("http://www.ncbi.nlm.nih.gov/gene/64418","TMEM168")</f>
        <v>TMEM168</v>
      </c>
      <c r="C955">
        <v>64418</v>
      </c>
      <c r="D955" t="s">
        <v>1901</v>
      </c>
      <c r="E955" s="3" t="str">
        <f>HYPERLINK("http://genome.ucsc.edu/cgi-bin/hgTracks?db=hg19&amp;lastVirtModeType=default&amp;lastVirtModeExtraState=&amp;virtModeType=default&amp;virtMode=0&amp;nonVirtPosition=&amp;position=chr7:112762381-112790423","chr7:112762381-112790423")</f>
        <v>chr7:112762381-112790423</v>
      </c>
      <c r="F955" t="s">
        <v>22</v>
      </c>
      <c r="G955">
        <v>0.20920728844117301</v>
      </c>
      <c r="H955">
        <v>6.6600638320557903E-2</v>
      </c>
      <c r="I955">
        <v>3.1412204705040501</v>
      </c>
      <c r="J955">
        <v>1.6824532810239201E-3</v>
      </c>
      <c r="K955">
        <v>2.4836560060238998E-2</v>
      </c>
      <c r="L955" t="s">
        <v>23</v>
      </c>
      <c r="M955" t="s">
        <v>24</v>
      </c>
      <c r="N955">
        <v>1456.2747441361801</v>
      </c>
      <c r="O955">
        <v>1341.3744217773999</v>
      </c>
      <c r="P955">
        <v>1571.17506649496</v>
      </c>
      <c r="Q955">
        <v>1335.9541957247</v>
      </c>
      <c r="R955">
        <v>1346.7946478300901</v>
      </c>
      <c r="S955">
        <v>1542.8873010596301</v>
      </c>
      <c r="T955">
        <v>1599.4628319302899</v>
      </c>
    </row>
    <row r="956" spans="1:20" x14ac:dyDescent="0.2">
      <c r="A956" t="s">
        <v>1902</v>
      </c>
      <c r="B956" s="3" t="str">
        <f>HYPERLINK("http://www.ncbi.nlm.nih.gov/gene/5692","PSMB4")</f>
        <v>PSMB4</v>
      </c>
      <c r="C956">
        <v>5692</v>
      </c>
      <c r="D956" t="s">
        <v>1903</v>
      </c>
      <c r="E956" s="3" t="str">
        <f>HYPERLINK("http://genome.ucsc.edu/cgi-bin/hgTracks?db=hg19&amp;lastVirtModeType=default&amp;lastVirtModeExtraState=&amp;virtModeType=default&amp;virtMode=0&amp;nonVirtPosition=&amp;position=chr1:151399564-151401936","chr1:151399564-151401936")</f>
        <v>chr1:151399564-151401936</v>
      </c>
      <c r="F956" t="s">
        <v>27</v>
      </c>
      <c r="G956">
        <v>0.135974833786417</v>
      </c>
      <c r="H956">
        <v>4.3294765749749102E-2</v>
      </c>
      <c r="I956">
        <v>3.1406760478246798</v>
      </c>
      <c r="J956">
        <v>1.6855836682232301E-3</v>
      </c>
      <c r="K956">
        <v>2.48560155118424E-2</v>
      </c>
      <c r="L956" t="s">
        <v>23</v>
      </c>
      <c r="M956" t="s">
        <v>24</v>
      </c>
      <c r="N956">
        <v>8020.0311205683001</v>
      </c>
      <c r="O956">
        <v>7625.98395656702</v>
      </c>
      <c r="P956">
        <v>8414.0782845695794</v>
      </c>
      <c r="Q956">
        <v>7490.1489614060501</v>
      </c>
      <c r="R956">
        <v>7761.8189517279998</v>
      </c>
      <c r="S956">
        <v>8575.6517315290002</v>
      </c>
      <c r="T956">
        <v>8252.5048376101604</v>
      </c>
    </row>
    <row r="957" spans="1:20" x14ac:dyDescent="0.2">
      <c r="A957" t="s">
        <v>1904</v>
      </c>
      <c r="B957" s="3" t="str">
        <f>HYPERLINK("http://www.ncbi.nlm.nih.gov/gene/134147","CMBL")</f>
        <v>CMBL</v>
      </c>
      <c r="C957">
        <v>134147</v>
      </c>
      <c r="D957" t="s">
        <v>1905</v>
      </c>
      <c r="E957" s="3" t="str">
        <f>HYPERLINK("http://genome.ucsc.edu/cgi-bin/hgTracks?db=hg19&amp;lastVirtModeType=default&amp;lastVirtModeExtraState=&amp;virtModeType=default&amp;virtMode=0&amp;nonVirtPosition=&amp;position=chr5:10277594-10308056","chr5:10277594-10308056")</f>
        <v>chr5:10277594-10308056</v>
      </c>
      <c r="F957" t="s">
        <v>22</v>
      </c>
      <c r="G957">
        <v>-0.21072805154261201</v>
      </c>
      <c r="H957">
        <v>6.7114511264418697E-2</v>
      </c>
      <c r="I957">
        <v>-3.1398284450345302</v>
      </c>
      <c r="J957">
        <v>1.6904679827091399E-3</v>
      </c>
      <c r="K957">
        <v>2.4879434487228302E-2</v>
      </c>
      <c r="L957" t="s">
        <v>23</v>
      </c>
      <c r="M957" t="s">
        <v>24</v>
      </c>
      <c r="N957">
        <v>1465.9702990818901</v>
      </c>
      <c r="O957">
        <v>1584.30294498393</v>
      </c>
      <c r="P957">
        <v>1347.6376531798601</v>
      </c>
      <c r="Q957">
        <v>1594.6147403140401</v>
      </c>
      <c r="R957">
        <v>1573.99114965382</v>
      </c>
      <c r="S957">
        <v>1306.1271014085301</v>
      </c>
      <c r="T957">
        <v>1389.1482049511801</v>
      </c>
    </row>
    <row r="958" spans="1:20" x14ac:dyDescent="0.2">
      <c r="A958" t="s">
        <v>1906</v>
      </c>
      <c r="B958" s="3" t="str">
        <f>HYPERLINK("http://www.ncbi.nlm.nih.gov/gene/1305","COL13A1")</f>
        <v>COL13A1</v>
      </c>
      <c r="C958">
        <v>1305</v>
      </c>
      <c r="D958" t="s">
        <v>1907</v>
      </c>
      <c r="E958" s="3" t="str">
        <f>HYPERLINK("http://genome.ucsc.edu/cgi-bin/hgTracks?db=hg19&amp;lastVirtModeType=default&amp;lastVirtModeExtraState=&amp;virtModeType=default&amp;virtMode=0&amp;nonVirtPosition=&amp;position=chr10:69801887-69959148","chr10:69801887-69959148")</f>
        <v>chr10:69801887-69959148</v>
      </c>
      <c r="F958" t="s">
        <v>27</v>
      </c>
      <c r="G958">
        <v>-0.35695333649056699</v>
      </c>
      <c r="H958">
        <v>0.113687701818159</v>
      </c>
      <c r="I958">
        <v>-3.13977088798493</v>
      </c>
      <c r="J958">
        <v>1.6908001270305401E-3</v>
      </c>
      <c r="K958">
        <v>2.4879434487228302E-2</v>
      </c>
      <c r="L958" t="s">
        <v>23</v>
      </c>
      <c r="M958" t="s">
        <v>24</v>
      </c>
      <c r="N958">
        <v>213.40867959408101</v>
      </c>
      <c r="O958">
        <v>253.85143194805701</v>
      </c>
      <c r="P958">
        <v>172.965927240105</v>
      </c>
      <c r="Q958">
        <v>258.66054458933399</v>
      </c>
      <c r="R958">
        <v>249.042319306781</v>
      </c>
      <c r="S958">
        <v>182.50265389771801</v>
      </c>
      <c r="T958">
        <v>163.429200582492</v>
      </c>
    </row>
    <row r="959" spans="1:20" x14ac:dyDescent="0.2">
      <c r="A959" t="s">
        <v>1908</v>
      </c>
      <c r="B959" s="3" t="str">
        <f>HYPERLINK("http://www.ncbi.nlm.nih.gov/gene/23336","SYNM")</f>
        <v>SYNM</v>
      </c>
      <c r="C959">
        <v>23336</v>
      </c>
      <c r="D959" t="s">
        <v>1909</v>
      </c>
      <c r="E959" s="3" t="str">
        <f>HYPERLINK("http://genome.ucsc.edu/cgi-bin/hgTracks?db=hg19&amp;lastVirtModeType=default&amp;lastVirtModeExtraState=&amp;virtModeType=default&amp;virtMode=0&amp;nonVirtPosition=&amp;position=chr15:99105079-99135595","chr15:99105079-99135595")</f>
        <v>chr15:99105079-99135595</v>
      </c>
      <c r="F959" t="s">
        <v>27</v>
      </c>
      <c r="G959">
        <v>-0.281252190542293</v>
      </c>
      <c r="H959">
        <v>8.9632961576697298E-2</v>
      </c>
      <c r="I959">
        <v>-3.1378210157836901</v>
      </c>
      <c r="J959">
        <v>1.7020877763507399E-3</v>
      </c>
      <c r="K959">
        <v>2.50124671306216E-2</v>
      </c>
      <c r="L959" t="s">
        <v>23</v>
      </c>
      <c r="M959" t="s">
        <v>24</v>
      </c>
      <c r="N959">
        <v>650.67080650972605</v>
      </c>
      <c r="O959">
        <v>728.276302046826</v>
      </c>
      <c r="P959">
        <v>573.065310972627</v>
      </c>
      <c r="Q959">
        <v>749.84040851695397</v>
      </c>
      <c r="R959">
        <v>706.71219557669804</v>
      </c>
      <c r="S959">
        <v>538.62945420623896</v>
      </c>
      <c r="T959">
        <v>607.50116773901595</v>
      </c>
    </row>
    <row r="960" spans="1:20" x14ac:dyDescent="0.2">
      <c r="A960" t="s">
        <v>1910</v>
      </c>
      <c r="B960" s="3" t="str">
        <f>HYPERLINK("http://www.ncbi.nlm.nih.gov/gene/63901","FAM111A")</f>
        <v>FAM111A</v>
      </c>
      <c r="C960">
        <v>63901</v>
      </c>
      <c r="D960" t="s">
        <v>1911</v>
      </c>
      <c r="E960" s="3" t="str">
        <f>HYPERLINK("http://genome.ucsc.edu/cgi-bin/hgTracks?db=hg19&amp;lastVirtModeType=default&amp;lastVirtModeExtraState=&amp;virtModeType=default&amp;virtMode=0&amp;nonVirtPosition=&amp;position=chr11:59144778-59155038","chr11:59144778-59155038")</f>
        <v>chr11:59144778-59155038</v>
      </c>
      <c r="F960" t="s">
        <v>27</v>
      </c>
      <c r="G960">
        <v>-0.24499269472826199</v>
      </c>
      <c r="H960">
        <v>7.8083333999314899E-2</v>
      </c>
      <c r="I960">
        <v>-3.1375798416908198</v>
      </c>
      <c r="J960">
        <v>1.7034887195567E-3</v>
      </c>
      <c r="K960">
        <v>2.50124671306216E-2</v>
      </c>
      <c r="L960" t="s">
        <v>23</v>
      </c>
      <c r="M960" t="s">
        <v>24</v>
      </c>
      <c r="N960">
        <v>912.553981654886</v>
      </c>
      <c r="O960">
        <v>1000.9014026060401</v>
      </c>
      <c r="P960">
        <v>824.20656070373605</v>
      </c>
      <c r="Q960">
        <v>1026.3870545938501</v>
      </c>
      <c r="R960">
        <v>975.41575061822402</v>
      </c>
      <c r="S960">
        <v>832.60670210634703</v>
      </c>
      <c r="T960">
        <v>815.80641930112597</v>
      </c>
    </row>
    <row r="961" spans="1:20" x14ac:dyDescent="0.2">
      <c r="A961" t="s">
        <v>1912</v>
      </c>
      <c r="B961" s="3" t="str">
        <f>HYPERLINK("http://www.ncbi.nlm.nih.gov/gene/5754","PTK7")</f>
        <v>PTK7</v>
      </c>
      <c r="C961">
        <v>5754</v>
      </c>
      <c r="D961" t="s">
        <v>1913</v>
      </c>
      <c r="E961" s="3" t="str">
        <f>HYPERLINK("http://genome.ucsc.edu/cgi-bin/hgTracks?db=hg19&amp;lastVirtModeType=default&amp;lastVirtModeExtraState=&amp;virtModeType=default&amp;virtMode=0&amp;nonVirtPosition=&amp;position=chr6:43076267-43161720","chr6:43076267-43161720")</f>
        <v>chr6:43076267-43161720</v>
      </c>
      <c r="F961" t="s">
        <v>27</v>
      </c>
      <c r="G961">
        <v>-0.14995241497769901</v>
      </c>
      <c r="H961">
        <v>4.7831198149112901E-2</v>
      </c>
      <c r="I961">
        <v>-3.1350336345375398</v>
      </c>
      <c r="J961">
        <v>1.7183440862967899E-3</v>
      </c>
      <c r="K961">
        <v>2.5203605133127499E-2</v>
      </c>
      <c r="L961" t="s">
        <v>23</v>
      </c>
      <c r="M961" t="s">
        <v>24</v>
      </c>
      <c r="N961">
        <v>7466.61662799649</v>
      </c>
      <c r="O961">
        <v>7873.5232448850302</v>
      </c>
      <c r="P961">
        <v>7059.7100111079599</v>
      </c>
      <c r="Q961">
        <v>7740.5543822318896</v>
      </c>
      <c r="R961">
        <v>8006.4921075381699</v>
      </c>
      <c r="S961">
        <v>6764.4362041981303</v>
      </c>
      <c r="T961">
        <v>7354.9838180177803</v>
      </c>
    </row>
    <row r="962" spans="1:20" x14ac:dyDescent="0.2">
      <c r="A962" t="s">
        <v>1914</v>
      </c>
      <c r="B962" s="3" t="str">
        <f>HYPERLINK("http://www.ncbi.nlm.nih.gov/gene/81","ACTN4")</f>
        <v>ACTN4</v>
      </c>
      <c r="C962">
        <v>81</v>
      </c>
      <c r="D962" t="s">
        <v>1915</v>
      </c>
      <c r="E962" s="3" t="str">
        <f>HYPERLINK("http://genome.ucsc.edu/cgi-bin/hgTracks?db=hg19&amp;lastVirtModeType=default&amp;lastVirtModeExtraState=&amp;virtModeType=default&amp;virtMode=0&amp;nonVirtPosition=&amp;position=chr19:38647615-38730532","chr19:38647615-38730532")</f>
        <v>chr19:38647615-38730532</v>
      </c>
      <c r="F962" t="s">
        <v>27</v>
      </c>
      <c r="G962">
        <v>-0.15328118796776799</v>
      </c>
      <c r="H962">
        <v>4.8905327385337802E-2</v>
      </c>
      <c r="I962">
        <v>-3.13424316250918</v>
      </c>
      <c r="J962">
        <v>1.7229801246746799E-3</v>
      </c>
      <c r="K962">
        <v>2.52293023084862E-2</v>
      </c>
      <c r="L962" t="s">
        <v>23</v>
      </c>
      <c r="M962" t="s">
        <v>24</v>
      </c>
      <c r="N962">
        <v>27780.5105725719</v>
      </c>
      <c r="O962">
        <v>29326.628801179599</v>
      </c>
      <c r="P962">
        <v>26234.3923439641</v>
      </c>
      <c r="Q962">
        <v>29077.297602930801</v>
      </c>
      <c r="R962">
        <v>29575.959999428502</v>
      </c>
      <c r="S962">
        <v>24851.928956709799</v>
      </c>
      <c r="T962">
        <v>27616.855731218398</v>
      </c>
    </row>
    <row r="963" spans="1:20" x14ac:dyDescent="0.2">
      <c r="A963" t="s">
        <v>1916</v>
      </c>
      <c r="B963" s="3" t="str">
        <f>HYPERLINK("http://www.ncbi.nlm.nih.gov/gene/3014","H2AFX")</f>
        <v>H2AFX</v>
      </c>
      <c r="C963">
        <v>3014</v>
      </c>
      <c r="D963" t="s">
        <v>1917</v>
      </c>
      <c r="E963" s="3" t="str">
        <f>HYPERLINK("http://genome.ucsc.edu/cgi-bin/hgTracks?db=hg19&amp;lastVirtModeType=default&amp;lastVirtModeExtraState=&amp;virtModeType=default&amp;virtMode=0&amp;nonVirtPosition=&amp;position=chr11:119093874-119095467","chr11:119093874-119095467")</f>
        <v>chr11:119093874-119095467</v>
      </c>
      <c r="F963" t="s">
        <v>22</v>
      </c>
      <c r="G963">
        <v>-0.26531900633794497</v>
      </c>
      <c r="H963">
        <v>8.4659308097607106E-2</v>
      </c>
      <c r="I963">
        <v>-3.1339614308216199</v>
      </c>
      <c r="J963">
        <v>1.72463523096248E-3</v>
      </c>
      <c r="K963">
        <v>2.52293023084862E-2</v>
      </c>
      <c r="L963" t="s">
        <v>23</v>
      </c>
      <c r="M963" t="s">
        <v>24</v>
      </c>
      <c r="N963">
        <v>904.91071733621698</v>
      </c>
      <c r="O963">
        <v>1004.48790265796</v>
      </c>
      <c r="P963">
        <v>805.33353201447198</v>
      </c>
      <c r="Q963">
        <v>1071.79023529304</v>
      </c>
      <c r="R963">
        <v>937.18557002288503</v>
      </c>
      <c r="S963">
        <v>754.67313638786197</v>
      </c>
      <c r="T963">
        <v>855.99392764108302</v>
      </c>
    </row>
    <row r="964" spans="1:20" x14ac:dyDescent="0.2">
      <c r="A964" t="s">
        <v>1918</v>
      </c>
      <c r="B964" s="3" t="str">
        <f>HYPERLINK("http://www.ncbi.nlm.nih.gov/gene/51704","GPRC5B")</f>
        <v>GPRC5B</v>
      </c>
      <c r="C964">
        <v>51704</v>
      </c>
      <c r="D964" t="s">
        <v>1919</v>
      </c>
      <c r="E964" s="3" t="str">
        <f>HYPERLINK("http://genome.ucsc.edu/cgi-bin/hgTracks?db=hg19&amp;lastVirtModeType=default&amp;lastVirtModeExtraState=&amp;virtModeType=default&amp;virtMode=0&amp;nonVirtPosition=&amp;position=chr16:19858970-19884911","chr16:19858970-19884911")</f>
        <v>chr16:19858970-19884911</v>
      </c>
      <c r="F964" t="s">
        <v>22</v>
      </c>
      <c r="G964">
        <v>-0.34149449061978498</v>
      </c>
      <c r="H964">
        <v>0.108971556031893</v>
      </c>
      <c r="I964">
        <v>-3.13379475392495</v>
      </c>
      <c r="J964">
        <v>1.72561510612221E-3</v>
      </c>
      <c r="K964">
        <v>2.52293023084862E-2</v>
      </c>
      <c r="L964" t="s">
        <v>23</v>
      </c>
      <c r="M964" t="s">
        <v>24</v>
      </c>
      <c r="N964">
        <v>51.297756422812697</v>
      </c>
      <c r="O964">
        <v>70.541767933224193</v>
      </c>
      <c r="P964">
        <v>32.0537449124012</v>
      </c>
      <c r="Q964">
        <v>59.1617203050073</v>
      </c>
      <c r="R964">
        <v>81.921815561440994</v>
      </c>
      <c r="S964">
        <v>28.608524124507198</v>
      </c>
      <c r="T964">
        <v>35.498965700295301</v>
      </c>
    </row>
    <row r="965" spans="1:20" x14ac:dyDescent="0.2">
      <c r="A965" t="s">
        <v>1920</v>
      </c>
      <c r="B965" s="3" t="str">
        <f>HYPERLINK("http://www.ncbi.nlm.nih.gov/gene/159090","FAM122B")</f>
        <v>FAM122B</v>
      </c>
      <c r="C965">
        <v>159090</v>
      </c>
      <c r="D965" t="s">
        <v>1921</v>
      </c>
      <c r="E965" s="3" t="str">
        <f>HYPERLINK("http://genome.ucsc.edu/cgi-bin/hgTracks?db=hg19&amp;lastVirtModeType=default&amp;lastVirtModeExtraState=&amp;virtModeType=default&amp;virtMode=0&amp;nonVirtPosition=&amp;position=chrX:134769565-134796355","chrX:134769565-134796355")</f>
        <v>chrX:134769565-134796355</v>
      </c>
      <c r="F965" t="s">
        <v>22</v>
      </c>
      <c r="G965">
        <v>-0.245255449491493</v>
      </c>
      <c r="H965">
        <v>7.8359883474964004E-2</v>
      </c>
      <c r="I965">
        <v>-3.1298598034522702</v>
      </c>
      <c r="J965">
        <v>1.74889748615629E-3</v>
      </c>
      <c r="K965">
        <v>2.55424708468023E-2</v>
      </c>
      <c r="L965" t="s">
        <v>23</v>
      </c>
      <c r="M965" t="s">
        <v>24</v>
      </c>
      <c r="N965">
        <v>1289.3791309944099</v>
      </c>
      <c r="O965">
        <v>1413.20239081407</v>
      </c>
      <c r="P965">
        <v>1165.5558711747501</v>
      </c>
      <c r="Q965">
        <v>1481.7947155463501</v>
      </c>
      <c r="R965">
        <v>1344.6100660817899</v>
      </c>
      <c r="S965">
        <v>1258.7750614783199</v>
      </c>
      <c r="T965">
        <v>1072.3366808711801</v>
      </c>
    </row>
    <row r="966" spans="1:20" x14ac:dyDescent="0.2">
      <c r="A966" t="s">
        <v>1922</v>
      </c>
      <c r="B966" s="3" t="str">
        <f>HYPERLINK("http://www.ncbi.nlm.nih.gov/gene/56952","PRTFDC1")</f>
        <v>PRTFDC1</v>
      </c>
      <c r="C966">
        <v>56952</v>
      </c>
      <c r="D966" t="s">
        <v>1923</v>
      </c>
      <c r="E966" s="3" t="str">
        <f>HYPERLINK("http://genome.ucsc.edu/cgi-bin/hgTracks?db=hg19&amp;lastVirtModeType=default&amp;lastVirtModeExtraState=&amp;virtModeType=default&amp;virtMode=0&amp;nonVirtPosition=&amp;position=chr10:24848606-24952644","chr10:24848606-24952644")</f>
        <v>chr10:24848606-24952644</v>
      </c>
      <c r="F966" t="s">
        <v>22</v>
      </c>
      <c r="G966">
        <v>-0.32646484311370799</v>
      </c>
      <c r="H966">
        <v>0.10441881494848</v>
      </c>
      <c r="I966">
        <v>-3.12649442798967</v>
      </c>
      <c r="J966">
        <v>1.7690385674407399E-3</v>
      </c>
      <c r="K966">
        <v>2.5809143525406801E-2</v>
      </c>
      <c r="L966" t="s">
        <v>23</v>
      </c>
      <c r="M966" t="s">
        <v>24</v>
      </c>
      <c r="N966">
        <v>351.57937903590403</v>
      </c>
      <c r="O966">
        <v>405.521538476773</v>
      </c>
      <c r="P966">
        <v>297.63721959503403</v>
      </c>
      <c r="Q966">
        <v>432.018143622612</v>
      </c>
      <c r="R966">
        <v>379.024933330934</v>
      </c>
      <c r="S966">
        <v>299.89625289138598</v>
      </c>
      <c r="T966">
        <v>295.37818629868298</v>
      </c>
    </row>
    <row r="967" spans="1:20" x14ac:dyDescent="0.2">
      <c r="A967" t="s">
        <v>1924</v>
      </c>
      <c r="B967" s="3" t="str">
        <f>HYPERLINK("http://www.ncbi.nlm.nih.gov/gene/54331","GNG2")</f>
        <v>GNG2</v>
      </c>
      <c r="C967">
        <v>54331</v>
      </c>
      <c r="D967" t="s">
        <v>1925</v>
      </c>
      <c r="E967" s="3" t="str">
        <f>HYPERLINK("http://genome.ucsc.edu/cgi-bin/hgTracks?db=hg19&amp;lastVirtModeType=default&amp;lastVirtModeExtraState=&amp;virtModeType=default&amp;virtMode=0&amp;nonVirtPosition=&amp;position=chr14:51860303-51969800","chr14:51860303-51969800")</f>
        <v>chr14:51860303-51969800</v>
      </c>
      <c r="F967" t="s">
        <v>27</v>
      </c>
      <c r="G967">
        <v>-0.27036489765428701</v>
      </c>
      <c r="H967">
        <v>8.6631183709698606E-2</v>
      </c>
      <c r="I967">
        <v>-3.1208727166914998</v>
      </c>
      <c r="J967">
        <v>1.8031595338872199E-3</v>
      </c>
      <c r="K967">
        <v>2.6278990273888799E-2</v>
      </c>
      <c r="L967" t="s">
        <v>23</v>
      </c>
      <c r="M967" t="s">
        <v>24</v>
      </c>
      <c r="N967">
        <v>684.24974409540903</v>
      </c>
      <c r="O967">
        <v>759.58525136769299</v>
      </c>
      <c r="P967">
        <v>608.91423682312404</v>
      </c>
      <c r="Q967">
        <v>725.07503722648505</v>
      </c>
      <c r="R967">
        <v>794.09546550890104</v>
      </c>
      <c r="S967">
        <v>609.65751410156702</v>
      </c>
      <c r="T967">
        <v>608.17095954468198</v>
      </c>
    </row>
    <row r="968" spans="1:20" x14ac:dyDescent="0.2">
      <c r="A968" t="s">
        <v>1926</v>
      </c>
      <c r="B968" s="3" t="str">
        <f>HYPERLINK("http://www.ncbi.nlm.nih.gov/gene/338773","TMEM119")</f>
        <v>TMEM119</v>
      </c>
      <c r="C968">
        <v>338773</v>
      </c>
      <c r="D968" t="s">
        <v>1927</v>
      </c>
      <c r="E968" s="3" t="str">
        <f>HYPERLINK("http://genome.ucsc.edu/cgi-bin/hgTracks?db=hg19&amp;lastVirtModeType=default&amp;lastVirtModeExtraState=&amp;virtModeType=default&amp;virtMode=0&amp;nonVirtPosition=&amp;position=chr12:108589845-108598118","chr12:108589845-108598118")</f>
        <v>chr12:108589845-108598118</v>
      </c>
      <c r="F968" t="s">
        <v>22</v>
      </c>
      <c r="G968">
        <v>-0.28138258520219001</v>
      </c>
      <c r="H968">
        <v>9.0266067537717307E-2</v>
      </c>
      <c r="I968">
        <v>-3.1172576016410098</v>
      </c>
      <c r="J968">
        <v>1.8254199185650101E-3</v>
      </c>
      <c r="K968">
        <v>2.6575168538429499E-2</v>
      </c>
      <c r="L968" t="s">
        <v>23</v>
      </c>
      <c r="M968" t="s">
        <v>24</v>
      </c>
      <c r="N968">
        <v>689.10402759660894</v>
      </c>
      <c r="O968">
        <v>771.46375304741503</v>
      </c>
      <c r="P968">
        <v>606.74430214580298</v>
      </c>
      <c r="Q968">
        <v>760.84724020160604</v>
      </c>
      <c r="R968">
        <v>782.08026589322401</v>
      </c>
      <c r="S968">
        <v>554.41346751631102</v>
      </c>
      <c r="T968">
        <v>659.07513677529403</v>
      </c>
    </row>
    <row r="969" spans="1:20" x14ac:dyDescent="0.2">
      <c r="A969" t="s">
        <v>1928</v>
      </c>
      <c r="B969" s="3" t="str">
        <f>HYPERLINK("http://www.ncbi.nlm.nih.gov/gene/6919","TCEA2")</f>
        <v>TCEA2</v>
      </c>
      <c r="C969">
        <v>6919</v>
      </c>
      <c r="D969" t="s">
        <v>1929</v>
      </c>
      <c r="E969" s="3" t="str">
        <f>HYPERLINK("http://genome.ucsc.edu/cgi-bin/hgTracks?db=hg19&amp;lastVirtModeType=default&amp;lastVirtModeExtraState=&amp;virtModeType=default&amp;virtMode=0&amp;nonVirtPosition=&amp;position=chr20:64057085-64072347","chr20:64057085-64072347")</f>
        <v>chr20:64057085-64072347</v>
      </c>
      <c r="F969" t="s">
        <v>27</v>
      </c>
      <c r="G969">
        <v>0.258025309712268</v>
      </c>
      <c r="H969">
        <v>8.2804091878841898E-2</v>
      </c>
      <c r="I969">
        <v>3.11609370814437</v>
      </c>
      <c r="J969">
        <v>1.8326402560628399E-3</v>
      </c>
      <c r="K969">
        <v>2.6651992016591498E-2</v>
      </c>
      <c r="L969" t="s">
        <v>23</v>
      </c>
      <c r="M969" t="s">
        <v>24</v>
      </c>
      <c r="N969">
        <v>785.68357954194903</v>
      </c>
      <c r="O969">
        <v>703.69467377113597</v>
      </c>
      <c r="P969">
        <v>867.672485312763</v>
      </c>
      <c r="Q969">
        <v>712.69235158125105</v>
      </c>
      <c r="R969">
        <v>694.69699596101998</v>
      </c>
      <c r="S969">
        <v>894.75625451475901</v>
      </c>
      <c r="T969">
        <v>840.58871611076597</v>
      </c>
    </row>
    <row r="970" spans="1:20" x14ac:dyDescent="0.2">
      <c r="A970" t="s">
        <v>1930</v>
      </c>
      <c r="B970" s="3" t="str">
        <f>HYPERLINK("http://www.ncbi.nlm.nih.gov/gene/9821","RB1CC1")</f>
        <v>RB1CC1</v>
      </c>
      <c r="C970">
        <v>9821</v>
      </c>
      <c r="D970" t="s">
        <v>1931</v>
      </c>
      <c r="E970" s="3" t="str">
        <f>HYPERLINK("http://genome.ucsc.edu/cgi-bin/hgTracks?db=hg19&amp;lastVirtModeType=default&amp;lastVirtModeExtraState=&amp;virtModeType=default&amp;virtMode=0&amp;nonVirtPosition=&amp;position=chr8:52622457-52714466","chr8:52622457-52714466")</f>
        <v>chr8:52622457-52714466</v>
      </c>
      <c r="F970" t="s">
        <v>22</v>
      </c>
      <c r="G970">
        <v>0.16642606322874301</v>
      </c>
      <c r="H970">
        <v>5.3415434116177003E-2</v>
      </c>
      <c r="I970">
        <v>3.1156924207855501</v>
      </c>
      <c r="J970">
        <v>1.83513576249491E-3</v>
      </c>
      <c r="K970">
        <v>2.66600125496348E-2</v>
      </c>
      <c r="L970" t="s">
        <v>23</v>
      </c>
      <c r="M970" t="s">
        <v>24</v>
      </c>
      <c r="N970">
        <v>3110.7295466283399</v>
      </c>
      <c r="O970">
        <v>2921.1352737712</v>
      </c>
      <c r="P970">
        <v>3300.3238194854798</v>
      </c>
      <c r="Q970">
        <v>2849.39355236442</v>
      </c>
      <c r="R970">
        <v>2992.87699517798</v>
      </c>
      <c r="S970">
        <v>3241.6417335562301</v>
      </c>
      <c r="T970">
        <v>3359.00590541473</v>
      </c>
    </row>
    <row r="971" spans="1:20" x14ac:dyDescent="0.2">
      <c r="A971" t="s">
        <v>1932</v>
      </c>
      <c r="B971" s="3" t="str">
        <f>HYPERLINK("http://www.ncbi.nlm.nih.gov/gene/9037","SEMA5A")</f>
        <v>SEMA5A</v>
      </c>
      <c r="C971">
        <v>9037</v>
      </c>
      <c r="D971" t="s">
        <v>1933</v>
      </c>
      <c r="E971" s="3" t="str">
        <f>HYPERLINK("http://genome.ucsc.edu/cgi-bin/hgTracks?db=hg19&amp;lastVirtModeType=default&amp;lastVirtModeExtraState=&amp;virtModeType=default&amp;virtMode=0&amp;nonVirtPosition=&amp;position=chr5:9035025-9546121","chr5:9035025-9546121")</f>
        <v>chr5:9035025-9546121</v>
      </c>
      <c r="F971" t="s">
        <v>22</v>
      </c>
      <c r="G971">
        <v>-0.259437921459096</v>
      </c>
      <c r="H971">
        <v>8.3334270015585202E-2</v>
      </c>
      <c r="I971">
        <v>-3.1132200643333801</v>
      </c>
      <c r="J971">
        <v>1.85057973848481E-3</v>
      </c>
      <c r="K971">
        <v>2.68559264905615E-2</v>
      </c>
      <c r="L971" t="s">
        <v>23</v>
      </c>
      <c r="M971" t="s">
        <v>24</v>
      </c>
      <c r="N971">
        <v>1080.0385225073101</v>
      </c>
      <c r="O971">
        <v>1194.4149004318101</v>
      </c>
      <c r="P971">
        <v>965.66214458280501</v>
      </c>
      <c r="Q971">
        <v>1144.7104952038601</v>
      </c>
      <c r="R971">
        <v>1244.1193056597499</v>
      </c>
      <c r="S971">
        <v>873.05323621340904</v>
      </c>
      <c r="T971">
        <v>1058.2710529522001</v>
      </c>
    </row>
    <row r="972" spans="1:20" x14ac:dyDescent="0.2">
      <c r="A972" t="s">
        <v>1934</v>
      </c>
      <c r="B972" s="3" t="str">
        <f>HYPERLINK("http://www.ncbi.nlm.nih.gov/gene/10419","PRMT5")</f>
        <v>PRMT5</v>
      </c>
      <c r="C972">
        <v>10419</v>
      </c>
      <c r="D972" t="s">
        <v>1935</v>
      </c>
      <c r="E972" s="3" t="str">
        <f>HYPERLINK("http://genome.ucsc.edu/cgi-bin/hgTracks?db=hg19&amp;lastVirtModeType=default&amp;lastVirtModeExtraState=&amp;virtModeType=default&amp;virtMode=0&amp;nonVirtPosition=&amp;position=chr14:22920510-22929585","chr14:22920510-22929585")</f>
        <v>chr14:22920510-22929585</v>
      </c>
      <c r="F972" t="s">
        <v>22</v>
      </c>
      <c r="G972">
        <v>0.203026635788284</v>
      </c>
      <c r="H972">
        <v>6.5225838507774303E-2</v>
      </c>
      <c r="I972">
        <v>3.1126719170361499</v>
      </c>
      <c r="J972">
        <v>1.8540199619397301E-3</v>
      </c>
      <c r="K972">
        <v>2.6877409892221399E-2</v>
      </c>
      <c r="L972" t="s">
        <v>23</v>
      </c>
      <c r="M972" t="s">
        <v>24</v>
      </c>
      <c r="N972">
        <v>1682.0113684558501</v>
      </c>
      <c r="O972">
        <v>1551.80253102401</v>
      </c>
      <c r="P972">
        <v>1812.2202058876901</v>
      </c>
      <c r="Q972">
        <v>1485.92227742809</v>
      </c>
      <c r="R972">
        <v>1617.6827846199201</v>
      </c>
      <c r="S972">
        <v>1824.0400381453001</v>
      </c>
      <c r="T972">
        <v>1800.4003736300699</v>
      </c>
    </row>
    <row r="973" spans="1:20" x14ac:dyDescent="0.2">
      <c r="A973" t="s">
        <v>1936</v>
      </c>
      <c r="B973" s="3" t="str">
        <f>HYPERLINK("http://www.ncbi.nlm.nih.gov/gene/10763","NES")</f>
        <v>NES</v>
      </c>
      <c r="C973">
        <v>10763</v>
      </c>
      <c r="D973" t="s">
        <v>1937</v>
      </c>
      <c r="E973" s="3" t="str">
        <f>HYPERLINK("http://genome.ucsc.edu/cgi-bin/hgTracks?db=hg19&amp;lastVirtModeType=default&amp;lastVirtModeExtraState=&amp;virtModeType=default&amp;virtMode=0&amp;nonVirtPosition=&amp;position=chr1:156668762-156677397","chr1:156668762-156677397")</f>
        <v>chr1:156668762-156677397</v>
      </c>
      <c r="F973" t="s">
        <v>22</v>
      </c>
      <c r="G973">
        <v>-0.21609813696161101</v>
      </c>
      <c r="H973">
        <v>6.9450864858429606E-2</v>
      </c>
      <c r="I973">
        <v>-3.1115254993888302</v>
      </c>
      <c r="J973">
        <v>1.8612339880958E-3</v>
      </c>
      <c r="K973">
        <v>2.6953498323913201E-2</v>
      </c>
      <c r="L973" t="s">
        <v>23</v>
      </c>
      <c r="M973" t="s">
        <v>24</v>
      </c>
      <c r="N973">
        <v>1255.71999679184</v>
      </c>
      <c r="O973">
        <v>1359.07678025018</v>
      </c>
      <c r="P973">
        <v>1152.36321333349</v>
      </c>
      <c r="Q973">
        <v>1359.3437130545899</v>
      </c>
      <c r="R973">
        <v>1358.8098474457699</v>
      </c>
      <c r="S973">
        <v>1164.0709816178801</v>
      </c>
      <c r="T973">
        <v>1140.6554450491101</v>
      </c>
    </row>
    <row r="974" spans="1:20" x14ac:dyDescent="0.2">
      <c r="A974" t="s">
        <v>1938</v>
      </c>
      <c r="B974" s="3" t="str">
        <f>HYPERLINK("http://www.ncbi.nlm.nih.gov/gene/55177","RMDN3")</f>
        <v>RMDN3</v>
      </c>
      <c r="C974">
        <v>55177</v>
      </c>
      <c r="D974" t="s">
        <v>1939</v>
      </c>
      <c r="E974" s="3" t="str">
        <f>HYPERLINK("http://genome.ucsc.edu/cgi-bin/hgTracks?db=hg19&amp;lastVirtModeType=default&amp;lastVirtModeExtraState=&amp;virtModeType=default&amp;virtMode=0&amp;nonVirtPosition=&amp;position=chr15:40735883-40755336","chr15:40735883-40755336")</f>
        <v>chr15:40735883-40755336</v>
      </c>
      <c r="F974" t="s">
        <v>22</v>
      </c>
      <c r="G974">
        <v>0.193359223462513</v>
      </c>
      <c r="H974">
        <v>6.21603106616683E-2</v>
      </c>
      <c r="I974">
        <v>3.1106540717749298</v>
      </c>
      <c r="J974">
        <v>1.8667348340886301E-3</v>
      </c>
      <c r="K974">
        <v>2.7004642947986799E-2</v>
      </c>
      <c r="L974" t="s">
        <v>23</v>
      </c>
      <c r="M974" t="s">
        <v>24</v>
      </c>
      <c r="N974">
        <v>1858.1650090682199</v>
      </c>
      <c r="O974">
        <v>1722.81851594399</v>
      </c>
      <c r="P974">
        <v>1993.51150219244</v>
      </c>
      <c r="Q974">
        <v>1719.81745072696</v>
      </c>
      <c r="R974">
        <v>1725.8195811610201</v>
      </c>
      <c r="S974">
        <v>2047.97572698196</v>
      </c>
      <c r="T974">
        <v>1939.0472774029199</v>
      </c>
    </row>
    <row r="975" spans="1:20" x14ac:dyDescent="0.2">
      <c r="A975" t="s">
        <v>1940</v>
      </c>
      <c r="B975" s="3" t="str">
        <f>HYPERLINK("http://www.ncbi.nlm.nih.gov/gene/4637","MYL6")</f>
        <v>MYL6</v>
      </c>
      <c r="C975">
        <v>4637</v>
      </c>
      <c r="D975" t="s">
        <v>1941</v>
      </c>
      <c r="E975" s="3" t="str">
        <f>HYPERLINK("http://genome.ucsc.edu/cgi-bin/hgTracks?db=hg19&amp;lastVirtModeType=default&amp;lastVirtModeExtraState=&amp;virtModeType=default&amp;virtMode=0&amp;nonVirtPosition=&amp;position=chr12:56158260-56161582","chr12:56158260-56161582")</f>
        <v>chr12:56158260-56161582</v>
      </c>
      <c r="F975" t="s">
        <v>27</v>
      </c>
      <c r="G975">
        <v>-0.13871215733997899</v>
      </c>
      <c r="H975">
        <v>4.4602534177958501E-2</v>
      </c>
      <c r="I975">
        <v>-3.1099613485308999</v>
      </c>
      <c r="J975">
        <v>1.8711182677360601E-3</v>
      </c>
      <c r="K975">
        <v>2.7039532058727399E-2</v>
      </c>
      <c r="L975" t="s">
        <v>23</v>
      </c>
      <c r="M975" t="s">
        <v>24</v>
      </c>
      <c r="N975">
        <v>21319.561225788399</v>
      </c>
      <c r="O975">
        <v>22385.5868305084</v>
      </c>
      <c r="P975">
        <v>20253.5356210684</v>
      </c>
      <c r="Q975">
        <v>22287.458307460802</v>
      </c>
      <c r="R975">
        <v>22483.715353555999</v>
      </c>
      <c r="S975">
        <v>19469.580417975001</v>
      </c>
      <c r="T975">
        <v>21037.4908241618</v>
      </c>
    </row>
    <row r="976" spans="1:20" x14ac:dyDescent="0.2">
      <c r="A976" t="s">
        <v>1942</v>
      </c>
      <c r="B976" s="3" t="str">
        <f>HYPERLINK("http://www.ncbi.nlm.nih.gov/gene/90637","ZFAND2A")</f>
        <v>ZFAND2A</v>
      </c>
      <c r="C976">
        <v>90637</v>
      </c>
      <c r="D976" t="s">
        <v>1943</v>
      </c>
      <c r="E976" s="3" t="str">
        <f>HYPERLINK("http://genome.ucsc.edu/cgi-bin/hgTracks?db=hg19&amp;lastVirtModeType=default&amp;lastVirtModeExtraState=&amp;virtModeType=default&amp;virtMode=0&amp;nonVirtPosition=&amp;position=chr7:1152906-1160219","chr7:1152906-1160219")</f>
        <v>chr7:1152906-1160219</v>
      </c>
      <c r="F976" t="s">
        <v>22</v>
      </c>
      <c r="G976">
        <v>0.28770908568596298</v>
      </c>
      <c r="H976">
        <v>9.2606391095623394E-2</v>
      </c>
      <c r="I976">
        <v>3.1067951388892898</v>
      </c>
      <c r="J976">
        <v>1.8912741277834499E-3</v>
      </c>
      <c r="K976">
        <v>2.7291906165024998E-2</v>
      </c>
      <c r="L976" t="s">
        <v>23</v>
      </c>
      <c r="M976" t="s">
        <v>24</v>
      </c>
      <c r="N976">
        <v>557.42976083825101</v>
      </c>
      <c r="O976">
        <v>489.07097682817698</v>
      </c>
      <c r="P976">
        <v>625.78854484832596</v>
      </c>
      <c r="Q976">
        <v>500.81084165169</v>
      </c>
      <c r="R976">
        <v>477.331112004663</v>
      </c>
      <c r="S976">
        <v>650.10404820862902</v>
      </c>
      <c r="T976">
        <v>601.47304148802198</v>
      </c>
    </row>
    <row r="977" spans="1:20" x14ac:dyDescent="0.2">
      <c r="A977" t="s">
        <v>1944</v>
      </c>
      <c r="B977" s="3" t="str">
        <f>HYPERLINK("http://www.ncbi.nlm.nih.gov/gene/6810","STX4")</f>
        <v>STX4</v>
      </c>
      <c r="C977">
        <v>6810</v>
      </c>
      <c r="D977" t="s">
        <v>1945</v>
      </c>
      <c r="E977" s="3" t="str">
        <f>HYPERLINK("http://genome.ucsc.edu/cgi-bin/hgTracks?db=hg19&amp;lastVirtModeType=default&amp;lastVirtModeExtraState=&amp;virtModeType=default&amp;virtMode=0&amp;nonVirtPosition=&amp;position=chr16:31033094-31040167","chr16:31033094-31040167")</f>
        <v>chr16:31033094-31040167</v>
      </c>
      <c r="F977" t="s">
        <v>27</v>
      </c>
      <c r="G977">
        <v>0.17204771656965001</v>
      </c>
      <c r="H977">
        <v>5.5381465220563399E-2</v>
      </c>
      <c r="I977">
        <v>3.1065938014541401</v>
      </c>
      <c r="J977">
        <v>1.89256254651734E-3</v>
      </c>
      <c r="K977">
        <v>2.7291906165024998E-2</v>
      </c>
      <c r="L977" t="s">
        <v>23</v>
      </c>
      <c r="M977" t="s">
        <v>24</v>
      </c>
      <c r="N977">
        <v>2495.4334606918301</v>
      </c>
      <c r="O977">
        <v>2338.0484424300298</v>
      </c>
      <c r="P977">
        <v>2652.8184789536199</v>
      </c>
      <c r="Q977">
        <v>2363.7171042791301</v>
      </c>
      <c r="R977">
        <v>2312.37978058094</v>
      </c>
      <c r="S977">
        <v>2658.61974191541</v>
      </c>
      <c r="T977">
        <v>2647.0172159918302</v>
      </c>
    </row>
    <row r="978" spans="1:20" x14ac:dyDescent="0.2">
      <c r="A978" t="s">
        <v>1946</v>
      </c>
      <c r="B978" s="3" t="str">
        <f>HYPERLINK("http://www.ncbi.nlm.nih.gov/gene/55859","BEX1")</f>
        <v>BEX1</v>
      </c>
      <c r="C978">
        <v>55859</v>
      </c>
      <c r="D978" t="s">
        <v>1947</v>
      </c>
      <c r="E978" s="3" t="str">
        <f>HYPERLINK("http://genome.ucsc.edu/cgi-bin/hgTracks?db=hg19&amp;lastVirtModeType=default&amp;lastVirtModeExtraState=&amp;virtModeType=default&amp;virtMode=0&amp;nonVirtPosition=&amp;position=chrX:103062652-103064240","chrX:103062652-103064240")</f>
        <v>chrX:103062652-103064240</v>
      </c>
      <c r="F978" t="s">
        <v>22</v>
      </c>
      <c r="G978">
        <v>-0.36165027536093503</v>
      </c>
      <c r="H978">
        <v>0.11644429050753299</v>
      </c>
      <c r="I978">
        <v>-3.10577937127402</v>
      </c>
      <c r="J978">
        <v>1.8977825602617901E-3</v>
      </c>
      <c r="K978">
        <v>2.73168452010027E-2</v>
      </c>
      <c r="L978" t="s">
        <v>23</v>
      </c>
      <c r="M978" t="s">
        <v>24</v>
      </c>
      <c r="N978">
        <v>192.11069631978501</v>
      </c>
      <c r="O978">
        <v>232.71452218107899</v>
      </c>
      <c r="P978">
        <v>151.50687045849</v>
      </c>
      <c r="Q978">
        <v>265.53981439224202</v>
      </c>
      <c r="R978">
        <v>199.88922996991599</v>
      </c>
      <c r="S978">
        <v>148.961625613813</v>
      </c>
      <c r="T978">
        <v>154.05211530316799</v>
      </c>
    </row>
    <row r="979" spans="1:20" x14ac:dyDescent="0.2">
      <c r="A979" t="s">
        <v>1948</v>
      </c>
      <c r="B979" s="3" t="str">
        <f>HYPERLINK("http://www.ncbi.nlm.nih.gov/gene/10678","B3GNT2")</f>
        <v>B3GNT2</v>
      </c>
      <c r="C979">
        <v>10678</v>
      </c>
      <c r="D979" t="s">
        <v>1949</v>
      </c>
      <c r="E979" s="3" t="str">
        <f>HYPERLINK("http://genome.ucsc.edu/cgi-bin/hgTracks?db=hg19&amp;lastVirtModeType=default&amp;lastVirtModeExtraState=&amp;virtModeType=default&amp;virtMode=0&amp;nonVirtPosition=&amp;position=chr2:62196126-62224731","chr2:62196126-62224731")</f>
        <v>chr2:62196126-62224731</v>
      </c>
      <c r="F979" t="s">
        <v>27</v>
      </c>
      <c r="G979">
        <v>0.210416714292122</v>
      </c>
      <c r="H979">
        <v>6.7751728359454796E-2</v>
      </c>
      <c r="I979">
        <v>3.1057025316868998</v>
      </c>
      <c r="J979">
        <v>1.8982757384100599E-3</v>
      </c>
      <c r="K979">
        <v>2.73168452010027E-2</v>
      </c>
      <c r="L979" t="s">
        <v>23</v>
      </c>
      <c r="M979" t="s">
        <v>24</v>
      </c>
      <c r="N979">
        <v>2055.1080531130801</v>
      </c>
      <c r="O979">
        <v>1889.0349091304699</v>
      </c>
      <c r="P979">
        <v>2221.1811970956901</v>
      </c>
      <c r="Q979">
        <v>1912.43700520838</v>
      </c>
      <c r="R979">
        <v>1865.6328130525501</v>
      </c>
      <c r="S979">
        <v>2381.4130081572498</v>
      </c>
      <c r="T979">
        <v>2060.9493860341199</v>
      </c>
    </row>
    <row r="980" spans="1:20" x14ac:dyDescent="0.2">
      <c r="A980" t="s">
        <v>1950</v>
      </c>
      <c r="B980" s="3" t="str">
        <f>HYPERLINK("http://www.ncbi.nlm.nih.gov/gene/23760","PITPNB")</f>
        <v>PITPNB</v>
      </c>
      <c r="C980">
        <v>23760</v>
      </c>
      <c r="D980" t="s">
        <v>1951</v>
      </c>
      <c r="E980" s="3" t="str">
        <f>HYPERLINK("http://genome.ucsc.edu/cgi-bin/hgTracks?db=hg19&amp;lastVirtModeType=default&amp;lastVirtModeExtraState=&amp;virtModeType=default&amp;virtMode=0&amp;nonVirtPosition=&amp;position=chr22:27851668-27919306","chr22:27851668-27919306")</f>
        <v>chr22:27851668-27919306</v>
      </c>
      <c r="F980" t="s">
        <v>22</v>
      </c>
      <c r="G980">
        <v>0.15652843789415899</v>
      </c>
      <c r="H980">
        <v>5.0442428372215999E-2</v>
      </c>
      <c r="I980">
        <v>3.1031106737988901</v>
      </c>
      <c r="J980">
        <v>1.9149801210116401E-3</v>
      </c>
      <c r="K980">
        <v>2.7528341068714601E-2</v>
      </c>
      <c r="L980" t="s">
        <v>23</v>
      </c>
      <c r="M980" t="s">
        <v>24</v>
      </c>
      <c r="N980">
        <v>3479.9737790613999</v>
      </c>
      <c r="O980">
        <v>3283.1959653754702</v>
      </c>
      <c r="P980">
        <v>3676.7515927473301</v>
      </c>
      <c r="Q980">
        <v>3341.94927025262</v>
      </c>
      <c r="R980">
        <v>3224.44266049832</v>
      </c>
      <c r="S980">
        <v>3658.9315854412798</v>
      </c>
      <c r="T980">
        <v>3694.5716000533698</v>
      </c>
    </row>
    <row r="981" spans="1:20" x14ac:dyDescent="0.2">
      <c r="A981" t="s">
        <v>1952</v>
      </c>
      <c r="B981" s="3" t="str">
        <f>HYPERLINK("http://www.ncbi.nlm.nih.gov/gene/57510","XPO5")</f>
        <v>XPO5</v>
      </c>
      <c r="C981">
        <v>57510</v>
      </c>
      <c r="D981" t="s">
        <v>1953</v>
      </c>
      <c r="E981" s="3" t="str">
        <f>HYPERLINK("http://genome.ucsc.edu/cgi-bin/hgTracks?db=hg19&amp;lastVirtModeType=default&amp;lastVirtModeExtraState=&amp;virtModeType=default&amp;virtMode=0&amp;nonVirtPosition=&amp;position=chr6:43522329-43576075","chr6:43522329-43576075")</f>
        <v>chr6:43522329-43576075</v>
      </c>
      <c r="F981" t="s">
        <v>22</v>
      </c>
      <c r="G981">
        <v>0.16343792582434</v>
      </c>
      <c r="H981">
        <v>5.2684855588739102E-2</v>
      </c>
      <c r="I981">
        <v>3.1021803893731001</v>
      </c>
      <c r="J981">
        <v>1.92100859967732E-3</v>
      </c>
      <c r="K981">
        <v>2.7586085796832201E-2</v>
      </c>
      <c r="L981" t="s">
        <v>23</v>
      </c>
      <c r="M981" t="s">
        <v>24</v>
      </c>
      <c r="N981">
        <v>3005.2965925360099</v>
      </c>
      <c r="O981">
        <v>2826.3424857275299</v>
      </c>
      <c r="P981">
        <v>3184.2506993444899</v>
      </c>
      <c r="Q981">
        <v>2803.9903716652302</v>
      </c>
      <c r="R981">
        <v>2848.6945997898401</v>
      </c>
      <c r="S981">
        <v>3136.0861445451101</v>
      </c>
      <c r="T981">
        <v>3232.4152541438698</v>
      </c>
    </row>
    <row r="982" spans="1:20" x14ac:dyDescent="0.2">
      <c r="A982" t="s">
        <v>1954</v>
      </c>
      <c r="B982" s="3" t="str">
        <f>HYPERLINK("http://www.ncbi.nlm.nih.gov/gene/91057","CCDC34")</f>
        <v>CCDC34</v>
      </c>
      <c r="C982">
        <v>91057</v>
      </c>
      <c r="D982" t="s">
        <v>1955</v>
      </c>
      <c r="E982" s="3" t="str">
        <f>HYPERLINK("http://genome.ucsc.edu/cgi-bin/hgTracks?db=hg19&amp;lastVirtModeType=default&amp;lastVirtModeExtraState=&amp;virtModeType=default&amp;virtMode=0&amp;nonVirtPosition=&amp;position=chr11:27348871-27363248","chr11:27348871-27363248")</f>
        <v>chr11:27348871-27363248</v>
      </c>
      <c r="F982" t="s">
        <v>22</v>
      </c>
      <c r="G982">
        <v>-0.27705179806125002</v>
      </c>
      <c r="H982">
        <v>8.9326018427049694E-2</v>
      </c>
      <c r="I982">
        <v>-3.1015800652472998</v>
      </c>
      <c r="J982">
        <v>1.9249080984441501E-3</v>
      </c>
      <c r="K982">
        <v>2.7613169102576399E-2</v>
      </c>
      <c r="L982" t="s">
        <v>23</v>
      </c>
      <c r="M982" t="s">
        <v>24</v>
      </c>
      <c r="N982">
        <v>611.734270255311</v>
      </c>
      <c r="O982">
        <v>681.90163128091399</v>
      </c>
      <c r="P982">
        <v>541.56690922970802</v>
      </c>
      <c r="Q982">
        <v>654.90648523682501</v>
      </c>
      <c r="R982">
        <v>708.89677732500297</v>
      </c>
      <c r="S982">
        <v>540.60245586999804</v>
      </c>
      <c r="T982">
        <v>542.53136258941902</v>
      </c>
    </row>
    <row r="983" spans="1:20" x14ac:dyDescent="0.2">
      <c r="A983" t="s">
        <v>1956</v>
      </c>
      <c r="B983" s="3" t="str">
        <f>HYPERLINK("http://www.ncbi.nlm.nih.gov/gene/101927751","LOC101927751")</f>
        <v>LOC101927751</v>
      </c>
      <c r="C983">
        <v>101927751</v>
      </c>
      <c r="D983" t="s">
        <v>1957</v>
      </c>
      <c r="E983" s="3" t="str">
        <f>HYPERLINK("http://genome.ucsc.edu/cgi-bin/hgTracks?db=hg19&amp;lastVirtModeType=default&amp;lastVirtModeExtraState=&amp;virtModeType=default&amp;virtMode=0&amp;nonVirtPosition=&amp;position=chr15:100913203-100919283","chr15:100913203-100919283")</f>
        <v>chr15:100913203-100919283</v>
      </c>
      <c r="F983" t="s">
        <v>22</v>
      </c>
      <c r="G983">
        <v>-0.36635228104394602</v>
      </c>
      <c r="H983">
        <v>0.118214166993155</v>
      </c>
      <c r="I983">
        <v>-3.0990556408112901</v>
      </c>
      <c r="J983">
        <v>1.9413855670517E-3</v>
      </c>
      <c r="K983">
        <v>2.7820440612901801E-2</v>
      </c>
      <c r="L983" t="s">
        <v>23</v>
      </c>
      <c r="M983" t="s">
        <v>24</v>
      </c>
      <c r="N983">
        <v>141.494952349199</v>
      </c>
      <c r="O983">
        <v>174.692137829046</v>
      </c>
      <c r="P983">
        <v>108.297766869353</v>
      </c>
      <c r="Q983">
        <v>195.371262402582</v>
      </c>
      <c r="R983">
        <v>154.01301325550901</v>
      </c>
      <c r="S983">
        <v>113.447595666149</v>
      </c>
      <c r="T983">
        <v>103.147938072556</v>
      </c>
    </row>
    <row r="984" spans="1:20" x14ac:dyDescent="0.2">
      <c r="A984" t="s">
        <v>1958</v>
      </c>
      <c r="B984" s="3" t="str">
        <f>HYPERLINK("http://www.ncbi.nlm.nih.gov/gene/6301","SARS")</f>
        <v>SARS</v>
      </c>
      <c r="C984">
        <v>6301</v>
      </c>
      <c r="D984" t="s">
        <v>1959</v>
      </c>
      <c r="E984" s="3" t="str">
        <f>HYPERLINK("http://genome.ucsc.edu/cgi-bin/hgTracks?db=hg19&amp;lastVirtModeType=default&amp;lastVirtModeExtraState=&amp;virtModeType=default&amp;virtMode=0&amp;nonVirtPosition=&amp;position=chr1:109213892-109238182","chr1:109213892-109238182")</f>
        <v>chr1:109213892-109238182</v>
      </c>
      <c r="F984" t="s">
        <v>27</v>
      </c>
      <c r="G984">
        <v>0.13409086775075499</v>
      </c>
      <c r="H984">
        <v>4.3284699578378903E-2</v>
      </c>
      <c r="I984">
        <v>3.09788144672107</v>
      </c>
      <c r="J984">
        <v>1.94909382946054E-3</v>
      </c>
      <c r="K984">
        <v>2.7901746114010299E-2</v>
      </c>
      <c r="L984" t="s">
        <v>23</v>
      </c>
      <c r="M984" t="s">
        <v>24</v>
      </c>
      <c r="N984">
        <v>5905.7830452616099</v>
      </c>
      <c r="O984">
        <v>5620.9875553688698</v>
      </c>
      <c r="P984">
        <v>6190.57853515436</v>
      </c>
      <c r="Q984">
        <v>5602.47732748814</v>
      </c>
      <c r="R984">
        <v>5639.4977832495997</v>
      </c>
      <c r="S984">
        <v>6227.7797516556502</v>
      </c>
      <c r="T984">
        <v>6153.3773186530698</v>
      </c>
    </row>
    <row r="985" spans="1:20" x14ac:dyDescent="0.2">
      <c r="A985" t="s">
        <v>1960</v>
      </c>
      <c r="B985" s="3" t="str">
        <f>HYPERLINK("http://www.ncbi.nlm.nih.gov/gene/79974","CPED1")</f>
        <v>CPED1</v>
      </c>
      <c r="C985">
        <v>79974</v>
      </c>
      <c r="D985" t="s">
        <v>1961</v>
      </c>
      <c r="E985" s="3" t="str">
        <f>HYPERLINK("http://genome.ucsc.edu/cgi-bin/hgTracks?db=hg19&amp;lastVirtModeType=default&amp;lastVirtModeExtraState=&amp;virtModeType=default&amp;virtMode=0&amp;nonVirtPosition=&amp;position=chr7:120989390-121261918","chr7:120989390-121261918")</f>
        <v>chr7:120989390-121261918</v>
      </c>
      <c r="F985" t="s">
        <v>27</v>
      </c>
      <c r="G985">
        <v>-0.35869711735049298</v>
      </c>
      <c r="H985">
        <v>0.115805120650149</v>
      </c>
      <c r="I985">
        <v>-3.0974201774214101</v>
      </c>
      <c r="J985">
        <v>1.95212961580594E-3</v>
      </c>
      <c r="K985">
        <v>2.7916064182651398E-2</v>
      </c>
      <c r="L985" t="s">
        <v>23</v>
      </c>
      <c r="M985" t="s">
        <v>24</v>
      </c>
      <c r="N985">
        <v>189.91190244752499</v>
      </c>
      <c r="O985">
        <v>228.56089595629501</v>
      </c>
      <c r="P985">
        <v>151.262908938755</v>
      </c>
      <c r="Q985">
        <v>214.63321785072401</v>
      </c>
      <c r="R985">
        <v>242.48857406186499</v>
      </c>
      <c r="S985">
        <v>139.09661729501801</v>
      </c>
      <c r="T985">
        <v>163.429200582492</v>
      </c>
    </row>
    <row r="986" spans="1:20" x14ac:dyDescent="0.2">
      <c r="A986" t="s">
        <v>1962</v>
      </c>
      <c r="B986" s="3" t="str">
        <f>HYPERLINK("http://www.ncbi.nlm.nih.gov/gene/481","ATP1B1")</f>
        <v>ATP1B1</v>
      </c>
      <c r="C986">
        <v>481</v>
      </c>
      <c r="D986" t="s">
        <v>1963</v>
      </c>
      <c r="E986" s="3" t="str">
        <f>HYPERLINK("http://genome.ucsc.edu/cgi-bin/hgTracks?db=hg19&amp;lastVirtModeType=default&amp;lastVirtModeExtraState=&amp;virtModeType=default&amp;virtMode=0&amp;nonVirtPosition=&amp;position=chr1:169106708-169132722","chr1:169106708-169132722")</f>
        <v>chr1:169106708-169132722</v>
      </c>
      <c r="F986" t="s">
        <v>27</v>
      </c>
      <c r="G986">
        <v>-0.29787078645138099</v>
      </c>
      <c r="H986">
        <v>9.6177759839061502E-2</v>
      </c>
      <c r="I986">
        <v>-3.09708592661985</v>
      </c>
      <c r="J986">
        <v>1.9543321576284398E-3</v>
      </c>
      <c r="K986">
        <v>2.7918449176787999E-2</v>
      </c>
      <c r="L986" t="s">
        <v>23</v>
      </c>
      <c r="M986" t="s">
        <v>24</v>
      </c>
      <c r="N986">
        <v>484.219730409612</v>
      </c>
      <c r="O986">
        <v>546.90453455817396</v>
      </c>
      <c r="P986">
        <v>421.53492626104901</v>
      </c>
      <c r="Q986">
        <v>521.44865106041402</v>
      </c>
      <c r="R986">
        <v>572.36041805593402</v>
      </c>
      <c r="S986">
        <v>410.384346061896</v>
      </c>
      <c r="T986">
        <v>432.68550646020299</v>
      </c>
    </row>
    <row r="987" spans="1:20" x14ac:dyDescent="0.2">
      <c r="A987" t="s">
        <v>1964</v>
      </c>
      <c r="B987" s="3" t="str">
        <f>HYPERLINK("http://www.ncbi.nlm.nih.gov/gene/3434","IFIT1")</f>
        <v>IFIT1</v>
      </c>
      <c r="C987">
        <v>3434</v>
      </c>
      <c r="D987" t="s">
        <v>1965</v>
      </c>
      <c r="E987" s="3" t="str">
        <f>HYPERLINK("http://genome.ucsc.edu/cgi-bin/hgTracks?db=hg19&amp;lastVirtModeType=default&amp;lastVirtModeExtraState=&amp;virtModeType=default&amp;virtMode=0&amp;nonVirtPosition=&amp;position=chr10:89392545-89406487","chr10:89392545-89406487")</f>
        <v>chr10:89392545-89406487</v>
      </c>
      <c r="F987" t="s">
        <v>27</v>
      </c>
      <c r="G987">
        <v>-0.31757448265905502</v>
      </c>
      <c r="H987">
        <v>0.10263463454649099</v>
      </c>
      <c r="I987">
        <v>-3.0942233492847002</v>
      </c>
      <c r="J987">
        <v>1.97328872478498E-3</v>
      </c>
      <c r="K987">
        <v>2.8159918388867E-2</v>
      </c>
      <c r="L987" t="s">
        <v>23</v>
      </c>
      <c r="M987" t="s">
        <v>24</v>
      </c>
      <c r="N987">
        <v>380.68831934365301</v>
      </c>
      <c r="O987">
        <v>436.89851361224402</v>
      </c>
      <c r="P987">
        <v>324.47812507506302</v>
      </c>
      <c r="Q987">
        <v>460.91107679482502</v>
      </c>
      <c r="R987">
        <v>412.88595042966301</v>
      </c>
      <c r="S987">
        <v>312.72076370581999</v>
      </c>
      <c r="T987">
        <v>336.23548644430599</v>
      </c>
    </row>
    <row r="988" spans="1:20" x14ac:dyDescent="0.2">
      <c r="A988" t="s">
        <v>1966</v>
      </c>
      <c r="B988" s="3" t="str">
        <f>HYPERLINK("http://www.ncbi.nlm.nih.gov/gene/57648","KIAA1522")</f>
        <v>KIAA1522</v>
      </c>
      <c r="C988">
        <v>57648</v>
      </c>
      <c r="D988" t="s">
        <v>1967</v>
      </c>
      <c r="E988" s="3" t="str">
        <f>HYPERLINK("http://genome.ucsc.edu/cgi-bin/hgTracks?db=hg19&amp;lastVirtModeType=default&amp;lastVirtModeExtraState=&amp;virtModeType=default&amp;virtMode=0&amp;nonVirtPosition=&amp;position=chr1:32765633-32774970","chr1:32765633-32774970")</f>
        <v>chr1:32765633-32774970</v>
      </c>
      <c r="F988" t="s">
        <v>27</v>
      </c>
      <c r="G988">
        <v>0.19662989223866201</v>
      </c>
      <c r="H988">
        <v>6.3567895764496105E-2</v>
      </c>
      <c r="I988">
        <v>3.0932263821839898</v>
      </c>
      <c r="J988">
        <v>1.9799303719584701E-3</v>
      </c>
      <c r="K988">
        <v>2.8225327568646999E-2</v>
      </c>
      <c r="L988" t="s">
        <v>23</v>
      </c>
      <c r="M988" t="s">
        <v>24</v>
      </c>
      <c r="N988">
        <v>1889.60463921733</v>
      </c>
      <c r="O988">
        <v>1752.1997359531999</v>
      </c>
      <c r="P988">
        <v>2027.0095424814599</v>
      </c>
      <c r="Q988">
        <v>1798.2411264801101</v>
      </c>
      <c r="R988">
        <v>1706.15834542628</v>
      </c>
      <c r="S988">
        <v>1956.2311496171601</v>
      </c>
      <c r="T988">
        <v>2097.7879353457502</v>
      </c>
    </row>
    <row r="989" spans="1:20" x14ac:dyDescent="0.2">
      <c r="A989" t="s">
        <v>1968</v>
      </c>
      <c r="B989" s="3" t="str">
        <f>HYPERLINK("http://www.ncbi.nlm.nih.gov/gene/9839","ZEB2")</f>
        <v>ZEB2</v>
      </c>
      <c r="C989">
        <v>9839</v>
      </c>
      <c r="D989" t="s">
        <v>1969</v>
      </c>
      <c r="E989" s="3" t="str">
        <f>HYPERLINK("http://genome.ucsc.edu/cgi-bin/hgTracks?db=hg19&amp;lastVirtModeType=default&amp;lastVirtModeExtraState=&amp;virtModeType=default&amp;virtMode=0&amp;nonVirtPosition=&amp;position=chr2:144511384-144520391","chr2:144511384-144520391")</f>
        <v>chr2:144511384-144520391</v>
      </c>
      <c r="F989" t="s">
        <v>22</v>
      </c>
      <c r="G989">
        <v>0.17578814681351801</v>
      </c>
      <c r="H989">
        <v>5.6843928813209099E-2</v>
      </c>
      <c r="I989">
        <v>3.0924700400488399</v>
      </c>
      <c r="J989">
        <v>1.9849826925284501E-3</v>
      </c>
      <c r="K989">
        <v>2.8246498616337899E-2</v>
      </c>
      <c r="L989" t="s">
        <v>23</v>
      </c>
      <c r="M989" t="s">
        <v>24</v>
      </c>
      <c r="N989">
        <v>2516.5398733040802</v>
      </c>
      <c r="O989">
        <v>2351.6709304066499</v>
      </c>
      <c r="P989">
        <v>2681.40881620151</v>
      </c>
      <c r="Q989">
        <v>2283.9175745654002</v>
      </c>
      <c r="R989">
        <v>2419.42428624789</v>
      </c>
      <c r="S989">
        <v>2717.8097918281801</v>
      </c>
      <c r="T989">
        <v>2645.00784057483</v>
      </c>
    </row>
    <row r="990" spans="1:20" x14ac:dyDescent="0.2">
      <c r="A990" t="s">
        <v>1970</v>
      </c>
      <c r="B990" s="3" t="str">
        <f>HYPERLINK("http://www.ncbi.nlm.nih.gov/gene/64123","ADGRL4")</f>
        <v>ADGRL4</v>
      </c>
      <c r="C990">
        <v>64123</v>
      </c>
      <c r="D990" t="s">
        <v>1971</v>
      </c>
      <c r="E990" s="3" t="str">
        <f>HYPERLINK("http://genome.ucsc.edu/cgi-bin/hgTracks?db=hg19&amp;lastVirtModeType=default&amp;lastVirtModeExtraState=&amp;virtModeType=default&amp;virtMode=0&amp;nonVirtPosition=&amp;position=chr1:78889763-79006810","chr1:78889763-79006810")</f>
        <v>chr1:78889763-79006810</v>
      </c>
      <c r="F990" t="s">
        <v>22</v>
      </c>
      <c r="G990">
        <v>-0.14843642891218101</v>
      </c>
      <c r="H990">
        <v>4.8001371090771003E-2</v>
      </c>
      <c r="I990">
        <v>-3.0923372716059898</v>
      </c>
      <c r="J990">
        <v>1.9858707978373399E-3</v>
      </c>
      <c r="K990">
        <v>2.8246498616337899E-2</v>
      </c>
      <c r="L990" t="s">
        <v>23</v>
      </c>
      <c r="M990" t="s">
        <v>24</v>
      </c>
      <c r="N990">
        <v>3887.0565994922699</v>
      </c>
      <c r="O990">
        <v>4095.78338848261</v>
      </c>
      <c r="P990">
        <v>3678.3298105019298</v>
      </c>
      <c r="Q990">
        <v>4109.6757802571401</v>
      </c>
      <c r="R990">
        <v>4081.8909967080699</v>
      </c>
      <c r="S990">
        <v>3687.5401095657899</v>
      </c>
      <c r="T990">
        <v>3669.1195114380698</v>
      </c>
    </row>
    <row r="991" spans="1:20" x14ac:dyDescent="0.2">
      <c r="A991" t="s">
        <v>1972</v>
      </c>
      <c r="B991" s="3" t="str">
        <f>HYPERLINK("http://www.ncbi.nlm.nih.gov/gene/6767","ST13")</f>
        <v>ST13</v>
      </c>
      <c r="C991">
        <v>6767</v>
      </c>
      <c r="D991" t="s">
        <v>1973</v>
      </c>
      <c r="E991" s="3" t="str">
        <f>HYPERLINK("http://genome.ucsc.edu/cgi-bin/hgTracks?db=hg19&amp;lastVirtModeType=default&amp;lastVirtModeExtraState=&amp;virtModeType=default&amp;virtMode=0&amp;nonVirtPosition=&amp;position=chr22:40824534-40857008","chr22:40824534-40857008")</f>
        <v>chr22:40824534-40857008</v>
      </c>
      <c r="F991" t="s">
        <v>22</v>
      </c>
      <c r="G991">
        <v>0.16495721406819899</v>
      </c>
      <c r="H991">
        <v>5.3348305364055701E-2</v>
      </c>
      <c r="I991">
        <v>3.0920797379131302</v>
      </c>
      <c r="J991">
        <v>1.9875945139832402E-3</v>
      </c>
      <c r="K991">
        <v>2.8246498616337899E-2</v>
      </c>
      <c r="L991" t="s">
        <v>23</v>
      </c>
      <c r="M991" t="s">
        <v>24</v>
      </c>
      <c r="N991">
        <v>2807.9885736292599</v>
      </c>
      <c r="O991">
        <v>2637.8759111641498</v>
      </c>
      <c r="P991">
        <v>2978.1012360943701</v>
      </c>
      <c r="Q991">
        <v>2612.7466711443899</v>
      </c>
      <c r="R991">
        <v>2663.0051511839101</v>
      </c>
      <c r="S991">
        <v>2993.0435239225799</v>
      </c>
      <c r="T991">
        <v>2963.1589482661602</v>
      </c>
    </row>
    <row r="992" spans="1:20" x14ac:dyDescent="0.2">
      <c r="A992" t="s">
        <v>1974</v>
      </c>
      <c r="B992" s="3" t="str">
        <f>HYPERLINK("http://www.ncbi.nlm.nih.gov/gene/197370","NSMCE1")</f>
        <v>NSMCE1</v>
      </c>
      <c r="C992">
        <v>197370</v>
      </c>
      <c r="D992" t="s">
        <v>1975</v>
      </c>
      <c r="E992" s="3" t="str">
        <f>HYPERLINK("http://genome.ucsc.edu/cgi-bin/hgTracks?db=hg19&amp;lastVirtModeType=default&amp;lastVirtModeExtraState=&amp;virtModeType=default&amp;virtMode=0&amp;nonVirtPosition=&amp;position=chr16:27224993-27268792","chr16:27224993-27268792")</f>
        <v>chr16:27224993-27268792</v>
      </c>
      <c r="F992" t="s">
        <v>22</v>
      </c>
      <c r="G992">
        <v>0.21830784167553899</v>
      </c>
      <c r="H992">
        <v>7.0643032919204707E-2</v>
      </c>
      <c r="I992">
        <v>3.09029542835767</v>
      </c>
      <c r="J992">
        <v>1.9995749652575302E-3</v>
      </c>
      <c r="K992">
        <v>2.8387340655840299E-2</v>
      </c>
      <c r="L992" t="s">
        <v>23</v>
      </c>
      <c r="M992" t="s">
        <v>24</v>
      </c>
      <c r="N992">
        <v>1284.0554291096601</v>
      </c>
      <c r="O992">
        <v>1175.25784866258</v>
      </c>
      <c r="P992">
        <v>1392.8530095567501</v>
      </c>
      <c r="Q992">
        <v>1133.7036635192101</v>
      </c>
      <c r="R992">
        <v>1216.81203380594</v>
      </c>
      <c r="S992">
        <v>1414.64219291529</v>
      </c>
      <c r="T992">
        <v>1371.0638261982001</v>
      </c>
    </row>
    <row r="993" spans="1:20" x14ac:dyDescent="0.2">
      <c r="A993" t="s">
        <v>1976</v>
      </c>
      <c r="B993" s="3" t="str">
        <f>HYPERLINK("http://www.ncbi.nlm.nih.gov/gene/9935","MAFB")</f>
        <v>MAFB</v>
      </c>
      <c r="C993">
        <v>9935</v>
      </c>
      <c r="D993" t="s">
        <v>1977</v>
      </c>
      <c r="E993" s="3" t="str">
        <f>HYPERLINK("http://genome.ucsc.edu/cgi-bin/hgTracks?db=hg19&amp;lastVirtModeType=default&amp;lastVirtModeExtraState=&amp;virtModeType=default&amp;virtMode=0&amp;nonVirtPosition=&amp;position=chr20:40685847-40689240","chr20:40685847-40689240")</f>
        <v>chr20:40685847-40689240</v>
      </c>
      <c r="F993" t="s">
        <v>22</v>
      </c>
      <c r="G993">
        <v>0.26570751167763201</v>
      </c>
      <c r="H993">
        <v>8.6037968767076506E-2</v>
      </c>
      <c r="I993">
        <v>3.0882587709265898</v>
      </c>
      <c r="J993">
        <v>2.0133307418762399E-3</v>
      </c>
      <c r="K993">
        <v>2.8553069073516801E-2</v>
      </c>
      <c r="L993" t="s">
        <v>23</v>
      </c>
      <c r="M993" t="s">
        <v>24</v>
      </c>
      <c r="N993">
        <v>879.61008279120801</v>
      </c>
      <c r="O993">
        <v>785.91530324077905</v>
      </c>
      <c r="P993">
        <v>973.30486234163902</v>
      </c>
      <c r="Q993">
        <v>826.88823030952096</v>
      </c>
      <c r="R993">
        <v>744.94237617203703</v>
      </c>
      <c r="S993">
        <v>897.71575701039797</v>
      </c>
      <c r="T993">
        <v>1048.8939676728801</v>
      </c>
    </row>
    <row r="994" spans="1:20" x14ac:dyDescent="0.2">
      <c r="A994" t="s">
        <v>1978</v>
      </c>
      <c r="B994" s="3" t="str">
        <f>HYPERLINK("http://www.ncbi.nlm.nih.gov/gene/54821","ERCC6L")</f>
        <v>ERCC6L</v>
      </c>
      <c r="C994">
        <v>54821</v>
      </c>
      <c r="D994" t="s">
        <v>1979</v>
      </c>
      <c r="E994" s="3" t="str">
        <f>HYPERLINK("http://genome.ucsc.edu/cgi-bin/hgTracks?db=hg19&amp;lastVirtModeType=default&amp;lastVirtModeExtraState=&amp;virtModeType=default&amp;virtMode=0&amp;nonVirtPosition=&amp;position=chrX:72204656-72239008","chrX:72204656-72239008")</f>
        <v>chrX:72204656-72239008</v>
      </c>
      <c r="F994" t="s">
        <v>22</v>
      </c>
      <c r="G994">
        <v>-0.33872848584294002</v>
      </c>
      <c r="H994">
        <v>0.10970711305835699</v>
      </c>
      <c r="I994">
        <v>-3.0875708639125201</v>
      </c>
      <c r="J994">
        <v>2.0179965149138201E-3</v>
      </c>
      <c r="K994">
        <v>2.8589673766041501E-2</v>
      </c>
      <c r="L994" t="s">
        <v>23</v>
      </c>
      <c r="M994" t="s">
        <v>24</v>
      </c>
      <c r="N994">
        <v>290.12188591454901</v>
      </c>
      <c r="O994">
        <v>338.18861735140302</v>
      </c>
      <c r="P994">
        <v>242.05515447769599</v>
      </c>
      <c r="Q994">
        <v>319.198118854923</v>
      </c>
      <c r="R994">
        <v>357.179115847883</v>
      </c>
      <c r="S994">
        <v>262.40922127996203</v>
      </c>
      <c r="T994">
        <v>221.70108767542899</v>
      </c>
    </row>
    <row r="995" spans="1:20" x14ac:dyDescent="0.2">
      <c r="A995" t="s">
        <v>1980</v>
      </c>
      <c r="B995" s="3" t="str">
        <f>HYPERLINK("http://www.ncbi.nlm.nih.gov/gene/5874","RAB27B")</f>
        <v>RAB27B</v>
      </c>
      <c r="C995">
        <v>5874</v>
      </c>
      <c r="D995" t="s">
        <v>1981</v>
      </c>
      <c r="E995" s="3" t="str">
        <f>HYPERLINK("http://genome.ucsc.edu/cgi-bin/hgTracks?db=hg19&amp;lastVirtModeType=default&amp;lastVirtModeExtraState=&amp;virtModeType=default&amp;virtMode=0&amp;nonVirtPosition=&amp;position=chr18:54828476-54895516","chr18:54828476-54895516")</f>
        <v>chr18:54828476-54895516</v>
      </c>
      <c r="F995" t="s">
        <v>27</v>
      </c>
      <c r="G995">
        <v>-0.165015762127731</v>
      </c>
      <c r="H995">
        <v>5.34886746871081E-2</v>
      </c>
      <c r="I995">
        <v>-3.0850598391719601</v>
      </c>
      <c r="J995">
        <v>2.0351120386842198E-3</v>
      </c>
      <c r="K995">
        <v>2.88024009272605E-2</v>
      </c>
      <c r="L995" t="s">
        <v>23</v>
      </c>
      <c r="M995" t="s">
        <v>24</v>
      </c>
      <c r="N995">
        <v>4262.1154062264404</v>
      </c>
      <c r="O995">
        <v>4521.9471736686</v>
      </c>
      <c r="P995">
        <v>4002.2836387842799</v>
      </c>
      <c r="Q995">
        <v>4763.2064115333797</v>
      </c>
      <c r="R995">
        <v>4280.6879358038304</v>
      </c>
      <c r="S995">
        <v>3984.47685996153</v>
      </c>
      <c r="T995">
        <v>4020.0904176070298</v>
      </c>
    </row>
    <row r="996" spans="1:20" x14ac:dyDescent="0.2">
      <c r="A996" t="s">
        <v>1982</v>
      </c>
      <c r="B996" s="3" t="str">
        <f>HYPERLINK("http://www.ncbi.nlm.nih.gov/gene/6228","RPS23")</f>
        <v>RPS23</v>
      </c>
      <c r="C996">
        <v>6228</v>
      </c>
      <c r="D996" t="s">
        <v>1983</v>
      </c>
      <c r="E996" s="3" t="str">
        <f>HYPERLINK("http://genome.ucsc.edu/cgi-bin/hgTracks?db=hg19&amp;lastVirtModeType=default&amp;lastVirtModeExtraState=&amp;virtModeType=default&amp;virtMode=0&amp;nonVirtPosition=&amp;position=chr5:82273319-82278416","chr5:82273319-82278416")</f>
        <v>chr5:82273319-82278416</v>
      </c>
      <c r="F996" t="s">
        <v>22</v>
      </c>
      <c r="G996">
        <v>0.16202783012984301</v>
      </c>
      <c r="H996">
        <v>5.2580353462461898E-2</v>
      </c>
      <c r="I996">
        <v>3.0815279749976998</v>
      </c>
      <c r="J996">
        <v>2.0594112408037898E-3</v>
      </c>
      <c r="K996">
        <v>2.9116253357096E-2</v>
      </c>
      <c r="L996" t="s">
        <v>23</v>
      </c>
      <c r="M996" t="s">
        <v>24</v>
      </c>
      <c r="N996">
        <v>3617.4078426067699</v>
      </c>
      <c r="O996">
        <v>3402.8755718237899</v>
      </c>
      <c r="P996">
        <v>3831.94011338976</v>
      </c>
      <c r="Q996">
        <v>3289.6668197505201</v>
      </c>
      <c r="R996">
        <v>3516.0843238970501</v>
      </c>
      <c r="S996">
        <v>3753.6356653017201</v>
      </c>
      <c r="T996">
        <v>3910.2445614778098</v>
      </c>
    </row>
    <row r="997" spans="1:20" x14ac:dyDescent="0.2">
      <c r="A997" t="s">
        <v>1984</v>
      </c>
      <c r="B997" s="3" t="str">
        <f>HYPERLINK("http://www.ncbi.nlm.nih.gov/gene/23558","WBP2")</f>
        <v>WBP2</v>
      </c>
      <c r="C997">
        <v>23558</v>
      </c>
      <c r="D997" t="s">
        <v>1985</v>
      </c>
      <c r="E997" s="3" t="str">
        <f>HYPERLINK("http://genome.ucsc.edu/cgi-bin/hgTracks?db=hg19&amp;lastVirtModeType=default&amp;lastVirtModeExtraState=&amp;virtModeType=default&amp;virtMode=0&amp;nonVirtPosition=&amp;position=chr17:75845698-75855812","chr17:75845698-75855812")</f>
        <v>chr17:75845698-75855812</v>
      </c>
      <c r="F997" t="s">
        <v>22</v>
      </c>
      <c r="G997">
        <v>0.16013980796225399</v>
      </c>
      <c r="H997">
        <v>5.2010832101179801E-2</v>
      </c>
      <c r="I997">
        <v>3.07897031239039</v>
      </c>
      <c r="J997">
        <v>2.0771737967598398E-3</v>
      </c>
      <c r="K997">
        <v>2.9333781680986101E-2</v>
      </c>
      <c r="L997" t="s">
        <v>23</v>
      </c>
      <c r="M997" t="s">
        <v>24</v>
      </c>
      <c r="N997">
        <v>3504.62323823118</v>
      </c>
      <c r="O997">
        <v>3298.73028553522</v>
      </c>
      <c r="P997">
        <v>3710.5161909271301</v>
      </c>
      <c r="Q997">
        <v>3190.6053345886498</v>
      </c>
      <c r="R997">
        <v>3406.8552364817901</v>
      </c>
      <c r="S997">
        <v>3683.5941062382699</v>
      </c>
      <c r="T997">
        <v>3737.4382756159898</v>
      </c>
    </row>
    <row r="998" spans="1:20" x14ac:dyDescent="0.2">
      <c r="A998" t="s">
        <v>1986</v>
      </c>
      <c r="B998" s="3" t="str">
        <f>HYPERLINK("http://www.ncbi.nlm.nih.gov/gene/10602","CDC42EP3")</f>
        <v>CDC42EP3</v>
      </c>
      <c r="C998">
        <v>10602</v>
      </c>
      <c r="D998" t="s">
        <v>1987</v>
      </c>
      <c r="E998" s="3" t="str">
        <f>HYPERLINK("http://genome.ucsc.edu/cgi-bin/hgTracks?db=hg19&amp;lastVirtModeType=default&amp;lastVirtModeExtraState=&amp;virtModeType=default&amp;virtMode=0&amp;nonVirtPosition=&amp;position=chr2:37641881-37672199","chr2:37641881-37672199")</f>
        <v>chr2:37641881-37672199</v>
      </c>
      <c r="F998" t="s">
        <v>22</v>
      </c>
      <c r="G998">
        <v>-0.189076784787404</v>
      </c>
      <c r="H998">
        <v>6.1414533441780501E-2</v>
      </c>
      <c r="I998">
        <v>-3.0786977314847501</v>
      </c>
      <c r="J998">
        <v>2.0790750907042801E-3</v>
      </c>
      <c r="K998">
        <v>2.9333781680986101E-2</v>
      </c>
      <c r="L998" t="s">
        <v>23</v>
      </c>
      <c r="M998" t="s">
        <v>24</v>
      </c>
      <c r="N998">
        <v>2715.4857408304401</v>
      </c>
      <c r="O998">
        <v>2909.2249778344299</v>
      </c>
      <c r="P998">
        <v>2521.7465038264399</v>
      </c>
      <c r="Q998">
        <v>2876.91063157606</v>
      </c>
      <c r="R998">
        <v>2941.5393240928101</v>
      </c>
      <c r="S998">
        <v>2363.6559931834199</v>
      </c>
      <c r="T998">
        <v>2679.83701446946</v>
      </c>
    </row>
    <row r="999" spans="1:20" x14ac:dyDescent="0.2">
      <c r="A999" t="s">
        <v>1988</v>
      </c>
      <c r="B999" s="3" t="str">
        <f>HYPERLINK("http://www.ncbi.nlm.nih.gov/gene/6404","SELPLG")</f>
        <v>SELPLG</v>
      </c>
      <c r="C999">
        <v>6404</v>
      </c>
      <c r="D999" t="s">
        <v>1989</v>
      </c>
      <c r="E999" s="3" t="str">
        <f>HYPERLINK("http://genome.ucsc.edu/cgi-bin/hgTracks?db=hg19&amp;lastVirtModeType=default&amp;lastVirtModeExtraState=&amp;virtModeType=default&amp;virtMode=0&amp;nonVirtPosition=&amp;position=chr12:108621903-108633894","chr12:108621903-108633894")</f>
        <v>chr12:108621903-108633894</v>
      </c>
      <c r="F999" t="s">
        <v>22</v>
      </c>
      <c r="G999">
        <v>-0.31273566693535698</v>
      </c>
      <c r="H999">
        <v>0.101637985719447</v>
      </c>
      <c r="I999">
        <v>-3.07695656030225</v>
      </c>
      <c r="J999">
        <v>2.0912577431217898E-3</v>
      </c>
      <c r="K999">
        <v>2.9475342948789601E-2</v>
      </c>
      <c r="L999" t="s">
        <v>23</v>
      </c>
      <c r="M999" t="s">
        <v>24</v>
      </c>
      <c r="N999">
        <v>391.92134851476902</v>
      </c>
      <c r="O999">
        <v>448.36756779084499</v>
      </c>
      <c r="P999">
        <v>335.475129238693</v>
      </c>
      <c r="Q999">
        <v>460.91107679482502</v>
      </c>
      <c r="R999">
        <v>435.82405878686598</v>
      </c>
      <c r="S999">
        <v>318.639768697097</v>
      </c>
      <c r="T999">
        <v>352.310489780289</v>
      </c>
    </row>
    <row r="1000" spans="1:20" x14ac:dyDescent="0.2">
      <c r="A1000" t="s">
        <v>1990</v>
      </c>
      <c r="B1000" s="3" t="str">
        <f>HYPERLINK("http://www.ncbi.nlm.nih.gov/gene/54865","GPATCH4")</f>
        <v>GPATCH4</v>
      </c>
      <c r="C1000">
        <v>54865</v>
      </c>
      <c r="D1000" t="s">
        <v>1991</v>
      </c>
      <c r="E1000" s="3" t="str">
        <f>HYPERLINK("http://genome.ucsc.edu/cgi-bin/hgTracks?db=hg19&amp;lastVirtModeType=default&amp;lastVirtModeExtraState=&amp;virtModeType=default&amp;virtMode=0&amp;nonVirtPosition=&amp;position=chr1:156594307-156601487","chr1:156594307-156601487")</f>
        <v>chr1:156594307-156601487</v>
      </c>
      <c r="F1000" t="s">
        <v>22</v>
      </c>
      <c r="G1000">
        <v>0.214682614236513</v>
      </c>
      <c r="H1000">
        <v>6.9823412666120202E-2</v>
      </c>
      <c r="I1000">
        <v>3.0746508375790298</v>
      </c>
      <c r="J1000">
        <v>2.1074912231241901E-3</v>
      </c>
      <c r="K1000">
        <v>2.96736495214837E-2</v>
      </c>
      <c r="L1000" t="s">
        <v>23</v>
      </c>
      <c r="M1000" t="s">
        <v>24</v>
      </c>
      <c r="N1000">
        <v>1384.1025321203999</v>
      </c>
      <c r="O1000">
        <v>1272.0927906045699</v>
      </c>
      <c r="P1000">
        <v>1496.1122736362299</v>
      </c>
      <c r="Q1000">
        <v>1320.8198021583</v>
      </c>
      <c r="R1000">
        <v>1223.3657790508501</v>
      </c>
      <c r="S1000">
        <v>1457.06172868611</v>
      </c>
      <c r="T1000">
        <v>1535.1628185863501</v>
      </c>
    </row>
    <row r="1001" spans="1:20" x14ac:dyDescent="0.2">
      <c r="A1001" t="s">
        <v>1992</v>
      </c>
      <c r="B1001" s="3" t="str">
        <f>HYPERLINK("http://www.ncbi.nlm.nih.gov/gene/54464","XRN1")</f>
        <v>XRN1</v>
      </c>
      <c r="C1001">
        <v>54464</v>
      </c>
      <c r="D1001" t="s">
        <v>1993</v>
      </c>
      <c r="E1001" s="3" t="str">
        <f>HYPERLINK("http://genome.ucsc.edu/cgi-bin/hgTracks?db=hg19&amp;lastVirtModeType=default&amp;lastVirtModeExtraState=&amp;virtModeType=default&amp;virtMode=0&amp;nonVirtPosition=&amp;position=chr3:142417840-142448062","chr3:142417840-142448062")</f>
        <v>chr3:142417840-142448062</v>
      </c>
      <c r="F1001" t="s">
        <v>22</v>
      </c>
      <c r="G1001">
        <v>-0.18883624139497501</v>
      </c>
      <c r="H1001">
        <v>6.14394933346867E-2</v>
      </c>
      <c r="I1001">
        <v>-3.07353187901965</v>
      </c>
      <c r="J1001">
        <v>2.1154108486500099E-3</v>
      </c>
      <c r="K1001">
        <v>2.9754609618857699E-2</v>
      </c>
      <c r="L1001" t="s">
        <v>23</v>
      </c>
      <c r="M1001" t="s">
        <v>24</v>
      </c>
      <c r="N1001">
        <v>1964.6857771034699</v>
      </c>
      <c r="O1001">
        <v>2101.42189563904</v>
      </c>
      <c r="P1001">
        <v>1827.9496585679001</v>
      </c>
      <c r="Q1001">
        <v>2039.0155695818801</v>
      </c>
      <c r="R1001">
        <v>2163.8282216962002</v>
      </c>
      <c r="S1001">
        <v>1861.52706975673</v>
      </c>
      <c r="T1001">
        <v>1794.3722473790799</v>
      </c>
    </row>
    <row r="1002" spans="1:20" x14ac:dyDescent="0.2">
      <c r="A1002" t="s">
        <v>1994</v>
      </c>
      <c r="B1002" s="3" t="str">
        <f>HYPERLINK("http://www.ncbi.nlm.nih.gov/gene/9828","ARHGEF17")</f>
        <v>ARHGEF17</v>
      </c>
      <c r="C1002">
        <v>9828</v>
      </c>
      <c r="D1002" t="s">
        <v>1995</v>
      </c>
      <c r="E1002" s="3" t="str">
        <f>HYPERLINK("http://genome.ucsc.edu/cgi-bin/hgTracks?db=hg19&amp;lastVirtModeType=default&amp;lastVirtModeExtraState=&amp;virtModeType=default&amp;virtMode=0&amp;nonVirtPosition=&amp;position=chr11:73308617-73369380","chr11:73308617-73369380")</f>
        <v>chr11:73308617-73369380</v>
      </c>
      <c r="F1002" t="s">
        <v>27</v>
      </c>
      <c r="G1002">
        <v>-0.198827354635597</v>
      </c>
      <c r="H1002">
        <v>6.4719894980312706E-2</v>
      </c>
      <c r="I1002">
        <v>-3.0721210950060698</v>
      </c>
      <c r="J1002">
        <v>2.12543481544123E-3</v>
      </c>
      <c r="K1002">
        <v>2.9864972396476501E-2</v>
      </c>
      <c r="L1002" t="s">
        <v>23</v>
      </c>
      <c r="M1002" t="s">
        <v>24</v>
      </c>
      <c r="N1002">
        <v>2964.8698623862902</v>
      </c>
      <c r="O1002">
        <v>3189.0866670115902</v>
      </c>
      <c r="P1002">
        <v>2740.6530577609901</v>
      </c>
      <c r="Q1002">
        <v>3117.68507467783</v>
      </c>
      <c r="R1002">
        <v>3260.4882593453499</v>
      </c>
      <c r="S1002">
        <v>2521.4961262841498</v>
      </c>
      <c r="T1002">
        <v>2959.80998923783</v>
      </c>
    </row>
    <row r="1003" spans="1:20" x14ac:dyDescent="0.2">
      <c r="A1003" t="s">
        <v>1996</v>
      </c>
      <c r="B1003" s="3" t="str">
        <f>HYPERLINK("http://www.ncbi.nlm.nih.gov/gene/116028","RMI2")</f>
        <v>RMI2</v>
      </c>
      <c r="C1003">
        <v>116028</v>
      </c>
      <c r="D1003" t="s">
        <v>1997</v>
      </c>
      <c r="E1003" s="3" t="str">
        <f>HYPERLINK("http://genome.ucsc.edu/cgi-bin/hgTracks?db=hg19&amp;lastVirtModeType=default&amp;lastVirtModeExtraState=&amp;virtModeType=default&amp;virtMode=0&amp;nonVirtPosition=&amp;position=chr16:11345437-11351763","chr16:11345437-11351763")</f>
        <v>chr16:11345437-11351763</v>
      </c>
      <c r="F1003" t="s">
        <v>27</v>
      </c>
      <c r="G1003">
        <v>-0.36075806453095299</v>
      </c>
      <c r="H1003">
        <v>0.117611537810743</v>
      </c>
      <c r="I1003">
        <v>-3.0673696751714301</v>
      </c>
      <c r="J1003">
        <v>2.1595160515180899E-3</v>
      </c>
      <c r="K1003">
        <v>3.0312797472383898E-2</v>
      </c>
      <c r="L1003" t="s">
        <v>23</v>
      </c>
      <c r="M1003" t="s">
        <v>24</v>
      </c>
      <c r="N1003">
        <v>147.11152325044699</v>
      </c>
      <c r="O1003">
        <v>179.28192220474</v>
      </c>
      <c r="P1003">
        <v>114.941124296154</v>
      </c>
      <c r="Q1003">
        <v>181.612722796767</v>
      </c>
      <c r="R1003">
        <v>176.951121612713</v>
      </c>
      <c r="S1003">
        <v>119.36660065742601</v>
      </c>
      <c r="T1003">
        <v>110.515647934882</v>
      </c>
    </row>
    <row r="1004" spans="1:20" x14ac:dyDescent="0.2">
      <c r="A1004" t="s">
        <v>1998</v>
      </c>
      <c r="B1004" s="3" t="str">
        <f>HYPERLINK("http://www.ncbi.nlm.nih.gov/gene/4131","MAP1B")</f>
        <v>MAP1B</v>
      </c>
      <c r="C1004">
        <v>4131</v>
      </c>
      <c r="D1004" t="s">
        <v>1999</v>
      </c>
      <c r="E1004" s="3" t="str">
        <f>HYPERLINK("http://genome.ucsc.edu/cgi-bin/hgTracks?db=hg19&amp;lastVirtModeType=default&amp;lastVirtModeExtraState=&amp;virtModeType=default&amp;virtMode=0&amp;nonVirtPosition=&amp;position=chr5:72107267-72209570","chr5:72107267-72209570")</f>
        <v>chr5:72107267-72209570</v>
      </c>
      <c r="F1004" t="s">
        <v>27</v>
      </c>
      <c r="G1004">
        <v>-0.14191260802458899</v>
      </c>
      <c r="H1004">
        <v>4.6270427197526998E-2</v>
      </c>
      <c r="I1004">
        <v>-3.0670261032769099</v>
      </c>
      <c r="J1004">
        <v>2.1619997620706899E-3</v>
      </c>
      <c r="K1004">
        <v>3.0316630610467701E-2</v>
      </c>
      <c r="L1004" t="s">
        <v>23</v>
      </c>
      <c r="M1004" t="s">
        <v>24</v>
      </c>
      <c r="N1004">
        <v>49950.051291993303</v>
      </c>
      <c r="O1004">
        <v>52508.273119145902</v>
      </c>
      <c r="P1004">
        <v>47391.829464840703</v>
      </c>
      <c r="Q1004">
        <v>51807.7808856989</v>
      </c>
      <c r="R1004">
        <v>53208.765352593</v>
      </c>
      <c r="S1004">
        <v>45500.377868780801</v>
      </c>
      <c r="T1004">
        <v>49283.281060900503</v>
      </c>
    </row>
    <row r="1005" spans="1:20" x14ac:dyDescent="0.2">
      <c r="A1005" t="s">
        <v>2000</v>
      </c>
      <c r="B1005" s="3" t="str">
        <f>HYPERLINK("http://www.ncbi.nlm.nih.gov/gene/23428","SLC7A8")</f>
        <v>SLC7A8</v>
      </c>
      <c r="C1005">
        <v>23428</v>
      </c>
      <c r="D1005" t="s">
        <v>2001</v>
      </c>
      <c r="E1005" s="3" t="str">
        <f>HYPERLINK("http://genome.ucsc.edu/cgi-bin/hgTracks?db=hg19&amp;lastVirtModeType=default&amp;lastVirtModeExtraState=&amp;virtModeType=default&amp;virtMode=0&amp;nonVirtPosition=&amp;position=chr14:23125294-23154450","chr14:23125294-23154450")</f>
        <v>chr14:23125294-23154450</v>
      </c>
      <c r="F1005" t="s">
        <v>22</v>
      </c>
      <c r="G1005">
        <v>-0.24700612571210201</v>
      </c>
      <c r="H1005">
        <v>8.0595179530334807E-2</v>
      </c>
      <c r="I1005">
        <v>-3.06477542641532</v>
      </c>
      <c r="J1005">
        <v>2.1783349728356498E-3</v>
      </c>
      <c r="K1005">
        <v>3.05144901097734E-2</v>
      </c>
      <c r="L1005" t="s">
        <v>23</v>
      </c>
      <c r="M1005" t="s">
        <v>24</v>
      </c>
      <c r="N1005">
        <v>817.82334396332897</v>
      </c>
      <c r="O1005">
        <v>898.69401284365404</v>
      </c>
      <c r="P1005">
        <v>736.95267508300299</v>
      </c>
      <c r="Q1005">
        <v>898.43263625976294</v>
      </c>
      <c r="R1005">
        <v>898.95538942754604</v>
      </c>
      <c r="S1005">
        <v>725.07811143147501</v>
      </c>
      <c r="T1005">
        <v>748.82723873453097</v>
      </c>
    </row>
    <row r="1006" spans="1:20" x14ac:dyDescent="0.2">
      <c r="A1006" t="s">
        <v>2002</v>
      </c>
      <c r="B1006" s="3" t="str">
        <f>HYPERLINK("http://www.ncbi.nlm.nih.gov/gene/217","ALDH2")</f>
        <v>ALDH2</v>
      </c>
      <c r="C1006">
        <v>217</v>
      </c>
      <c r="D1006" t="s">
        <v>2003</v>
      </c>
      <c r="E1006" s="3" t="str">
        <f>HYPERLINK("http://genome.ucsc.edu/cgi-bin/hgTracks?db=hg19&amp;lastVirtModeType=default&amp;lastVirtModeExtraState=&amp;virtModeType=default&amp;virtMode=0&amp;nonVirtPosition=&amp;position=chr12:111766886-111809985","chr12:111766886-111809985")</f>
        <v>chr12:111766886-111809985</v>
      </c>
      <c r="F1006" t="s">
        <v>27</v>
      </c>
      <c r="G1006">
        <v>0.17596695702645301</v>
      </c>
      <c r="H1006">
        <v>5.7450947273019103E-2</v>
      </c>
      <c r="I1006">
        <v>3.0629078436291102</v>
      </c>
      <c r="J1006">
        <v>2.19197552768893E-3</v>
      </c>
      <c r="K1006">
        <v>3.06742371293122E-2</v>
      </c>
      <c r="L1006" t="s">
        <v>23</v>
      </c>
      <c r="M1006" t="s">
        <v>24</v>
      </c>
      <c r="N1006">
        <v>2224.5521443217099</v>
      </c>
      <c r="O1006">
        <v>2080.59461330153</v>
      </c>
      <c r="P1006">
        <v>2368.5096753418902</v>
      </c>
      <c r="Q1006">
        <v>2091.2980200839802</v>
      </c>
      <c r="R1006">
        <v>2069.8912065190798</v>
      </c>
      <c r="S1006">
        <v>2347.87197987335</v>
      </c>
      <c r="T1006">
        <v>2389.14737081044</v>
      </c>
    </row>
    <row r="1007" spans="1:20" x14ac:dyDescent="0.2">
      <c r="A1007" t="s">
        <v>2004</v>
      </c>
      <c r="B1007" s="3" t="str">
        <f>HYPERLINK("http://www.ncbi.nlm.nih.gov/gene/10157","AASS")</f>
        <v>AASS</v>
      </c>
      <c r="C1007">
        <v>10157</v>
      </c>
      <c r="D1007" t="s">
        <v>2005</v>
      </c>
      <c r="E1007" s="3" t="str">
        <f>HYPERLINK("http://genome.ucsc.edu/cgi-bin/hgTracks?db=hg19&amp;lastVirtModeType=default&amp;lastVirtModeExtraState=&amp;virtModeType=default&amp;virtMode=0&amp;nonVirtPosition=&amp;position=chr7:122073543-122144290","chr7:122073543-122144290")</f>
        <v>chr7:122073543-122144290</v>
      </c>
      <c r="F1007" t="s">
        <v>22</v>
      </c>
      <c r="G1007">
        <v>-0.35599255664102297</v>
      </c>
      <c r="H1007">
        <v>0.11636622506041799</v>
      </c>
      <c r="I1007">
        <v>-3.05924297583933</v>
      </c>
      <c r="J1007">
        <v>2.21897101025128E-3</v>
      </c>
      <c r="K1007">
        <v>3.1020355183064299E-2</v>
      </c>
      <c r="L1007" t="s">
        <v>23</v>
      </c>
      <c r="M1007" t="s">
        <v>24</v>
      </c>
      <c r="N1007">
        <v>172.120591010618</v>
      </c>
      <c r="O1007">
        <v>207.098461631324</v>
      </c>
      <c r="P1007">
        <v>137.142720389912</v>
      </c>
      <c r="Q1007">
        <v>207.75394804781601</v>
      </c>
      <c r="R1007">
        <v>206.44297521483099</v>
      </c>
      <c r="S1007">
        <v>145.01562228629501</v>
      </c>
      <c r="T1007">
        <v>129.26981849352799</v>
      </c>
    </row>
    <row r="1008" spans="1:20" x14ac:dyDescent="0.2">
      <c r="A1008" t="s">
        <v>2006</v>
      </c>
      <c r="B1008" s="3" t="str">
        <f>HYPERLINK("http://www.ncbi.nlm.nih.gov/gene/10528","NOP56")</f>
        <v>NOP56</v>
      </c>
      <c r="C1008">
        <v>10528</v>
      </c>
      <c r="D1008" t="s">
        <v>2007</v>
      </c>
      <c r="E1008" s="3" t="str">
        <f>HYPERLINK("http://genome.ucsc.edu/cgi-bin/hgTracks?db=hg19&amp;lastVirtModeType=default&amp;lastVirtModeExtraState=&amp;virtModeType=default&amp;virtMode=0&amp;nonVirtPosition=&amp;position=chr20:2652531-2658393","chr20:2652531-2658393")</f>
        <v>chr20:2652531-2658393</v>
      </c>
      <c r="F1008" t="s">
        <v>27</v>
      </c>
      <c r="G1008">
        <v>0.16044284277586399</v>
      </c>
      <c r="H1008">
        <v>5.2457220258609001E-2</v>
      </c>
      <c r="I1008">
        <v>3.0585464114357701</v>
      </c>
      <c r="J1008">
        <v>2.22413624576369E-3</v>
      </c>
      <c r="K1008">
        <v>3.1060900686765099E-2</v>
      </c>
      <c r="L1008" t="s">
        <v>23</v>
      </c>
      <c r="M1008" t="s">
        <v>24</v>
      </c>
      <c r="N1008">
        <v>3081.52536945986</v>
      </c>
      <c r="O1008">
        <v>2902.1772158385202</v>
      </c>
      <c r="P1008">
        <v>3260.8735230811999</v>
      </c>
      <c r="Q1008">
        <v>2962.21357713211</v>
      </c>
      <c r="R1008">
        <v>2842.1408545449299</v>
      </c>
      <c r="S1008">
        <v>3252.4932427069002</v>
      </c>
      <c r="T1008">
        <v>3269.2538034555</v>
      </c>
    </row>
    <row r="1009" spans="1:20" x14ac:dyDescent="0.2">
      <c r="A1009" t="s">
        <v>2006</v>
      </c>
      <c r="B1009" s="3" t="str">
        <f>HYPERLINK("http://www.ncbi.nlm.nih.gov/gene/100302138","MIR1292")</f>
        <v>MIR1292</v>
      </c>
      <c r="C1009">
        <v>100302138</v>
      </c>
      <c r="D1009" t="s">
        <v>2008</v>
      </c>
      <c r="E1009" s="3" t="str">
        <f>HYPERLINK("http://genome.ucsc.edu/cgi-bin/hgTracks?db=hg19&amp;lastVirtModeType=default&amp;lastVirtModeExtraState=&amp;virtModeType=default&amp;virtMode=0&amp;nonVirtPosition=&amp;position=chr20:2652776-2652842","chr20:2652776-2652842")</f>
        <v>chr20:2652776-2652842</v>
      </c>
      <c r="F1009" t="s">
        <v>27</v>
      </c>
      <c r="G1009">
        <v>0.16044284277586399</v>
      </c>
      <c r="H1009">
        <v>5.2457220258609001E-2</v>
      </c>
      <c r="I1009">
        <v>3.0585464114357701</v>
      </c>
      <c r="J1009">
        <v>2.22413624576369E-3</v>
      </c>
      <c r="K1009">
        <v>3.1060900686765099E-2</v>
      </c>
      <c r="L1009" t="s">
        <v>23</v>
      </c>
      <c r="M1009" t="s">
        <v>24</v>
      </c>
      <c r="N1009">
        <v>3081.52536945986</v>
      </c>
      <c r="O1009">
        <v>2902.1772158385202</v>
      </c>
      <c r="P1009">
        <v>3260.8735230811999</v>
      </c>
      <c r="Q1009">
        <v>2962.21357713211</v>
      </c>
      <c r="R1009">
        <v>2842.1408545449299</v>
      </c>
      <c r="S1009">
        <v>3252.4932427069002</v>
      </c>
      <c r="T1009">
        <v>3269.2538034555</v>
      </c>
    </row>
    <row r="1010" spans="1:20" x14ac:dyDescent="0.2">
      <c r="A1010" t="s">
        <v>2009</v>
      </c>
      <c r="B1010" s="3" t="str">
        <f>HYPERLINK("http://www.ncbi.nlm.nih.gov/gene/1633","DCK")</f>
        <v>DCK</v>
      </c>
      <c r="C1010">
        <v>1633</v>
      </c>
      <c r="D1010" t="s">
        <v>2010</v>
      </c>
      <c r="E1010" s="3" t="str">
        <f>HYPERLINK("http://genome.ucsc.edu/cgi-bin/hgTracks?db=hg19&amp;lastVirtModeType=default&amp;lastVirtModeExtraState=&amp;virtModeType=default&amp;virtMode=0&amp;nonVirtPosition=&amp;position=chr4:70993547-71030912","chr4:70993547-71030912")</f>
        <v>chr4:70993547-71030912</v>
      </c>
      <c r="F1010" t="s">
        <v>27</v>
      </c>
      <c r="G1010">
        <v>-0.22621683426498401</v>
      </c>
      <c r="H1010">
        <v>7.39983581090011E-2</v>
      </c>
      <c r="I1010">
        <v>-3.05705207582798</v>
      </c>
      <c r="J1010">
        <v>2.2352543889434598E-3</v>
      </c>
      <c r="K1010">
        <v>3.11559115823156E-2</v>
      </c>
      <c r="L1010" t="s">
        <v>23</v>
      </c>
      <c r="M1010" t="s">
        <v>24</v>
      </c>
      <c r="N1010">
        <v>1059.6913992643299</v>
      </c>
      <c r="O1010">
        <v>1152.0781386905101</v>
      </c>
      <c r="P1010">
        <v>967.30465983816396</v>
      </c>
      <c r="Q1010">
        <v>1141.9587872827001</v>
      </c>
      <c r="R1010">
        <v>1162.19749009831</v>
      </c>
      <c r="S1010">
        <v>985.51433104767796</v>
      </c>
      <c r="T1010">
        <v>949.09498862864996</v>
      </c>
    </row>
    <row r="1011" spans="1:20" x14ac:dyDescent="0.2">
      <c r="A1011" t="s">
        <v>2011</v>
      </c>
      <c r="B1011" s="3" t="str">
        <f>HYPERLINK("http://www.ncbi.nlm.nih.gov/gene/23529","CLCF1")</f>
        <v>CLCF1</v>
      </c>
      <c r="C1011">
        <v>23529</v>
      </c>
      <c r="D1011" t="s">
        <v>2012</v>
      </c>
      <c r="E1011" s="3" t="str">
        <f>HYPERLINK("http://genome.ucsc.edu/cgi-bin/hgTracks?db=hg19&amp;lastVirtModeType=default&amp;lastVirtModeExtraState=&amp;virtModeType=default&amp;virtMode=0&amp;nonVirtPosition=&amp;position=chr11:67364167-67374177","chr11:67364167-67374177")</f>
        <v>chr11:67364167-67374177</v>
      </c>
      <c r="F1011" t="s">
        <v>22</v>
      </c>
      <c r="G1011">
        <v>0.26661371101131998</v>
      </c>
      <c r="H1011">
        <v>8.7220236645591004E-2</v>
      </c>
      <c r="I1011">
        <v>3.0567872923192501</v>
      </c>
      <c r="J1011">
        <v>2.23722973230701E-3</v>
      </c>
      <c r="K1011">
        <v>3.11559115823156E-2</v>
      </c>
      <c r="L1011" t="s">
        <v>23</v>
      </c>
      <c r="M1011" t="s">
        <v>24</v>
      </c>
      <c r="N1011">
        <v>976.26795658093499</v>
      </c>
      <c r="O1011">
        <v>868.13084910316502</v>
      </c>
      <c r="P1011">
        <v>1084.4050640587</v>
      </c>
      <c r="Q1011">
        <v>903.93605210208898</v>
      </c>
      <c r="R1011">
        <v>832.32564610424095</v>
      </c>
      <c r="S1011">
        <v>1197.6120099017801</v>
      </c>
      <c r="T1011">
        <v>971.19811821562598</v>
      </c>
    </row>
    <row r="1012" spans="1:20" x14ac:dyDescent="0.2">
      <c r="A1012" t="s">
        <v>2013</v>
      </c>
      <c r="B1012" s="3" t="str">
        <f>HYPERLINK("http://www.ncbi.nlm.nih.gov/gene/91754","NEK9")</f>
        <v>NEK9</v>
      </c>
      <c r="C1012">
        <v>91754</v>
      </c>
      <c r="D1012" t="s">
        <v>2014</v>
      </c>
      <c r="E1012" s="3" t="str">
        <f>HYPERLINK("http://genome.ucsc.edu/cgi-bin/hgTracks?db=hg19&amp;lastVirtModeType=default&amp;lastVirtModeExtraState=&amp;virtModeType=default&amp;virtMode=0&amp;nonVirtPosition=&amp;position=chr14:75081378-75127080","chr14:75081378-75127080")</f>
        <v>chr14:75081378-75127080</v>
      </c>
      <c r="F1012" t="s">
        <v>22</v>
      </c>
      <c r="G1012">
        <v>0.13898893570608201</v>
      </c>
      <c r="H1012">
        <v>4.54700058104077E-2</v>
      </c>
      <c r="I1012">
        <v>3.0567169110470802</v>
      </c>
      <c r="J1012">
        <v>2.2377550611478001E-3</v>
      </c>
      <c r="K1012">
        <v>3.11559115823156E-2</v>
      </c>
      <c r="L1012" t="s">
        <v>23</v>
      </c>
      <c r="M1012" t="s">
        <v>24</v>
      </c>
      <c r="N1012">
        <v>5856.7104805051104</v>
      </c>
      <c r="O1012">
        <v>5564.6404851923699</v>
      </c>
      <c r="P1012">
        <v>6148.7804758178499</v>
      </c>
      <c r="Q1012">
        <v>5506.16755024743</v>
      </c>
      <c r="R1012">
        <v>5623.1134201373097</v>
      </c>
      <c r="S1012">
        <v>6002.8575619871099</v>
      </c>
      <c r="T1012">
        <v>6294.70338964859</v>
      </c>
    </row>
    <row r="1013" spans="1:20" x14ac:dyDescent="0.2">
      <c r="A1013" t="s">
        <v>2015</v>
      </c>
      <c r="B1013" s="3" t="str">
        <f>HYPERLINK("http://www.ncbi.nlm.nih.gov/gene/27013","CNPPD1")</f>
        <v>CNPPD1</v>
      </c>
      <c r="C1013">
        <v>27013</v>
      </c>
      <c r="D1013" t="s">
        <v>2016</v>
      </c>
      <c r="E1013" s="3" t="str">
        <f>HYPERLINK("http://genome.ucsc.edu/cgi-bin/hgTracks?db=hg19&amp;lastVirtModeType=default&amp;lastVirtModeExtraState=&amp;virtModeType=default&amp;virtMode=0&amp;nonVirtPosition=&amp;position=chr2:219171896-219177191","chr2:219171896-219177191")</f>
        <v>chr2:219171896-219177191</v>
      </c>
      <c r="F1013" t="s">
        <v>22</v>
      </c>
      <c r="G1013">
        <v>0.17351622448026699</v>
      </c>
      <c r="H1013">
        <v>5.6840912999753197E-2</v>
      </c>
      <c r="I1013">
        <v>3.0526642751326101</v>
      </c>
      <c r="J1013">
        <v>2.2681954354796898E-3</v>
      </c>
      <c r="K1013">
        <v>3.1547700002199301E-2</v>
      </c>
      <c r="L1013" t="s">
        <v>23</v>
      </c>
      <c r="M1013" t="s">
        <v>24</v>
      </c>
      <c r="N1013">
        <v>2567.4386401781899</v>
      </c>
      <c r="O1013">
        <v>2401.46425533823</v>
      </c>
      <c r="P1013">
        <v>2733.4130250181502</v>
      </c>
      <c r="Q1013">
        <v>2380.2273518061102</v>
      </c>
      <c r="R1013">
        <v>2422.7011588703499</v>
      </c>
      <c r="S1013">
        <v>2816.4598750161399</v>
      </c>
      <c r="T1013">
        <v>2650.36617502016</v>
      </c>
    </row>
    <row r="1014" spans="1:20" x14ac:dyDescent="0.2">
      <c r="A1014" t="s">
        <v>2017</v>
      </c>
      <c r="B1014" s="3" t="str">
        <f>HYPERLINK("http://www.ncbi.nlm.nih.gov/gene/27115","PDE7B")</f>
        <v>PDE7B</v>
      </c>
      <c r="C1014">
        <v>27115</v>
      </c>
      <c r="D1014" t="s">
        <v>2018</v>
      </c>
      <c r="E1014" s="3" t="str">
        <f>HYPERLINK("http://genome.ucsc.edu/cgi-bin/hgTracks?db=hg19&amp;lastVirtModeType=default&amp;lastVirtModeExtraState=&amp;virtModeType=default&amp;virtMode=0&amp;nonVirtPosition=&amp;position=chr6:135851695-136195571","chr6:135851695-136195571")</f>
        <v>chr6:135851695-136195571</v>
      </c>
      <c r="F1014" t="s">
        <v>27</v>
      </c>
      <c r="G1014">
        <v>-0.32362392552324898</v>
      </c>
      <c r="H1014">
        <v>0.106050235939892</v>
      </c>
      <c r="I1014">
        <v>-3.0516096702196198</v>
      </c>
      <c r="J1014">
        <v>2.2761788042051298E-3</v>
      </c>
      <c r="K1014">
        <v>3.1584100453767701E-2</v>
      </c>
      <c r="L1014" t="s">
        <v>23</v>
      </c>
      <c r="M1014" t="s">
        <v>24</v>
      </c>
      <c r="N1014">
        <v>425.53404980267601</v>
      </c>
      <c r="O1014">
        <v>492.55257320119398</v>
      </c>
      <c r="P1014">
        <v>358.51552640415798</v>
      </c>
      <c r="Q1014">
        <v>518.69694313925004</v>
      </c>
      <c r="R1014">
        <v>466.40820326313701</v>
      </c>
      <c r="S1014">
        <v>307.78825954642201</v>
      </c>
      <c r="T1014">
        <v>409.24279326189497</v>
      </c>
    </row>
    <row r="1015" spans="1:20" x14ac:dyDescent="0.2">
      <c r="A1015" t="s">
        <v>2019</v>
      </c>
      <c r="B1015" s="3" t="str">
        <f>HYPERLINK("http://www.ncbi.nlm.nih.gov/gene/27250","PDCD4")</f>
        <v>PDCD4</v>
      </c>
      <c r="C1015">
        <v>27250</v>
      </c>
      <c r="D1015" t="s">
        <v>2020</v>
      </c>
      <c r="E1015" s="3" t="str">
        <f>HYPERLINK("http://genome.ucsc.edu/cgi-bin/hgTracks?db=hg19&amp;lastVirtModeType=default&amp;lastVirtModeExtraState=&amp;virtModeType=default&amp;virtMode=0&amp;nonVirtPosition=&amp;position=chr10:110871794-110900006","chr10:110871794-110900006")</f>
        <v>chr10:110871794-110900006</v>
      </c>
      <c r="F1015" t="s">
        <v>27</v>
      </c>
      <c r="G1015">
        <v>-0.20126508213903599</v>
      </c>
      <c r="H1015">
        <v>6.5957591281062003E-2</v>
      </c>
      <c r="I1015">
        <v>-3.0514316582816701</v>
      </c>
      <c r="J1015">
        <v>2.2775288926315499E-3</v>
      </c>
      <c r="K1015">
        <v>3.1584100453767701E-2</v>
      </c>
      <c r="L1015" t="s">
        <v>23</v>
      </c>
      <c r="M1015" t="s">
        <v>24</v>
      </c>
      <c r="N1015">
        <v>1461.04325884682</v>
      </c>
      <c r="O1015">
        <v>1571.9622208102601</v>
      </c>
      <c r="P1015">
        <v>1350.1242968833899</v>
      </c>
      <c r="Q1015">
        <v>1580.8562007082201</v>
      </c>
      <c r="R1015">
        <v>1563.0682409122901</v>
      </c>
      <c r="S1015">
        <v>1363.3441496575499</v>
      </c>
      <c r="T1015">
        <v>1336.9044441092301</v>
      </c>
    </row>
    <row r="1016" spans="1:20" x14ac:dyDescent="0.2">
      <c r="A1016" t="s">
        <v>2019</v>
      </c>
      <c r="B1016" s="3" t="str">
        <f>HYPERLINK("http://www.ncbi.nlm.nih.gov/gene/100616113","MIR4680")</f>
        <v>MIR4680</v>
      </c>
      <c r="C1016">
        <v>100616113</v>
      </c>
      <c r="D1016" t="s">
        <v>2021</v>
      </c>
      <c r="E1016" s="3" t="str">
        <f>HYPERLINK("http://genome.ucsc.edu/cgi-bin/hgTracks?db=hg19&amp;lastVirtModeType=default&amp;lastVirtModeExtraState=&amp;virtModeType=default&amp;virtMode=0&amp;nonVirtPosition=&amp;position=chr10:110898089-110898155","chr10:110898089-110898155")</f>
        <v>chr10:110898089-110898155</v>
      </c>
      <c r="F1016" t="s">
        <v>27</v>
      </c>
      <c r="G1016">
        <v>-0.20126508213903599</v>
      </c>
      <c r="H1016">
        <v>6.5957591281062003E-2</v>
      </c>
      <c r="I1016">
        <v>-3.0514316582816701</v>
      </c>
      <c r="J1016">
        <v>2.2775288926315499E-3</v>
      </c>
      <c r="K1016">
        <v>3.1584100453767701E-2</v>
      </c>
      <c r="L1016" t="s">
        <v>23</v>
      </c>
      <c r="M1016" t="s">
        <v>24</v>
      </c>
      <c r="N1016">
        <v>1461.04325884682</v>
      </c>
      <c r="O1016">
        <v>1571.9622208102601</v>
      </c>
      <c r="P1016">
        <v>1350.1242968833899</v>
      </c>
      <c r="Q1016">
        <v>1580.8562007082201</v>
      </c>
      <c r="R1016">
        <v>1563.0682409122901</v>
      </c>
      <c r="S1016">
        <v>1363.3441496575499</v>
      </c>
      <c r="T1016">
        <v>1336.9044441092301</v>
      </c>
    </row>
    <row r="1017" spans="1:20" x14ac:dyDescent="0.2">
      <c r="A1017" t="s">
        <v>2022</v>
      </c>
      <c r="B1017" s="3" t="str">
        <f>HYPERLINK("http://www.ncbi.nlm.nih.gov/gene/5704","PSMC4")</f>
        <v>PSMC4</v>
      </c>
      <c r="C1017">
        <v>5704</v>
      </c>
      <c r="D1017" t="s">
        <v>2023</v>
      </c>
      <c r="E1017" s="3" t="str">
        <f>HYPERLINK("http://genome.ucsc.edu/cgi-bin/hgTracks?db=hg19&amp;lastVirtModeType=default&amp;lastVirtModeExtraState=&amp;virtModeType=default&amp;virtMode=0&amp;nonVirtPosition=&amp;position=chr19:39971004-39981764","chr19:39971004-39981764")</f>
        <v>chr19:39971004-39981764</v>
      </c>
      <c r="F1017" t="s">
        <v>27</v>
      </c>
      <c r="G1017">
        <v>0.157753655817327</v>
      </c>
      <c r="H1017">
        <v>5.1698673717678001E-2</v>
      </c>
      <c r="I1017">
        <v>3.05140624455486</v>
      </c>
      <c r="J1017">
        <v>2.2777216967169501E-3</v>
      </c>
      <c r="K1017">
        <v>3.1584100453767701E-2</v>
      </c>
      <c r="L1017" t="s">
        <v>23</v>
      </c>
      <c r="M1017" t="s">
        <v>24</v>
      </c>
      <c r="N1017">
        <v>3611.2164249531602</v>
      </c>
      <c r="O1017">
        <v>3401.17927691247</v>
      </c>
      <c r="P1017">
        <v>3821.25357299384</v>
      </c>
      <c r="Q1017">
        <v>3310.30462915925</v>
      </c>
      <c r="R1017">
        <v>3492.0539246656899</v>
      </c>
      <c r="S1017">
        <v>3895.6917850923701</v>
      </c>
      <c r="T1017">
        <v>3746.8153608953198</v>
      </c>
    </row>
    <row r="1018" spans="1:20" x14ac:dyDescent="0.2">
      <c r="A1018" t="s">
        <v>2024</v>
      </c>
      <c r="B1018" s="3" t="str">
        <f>HYPERLINK("http://www.ncbi.nlm.nih.gov/gene/55008","HERC6")</f>
        <v>HERC6</v>
      </c>
      <c r="C1018">
        <v>55008</v>
      </c>
      <c r="D1018" t="s">
        <v>2025</v>
      </c>
      <c r="E1018" s="3" t="str">
        <f>HYPERLINK("http://genome.ucsc.edu/cgi-bin/hgTracks?db=hg19&amp;lastVirtModeType=default&amp;lastVirtModeExtraState=&amp;virtModeType=default&amp;virtMode=0&amp;nonVirtPosition=&amp;position=chr4:88378738-88443097","chr4:88378738-88443097")</f>
        <v>chr4:88378738-88443097</v>
      </c>
      <c r="F1018" t="s">
        <v>27</v>
      </c>
      <c r="G1018">
        <v>-0.34561157844745399</v>
      </c>
      <c r="H1018">
        <v>0.113282387984705</v>
      </c>
      <c r="I1018">
        <v>-3.05088535469535</v>
      </c>
      <c r="J1018">
        <v>2.2816767814026898E-3</v>
      </c>
      <c r="K1018">
        <v>3.1606985232481302E-2</v>
      </c>
      <c r="L1018" t="s">
        <v>23</v>
      </c>
      <c r="M1018" t="s">
        <v>24</v>
      </c>
      <c r="N1018">
        <v>63.972410699405501</v>
      </c>
      <c r="O1018">
        <v>84.704671432901605</v>
      </c>
      <c r="P1018">
        <v>43.240149965909303</v>
      </c>
      <c r="Q1018">
        <v>85.302945556057097</v>
      </c>
      <c r="R1018">
        <v>84.1063973097461</v>
      </c>
      <c r="S1018">
        <v>50.311542425857397</v>
      </c>
      <c r="T1018">
        <v>36.168757505961203</v>
      </c>
    </row>
    <row r="1019" spans="1:20" x14ac:dyDescent="0.2">
      <c r="A1019" t="s">
        <v>2026</v>
      </c>
      <c r="B1019" s="3" t="str">
        <f>HYPERLINK("http://www.ncbi.nlm.nih.gov/gene/64747","MFSD1")</f>
        <v>MFSD1</v>
      </c>
      <c r="C1019">
        <v>64747</v>
      </c>
      <c r="D1019" t="s">
        <v>2027</v>
      </c>
      <c r="E1019" s="3" t="str">
        <f>HYPERLINK("http://genome.ucsc.edu/cgi-bin/hgTracks?db=hg19&amp;lastVirtModeType=default&amp;lastVirtModeExtraState=&amp;virtModeType=default&amp;virtMode=0&amp;nonVirtPosition=&amp;position=chr3:158801925-158829719","chr3:158801925-158829719")</f>
        <v>chr3:158801925-158829719</v>
      </c>
      <c r="F1019" t="s">
        <v>27</v>
      </c>
      <c r="G1019">
        <v>-0.13147132291555899</v>
      </c>
      <c r="H1019">
        <v>4.3104810247752999E-2</v>
      </c>
      <c r="I1019">
        <v>-3.0500383172992298</v>
      </c>
      <c r="J1019">
        <v>2.2881217195164999E-3</v>
      </c>
      <c r="K1019">
        <v>3.1642353059301798E-2</v>
      </c>
      <c r="L1019" t="s">
        <v>23</v>
      </c>
      <c r="M1019" t="s">
        <v>24</v>
      </c>
      <c r="N1019">
        <v>6560.0935736175998</v>
      </c>
      <c r="O1019">
        <v>6869.3176126999997</v>
      </c>
      <c r="P1019">
        <v>6250.8695345351998</v>
      </c>
      <c r="Q1019">
        <v>6957.69347866098</v>
      </c>
      <c r="R1019">
        <v>6780.9417467390103</v>
      </c>
      <c r="S1019">
        <v>6317.5513273566903</v>
      </c>
      <c r="T1019">
        <v>6184.1877417137102</v>
      </c>
    </row>
    <row r="1020" spans="1:20" x14ac:dyDescent="0.2">
      <c r="A1020" t="s">
        <v>2028</v>
      </c>
      <c r="B1020" s="3" t="str">
        <f>HYPERLINK("http://www.ncbi.nlm.nih.gov/gene/6447","SCG5")</f>
        <v>SCG5</v>
      </c>
      <c r="C1020">
        <v>6447</v>
      </c>
      <c r="D1020" t="s">
        <v>2029</v>
      </c>
      <c r="E1020" s="3" t="str">
        <f>HYPERLINK("http://genome.ucsc.edu/cgi-bin/hgTracks?db=hg19&amp;lastVirtModeType=default&amp;lastVirtModeExtraState=&amp;virtModeType=default&amp;virtMode=0&amp;nonVirtPosition=&amp;position=chr15:32641612-32697098","chr15:32641612-32697098")</f>
        <v>chr15:32641612-32697098</v>
      </c>
      <c r="F1020" t="s">
        <v>27</v>
      </c>
      <c r="G1020">
        <v>0.345691400390502</v>
      </c>
      <c r="H1020">
        <v>0.11334354411646699</v>
      </c>
      <c r="I1020">
        <v>3.0499434536411298</v>
      </c>
      <c r="J1020">
        <v>2.2888445555510699E-3</v>
      </c>
      <c r="K1020">
        <v>3.1642353059301798E-2</v>
      </c>
      <c r="L1020" t="s">
        <v>23</v>
      </c>
      <c r="M1020" t="s">
        <v>24</v>
      </c>
      <c r="N1020">
        <v>239.23388050234701</v>
      </c>
      <c r="O1020">
        <v>195.529587381071</v>
      </c>
      <c r="P1020">
        <v>282.93817362362199</v>
      </c>
      <c r="Q1020">
        <v>217.384925771887</v>
      </c>
      <c r="R1020">
        <v>173.67424899025499</v>
      </c>
      <c r="S1020">
        <v>295.95024956386698</v>
      </c>
      <c r="T1020">
        <v>269.92609768337701</v>
      </c>
    </row>
    <row r="1021" spans="1:20" x14ac:dyDescent="0.2">
      <c r="A1021" t="s">
        <v>2030</v>
      </c>
      <c r="B1021" s="3" t="str">
        <f>HYPERLINK("http://www.ncbi.nlm.nih.gov/gene/116832","RPL39L")</f>
        <v>RPL39L</v>
      </c>
      <c r="C1021">
        <v>116832</v>
      </c>
      <c r="D1021" t="s">
        <v>2031</v>
      </c>
      <c r="E1021" s="3" t="str">
        <f>HYPERLINK("http://genome.ucsc.edu/cgi-bin/hgTracks?db=hg19&amp;lastVirtModeType=default&amp;lastVirtModeExtraState=&amp;virtModeType=default&amp;virtMode=0&amp;nonVirtPosition=&amp;position=chr3:187120952-187139475","chr3:187120952-187139475")</f>
        <v>chr3:187120952-187139475</v>
      </c>
      <c r="F1021" t="s">
        <v>22</v>
      </c>
      <c r="G1021">
        <v>-0.33876894296410598</v>
      </c>
      <c r="H1021">
        <v>0.11115715876198801</v>
      </c>
      <c r="I1021">
        <v>-3.0476574494809201</v>
      </c>
      <c r="J1021">
        <v>2.30632668213705E-3</v>
      </c>
      <c r="K1021">
        <v>3.18519276121123E-2</v>
      </c>
      <c r="L1021" t="s">
        <v>23</v>
      </c>
      <c r="M1021" t="s">
        <v>24</v>
      </c>
      <c r="N1021">
        <v>254.66574762593601</v>
      </c>
      <c r="O1021">
        <v>298.09429595849298</v>
      </c>
      <c r="P1021">
        <v>211.23719929337801</v>
      </c>
      <c r="Q1021">
        <v>295.80860152503698</v>
      </c>
      <c r="R1021">
        <v>300.37999039195</v>
      </c>
      <c r="S1021">
        <v>226.895191332298</v>
      </c>
      <c r="T1021">
        <v>195.579207254457</v>
      </c>
    </row>
    <row r="1022" spans="1:20" x14ac:dyDescent="0.2">
      <c r="A1022" t="s">
        <v>2032</v>
      </c>
      <c r="B1022" s="3" t="str">
        <f>HYPERLINK("http://www.ncbi.nlm.nih.gov/gene/6721","SREBF2")</f>
        <v>SREBF2</v>
      </c>
      <c r="C1022">
        <v>6721</v>
      </c>
      <c r="D1022" t="s">
        <v>2033</v>
      </c>
      <c r="E1022" s="3" t="str">
        <f>HYPERLINK("http://genome.ucsc.edu/cgi-bin/hgTracks?db=hg19&amp;lastVirtModeType=default&amp;lastVirtModeExtraState=&amp;virtModeType=default&amp;virtMode=0&amp;nonVirtPosition=&amp;position=chr22:41833078-41907308","chr22:41833078-41907308")</f>
        <v>chr22:41833078-41907308</v>
      </c>
      <c r="F1022" t="s">
        <v>27</v>
      </c>
      <c r="G1022">
        <v>0.16086605884105101</v>
      </c>
      <c r="H1022">
        <v>5.2798600233597101E-2</v>
      </c>
      <c r="I1022">
        <v>3.0467864323927301</v>
      </c>
      <c r="J1022">
        <v>2.3130198663456202E-3</v>
      </c>
      <c r="K1022">
        <v>3.1912227813947598E-2</v>
      </c>
      <c r="L1022" t="s">
        <v>23</v>
      </c>
      <c r="M1022" t="s">
        <v>24</v>
      </c>
      <c r="N1022">
        <v>4300.6820430027001</v>
      </c>
      <c r="O1022">
        <v>4046.3111508084999</v>
      </c>
      <c r="P1022">
        <v>4555.0529351968999</v>
      </c>
      <c r="Q1022">
        <v>3846.8876737860601</v>
      </c>
      <c r="R1022">
        <v>4245.7346278309496</v>
      </c>
      <c r="S1022">
        <v>4490.5517867157496</v>
      </c>
      <c r="T1022">
        <v>4619.5540836780501</v>
      </c>
    </row>
    <row r="1023" spans="1:20" x14ac:dyDescent="0.2">
      <c r="A1023" t="s">
        <v>2034</v>
      </c>
      <c r="B1023" s="3" t="str">
        <f>HYPERLINK("http://www.ncbi.nlm.nih.gov/gene/7345","UCHL1")</f>
        <v>UCHL1</v>
      </c>
      <c r="C1023">
        <v>7345</v>
      </c>
      <c r="D1023" t="s">
        <v>2035</v>
      </c>
      <c r="E1023" s="3" t="str">
        <f>HYPERLINK("http://genome.ucsc.edu/cgi-bin/hgTracks?db=hg19&amp;lastVirtModeType=default&amp;lastVirtModeExtraState=&amp;virtModeType=default&amp;virtMode=0&amp;nonVirtPosition=&amp;position=chr4:41256880-41268429","chr4:41256880-41268429")</f>
        <v>chr4:41256880-41268429</v>
      </c>
      <c r="F1023" t="s">
        <v>27</v>
      </c>
      <c r="G1023">
        <v>0.153013172213816</v>
      </c>
      <c r="H1023">
        <v>5.02540711888897E-2</v>
      </c>
      <c r="I1023">
        <v>3.0447915680042299</v>
      </c>
      <c r="J1023">
        <v>2.3284161483842799E-3</v>
      </c>
      <c r="K1023">
        <v>3.2079759045218002E-2</v>
      </c>
      <c r="L1023" t="s">
        <v>23</v>
      </c>
      <c r="M1023" t="s">
        <v>24</v>
      </c>
      <c r="N1023">
        <v>5750.6321976157396</v>
      </c>
      <c r="O1023">
        <v>5427.2070378919498</v>
      </c>
      <c r="P1023">
        <v>6074.0573573395404</v>
      </c>
      <c r="Q1023">
        <v>5306.6687259630999</v>
      </c>
      <c r="R1023">
        <v>5547.7453498207897</v>
      </c>
      <c r="S1023">
        <v>6334.3218414986404</v>
      </c>
      <c r="T1023">
        <v>5813.7928731804404</v>
      </c>
    </row>
    <row r="1024" spans="1:20" x14ac:dyDescent="0.2">
      <c r="A1024" t="s">
        <v>2036</v>
      </c>
      <c r="B1024" s="3" t="str">
        <f>HYPERLINK("http://www.ncbi.nlm.nih.gov/gene/10269","ZMPSTE24")</f>
        <v>ZMPSTE24</v>
      </c>
      <c r="C1024">
        <v>10269</v>
      </c>
      <c r="D1024" t="s">
        <v>2037</v>
      </c>
      <c r="E1024" s="3" t="str">
        <f>HYPERLINK("http://genome.ucsc.edu/cgi-bin/hgTracks?db=hg19&amp;lastVirtModeType=default&amp;lastVirtModeExtraState=&amp;virtModeType=default&amp;virtMode=0&amp;nonVirtPosition=&amp;position=chr1:40258049-40294184","chr1:40258049-40294184")</f>
        <v>chr1:40258049-40294184</v>
      </c>
      <c r="F1024" t="s">
        <v>27</v>
      </c>
      <c r="G1024">
        <v>0.13955777937725999</v>
      </c>
      <c r="H1024">
        <v>4.5837690627767401E-2</v>
      </c>
      <c r="I1024">
        <v>3.0446075591059301</v>
      </c>
      <c r="J1024">
        <v>2.3298410390139301E-3</v>
      </c>
      <c r="K1024">
        <v>3.2079759045218002E-2</v>
      </c>
      <c r="L1024" t="s">
        <v>23</v>
      </c>
      <c r="M1024" t="s">
        <v>24</v>
      </c>
      <c r="N1024">
        <v>5339.3227079037897</v>
      </c>
      <c r="O1024">
        <v>5068.8059557614597</v>
      </c>
      <c r="P1024">
        <v>5609.8394600461297</v>
      </c>
      <c r="Q1024">
        <v>4950.3225501724701</v>
      </c>
      <c r="R1024">
        <v>5187.2893613504402</v>
      </c>
      <c r="S1024">
        <v>5649.6902641742299</v>
      </c>
      <c r="T1024">
        <v>5569.9886559180304</v>
      </c>
    </row>
    <row r="1025" spans="1:20" x14ac:dyDescent="0.2">
      <c r="A1025" t="s">
        <v>2038</v>
      </c>
      <c r="B1025" s="3" t="str">
        <f>HYPERLINK("http://www.ncbi.nlm.nih.gov/gene/166336","PRICKLE2")</f>
        <v>PRICKLE2</v>
      </c>
      <c r="C1025">
        <v>166336</v>
      </c>
      <c r="D1025" t="s">
        <v>2039</v>
      </c>
      <c r="E1025" s="3" t="str">
        <f>HYPERLINK("http://genome.ucsc.edu/cgi-bin/hgTracks?db=hg19&amp;lastVirtModeType=default&amp;lastVirtModeExtraState=&amp;virtModeType=default&amp;virtMode=0&amp;nonVirtPosition=&amp;position=chr3:64093849-64225455","chr3:64093849-64225455")</f>
        <v>chr3:64093849-64225455</v>
      </c>
      <c r="F1025" t="s">
        <v>22</v>
      </c>
      <c r="G1025">
        <v>-0.24195121816085299</v>
      </c>
      <c r="H1025">
        <v>7.9488580242288304E-2</v>
      </c>
      <c r="I1025">
        <v>-3.0438487820937898</v>
      </c>
      <c r="J1025">
        <v>2.3357251414446202E-3</v>
      </c>
      <c r="K1025">
        <v>3.2128520150222203E-2</v>
      </c>
      <c r="L1025" t="s">
        <v>23</v>
      </c>
      <c r="M1025" t="s">
        <v>24</v>
      </c>
      <c r="N1025">
        <v>860.26114620973203</v>
      </c>
      <c r="O1025">
        <v>943.32534361942805</v>
      </c>
      <c r="P1025">
        <v>777.19694880003499</v>
      </c>
      <c r="Q1025">
        <v>965.84948032825901</v>
      </c>
      <c r="R1025">
        <v>920.80120691059699</v>
      </c>
      <c r="S1025">
        <v>773.41665219357299</v>
      </c>
      <c r="T1025">
        <v>780.97724540649597</v>
      </c>
    </row>
    <row r="1026" spans="1:20" x14ac:dyDescent="0.2">
      <c r="A1026" t="s">
        <v>2040</v>
      </c>
      <c r="B1026" s="3" t="str">
        <f>HYPERLINK("http://www.ncbi.nlm.nih.gov/gene/3376","IARS")</f>
        <v>IARS</v>
      </c>
      <c r="C1026">
        <v>3376</v>
      </c>
      <c r="D1026" t="s">
        <v>2041</v>
      </c>
      <c r="E1026" s="3" t="str">
        <f>HYPERLINK("http://genome.ucsc.edu/cgi-bin/hgTracks?db=hg19&amp;lastVirtModeType=default&amp;lastVirtModeExtraState=&amp;virtModeType=default&amp;virtMode=0&amp;nonVirtPosition=&amp;position=chr9:92210208-92293756","chr9:92210208-92293756")</f>
        <v>chr9:92210208-92293756</v>
      </c>
      <c r="F1026" t="s">
        <v>22</v>
      </c>
      <c r="G1026">
        <v>0.135979440960524</v>
      </c>
      <c r="H1026">
        <v>4.46965414337663E-2</v>
      </c>
      <c r="I1026">
        <v>3.0422810490163998</v>
      </c>
      <c r="J1026">
        <v>2.3479255984230501E-3</v>
      </c>
      <c r="K1026">
        <v>3.2263979616005703E-2</v>
      </c>
      <c r="L1026" t="s">
        <v>23</v>
      </c>
      <c r="M1026" t="s">
        <v>24</v>
      </c>
      <c r="N1026">
        <v>11844.5984072335</v>
      </c>
      <c r="O1026">
        <v>11262.898422153099</v>
      </c>
      <c r="P1026">
        <v>12426.2983923139</v>
      </c>
      <c r="Q1026">
        <v>10819.7155460134</v>
      </c>
      <c r="R1026">
        <v>11706.0812982928</v>
      </c>
      <c r="S1026">
        <v>12390.4504484072</v>
      </c>
      <c r="T1026">
        <v>12462.1463362206</v>
      </c>
    </row>
    <row r="1027" spans="1:20" x14ac:dyDescent="0.2">
      <c r="A1027" t="s">
        <v>2042</v>
      </c>
      <c r="B1027" s="3" t="str">
        <f>HYPERLINK("http://www.ncbi.nlm.nih.gov/gene/102466740","MIR6808")</f>
        <v>MIR6808</v>
      </c>
      <c r="C1027">
        <v>102466740</v>
      </c>
      <c r="D1027" t="s">
        <v>2043</v>
      </c>
      <c r="E1027" s="3" t="str">
        <f>HYPERLINK("http://genome.ucsc.edu/cgi-bin/hgTracks?db=hg19&amp;lastVirtModeType=default&amp;lastVirtModeExtraState=&amp;virtModeType=default&amp;virtMode=0&amp;nonVirtPosition=&amp;position=chr1:1339649-1339708","chr1:1339649-1339708")</f>
        <v>chr1:1339649-1339708</v>
      </c>
      <c r="F1027" t="s">
        <v>22</v>
      </c>
      <c r="G1027">
        <v>0.147983127037491</v>
      </c>
      <c r="H1027">
        <v>4.8654315874803601E-2</v>
      </c>
      <c r="I1027">
        <v>3.0415210732441298</v>
      </c>
      <c r="J1027">
        <v>2.3538608793881202E-3</v>
      </c>
      <c r="K1027">
        <v>3.2313161261189903E-2</v>
      </c>
      <c r="L1027" t="s">
        <v>23</v>
      </c>
      <c r="M1027" t="s">
        <v>24</v>
      </c>
      <c r="N1027">
        <v>5698.0212122197499</v>
      </c>
      <c r="O1027">
        <v>5396.1282303579201</v>
      </c>
      <c r="P1027">
        <v>5999.9141940815598</v>
      </c>
      <c r="Q1027">
        <v>5535.0604834196401</v>
      </c>
      <c r="R1027">
        <v>5257.19597729621</v>
      </c>
      <c r="S1027">
        <v>5803.5843939474398</v>
      </c>
      <c r="T1027">
        <v>6196.2439942156898</v>
      </c>
    </row>
    <row r="1028" spans="1:20" x14ac:dyDescent="0.2">
      <c r="A1028" t="s">
        <v>2042</v>
      </c>
      <c r="B1028" s="3" t="str">
        <f>HYPERLINK("http://www.ncbi.nlm.nih.gov/gene/1855","DVL1")</f>
        <v>DVL1</v>
      </c>
      <c r="C1028">
        <v>1855</v>
      </c>
      <c r="D1028" t="s">
        <v>2044</v>
      </c>
      <c r="E1028" s="3" t="str">
        <f>HYPERLINK("http://genome.ucsc.edu/cgi-bin/hgTracks?db=hg19&amp;lastVirtModeType=default&amp;lastVirtModeExtraState=&amp;virtModeType=default&amp;virtMode=0&amp;nonVirtPosition=&amp;position=chr1:1335277-1349112","chr1:1335277-1349112")</f>
        <v>chr1:1335277-1349112</v>
      </c>
      <c r="F1028" t="s">
        <v>22</v>
      </c>
      <c r="G1028">
        <v>0.147983127037491</v>
      </c>
      <c r="H1028">
        <v>4.8654315874803601E-2</v>
      </c>
      <c r="I1028">
        <v>3.0415210732441298</v>
      </c>
      <c r="J1028">
        <v>2.3538608793881202E-3</v>
      </c>
      <c r="K1028">
        <v>3.2313161261189903E-2</v>
      </c>
      <c r="L1028" t="s">
        <v>23</v>
      </c>
      <c r="M1028" t="s">
        <v>24</v>
      </c>
      <c r="N1028">
        <v>5698.0212122197499</v>
      </c>
      <c r="O1028">
        <v>5396.1282303579201</v>
      </c>
      <c r="P1028">
        <v>5999.9141940815598</v>
      </c>
      <c r="Q1028">
        <v>5535.0604834196401</v>
      </c>
      <c r="R1028">
        <v>5257.19597729621</v>
      </c>
      <c r="S1028">
        <v>5803.5843939474398</v>
      </c>
      <c r="T1028">
        <v>6196.2439942156898</v>
      </c>
    </row>
    <row r="1029" spans="1:20" x14ac:dyDescent="0.2">
      <c r="A1029" t="s">
        <v>2045</v>
      </c>
      <c r="B1029" s="3" t="str">
        <f>HYPERLINK("http://www.ncbi.nlm.nih.gov/gene/157506","RDH10")</f>
        <v>RDH10</v>
      </c>
      <c r="C1029">
        <v>157506</v>
      </c>
      <c r="D1029" t="s">
        <v>2046</v>
      </c>
      <c r="E1029" s="3" t="str">
        <f>HYPERLINK("http://genome.ucsc.edu/cgi-bin/hgTracks?db=hg19&amp;lastVirtModeType=default&amp;lastVirtModeExtraState=&amp;virtModeType=default&amp;virtMode=0&amp;nonVirtPosition=&amp;position=chr8:73294601-73325285","chr8:73294601-73325285")</f>
        <v>chr8:73294601-73325285</v>
      </c>
      <c r="F1029" t="s">
        <v>27</v>
      </c>
      <c r="G1029">
        <v>-0.28122707495524202</v>
      </c>
      <c r="H1029">
        <v>9.2479022511011796E-2</v>
      </c>
      <c r="I1029">
        <v>-3.04098234733996</v>
      </c>
      <c r="J1029">
        <v>2.3580765542128399E-3</v>
      </c>
      <c r="K1029">
        <v>3.2338661864474899E-2</v>
      </c>
      <c r="L1029" t="s">
        <v>23</v>
      </c>
      <c r="M1029" t="s">
        <v>24</v>
      </c>
      <c r="N1029">
        <v>529.06196155141902</v>
      </c>
      <c r="O1029">
        <v>592.08201077102399</v>
      </c>
      <c r="P1029">
        <v>466.04191233181302</v>
      </c>
      <c r="Q1029">
        <v>588.86549512890997</v>
      </c>
      <c r="R1029">
        <v>595.29852641313801</v>
      </c>
      <c r="S1029">
        <v>468.58789514278999</v>
      </c>
      <c r="T1029">
        <v>463.49592952083702</v>
      </c>
    </row>
    <row r="1030" spans="1:20" x14ac:dyDescent="0.2">
      <c r="A1030" t="s">
        <v>2047</v>
      </c>
      <c r="B1030" s="3" t="str">
        <f>HYPERLINK("http://www.ncbi.nlm.nih.gov/gene/84967","LSM10")</f>
        <v>LSM10</v>
      </c>
      <c r="C1030">
        <v>84967</v>
      </c>
      <c r="D1030" t="s">
        <v>2048</v>
      </c>
      <c r="E1030" s="3" t="str">
        <f>HYPERLINK("http://genome.ucsc.edu/cgi-bin/hgTracks?db=hg19&amp;lastVirtModeType=default&amp;lastVirtModeExtraState=&amp;virtModeType=default&amp;virtMode=0&amp;nonVirtPosition=&amp;position=chr1:36393419-36397959","chr1:36393419-36397959")</f>
        <v>chr1:36393419-36397959</v>
      </c>
      <c r="F1030" t="s">
        <v>22</v>
      </c>
      <c r="G1030">
        <v>0.20265957870666099</v>
      </c>
      <c r="H1030">
        <v>6.6652670013412699E-2</v>
      </c>
      <c r="I1030">
        <v>3.04053203968992</v>
      </c>
      <c r="J1030">
        <v>2.3616056354983099E-3</v>
      </c>
      <c r="K1030">
        <v>3.23547049802436E-2</v>
      </c>
      <c r="L1030" t="s">
        <v>23</v>
      </c>
      <c r="M1030" t="s">
        <v>24</v>
      </c>
      <c r="N1030">
        <v>1451.9573151048301</v>
      </c>
      <c r="O1030">
        <v>1340.19820796012</v>
      </c>
      <c r="P1030">
        <v>1563.7164222495301</v>
      </c>
      <c r="Q1030">
        <v>1313.9405323553999</v>
      </c>
      <c r="R1030">
        <v>1366.45588356484</v>
      </c>
      <c r="S1030">
        <v>1552.75230937842</v>
      </c>
      <c r="T1030">
        <v>1574.6805351206499</v>
      </c>
    </row>
    <row r="1031" spans="1:20" x14ac:dyDescent="0.2">
      <c r="A1031" t="s">
        <v>2049</v>
      </c>
      <c r="B1031" s="3" t="str">
        <f>HYPERLINK("http://www.ncbi.nlm.nih.gov/gene/57553","MICAL3")</f>
        <v>MICAL3</v>
      </c>
      <c r="C1031">
        <v>57553</v>
      </c>
      <c r="D1031" t="s">
        <v>2050</v>
      </c>
      <c r="E1031" s="3" t="str">
        <f>HYPERLINK("http://genome.ucsc.edu/cgi-bin/hgTracks?db=hg19&amp;lastVirtModeType=default&amp;lastVirtModeExtraState=&amp;virtModeType=default&amp;virtMode=0&amp;nonVirtPosition=&amp;position=chr22:17787649-18024559","chr22:17787649-18024559")</f>
        <v>chr22:17787649-18024559</v>
      </c>
      <c r="F1031" t="s">
        <v>22</v>
      </c>
      <c r="G1031">
        <v>-0.159778331654857</v>
      </c>
      <c r="H1031">
        <v>5.2564042673520099E-2</v>
      </c>
      <c r="I1031">
        <v>-3.0396887972878002</v>
      </c>
      <c r="J1031">
        <v>2.3682271735491101E-3</v>
      </c>
      <c r="K1031">
        <v>3.2413041375301897E-2</v>
      </c>
      <c r="L1031" t="s">
        <v>23</v>
      </c>
      <c r="M1031" t="s">
        <v>24</v>
      </c>
      <c r="N1031">
        <v>2923.2527321746902</v>
      </c>
      <c r="O1031">
        <v>3094.0312966172801</v>
      </c>
      <c r="P1031">
        <v>2752.4741677321099</v>
      </c>
      <c r="Q1031">
        <v>3075.0336018998</v>
      </c>
      <c r="R1031">
        <v>3113.0289913347601</v>
      </c>
      <c r="S1031">
        <v>2728.6613009788598</v>
      </c>
      <c r="T1031">
        <v>2776.28703448536</v>
      </c>
    </row>
    <row r="1032" spans="1:20" x14ac:dyDescent="0.2">
      <c r="A1032" t="s">
        <v>2051</v>
      </c>
      <c r="B1032" s="3" t="str">
        <f>HYPERLINK("http://www.ncbi.nlm.nih.gov/gene/10787","NCKAP1")</f>
        <v>NCKAP1</v>
      </c>
      <c r="C1032">
        <v>10787</v>
      </c>
      <c r="D1032" t="s">
        <v>2052</v>
      </c>
      <c r="E1032" s="3" t="str">
        <f>HYPERLINK("http://genome.ucsc.edu/cgi-bin/hgTracks?db=hg19&amp;lastVirtModeType=default&amp;lastVirtModeExtraState=&amp;virtModeType=default&amp;virtMode=0&amp;nonVirtPosition=&amp;position=chr2:182924850-183038858","chr2:182924850-183038858")</f>
        <v>chr2:182924850-183038858</v>
      </c>
      <c r="F1032" t="s">
        <v>22</v>
      </c>
      <c r="G1032">
        <v>0.123261902409466</v>
      </c>
      <c r="H1032">
        <v>4.0562538462349897E-2</v>
      </c>
      <c r="I1032">
        <v>3.0388113535812802</v>
      </c>
      <c r="J1032">
        <v>2.3751353189084999E-3</v>
      </c>
      <c r="K1032">
        <v>3.2475180222842598E-2</v>
      </c>
      <c r="L1032" t="s">
        <v>23</v>
      </c>
      <c r="M1032" t="s">
        <v>24</v>
      </c>
      <c r="N1032">
        <v>13076.773980407899</v>
      </c>
      <c r="O1032">
        <v>12499.9113740634</v>
      </c>
      <c r="P1032">
        <v>13653.6365867523</v>
      </c>
      <c r="Q1032">
        <v>12250.6036650183</v>
      </c>
      <c r="R1032">
        <v>12749.219083108501</v>
      </c>
      <c r="S1032">
        <v>13577.2109491584</v>
      </c>
      <c r="T1032">
        <v>13730.0622243463</v>
      </c>
    </row>
    <row r="1033" spans="1:20" x14ac:dyDescent="0.2">
      <c r="A1033" t="s">
        <v>2053</v>
      </c>
      <c r="B1033" s="3" t="str">
        <f>HYPERLINK("http://www.ncbi.nlm.nih.gov/gene/57120","GOPC")</f>
        <v>GOPC</v>
      </c>
      <c r="C1033">
        <v>57120</v>
      </c>
      <c r="D1033" t="s">
        <v>2054</v>
      </c>
      <c r="E1033" s="3" t="str">
        <f>HYPERLINK("http://genome.ucsc.edu/cgi-bin/hgTracks?db=hg19&amp;lastVirtModeType=default&amp;lastVirtModeExtraState=&amp;virtModeType=default&amp;virtMode=0&amp;nonVirtPosition=&amp;position=chr6:117560269-117602542","chr6:117560269-117602542")</f>
        <v>chr6:117560269-117602542</v>
      </c>
      <c r="F1033" t="s">
        <v>22</v>
      </c>
      <c r="G1033">
        <v>-0.164194401341308</v>
      </c>
      <c r="H1033">
        <v>5.4098574017719503E-2</v>
      </c>
      <c r="I1033">
        <v>-3.0350966605427998</v>
      </c>
      <c r="J1033">
        <v>2.4045860837585702E-3</v>
      </c>
      <c r="K1033">
        <v>3.2845113100263897E-2</v>
      </c>
      <c r="L1033" t="s">
        <v>23</v>
      </c>
      <c r="M1033" t="s">
        <v>24</v>
      </c>
      <c r="N1033">
        <v>3287.3056258923102</v>
      </c>
      <c r="O1033">
        <v>3487.6635198930699</v>
      </c>
      <c r="P1033">
        <v>3086.9477318915601</v>
      </c>
      <c r="Q1033">
        <v>3540.0722405763699</v>
      </c>
      <c r="R1033">
        <v>3435.2547992097602</v>
      </c>
      <c r="S1033">
        <v>2974.3000081168698</v>
      </c>
      <c r="T1033">
        <v>3199.59545566624</v>
      </c>
    </row>
    <row r="1034" spans="1:20" x14ac:dyDescent="0.2">
      <c r="A1034" t="s">
        <v>2055</v>
      </c>
      <c r="B1034" s="3" t="str">
        <f>HYPERLINK("http://www.ncbi.nlm.nih.gov/gene/10514","MYBBP1A")</f>
        <v>MYBBP1A</v>
      </c>
      <c r="C1034">
        <v>10514</v>
      </c>
      <c r="D1034" t="s">
        <v>2056</v>
      </c>
      <c r="E1034" s="3" t="str">
        <f>HYPERLINK("http://genome.ucsc.edu/cgi-bin/hgTracks?db=hg19&amp;lastVirtModeType=default&amp;lastVirtModeExtraState=&amp;virtModeType=default&amp;virtMode=0&amp;nonVirtPosition=&amp;position=chr17:4538895-4555386","chr17:4538895-4555386")</f>
        <v>chr17:4538895-4555386</v>
      </c>
      <c r="F1034" t="s">
        <v>22</v>
      </c>
      <c r="G1034">
        <v>0.16757290682266801</v>
      </c>
      <c r="H1034">
        <v>5.5238299062724303E-2</v>
      </c>
      <c r="I1034">
        <v>3.0336362571987401</v>
      </c>
      <c r="J1034">
        <v>2.4162556865961601E-3</v>
      </c>
      <c r="K1034">
        <v>3.2971672125352999E-2</v>
      </c>
      <c r="L1034" t="s">
        <v>23</v>
      </c>
      <c r="M1034" t="s">
        <v>24</v>
      </c>
      <c r="N1034">
        <v>3438.4630975106102</v>
      </c>
      <c r="O1034">
        <v>3229.81041047795</v>
      </c>
      <c r="P1034">
        <v>3647.1157845432599</v>
      </c>
      <c r="Q1034">
        <v>3306.1770672775001</v>
      </c>
      <c r="R1034">
        <v>3153.4437536783998</v>
      </c>
      <c r="S1034">
        <v>3495.17244734927</v>
      </c>
      <c r="T1034">
        <v>3799.0591217372598</v>
      </c>
    </row>
    <row r="1035" spans="1:20" x14ac:dyDescent="0.2">
      <c r="A1035" t="s">
        <v>2057</v>
      </c>
      <c r="B1035" s="3" t="str">
        <f>HYPERLINK("http://www.ncbi.nlm.nih.gov/gene/58526","MID1IP1")</f>
        <v>MID1IP1</v>
      </c>
      <c r="C1035">
        <v>58526</v>
      </c>
      <c r="D1035" t="s">
        <v>2058</v>
      </c>
      <c r="E1035" s="3" t="str">
        <f>HYPERLINK("http://genome.ucsc.edu/cgi-bin/hgTracks?db=hg19&amp;lastVirtModeType=default&amp;lastVirtModeExtraState=&amp;virtModeType=default&amp;virtMode=0&amp;nonVirtPosition=&amp;position=chrX:38801431-38806530","chrX:38801431-38806530")</f>
        <v>chrX:38801431-38806530</v>
      </c>
      <c r="F1035" t="s">
        <v>27</v>
      </c>
      <c r="G1035">
        <v>0.19993169517554801</v>
      </c>
      <c r="H1035">
        <v>6.5920951213058798E-2</v>
      </c>
      <c r="I1035">
        <v>3.03290064078963</v>
      </c>
      <c r="J1035">
        <v>2.4221533656335098E-3</v>
      </c>
      <c r="K1035">
        <v>3.30060254979644E-2</v>
      </c>
      <c r="L1035" t="s">
        <v>23</v>
      </c>
      <c r="M1035" t="s">
        <v>24</v>
      </c>
      <c r="N1035">
        <v>1531.2663178038699</v>
      </c>
      <c r="O1035">
        <v>1415.27190166895</v>
      </c>
      <c r="P1035">
        <v>1647.2607339388001</v>
      </c>
      <c r="Q1035">
        <v>1379.9815224633101</v>
      </c>
      <c r="R1035">
        <v>1450.56228087458</v>
      </c>
      <c r="S1035">
        <v>1626.73987176939</v>
      </c>
      <c r="T1035">
        <v>1667.7815961082099</v>
      </c>
    </row>
    <row r="1036" spans="1:20" x14ac:dyDescent="0.2">
      <c r="A1036" t="s">
        <v>2059</v>
      </c>
      <c r="B1036" s="3" t="str">
        <f>HYPERLINK("http://www.ncbi.nlm.nih.gov/gene/65265","C8orf33")</f>
        <v>C8orf33</v>
      </c>
      <c r="C1036">
        <v>65265</v>
      </c>
      <c r="D1036" t="s">
        <v>2060</v>
      </c>
      <c r="E1036" s="3" t="str">
        <f>HYPERLINK("http://genome.ucsc.edu/cgi-bin/hgTracks?db=hg19&amp;lastVirtModeType=default&amp;lastVirtModeExtraState=&amp;virtModeType=default&amp;virtMode=0&amp;nonVirtPosition=&amp;position=chr8:145052437-145056030","chr8:145052437-145056030")</f>
        <v>chr8:145052437-145056030</v>
      </c>
      <c r="F1036" t="s">
        <v>27</v>
      </c>
      <c r="G1036">
        <v>0.187131841501115</v>
      </c>
      <c r="H1036">
        <v>6.1704249383177201E-2</v>
      </c>
      <c r="I1036">
        <v>3.0327221118766898</v>
      </c>
      <c r="J1036">
        <v>2.42358667613024E-3</v>
      </c>
      <c r="K1036">
        <v>3.30060254979644E-2</v>
      </c>
      <c r="L1036" t="s">
        <v>23</v>
      </c>
      <c r="M1036" t="s">
        <v>24</v>
      </c>
      <c r="N1036">
        <v>1884.4301881261599</v>
      </c>
      <c r="O1036">
        <v>1753.4865833633901</v>
      </c>
      <c r="P1036">
        <v>2015.37379288893</v>
      </c>
      <c r="Q1036">
        <v>1741.8311140962601</v>
      </c>
      <c r="R1036">
        <v>1765.1420526305201</v>
      </c>
      <c r="S1036">
        <v>1965.10965710408</v>
      </c>
      <c r="T1036">
        <v>2065.6379286737902</v>
      </c>
    </row>
    <row r="1037" spans="1:20" x14ac:dyDescent="0.2">
      <c r="A1037" t="s">
        <v>2061</v>
      </c>
      <c r="B1037" s="3" t="str">
        <f>HYPERLINK("http://www.ncbi.nlm.nih.gov/gene/23181","DIP2A")</f>
        <v>DIP2A</v>
      </c>
      <c r="C1037">
        <v>23181</v>
      </c>
      <c r="D1037" t="s">
        <v>2062</v>
      </c>
      <c r="E1037" s="3" t="str">
        <f>HYPERLINK("http://genome.ucsc.edu/cgi-bin/hgTracks?db=hg19&amp;lastVirtModeType=default&amp;lastVirtModeExtraState=&amp;virtModeType=default&amp;virtMode=0&amp;nonVirtPosition=&amp;position=chr21:46458948-46550110","chr21:46458948-46550110")</f>
        <v>chr21:46458948-46550110</v>
      </c>
      <c r="F1037" t="s">
        <v>27</v>
      </c>
      <c r="G1037">
        <v>-0.20549770280157101</v>
      </c>
      <c r="H1037">
        <v>6.7794218930871702E-2</v>
      </c>
      <c r="I1037">
        <v>-3.0311980290106</v>
      </c>
      <c r="J1037">
        <v>2.4358543371516901E-3</v>
      </c>
      <c r="K1037">
        <v>3.3136747059367401E-2</v>
      </c>
      <c r="L1037" t="s">
        <v>23</v>
      </c>
      <c r="M1037" t="s">
        <v>24</v>
      </c>
      <c r="N1037">
        <v>1361.5153727295601</v>
      </c>
      <c r="O1037">
        <v>1467.5333714352601</v>
      </c>
      <c r="P1037">
        <v>1255.49737402387</v>
      </c>
      <c r="Q1037">
        <v>1479.0430076251801</v>
      </c>
      <c r="R1037">
        <v>1456.02373524534</v>
      </c>
      <c r="S1037">
        <v>1274.55907478839</v>
      </c>
      <c r="T1037">
        <v>1236.4356732593401</v>
      </c>
    </row>
    <row r="1038" spans="1:20" x14ac:dyDescent="0.2">
      <c r="A1038" t="s">
        <v>2063</v>
      </c>
      <c r="B1038" s="3" t="str">
        <f>HYPERLINK("http://www.ncbi.nlm.nih.gov/gene/92140","MTDH")</f>
        <v>MTDH</v>
      </c>
      <c r="C1038">
        <v>92140</v>
      </c>
      <c r="D1038" t="s">
        <v>2064</v>
      </c>
      <c r="E1038" s="3" t="str">
        <f>HYPERLINK("http://genome.ucsc.edu/cgi-bin/hgTracks?db=hg19&amp;lastVirtModeType=default&amp;lastVirtModeExtraState=&amp;virtModeType=default&amp;virtMode=0&amp;nonVirtPosition=&amp;position=chr8:97644178-97730260","chr8:97644178-97730260")</f>
        <v>chr8:97644178-97730260</v>
      </c>
      <c r="F1038" t="s">
        <v>27</v>
      </c>
      <c r="G1038">
        <v>0.12045143899425</v>
      </c>
      <c r="H1038">
        <v>3.9741561596922201E-2</v>
      </c>
      <c r="I1038">
        <v>3.0308682939016198</v>
      </c>
      <c r="J1038">
        <v>2.4385159101574698E-3</v>
      </c>
      <c r="K1038">
        <v>3.3136747059367401E-2</v>
      </c>
      <c r="L1038" t="s">
        <v>23</v>
      </c>
      <c r="M1038" t="s">
        <v>24</v>
      </c>
      <c r="N1038">
        <v>9753.9817241835499</v>
      </c>
      <c r="O1038">
        <v>9334.8805243194493</v>
      </c>
      <c r="P1038">
        <v>10173.0829240477</v>
      </c>
      <c r="Q1038">
        <v>9318.6588750189494</v>
      </c>
      <c r="R1038">
        <v>9351.1021736199491</v>
      </c>
      <c r="S1038">
        <v>10159.9720675276</v>
      </c>
      <c r="T1038">
        <v>10186.193780567701</v>
      </c>
    </row>
    <row r="1039" spans="1:20" x14ac:dyDescent="0.2">
      <c r="A1039" t="s">
        <v>2065</v>
      </c>
      <c r="B1039" s="3" t="str">
        <f>HYPERLINK("http://www.ncbi.nlm.nih.gov/gene/4053","LTBP2")</f>
        <v>LTBP2</v>
      </c>
      <c r="C1039">
        <v>4053</v>
      </c>
      <c r="D1039" t="s">
        <v>2066</v>
      </c>
      <c r="E1039" s="3" t="str">
        <f>HYPERLINK("http://genome.ucsc.edu/cgi-bin/hgTracks?db=hg19&amp;lastVirtModeType=default&amp;lastVirtModeExtraState=&amp;virtModeType=default&amp;virtMode=0&amp;nonVirtPosition=&amp;position=chr14:74498182-74612331","chr14:74498182-74612331")</f>
        <v>chr14:74498182-74612331</v>
      </c>
      <c r="F1039" t="s">
        <v>22</v>
      </c>
      <c r="G1039">
        <v>-0.307012460196465</v>
      </c>
      <c r="H1039">
        <v>0.101303152935353</v>
      </c>
      <c r="I1039">
        <v>-3.0306308471206802</v>
      </c>
      <c r="J1039">
        <v>2.44043419352203E-3</v>
      </c>
      <c r="K1039">
        <v>3.3136747059367401E-2</v>
      </c>
      <c r="L1039" t="s">
        <v>23</v>
      </c>
      <c r="M1039" t="s">
        <v>24</v>
      </c>
      <c r="N1039">
        <v>29069.791803563399</v>
      </c>
      <c r="O1039">
        <v>33117.890119720301</v>
      </c>
      <c r="P1039">
        <v>25021.693487406599</v>
      </c>
      <c r="Q1039">
        <v>31742.326724577299</v>
      </c>
      <c r="R1039">
        <v>34493.4535148633</v>
      </c>
      <c r="S1039">
        <v>22948.968852014201</v>
      </c>
      <c r="T1039">
        <v>27094.418122799001</v>
      </c>
    </row>
    <row r="1040" spans="1:20" x14ac:dyDescent="0.2">
      <c r="A1040" t="s">
        <v>2067</v>
      </c>
      <c r="B1040" s="3" t="str">
        <f>HYPERLINK("http://www.ncbi.nlm.nih.gov/gene/8804","CREG1")</f>
        <v>CREG1</v>
      </c>
      <c r="C1040">
        <v>8804</v>
      </c>
      <c r="D1040" t="s">
        <v>2068</v>
      </c>
      <c r="E1040" s="3" t="str">
        <f>HYPERLINK("http://genome.ucsc.edu/cgi-bin/hgTracks?db=hg19&amp;lastVirtModeType=default&amp;lastVirtModeExtraState=&amp;virtModeType=default&amp;virtMode=0&amp;nonVirtPosition=&amp;position=chr1:167541013-167553819","chr1:167541013-167553819")</f>
        <v>chr1:167541013-167553819</v>
      </c>
      <c r="F1040" t="s">
        <v>22</v>
      </c>
      <c r="G1040">
        <v>0.17957685681458199</v>
      </c>
      <c r="H1040">
        <v>5.9287730063991302E-2</v>
      </c>
      <c r="I1040">
        <v>3.0289042373651101</v>
      </c>
      <c r="J1040">
        <v>2.4544247010972599E-3</v>
      </c>
      <c r="K1040">
        <v>3.3293749110630898E-2</v>
      </c>
      <c r="L1040" t="s">
        <v>23</v>
      </c>
      <c r="M1040" t="s">
        <v>24</v>
      </c>
      <c r="N1040">
        <v>2141.7885919379901</v>
      </c>
      <c r="O1040">
        <v>1997.6231146442501</v>
      </c>
      <c r="P1040">
        <v>2285.95406923173</v>
      </c>
      <c r="Q1040">
        <v>1959.2160398681499</v>
      </c>
      <c r="R1040">
        <v>2036.0301894203501</v>
      </c>
      <c r="S1040">
        <v>2330.1149648995201</v>
      </c>
      <c r="T1040">
        <v>2241.7931735639299</v>
      </c>
    </row>
    <row r="1041" spans="1:20" x14ac:dyDescent="0.2">
      <c r="A1041" t="s">
        <v>2069</v>
      </c>
      <c r="B1041" s="3" t="str">
        <f>HYPERLINK("http://www.ncbi.nlm.nih.gov/gene/60485","SAV1")</f>
        <v>SAV1</v>
      </c>
      <c r="C1041">
        <v>60485</v>
      </c>
      <c r="D1041" t="s">
        <v>2070</v>
      </c>
      <c r="E1041" s="3" t="str">
        <f>HYPERLINK("http://genome.ucsc.edu/cgi-bin/hgTracks?db=hg19&amp;lastVirtModeType=default&amp;lastVirtModeExtraState=&amp;virtModeType=default&amp;virtMode=0&amp;nonVirtPosition=&amp;position=chr14:50633579-50668353","chr14:50633579-50668353")</f>
        <v>chr14:50633579-50668353</v>
      </c>
      <c r="F1041" t="s">
        <v>22</v>
      </c>
      <c r="G1041">
        <v>0.24493936261134699</v>
      </c>
      <c r="H1041">
        <v>8.0918815335587896E-2</v>
      </c>
      <c r="I1041">
        <v>3.0269766258382602</v>
      </c>
      <c r="J1041">
        <v>2.47013058240779E-3</v>
      </c>
      <c r="K1041">
        <v>3.3473686568320601E-2</v>
      </c>
      <c r="L1041" t="s">
        <v>23</v>
      </c>
      <c r="M1041" t="s">
        <v>24</v>
      </c>
      <c r="N1041">
        <v>877.30936371995097</v>
      </c>
      <c r="O1041">
        <v>790.70472775977498</v>
      </c>
      <c r="P1041">
        <v>963.913999680129</v>
      </c>
      <c r="Q1041">
        <v>793.86773525556396</v>
      </c>
      <c r="R1041">
        <v>787.54172026398601</v>
      </c>
      <c r="S1041">
        <v>1008.20385018091</v>
      </c>
      <c r="T1041">
        <v>919.62414917934802</v>
      </c>
    </row>
    <row r="1042" spans="1:20" x14ac:dyDescent="0.2">
      <c r="A1042" t="s">
        <v>2071</v>
      </c>
      <c r="B1042" s="3" t="str">
        <f>HYPERLINK("http://www.ncbi.nlm.nih.gov/gene/1163","CKS1B")</f>
        <v>CKS1B</v>
      </c>
      <c r="C1042">
        <v>1163</v>
      </c>
      <c r="D1042" t="s">
        <v>2072</v>
      </c>
      <c r="E1042" s="3" t="str">
        <f>HYPERLINK("http://genome.ucsc.edu/cgi-bin/hgTracks?db=hg19&amp;lastVirtModeType=default&amp;lastVirtModeExtraState=&amp;virtModeType=default&amp;virtMode=0&amp;nonVirtPosition=&amp;position=chr1:154974641-154979249","chr1:154974641-154979249")</f>
        <v>chr1:154974641-154979249</v>
      </c>
      <c r="F1042" t="s">
        <v>27</v>
      </c>
      <c r="G1042">
        <v>-0.35463895823914698</v>
      </c>
      <c r="H1042">
        <v>0.117208844050971</v>
      </c>
      <c r="I1042">
        <v>-3.02570135479644</v>
      </c>
      <c r="J1042">
        <v>2.4805717809095401E-3</v>
      </c>
      <c r="K1042">
        <v>3.3548877123662099E-2</v>
      </c>
      <c r="L1042" t="s">
        <v>23</v>
      </c>
      <c r="M1042" t="s">
        <v>24</v>
      </c>
      <c r="N1042">
        <v>165.71310619919399</v>
      </c>
      <c r="O1042">
        <v>201.274604838263</v>
      </c>
      <c r="P1042">
        <v>130.151607560125</v>
      </c>
      <c r="Q1042">
        <v>220.13663369305101</v>
      </c>
      <c r="R1042">
        <v>182.41257598347499</v>
      </c>
      <c r="S1042">
        <v>122.32610315306501</v>
      </c>
      <c r="T1042">
        <v>137.97711196718501</v>
      </c>
    </row>
    <row r="1043" spans="1:20" x14ac:dyDescent="0.2">
      <c r="A1043" t="s">
        <v>2073</v>
      </c>
      <c r="B1043" s="3" t="str">
        <f>HYPERLINK("http://www.ncbi.nlm.nih.gov/gene/5364","PLXNB1")</f>
        <v>PLXNB1</v>
      </c>
      <c r="C1043">
        <v>5364</v>
      </c>
      <c r="D1043" t="s">
        <v>2074</v>
      </c>
      <c r="E1043" s="3" t="str">
        <f>HYPERLINK("http://genome.ucsc.edu/cgi-bin/hgTracks?db=hg19&amp;lastVirtModeType=default&amp;lastVirtModeExtraState=&amp;virtModeType=default&amp;virtMode=0&amp;nonVirtPosition=&amp;position=chr3:48403853-48429463","chr3:48403853-48429463")</f>
        <v>chr3:48403853-48429463</v>
      </c>
      <c r="F1043" t="s">
        <v>22</v>
      </c>
      <c r="G1043">
        <v>-0.25412224634311398</v>
      </c>
      <c r="H1043">
        <v>8.4052210362278904E-2</v>
      </c>
      <c r="I1043">
        <v>-3.02338564622876</v>
      </c>
      <c r="J1043">
        <v>2.4996347902038001E-3</v>
      </c>
      <c r="K1043">
        <v>3.3744287298699299E-2</v>
      </c>
      <c r="L1043" t="s">
        <v>23</v>
      </c>
      <c r="M1043" t="s">
        <v>24</v>
      </c>
      <c r="N1043">
        <v>750.15705148488701</v>
      </c>
      <c r="O1043">
        <v>826.48774425616205</v>
      </c>
      <c r="P1043">
        <v>673.82635871361299</v>
      </c>
      <c r="Q1043">
        <v>796.61944317672703</v>
      </c>
      <c r="R1043">
        <v>856.35604533559695</v>
      </c>
      <c r="S1043">
        <v>688.57758065193104</v>
      </c>
      <c r="T1043">
        <v>659.07513677529403</v>
      </c>
    </row>
    <row r="1044" spans="1:20" x14ac:dyDescent="0.2">
      <c r="A1044" t="s">
        <v>2075</v>
      </c>
      <c r="B1044" s="3" t="str">
        <f>HYPERLINK("http://www.ncbi.nlm.nih.gov/gene/84930","MASTL")</f>
        <v>MASTL</v>
      </c>
      <c r="C1044">
        <v>84930</v>
      </c>
      <c r="D1044" t="s">
        <v>2076</v>
      </c>
      <c r="E1044" s="3" t="str">
        <f>HYPERLINK("http://genome.ucsc.edu/cgi-bin/hgTracks?db=hg19&amp;lastVirtModeType=default&amp;lastVirtModeExtraState=&amp;virtModeType=default&amp;virtMode=0&amp;nonVirtPosition=&amp;position=chr10:27154823-27187953","chr10:27154823-27187953")</f>
        <v>chr10:27154823-27187953</v>
      </c>
      <c r="F1044" t="s">
        <v>27</v>
      </c>
      <c r="G1044">
        <v>-0.26545688362256598</v>
      </c>
      <c r="H1044">
        <v>8.78022763194891E-2</v>
      </c>
      <c r="I1044">
        <v>-3.0233485366215298</v>
      </c>
      <c r="J1044">
        <v>2.4999413661571002E-3</v>
      </c>
      <c r="K1044">
        <v>3.3744287298699299E-2</v>
      </c>
      <c r="L1044" t="s">
        <v>23</v>
      </c>
      <c r="M1044" t="s">
        <v>24</v>
      </c>
      <c r="N1044">
        <v>648.88808927458797</v>
      </c>
      <c r="O1044">
        <v>719.22834762413697</v>
      </c>
      <c r="P1044">
        <v>578.54783092503999</v>
      </c>
      <c r="Q1044">
        <v>704.43722781776205</v>
      </c>
      <c r="R1044">
        <v>734.01946743051099</v>
      </c>
      <c r="S1044">
        <v>597.81950411901198</v>
      </c>
      <c r="T1044">
        <v>559.27615773106697</v>
      </c>
    </row>
    <row r="1045" spans="1:20" x14ac:dyDescent="0.2">
      <c r="A1045" t="s">
        <v>2077</v>
      </c>
      <c r="B1045" s="3" t="str">
        <f>HYPERLINK("http://www.ncbi.nlm.nih.gov/gene/27063","ANKRD1")</f>
        <v>ANKRD1</v>
      </c>
      <c r="C1045">
        <v>27063</v>
      </c>
      <c r="D1045" t="s">
        <v>2078</v>
      </c>
      <c r="E1045" s="3" t="str">
        <f>HYPERLINK("http://genome.ucsc.edu/cgi-bin/hgTracks?db=hg19&amp;lastVirtModeType=default&amp;lastVirtModeExtraState=&amp;virtModeType=default&amp;virtMode=0&amp;nonVirtPosition=&amp;position=chr10:90912099-90921275","chr10:90912099-90921275")</f>
        <v>chr10:90912099-90921275</v>
      </c>
      <c r="F1045" t="s">
        <v>22</v>
      </c>
      <c r="G1045">
        <v>-0.30773565363362299</v>
      </c>
      <c r="H1045">
        <v>0.101844721726933</v>
      </c>
      <c r="I1045">
        <v>-3.0216161271344699</v>
      </c>
      <c r="J1045">
        <v>2.5142917749199998E-3</v>
      </c>
      <c r="K1045">
        <v>3.3904618880288E-2</v>
      </c>
      <c r="L1045" t="s">
        <v>23</v>
      </c>
      <c r="M1045" t="s">
        <v>24</v>
      </c>
      <c r="N1045">
        <v>419.24906551818202</v>
      </c>
      <c r="O1045">
        <v>478.52636763747302</v>
      </c>
      <c r="P1045">
        <v>359.97176339889103</v>
      </c>
      <c r="Q1045">
        <v>456.78351491308001</v>
      </c>
      <c r="R1045">
        <v>500.26922036186602</v>
      </c>
      <c r="S1045">
        <v>331.464279511531</v>
      </c>
      <c r="T1045">
        <v>388.47924728624997</v>
      </c>
    </row>
    <row r="1046" spans="1:20" x14ac:dyDescent="0.2">
      <c r="A1046" t="s">
        <v>2079</v>
      </c>
      <c r="B1046" s="3" t="str">
        <f>HYPERLINK("http://www.ncbi.nlm.nih.gov/gene/29965","CDIP1")</f>
        <v>CDIP1</v>
      </c>
      <c r="C1046">
        <v>29965</v>
      </c>
      <c r="D1046" t="s">
        <v>2080</v>
      </c>
      <c r="E1046" s="3" t="str">
        <f>HYPERLINK("http://genome.ucsc.edu/cgi-bin/hgTracks?db=hg19&amp;lastVirtModeType=default&amp;lastVirtModeExtraState=&amp;virtModeType=default&amp;virtMode=0&amp;nonVirtPosition=&amp;position=chr16:4510675-4538815","chr16:4510675-4538815")</f>
        <v>chr16:4510675-4538815</v>
      </c>
      <c r="F1046" t="s">
        <v>22</v>
      </c>
      <c r="G1046">
        <v>-0.202318279195529</v>
      </c>
      <c r="H1046">
        <v>6.69946745330504E-2</v>
      </c>
      <c r="I1046">
        <v>-3.0199158456351598</v>
      </c>
      <c r="J1046">
        <v>2.52844928396632E-3</v>
      </c>
      <c r="K1046">
        <v>3.4062036817597403E-2</v>
      </c>
      <c r="L1046" t="s">
        <v>23</v>
      </c>
      <c r="M1046" t="s">
        <v>24</v>
      </c>
      <c r="N1046">
        <v>1567.57336775466</v>
      </c>
      <c r="O1046">
        <v>1687.04122936161</v>
      </c>
      <c r="P1046">
        <v>1448.10550614772</v>
      </c>
      <c r="Q1046">
        <v>1611.1249878410099</v>
      </c>
      <c r="R1046">
        <v>1762.9574708822099</v>
      </c>
      <c r="S1046">
        <v>1433.3857087209999</v>
      </c>
      <c r="T1046">
        <v>1462.8253035744301</v>
      </c>
    </row>
    <row r="1047" spans="1:20" x14ac:dyDescent="0.2">
      <c r="A1047" t="s">
        <v>2081</v>
      </c>
      <c r="B1047" s="3" t="str">
        <f>HYPERLINK("http://www.ncbi.nlm.nih.gov/gene/1953","MEGF6")</f>
        <v>MEGF6</v>
      </c>
      <c r="C1047">
        <v>1953</v>
      </c>
      <c r="D1047" t="s">
        <v>2082</v>
      </c>
      <c r="E1047" s="3" t="str">
        <f>HYPERLINK("http://genome.ucsc.edu/cgi-bin/hgTracks?db=hg19&amp;lastVirtModeType=default&amp;lastVirtModeExtraState=&amp;virtModeType=default&amp;virtMode=0&amp;nonVirtPosition=&amp;position=chr1:3487941-3611495","chr1:3487941-3611495")</f>
        <v>chr1:3487941-3611495</v>
      </c>
      <c r="F1047" t="s">
        <v>22</v>
      </c>
      <c r="G1047">
        <v>-0.22782116613609099</v>
      </c>
      <c r="H1047">
        <v>7.5476909496334704E-2</v>
      </c>
      <c r="I1047">
        <v>-3.01842202676773</v>
      </c>
      <c r="J1047">
        <v>2.5409478008453401E-3</v>
      </c>
      <c r="K1047">
        <v>3.4196818587627999E-2</v>
      </c>
      <c r="L1047" t="s">
        <v>23</v>
      </c>
      <c r="M1047" t="s">
        <v>24</v>
      </c>
      <c r="N1047">
        <v>1469.8621444476901</v>
      </c>
      <c r="O1047">
        <v>1603.2024980097699</v>
      </c>
      <c r="P1047">
        <v>1336.52179088561</v>
      </c>
      <c r="Q1047">
        <v>1645.5213368555501</v>
      </c>
      <c r="R1047">
        <v>1560.8836591639899</v>
      </c>
      <c r="S1047">
        <v>1222.2745306987699</v>
      </c>
      <c r="T1047">
        <v>1450.7690510724501</v>
      </c>
    </row>
    <row r="1048" spans="1:20" x14ac:dyDescent="0.2">
      <c r="A1048" t="s">
        <v>2083</v>
      </c>
      <c r="B1048" s="3" t="str">
        <f>HYPERLINK("http://www.ncbi.nlm.nih.gov/gene/7296","TXNRD1")</f>
        <v>TXNRD1</v>
      </c>
      <c r="C1048">
        <v>7296</v>
      </c>
      <c r="D1048" t="s">
        <v>2084</v>
      </c>
      <c r="E1048" s="3" t="str">
        <f>HYPERLINK("http://genome.ucsc.edu/cgi-bin/hgTracks?db=hg19&amp;lastVirtModeType=default&amp;lastVirtModeExtraState=&amp;virtModeType=default&amp;virtMode=0&amp;nonVirtPosition=&amp;position=chr12:104286681-104350307","chr12:104286681-104350307")</f>
        <v>chr12:104286681-104350307</v>
      </c>
      <c r="F1048" t="s">
        <v>27</v>
      </c>
      <c r="G1048">
        <v>0.137004575438572</v>
      </c>
      <c r="H1048">
        <v>4.5402472553455801E-2</v>
      </c>
      <c r="I1048">
        <v>3.0175575851571899</v>
      </c>
      <c r="J1048">
        <v>2.5482062154203902E-3</v>
      </c>
      <c r="K1048">
        <v>3.4260882390465902E-2</v>
      </c>
      <c r="L1048" t="s">
        <v>23</v>
      </c>
      <c r="M1048" t="s">
        <v>24</v>
      </c>
      <c r="N1048">
        <v>27500.791644187299</v>
      </c>
      <c r="O1048">
        <v>26140.201690851802</v>
      </c>
      <c r="P1048">
        <v>28861.381597522701</v>
      </c>
      <c r="Q1048">
        <v>25439.5397311532</v>
      </c>
      <c r="R1048">
        <v>26840.863650550498</v>
      </c>
      <c r="S1048">
        <v>29767.662601965701</v>
      </c>
      <c r="T1048">
        <v>27955.1005930797</v>
      </c>
    </row>
    <row r="1049" spans="1:20" x14ac:dyDescent="0.2">
      <c r="A1049" t="s">
        <v>2085</v>
      </c>
      <c r="B1049" s="3" t="str">
        <f>HYPERLINK("http://www.ncbi.nlm.nih.gov/gene/64983","MRPL32")</f>
        <v>MRPL32</v>
      </c>
      <c r="C1049">
        <v>64983</v>
      </c>
      <c r="D1049" t="s">
        <v>2086</v>
      </c>
      <c r="E1049" s="3" t="str">
        <f>HYPERLINK("http://genome.ucsc.edu/cgi-bin/hgTracks?db=hg19&amp;lastVirtModeType=default&amp;lastVirtModeExtraState=&amp;virtModeType=default&amp;virtMode=0&amp;nonVirtPosition=&amp;position=chr7:42932339-42937854","chr7:42932339-42937854")</f>
        <v>chr7:42932339-42937854</v>
      </c>
      <c r="F1049" t="s">
        <v>27</v>
      </c>
      <c r="G1049">
        <v>0.225372699879267</v>
      </c>
      <c r="H1049">
        <v>7.47338838570865E-2</v>
      </c>
      <c r="I1049">
        <v>3.0156695764701098</v>
      </c>
      <c r="J1049">
        <v>2.5641251467451499E-3</v>
      </c>
      <c r="K1049">
        <v>3.4420069107402702E-2</v>
      </c>
      <c r="L1049" t="s">
        <v>23</v>
      </c>
      <c r="M1049" t="s">
        <v>24</v>
      </c>
      <c r="N1049">
        <v>1244.57818834267</v>
      </c>
      <c r="O1049">
        <v>1133.8715962522101</v>
      </c>
      <c r="P1049">
        <v>1355.28478043312</v>
      </c>
      <c r="Q1049">
        <v>1129.5761016374699</v>
      </c>
      <c r="R1049">
        <v>1138.16709086695</v>
      </c>
      <c r="S1049">
        <v>1439.3047137122701</v>
      </c>
      <c r="T1049">
        <v>1271.2648471539701</v>
      </c>
    </row>
    <row r="1050" spans="1:20" x14ac:dyDescent="0.2">
      <c r="A1050" t="s">
        <v>2087</v>
      </c>
      <c r="B1050" s="3" t="str">
        <f>HYPERLINK("http://www.ncbi.nlm.nih.gov/gene/79776","ZFHX4")</f>
        <v>ZFHX4</v>
      </c>
      <c r="C1050">
        <v>79776</v>
      </c>
      <c r="D1050" t="s">
        <v>2088</v>
      </c>
      <c r="E1050" s="3" t="str">
        <f>HYPERLINK("http://genome.ucsc.edu/cgi-bin/hgTracks?db=hg19&amp;lastVirtModeType=default&amp;lastVirtModeExtraState=&amp;virtModeType=default&amp;virtMode=0&amp;nonVirtPosition=&amp;position=chr8:76681279-76867285","chr8:76681279-76867285")</f>
        <v>chr8:76681279-76867285</v>
      </c>
      <c r="F1050" t="s">
        <v>27</v>
      </c>
      <c r="G1050">
        <v>-0.211346424696956</v>
      </c>
      <c r="H1050">
        <v>7.00853371597666E-2</v>
      </c>
      <c r="I1050">
        <v>-3.0155583644432</v>
      </c>
      <c r="J1050">
        <v>2.56506567214274E-3</v>
      </c>
      <c r="K1050">
        <v>3.4420069107402702E-2</v>
      </c>
      <c r="L1050" t="s">
        <v>23</v>
      </c>
      <c r="M1050" t="s">
        <v>24</v>
      </c>
      <c r="N1050">
        <v>1375.29070045053</v>
      </c>
      <c r="O1050">
        <v>1488.06627716508</v>
      </c>
      <c r="P1050">
        <v>1262.5151237359901</v>
      </c>
      <c r="Q1050">
        <v>1492.8015472310001</v>
      </c>
      <c r="R1050">
        <v>1483.3310070991599</v>
      </c>
      <c r="S1050">
        <v>1203.53101489306</v>
      </c>
      <c r="T1050">
        <v>1321.4992325789201</v>
      </c>
    </row>
    <row r="1051" spans="1:20" x14ac:dyDescent="0.2">
      <c r="A1051" t="s">
        <v>2089</v>
      </c>
      <c r="B1051" s="3" t="str">
        <f>HYPERLINK("http://www.ncbi.nlm.nih.gov/gene/5270","SERPINE2")</f>
        <v>SERPINE2</v>
      </c>
      <c r="C1051">
        <v>5270</v>
      </c>
      <c r="D1051" t="s">
        <v>2090</v>
      </c>
      <c r="E1051" s="3" t="str">
        <f>HYPERLINK("http://genome.ucsc.edu/cgi-bin/hgTracks?db=hg19&amp;lastVirtModeType=default&amp;lastVirtModeExtraState=&amp;virtModeType=default&amp;virtMode=0&amp;nonVirtPosition=&amp;position=chr2:223975047-224039319","chr2:223975047-224039319")</f>
        <v>chr2:223975047-224039319</v>
      </c>
      <c r="F1051" t="s">
        <v>22</v>
      </c>
      <c r="G1051">
        <v>0.13357965945599801</v>
      </c>
      <c r="H1051">
        <v>4.4347913220521597E-2</v>
      </c>
      <c r="I1051">
        <v>3.0120844422096802</v>
      </c>
      <c r="J1051">
        <v>2.5946041145528198E-3</v>
      </c>
      <c r="K1051">
        <v>3.4748438307595102E-2</v>
      </c>
      <c r="L1051" t="s">
        <v>23</v>
      </c>
      <c r="M1051" t="s">
        <v>24</v>
      </c>
      <c r="N1051">
        <v>21257.029233453799</v>
      </c>
      <c r="O1051">
        <v>20236.736790013802</v>
      </c>
      <c r="P1051">
        <v>22277.321676893702</v>
      </c>
      <c r="Q1051">
        <v>19698.101153646301</v>
      </c>
      <c r="R1051">
        <v>20775.3724263814</v>
      </c>
      <c r="S1051">
        <v>21666.517770570699</v>
      </c>
      <c r="T1051">
        <v>22888.125583216799</v>
      </c>
    </row>
    <row r="1052" spans="1:20" x14ac:dyDescent="0.2">
      <c r="A1052" t="s">
        <v>2091</v>
      </c>
      <c r="B1052" s="3" t="str">
        <f>HYPERLINK("http://www.ncbi.nlm.nih.gov/gene/79792","GSDMD")</f>
        <v>GSDMD</v>
      </c>
      <c r="C1052">
        <v>79792</v>
      </c>
      <c r="D1052" t="s">
        <v>2092</v>
      </c>
      <c r="E1052" s="3" t="str">
        <f>HYPERLINK("http://genome.ucsc.edu/cgi-bin/hgTracks?db=hg19&amp;lastVirtModeType=default&amp;lastVirtModeExtraState=&amp;virtModeType=default&amp;virtMode=0&amp;nonVirtPosition=&amp;position=chr8:143558306-143563061","chr8:143558306-143563061")</f>
        <v>chr8:143558306-143563061</v>
      </c>
      <c r="F1052" t="s">
        <v>27</v>
      </c>
      <c r="G1052">
        <v>-0.300367332253412</v>
      </c>
      <c r="H1052">
        <v>0.10000990260124901</v>
      </c>
      <c r="I1052">
        <v>-3.0033759101937401</v>
      </c>
      <c r="J1052">
        <v>2.6700240912255701E-3</v>
      </c>
      <c r="K1052">
        <v>3.5723619889821999E-2</v>
      </c>
      <c r="L1052" t="s">
        <v>23</v>
      </c>
      <c r="M1052" t="s">
        <v>24</v>
      </c>
      <c r="N1052">
        <v>492.93113994364199</v>
      </c>
      <c r="O1052">
        <v>560.05398651956796</v>
      </c>
      <c r="P1052">
        <v>425.80829336771598</v>
      </c>
      <c r="Q1052">
        <v>532.45548274506598</v>
      </c>
      <c r="R1052">
        <v>587.65249029407005</v>
      </c>
      <c r="S1052">
        <v>382.762322769268</v>
      </c>
      <c r="T1052">
        <v>468.85426396616401</v>
      </c>
    </row>
    <row r="1053" spans="1:20" x14ac:dyDescent="0.2">
      <c r="A1053" t="s">
        <v>2093</v>
      </c>
      <c r="B1053" s="3" t="str">
        <f>HYPERLINK("http://www.ncbi.nlm.nih.gov/gene/5514","PPP1R10")</f>
        <v>PPP1R10</v>
      </c>
      <c r="C1053">
        <v>5514</v>
      </c>
      <c r="D1053" t="s">
        <v>2094</v>
      </c>
      <c r="E1053" s="3" t="str">
        <f>HYPERLINK("http://genome.ucsc.edu/cgi-bin/hgTracks?db=hg19&amp;lastVirtModeType=default&amp;lastVirtModeExtraState=&amp;virtModeType=default&amp;virtMode=0&amp;nonVirtPosition=&amp;position=chr6:30600399-30617307","chr6:30600399-30617307")</f>
        <v>chr6:30600399-30617307</v>
      </c>
      <c r="F1053" t="s">
        <v>22</v>
      </c>
      <c r="G1053">
        <v>-0.18346615213338799</v>
      </c>
      <c r="H1053">
        <v>6.1148169583965302E-2</v>
      </c>
      <c r="I1053">
        <v>-3.0003539497852398</v>
      </c>
      <c r="J1053">
        <v>2.6966604248208899E-3</v>
      </c>
      <c r="K1053">
        <v>3.59993226838069E-2</v>
      </c>
      <c r="L1053" t="s">
        <v>23</v>
      </c>
      <c r="M1053" t="s">
        <v>24</v>
      </c>
      <c r="N1053">
        <v>2426.3088789213198</v>
      </c>
      <c r="O1053">
        <v>2589.3745172500198</v>
      </c>
      <c r="P1053">
        <v>2263.2432405926202</v>
      </c>
      <c r="Q1053">
        <v>2497.1749384555401</v>
      </c>
      <c r="R1053">
        <v>2681.5740960445</v>
      </c>
      <c r="S1053">
        <v>2359.7099898558999</v>
      </c>
      <c r="T1053">
        <v>2166.7764913293399</v>
      </c>
    </row>
    <row r="1054" spans="1:20" x14ac:dyDescent="0.2">
      <c r="A1054" t="s">
        <v>2095</v>
      </c>
      <c r="B1054" s="3" t="str">
        <f>HYPERLINK("http://www.ncbi.nlm.nih.gov/gene/23064","SETX")</f>
        <v>SETX</v>
      </c>
      <c r="C1054">
        <v>23064</v>
      </c>
      <c r="D1054" t="s">
        <v>2096</v>
      </c>
      <c r="E1054" s="3" t="str">
        <f>HYPERLINK("http://genome.ucsc.edu/cgi-bin/hgTracks?db=hg19&amp;lastVirtModeType=default&amp;lastVirtModeExtraState=&amp;virtModeType=default&amp;virtMode=0&amp;nonVirtPosition=&amp;position=chr9:132261439-132354985","chr9:132261439-132354985")</f>
        <v>chr9:132261439-132354985</v>
      </c>
      <c r="F1054" t="s">
        <v>22</v>
      </c>
      <c r="G1054">
        <v>0.15365635936848601</v>
      </c>
      <c r="H1054">
        <v>5.1216012075082598E-2</v>
      </c>
      <c r="I1054">
        <v>3.0001625105684901</v>
      </c>
      <c r="J1054">
        <v>2.6983559699308799E-3</v>
      </c>
      <c r="K1054">
        <v>3.59993226838069E-2</v>
      </c>
      <c r="L1054" t="s">
        <v>23</v>
      </c>
      <c r="M1054" t="s">
        <v>24</v>
      </c>
      <c r="N1054">
        <v>4646.1116453558398</v>
      </c>
      <c r="O1054">
        <v>4385.3345602906702</v>
      </c>
      <c r="P1054">
        <v>4906.8887304210102</v>
      </c>
      <c r="Q1054">
        <v>4205.9855574978501</v>
      </c>
      <c r="R1054">
        <v>4564.6835630834903</v>
      </c>
      <c r="S1054">
        <v>4796.3670445984098</v>
      </c>
      <c r="T1054">
        <v>5017.4104162436197</v>
      </c>
    </row>
    <row r="1055" spans="1:20" x14ac:dyDescent="0.2">
      <c r="A1055" t="s">
        <v>2097</v>
      </c>
      <c r="B1055" s="3" t="str">
        <f>HYPERLINK("http://www.ncbi.nlm.nih.gov/gene/8882","ZPR1")</f>
        <v>ZPR1</v>
      </c>
      <c r="C1055">
        <v>8882</v>
      </c>
      <c r="D1055" t="s">
        <v>2098</v>
      </c>
      <c r="E1055" s="3" t="str">
        <f>HYPERLINK("http://genome.ucsc.edu/cgi-bin/hgTracks?db=hg19&amp;lastVirtModeType=default&amp;lastVirtModeExtraState=&amp;virtModeType=default&amp;virtMode=0&amp;nonVirtPosition=&amp;position=chr11:116778188-116788038","chr11:116778188-116788038")</f>
        <v>chr11:116778188-116788038</v>
      </c>
      <c r="F1055" t="s">
        <v>22</v>
      </c>
      <c r="G1055">
        <v>0.17276566838312099</v>
      </c>
      <c r="H1055">
        <v>5.7585760556853799E-2</v>
      </c>
      <c r="I1055">
        <v>3.0001456386523002</v>
      </c>
      <c r="J1055">
        <v>2.6985054483705398E-3</v>
      </c>
      <c r="K1055">
        <v>3.59993226838069E-2</v>
      </c>
      <c r="L1055" t="s">
        <v>23</v>
      </c>
      <c r="M1055" t="s">
        <v>24</v>
      </c>
      <c r="N1055">
        <v>2290.6000265350299</v>
      </c>
      <c r="O1055">
        <v>2145.2286014985598</v>
      </c>
      <c r="P1055">
        <v>2435.97145157149</v>
      </c>
      <c r="Q1055">
        <v>2140.8287626649199</v>
      </c>
      <c r="R1055">
        <v>2149.6284403322102</v>
      </c>
      <c r="S1055">
        <v>2386.34551231665</v>
      </c>
      <c r="T1055">
        <v>2485.59739082634</v>
      </c>
    </row>
    <row r="1056" spans="1:20" x14ac:dyDescent="0.2">
      <c r="A1056" t="s">
        <v>2099</v>
      </c>
      <c r="B1056" s="3" t="str">
        <f>HYPERLINK("http://www.ncbi.nlm.nih.gov/gene/5141","PDE4A")</f>
        <v>PDE4A</v>
      </c>
      <c r="C1056">
        <v>5141</v>
      </c>
      <c r="D1056" t="s">
        <v>2100</v>
      </c>
      <c r="E1056" s="3" t="str">
        <f>HYPERLINK("http://genome.ucsc.edu/cgi-bin/hgTracks?db=hg19&amp;lastVirtModeType=default&amp;lastVirtModeExtraState=&amp;virtModeType=default&amp;virtMode=0&amp;nonVirtPosition=&amp;position=chr19:10416772-10469631","chr19:10416772-10469631")</f>
        <v>chr19:10416772-10469631</v>
      </c>
      <c r="F1056" t="s">
        <v>27</v>
      </c>
      <c r="G1056">
        <v>0.211906287548704</v>
      </c>
      <c r="H1056">
        <v>7.0656211196425803E-2</v>
      </c>
      <c r="I1056">
        <v>2.9991176141556699</v>
      </c>
      <c r="J1056">
        <v>2.7076276239645599E-3</v>
      </c>
      <c r="K1056">
        <v>3.6085913736686098E-2</v>
      </c>
      <c r="L1056" t="s">
        <v>23</v>
      </c>
      <c r="M1056" t="s">
        <v>24</v>
      </c>
      <c r="N1056">
        <v>1220.6212135626399</v>
      </c>
      <c r="O1056">
        <v>1121.9981781797501</v>
      </c>
      <c r="P1056">
        <v>1319.24424894553</v>
      </c>
      <c r="Q1056">
        <v>1130.9519555980501</v>
      </c>
      <c r="R1056">
        <v>1113.0444007614501</v>
      </c>
      <c r="S1056">
        <v>1298.2350947535001</v>
      </c>
      <c r="T1056">
        <v>1340.2534031375601</v>
      </c>
    </row>
    <row r="1057" spans="1:20" x14ac:dyDescent="0.2">
      <c r="A1057" t="s">
        <v>2101</v>
      </c>
      <c r="B1057" s="3" t="str">
        <f>HYPERLINK("http://www.ncbi.nlm.nih.gov/gene/9401","RECQL4")</f>
        <v>RECQL4</v>
      </c>
      <c r="C1057">
        <v>9401</v>
      </c>
      <c r="D1057" t="s">
        <v>2102</v>
      </c>
      <c r="E1057" s="3" t="str">
        <f>HYPERLINK("http://genome.ucsc.edu/cgi-bin/hgTracks?db=hg19&amp;lastVirtModeType=default&amp;lastVirtModeExtraState=&amp;virtModeType=default&amp;virtMode=0&amp;nonVirtPosition=&amp;position=chr8:144511283-144517826","chr8:144511283-144517826")</f>
        <v>chr8:144511283-144517826</v>
      </c>
      <c r="F1057" t="s">
        <v>22</v>
      </c>
      <c r="G1057">
        <v>-0.29499507684989801</v>
      </c>
      <c r="H1057">
        <v>9.8413784148659797E-2</v>
      </c>
      <c r="I1057">
        <v>-2.9974975497770702</v>
      </c>
      <c r="J1057">
        <v>2.72206046894059E-3</v>
      </c>
      <c r="K1057">
        <v>3.6243045894224502E-2</v>
      </c>
      <c r="L1057" t="s">
        <v>23</v>
      </c>
      <c r="M1057" t="s">
        <v>24</v>
      </c>
      <c r="N1057">
        <v>438.04951485241099</v>
      </c>
      <c r="O1057">
        <v>494.83189141389198</v>
      </c>
      <c r="P1057">
        <v>381.26713829093001</v>
      </c>
      <c r="Q1057">
        <v>471.91790847947698</v>
      </c>
      <c r="R1057">
        <v>517.74587434830698</v>
      </c>
      <c r="S1057">
        <v>382.762322769268</v>
      </c>
      <c r="T1057">
        <v>379.77195381259298</v>
      </c>
    </row>
    <row r="1058" spans="1:20" x14ac:dyDescent="0.2">
      <c r="A1058" t="s">
        <v>2103</v>
      </c>
      <c r="B1058" s="3" t="str">
        <f>HYPERLINK("http://www.ncbi.nlm.nih.gov/gene/26040","SETBP1")</f>
        <v>SETBP1</v>
      </c>
      <c r="C1058">
        <v>26040</v>
      </c>
      <c r="D1058" t="s">
        <v>2104</v>
      </c>
      <c r="E1058" s="3" t="str">
        <f>HYPERLINK("http://genome.ucsc.edu/cgi-bin/hgTracks?db=hg19&amp;lastVirtModeType=default&amp;lastVirtModeExtraState=&amp;virtModeType=default&amp;virtMode=0&amp;nonVirtPosition=&amp;position=chr18:44680897-45068510","chr18:44680897-45068510")</f>
        <v>chr18:44680897-45068510</v>
      </c>
      <c r="F1058" t="s">
        <v>27</v>
      </c>
      <c r="G1058">
        <v>-0.35453660646540902</v>
      </c>
      <c r="H1058">
        <v>0.118374358348614</v>
      </c>
      <c r="I1058">
        <v>-2.99504564511592</v>
      </c>
      <c r="J1058">
        <v>2.7440377516798E-3</v>
      </c>
      <c r="K1058">
        <v>3.65002266988717E-2</v>
      </c>
      <c r="L1058" t="s">
        <v>23</v>
      </c>
      <c r="M1058" t="s">
        <v>24</v>
      </c>
      <c r="N1058">
        <v>105.920208823938</v>
      </c>
      <c r="O1058">
        <v>132.64975269543899</v>
      </c>
      <c r="P1058">
        <v>79.190664952438198</v>
      </c>
      <c r="Q1058">
        <v>126.57856437350399</v>
      </c>
      <c r="R1058">
        <v>138.72094101737301</v>
      </c>
      <c r="S1058">
        <v>73.987562390966801</v>
      </c>
      <c r="T1058">
        <v>84.393767513909594</v>
      </c>
    </row>
    <row r="1059" spans="1:20" x14ac:dyDescent="0.2">
      <c r="A1059" t="s">
        <v>2105</v>
      </c>
      <c r="B1059" s="3" t="str">
        <f>HYPERLINK("http://www.ncbi.nlm.nih.gov/gene/9077","DIRAS3")</f>
        <v>DIRAS3</v>
      </c>
      <c r="C1059">
        <v>9077</v>
      </c>
      <c r="D1059" t="s">
        <v>2106</v>
      </c>
      <c r="E1059" s="3" t="str">
        <f>HYPERLINK("http://genome.ucsc.edu/cgi-bin/hgTracks?db=hg19&amp;lastVirtModeType=default&amp;lastVirtModeExtraState=&amp;virtModeType=default&amp;virtMode=0&amp;nonVirtPosition=&amp;position=chr1:68045961-68051631","chr1:68045961-68051631")</f>
        <v>chr1:68045961-68051631</v>
      </c>
      <c r="F1059" t="s">
        <v>22</v>
      </c>
      <c r="G1059">
        <v>-0.313409151899671</v>
      </c>
      <c r="H1059">
        <v>0.104667855815717</v>
      </c>
      <c r="I1059">
        <v>-2.9943209350870301</v>
      </c>
      <c r="J1059">
        <v>2.75056454942923E-3</v>
      </c>
      <c r="K1059">
        <v>3.6551591308984901E-2</v>
      </c>
      <c r="L1059" t="s">
        <v>23</v>
      </c>
      <c r="M1059" t="s">
        <v>24</v>
      </c>
      <c r="N1059">
        <v>334.13850425488903</v>
      </c>
      <c r="O1059">
        <v>383.32413209268998</v>
      </c>
      <c r="P1059">
        <v>284.95287641708802</v>
      </c>
      <c r="Q1059">
        <v>375.60813123876801</v>
      </c>
      <c r="R1059">
        <v>391.040132946612</v>
      </c>
      <c r="S1059">
        <v>277.20673375815602</v>
      </c>
      <c r="T1059">
        <v>292.69901907602002</v>
      </c>
    </row>
    <row r="1060" spans="1:20" x14ac:dyDescent="0.2">
      <c r="A1060" t="s">
        <v>2107</v>
      </c>
      <c r="B1060" s="3" t="str">
        <f>HYPERLINK("http://www.ncbi.nlm.nih.gov/gene/64710","NUCKS1")</f>
        <v>NUCKS1</v>
      </c>
      <c r="C1060">
        <v>64710</v>
      </c>
      <c r="D1060" t="s">
        <v>2108</v>
      </c>
      <c r="E1060" s="3" t="str">
        <f>HYPERLINK("http://genome.ucsc.edu/cgi-bin/hgTracks?db=hg19&amp;lastVirtModeType=default&amp;lastVirtModeExtraState=&amp;virtModeType=default&amp;virtMode=0&amp;nonVirtPosition=&amp;position=chr1:205712818-205750244","chr1:205712818-205750244")</f>
        <v>chr1:205712818-205750244</v>
      </c>
      <c r="F1060" t="s">
        <v>22</v>
      </c>
      <c r="G1060">
        <v>-0.14185345384377801</v>
      </c>
      <c r="H1060">
        <v>4.7387716408965302E-2</v>
      </c>
      <c r="I1060">
        <v>-2.9934646485083798</v>
      </c>
      <c r="J1060">
        <v>2.7582946121345502E-3</v>
      </c>
      <c r="K1060">
        <v>3.66188308913971E-2</v>
      </c>
      <c r="L1060" t="s">
        <v>23</v>
      </c>
      <c r="M1060" t="s">
        <v>24</v>
      </c>
      <c r="N1060">
        <v>6270.8133180357099</v>
      </c>
      <c r="O1060">
        <v>6593.3431764032102</v>
      </c>
      <c r="P1060">
        <v>5948.2834596682096</v>
      </c>
      <c r="Q1060">
        <v>6447.2516592852198</v>
      </c>
      <c r="R1060">
        <v>6739.4346935212097</v>
      </c>
      <c r="S1060">
        <v>5755.2458531853399</v>
      </c>
      <c r="T1060">
        <v>6141.3210661510802</v>
      </c>
    </row>
    <row r="1061" spans="1:20" x14ac:dyDescent="0.2">
      <c r="A1061" t="s">
        <v>2109</v>
      </c>
      <c r="B1061" s="3" t="str">
        <f>HYPERLINK("http://www.ncbi.nlm.nih.gov/gene/284207","METRNL")</f>
        <v>METRNL</v>
      </c>
      <c r="C1061">
        <v>284207</v>
      </c>
      <c r="D1061" t="s">
        <v>2110</v>
      </c>
      <c r="E1061" s="3" t="str">
        <f>HYPERLINK("http://genome.ucsc.edu/cgi-bin/hgTracks?db=hg19&amp;lastVirtModeType=default&amp;lastVirtModeExtraState=&amp;virtModeType=default&amp;virtMode=0&amp;nonVirtPosition=&amp;position=chr17:83079690-83095126","chr17:83079690-83095126")</f>
        <v>chr17:83079690-83095126</v>
      </c>
      <c r="F1061" t="s">
        <v>27</v>
      </c>
      <c r="G1061">
        <v>0.19543391876625901</v>
      </c>
      <c r="H1061">
        <v>6.5304736685498493E-2</v>
      </c>
      <c r="I1061">
        <v>2.9926453835569502</v>
      </c>
      <c r="J1061">
        <v>2.7657090357696302E-3</v>
      </c>
      <c r="K1061">
        <v>3.6681754077896297E-2</v>
      </c>
      <c r="L1061" t="s">
        <v>23</v>
      </c>
      <c r="M1061" t="s">
        <v>24</v>
      </c>
      <c r="N1061">
        <v>1931.2043762977901</v>
      </c>
      <c r="O1061">
        <v>1790.87624191396</v>
      </c>
      <c r="P1061">
        <v>2071.5325106816299</v>
      </c>
      <c r="Q1061">
        <v>1807.87210420418</v>
      </c>
      <c r="R1061">
        <v>1773.8803796237401</v>
      </c>
      <c r="S1061">
        <v>1958.2041512809201</v>
      </c>
      <c r="T1061">
        <v>2184.8608700823302</v>
      </c>
    </row>
    <row r="1062" spans="1:20" x14ac:dyDescent="0.2">
      <c r="A1062" t="s">
        <v>2111</v>
      </c>
      <c r="B1062" s="3" t="str">
        <f>HYPERLINK("http://www.ncbi.nlm.nih.gov/gene/10162","LPCAT3")</f>
        <v>LPCAT3</v>
      </c>
      <c r="C1062">
        <v>10162</v>
      </c>
      <c r="D1062" t="s">
        <v>2112</v>
      </c>
      <c r="E1062" s="3" t="str">
        <f>HYPERLINK("http://genome.ucsc.edu/cgi-bin/hgTracks?db=hg19&amp;lastVirtModeType=default&amp;lastVirtModeExtraState=&amp;virtModeType=default&amp;virtMode=0&amp;nonVirtPosition=&amp;position=chr12:6976184-7018538","chr12:6976184-7018538")</f>
        <v>chr12:6976184-7018538</v>
      </c>
      <c r="F1062" t="s">
        <v>22</v>
      </c>
      <c r="G1062">
        <v>-0.29762362558477901</v>
      </c>
      <c r="H1062">
        <v>9.9506204810472093E-2</v>
      </c>
      <c r="I1062">
        <v>-2.99100569810353</v>
      </c>
      <c r="J1062">
        <v>2.7806030471355099E-3</v>
      </c>
      <c r="K1062">
        <v>3.6843662017793599E-2</v>
      </c>
      <c r="L1062" t="s">
        <v>23</v>
      </c>
      <c r="M1062" t="s">
        <v>24</v>
      </c>
      <c r="N1062">
        <v>415.29988419635998</v>
      </c>
      <c r="O1062">
        <v>470.86443438988101</v>
      </c>
      <c r="P1062">
        <v>359.73533400283901</v>
      </c>
      <c r="Q1062">
        <v>488.42815600645599</v>
      </c>
      <c r="R1062">
        <v>453.300712773307</v>
      </c>
      <c r="S1062">
        <v>357.11330114039998</v>
      </c>
      <c r="T1062">
        <v>362.35736686527798</v>
      </c>
    </row>
    <row r="1063" spans="1:20" x14ac:dyDescent="0.2">
      <c r="A1063" t="s">
        <v>2113</v>
      </c>
      <c r="B1063" s="3" t="str">
        <f>HYPERLINK("http://www.ncbi.nlm.nih.gov/gene/8312","AXIN1")</f>
        <v>AXIN1</v>
      </c>
      <c r="C1063">
        <v>8312</v>
      </c>
      <c r="D1063" t="s">
        <v>2114</v>
      </c>
      <c r="E1063" s="3" t="str">
        <f>HYPERLINK("http://genome.ucsc.edu/cgi-bin/hgTracks?db=hg19&amp;lastVirtModeType=default&amp;lastVirtModeExtraState=&amp;virtModeType=default&amp;virtMode=0&amp;nonVirtPosition=&amp;position=chr16:287439-352676","chr16:287439-352676")</f>
        <v>chr16:287439-352676</v>
      </c>
      <c r="F1063" t="s">
        <v>22</v>
      </c>
      <c r="G1063">
        <v>0.226661710608697</v>
      </c>
      <c r="H1063">
        <v>7.5832542647780096E-2</v>
      </c>
      <c r="I1063">
        <v>2.9889767993336802</v>
      </c>
      <c r="J1063">
        <v>2.7991338547302702E-3</v>
      </c>
      <c r="K1063">
        <v>3.7053399308659203E-2</v>
      </c>
      <c r="L1063" t="s">
        <v>23</v>
      </c>
      <c r="M1063" t="s">
        <v>24</v>
      </c>
      <c r="N1063">
        <v>979.73266342028296</v>
      </c>
      <c r="O1063">
        <v>892.94899538646303</v>
      </c>
      <c r="P1063">
        <v>1066.5163314541001</v>
      </c>
      <c r="Q1063">
        <v>895.68092833859998</v>
      </c>
      <c r="R1063">
        <v>890.21706243432595</v>
      </c>
      <c r="S1063">
        <v>1067.39390009368</v>
      </c>
      <c r="T1063">
        <v>1065.6387628145201</v>
      </c>
    </row>
    <row r="1064" spans="1:20" x14ac:dyDescent="0.2">
      <c r="A1064" t="s">
        <v>2115</v>
      </c>
      <c r="B1064" s="3" t="str">
        <f>HYPERLINK("http://www.ncbi.nlm.nih.gov/gene/10962","MLLT11")</f>
        <v>MLLT11</v>
      </c>
      <c r="C1064">
        <v>10962</v>
      </c>
      <c r="D1064" t="s">
        <v>2116</v>
      </c>
      <c r="E1064" s="3" t="str">
        <f>HYPERLINK("http://genome.ucsc.edu/cgi-bin/hgTracks?db=hg19&amp;lastVirtModeType=default&amp;lastVirtModeExtraState=&amp;virtModeType=default&amp;virtMode=0&amp;nonVirtPosition=&amp;position=chr1:151059674-151068497","chr1:151059674-151068497")</f>
        <v>chr1:151059674-151068497</v>
      </c>
      <c r="F1064" t="s">
        <v>27</v>
      </c>
      <c r="G1064">
        <v>0.16400504035829599</v>
      </c>
      <c r="H1064">
        <v>5.48827772281585E-2</v>
      </c>
      <c r="I1064">
        <v>2.9882788124313402</v>
      </c>
      <c r="J1064">
        <v>2.8055348984952302E-3</v>
      </c>
      <c r="K1064">
        <v>3.7102319766599397E-2</v>
      </c>
      <c r="L1064" t="s">
        <v>23</v>
      </c>
      <c r="M1064" t="s">
        <v>24</v>
      </c>
      <c r="N1064">
        <v>3308.6545508285499</v>
      </c>
      <c r="O1064">
        <v>3106.5824744555198</v>
      </c>
      <c r="P1064">
        <v>3510.72662720158</v>
      </c>
      <c r="Q1064">
        <v>3000.7374880284001</v>
      </c>
      <c r="R1064">
        <v>3212.4274608826399</v>
      </c>
      <c r="S1064">
        <v>3613.5525471748201</v>
      </c>
      <c r="T1064">
        <v>3407.9007072283498</v>
      </c>
    </row>
    <row r="1065" spans="1:20" x14ac:dyDescent="0.2">
      <c r="A1065" t="s">
        <v>2117</v>
      </c>
      <c r="B1065" s="3" t="str">
        <f>HYPERLINK("http://www.ncbi.nlm.nih.gov/gene/7874","USP7")</f>
        <v>USP7</v>
      </c>
      <c r="C1065">
        <v>7874</v>
      </c>
      <c r="D1065" t="s">
        <v>2118</v>
      </c>
      <c r="E1065" s="3" t="str">
        <f>HYPERLINK("http://genome.ucsc.edu/cgi-bin/hgTracks?db=hg19&amp;lastVirtModeType=default&amp;lastVirtModeExtraState=&amp;virtModeType=default&amp;virtMode=0&amp;nonVirtPosition=&amp;position=chr16:8892093-8936729","chr16:8892093-8936729")</f>
        <v>chr16:8892093-8936729</v>
      </c>
      <c r="F1065" t="s">
        <v>22</v>
      </c>
      <c r="G1065">
        <v>0.13844290704548201</v>
      </c>
      <c r="H1065">
        <v>4.6345419356001998E-2</v>
      </c>
      <c r="I1065">
        <v>2.9871972024254201</v>
      </c>
      <c r="J1065">
        <v>2.8154804542094699E-3</v>
      </c>
      <c r="K1065">
        <v>3.7197975866116201E-2</v>
      </c>
      <c r="L1065" t="s">
        <v>23</v>
      </c>
      <c r="M1065" t="s">
        <v>24</v>
      </c>
      <c r="N1065">
        <v>4828.9117559155902</v>
      </c>
      <c r="O1065">
        <v>4589.16058660004</v>
      </c>
      <c r="P1065">
        <v>5068.6629252311404</v>
      </c>
      <c r="Q1065">
        <v>4593.9763743818503</v>
      </c>
      <c r="R1065">
        <v>4584.3447988182397</v>
      </c>
      <c r="S1065">
        <v>4975.91019600049</v>
      </c>
      <c r="T1065">
        <v>5161.4156544617999</v>
      </c>
    </row>
    <row r="1066" spans="1:20" x14ac:dyDescent="0.2">
      <c r="A1066" t="s">
        <v>2119</v>
      </c>
      <c r="B1066" s="3" t="str">
        <f>HYPERLINK("http://www.ncbi.nlm.nih.gov/gene/28964","GIT1")</f>
        <v>GIT1</v>
      </c>
      <c r="C1066">
        <v>28964</v>
      </c>
      <c r="D1066" t="s">
        <v>2120</v>
      </c>
      <c r="E1066" s="3" t="str">
        <f>HYPERLINK("http://genome.ucsc.edu/cgi-bin/hgTracks?db=hg19&amp;lastVirtModeType=default&amp;lastVirtModeExtraState=&amp;virtModeType=default&amp;virtMode=0&amp;nonVirtPosition=&amp;position=chr17:29573468-29589592","chr17:29573468-29589592")</f>
        <v>chr17:29573468-29589592</v>
      </c>
      <c r="F1066" t="s">
        <v>22</v>
      </c>
      <c r="G1066">
        <v>0.18848325236369901</v>
      </c>
      <c r="H1066">
        <v>6.3116040238070006E-2</v>
      </c>
      <c r="I1066">
        <v>2.9862971703033199</v>
      </c>
      <c r="J1066">
        <v>2.82378090637413E-3</v>
      </c>
      <c r="K1066">
        <v>3.7271733734374202E-2</v>
      </c>
      <c r="L1066" t="s">
        <v>23</v>
      </c>
      <c r="M1066" t="s">
        <v>24</v>
      </c>
      <c r="N1066">
        <v>1928.8048001553</v>
      </c>
      <c r="O1066">
        <v>1791.89542336625</v>
      </c>
      <c r="P1066">
        <v>2065.7141769443501</v>
      </c>
      <c r="Q1066">
        <v>1717.06574280579</v>
      </c>
      <c r="R1066">
        <v>1866.7251039267001</v>
      </c>
      <c r="S1066">
        <v>2026.2727086806101</v>
      </c>
      <c r="T1066">
        <v>2105.1556452080799</v>
      </c>
    </row>
    <row r="1067" spans="1:20" x14ac:dyDescent="0.2">
      <c r="A1067" t="s">
        <v>2121</v>
      </c>
      <c r="B1067" s="3" t="str">
        <f>HYPERLINK("http://www.ncbi.nlm.nih.gov/gene/55323","LARP6")</f>
        <v>LARP6</v>
      </c>
      <c r="C1067">
        <v>55323</v>
      </c>
      <c r="D1067" t="s">
        <v>2122</v>
      </c>
      <c r="E1067" s="3" t="str">
        <f>HYPERLINK("http://genome.ucsc.edu/cgi-bin/hgTracks?db=hg19&amp;lastVirtModeType=default&amp;lastVirtModeExtraState=&amp;virtModeType=default&amp;virtMode=0&amp;nonVirtPosition=&amp;position=chr15:70831523-70853458","chr15:70831523-70853458")</f>
        <v>chr15:70831523-70853458</v>
      </c>
      <c r="F1067" t="s">
        <v>22</v>
      </c>
      <c r="G1067">
        <v>0.170204744257825</v>
      </c>
      <c r="H1067">
        <v>5.7030752934923601E-2</v>
      </c>
      <c r="I1067">
        <v>2.9844379654612201</v>
      </c>
      <c r="J1067">
        <v>2.84099802573194E-3</v>
      </c>
      <c r="K1067">
        <v>3.7462929735468997E-2</v>
      </c>
      <c r="L1067" t="s">
        <v>23</v>
      </c>
      <c r="M1067" t="s">
        <v>24</v>
      </c>
      <c r="N1067">
        <v>2631.7760071215798</v>
      </c>
      <c r="O1067">
        <v>2466.51850455765</v>
      </c>
      <c r="P1067">
        <v>2797.0335096855201</v>
      </c>
      <c r="Q1067">
        <v>2396.7375993330902</v>
      </c>
      <c r="R1067">
        <v>2536.2994097822102</v>
      </c>
      <c r="S1067">
        <v>2726.6882993150998</v>
      </c>
      <c r="T1067">
        <v>2867.37872005593</v>
      </c>
    </row>
    <row r="1068" spans="1:20" x14ac:dyDescent="0.2">
      <c r="A1068" t="s">
        <v>2123</v>
      </c>
      <c r="B1068" s="3" t="str">
        <f>HYPERLINK("http://www.ncbi.nlm.nih.gov/gene/23268","DNMBP")</f>
        <v>DNMBP</v>
      </c>
      <c r="C1068">
        <v>23268</v>
      </c>
      <c r="D1068" t="s">
        <v>2124</v>
      </c>
      <c r="E1068" s="3" t="str">
        <f>HYPERLINK("http://genome.ucsc.edu/cgi-bin/hgTracks?db=hg19&amp;lastVirtModeType=default&amp;lastVirtModeExtraState=&amp;virtModeType=default&amp;virtMode=0&amp;nonVirtPosition=&amp;position=chr10:99875570-99914092","chr10:99875570-99914092")</f>
        <v>chr10:99875570-99914092</v>
      </c>
      <c r="F1068" t="s">
        <v>22</v>
      </c>
      <c r="G1068">
        <v>-0.17143613737461799</v>
      </c>
      <c r="H1068">
        <v>5.7459647544157701E-2</v>
      </c>
      <c r="I1068">
        <v>-2.9835918718935601</v>
      </c>
      <c r="J1068">
        <v>2.8488649433168201E-3</v>
      </c>
      <c r="K1068">
        <v>3.7502970979474803E-2</v>
      </c>
      <c r="L1068" t="s">
        <v>23</v>
      </c>
      <c r="M1068" t="s">
        <v>24</v>
      </c>
      <c r="N1068">
        <v>2552.84878405584</v>
      </c>
      <c r="O1068">
        <v>2714.86652066338</v>
      </c>
      <c r="P1068">
        <v>2390.8310474483101</v>
      </c>
      <c r="Q1068">
        <v>2644.3913122377699</v>
      </c>
      <c r="R1068">
        <v>2785.3417290889902</v>
      </c>
      <c r="S1068">
        <v>2324.1959599082402</v>
      </c>
      <c r="T1068">
        <v>2457.46613498837</v>
      </c>
    </row>
    <row r="1069" spans="1:20" x14ac:dyDescent="0.2">
      <c r="A1069" t="s">
        <v>2125</v>
      </c>
      <c r="B1069" s="3" t="str">
        <f>HYPERLINK("http://www.ncbi.nlm.nih.gov/gene/23034","SAMD4A")</f>
        <v>SAMD4A</v>
      </c>
      <c r="C1069">
        <v>23034</v>
      </c>
      <c r="D1069" t="s">
        <v>2126</v>
      </c>
      <c r="E1069" s="3" t="str">
        <f>HYPERLINK("http://genome.ucsc.edu/cgi-bin/hgTracks?db=hg19&amp;lastVirtModeType=default&amp;lastVirtModeExtraState=&amp;virtModeType=default&amp;virtMode=0&amp;nonVirtPosition=&amp;position=chr14:54567611-54793315","chr14:54567611-54793315")</f>
        <v>chr14:54567611-54793315</v>
      </c>
      <c r="F1069" t="s">
        <v>27</v>
      </c>
      <c r="G1069">
        <v>-0.20181469747863401</v>
      </c>
      <c r="H1069">
        <v>6.7643078502983206E-2</v>
      </c>
      <c r="I1069">
        <v>-2.9835232509374001</v>
      </c>
      <c r="J1069">
        <v>2.8495038472081602E-3</v>
      </c>
      <c r="K1069">
        <v>3.7502970979474803E-2</v>
      </c>
      <c r="L1069" t="s">
        <v>23</v>
      </c>
      <c r="M1069" t="s">
        <v>24</v>
      </c>
      <c r="N1069">
        <v>1546.79637501653</v>
      </c>
      <c r="O1069">
        <v>1665.74155731563</v>
      </c>
      <c r="P1069">
        <v>1427.85119271741</v>
      </c>
      <c r="Q1069">
        <v>1611.1249878410099</v>
      </c>
      <c r="R1069">
        <v>1720.35812679026</v>
      </c>
      <c r="S1069">
        <v>1378.14166213574</v>
      </c>
      <c r="T1069">
        <v>1477.5607232990801</v>
      </c>
    </row>
    <row r="1070" spans="1:20" x14ac:dyDescent="0.2">
      <c r="A1070" t="s">
        <v>2127</v>
      </c>
      <c r="B1070" s="3" t="str">
        <f>HYPERLINK("http://www.ncbi.nlm.nih.gov/gene/3485","IGFBP2")</f>
        <v>IGFBP2</v>
      </c>
      <c r="C1070">
        <v>3485</v>
      </c>
      <c r="D1070" t="s">
        <v>2128</v>
      </c>
      <c r="E1070" s="3" t="str">
        <f>HYPERLINK("http://genome.ucsc.edu/cgi-bin/hgTracks?db=hg19&amp;lastVirtModeType=default&amp;lastVirtModeExtraState=&amp;virtModeType=default&amp;virtMode=0&amp;nonVirtPosition=&amp;position=chr2:216632827-216664435","chr2:216632827-216664435")</f>
        <v>chr2:216632827-216664435</v>
      </c>
      <c r="F1070" t="s">
        <v>27</v>
      </c>
      <c r="G1070">
        <v>0.18429868276868999</v>
      </c>
      <c r="H1070">
        <v>6.1788818425071099E-2</v>
      </c>
      <c r="I1070">
        <v>2.9827190010467999</v>
      </c>
      <c r="J1070">
        <v>2.8570016728505002E-3</v>
      </c>
      <c r="K1070">
        <v>3.7565600135639199E-2</v>
      </c>
      <c r="L1070" t="s">
        <v>23</v>
      </c>
      <c r="M1070" t="s">
        <v>24</v>
      </c>
      <c r="N1070">
        <v>2331.2250946643599</v>
      </c>
      <c r="O1070">
        <v>2172.6407770312899</v>
      </c>
      <c r="P1070">
        <v>2489.8094122974398</v>
      </c>
      <c r="Q1070">
        <v>2168.3458418765499</v>
      </c>
      <c r="R1070">
        <v>2176.9357121860298</v>
      </c>
      <c r="S1070">
        <v>2358.7234890240202</v>
      </c>
      <c r="T1070">
        <v>2620.89533557086</v>
      </c>
    </row>
    <row r="1071" spans="1:20" x14ac:dyDescent="0.2">
      <c r="A1071" t="s">
        <v>2129</v>
      </c>
      <c r="B1071" s="3" t="str">
        <f>HYPERLINK("http://www.ncbi.nlm.nih.gov/gene/9882","TBC1D4")</f>
        <v>TBC1D4</v>
      </c>
      <c r="C1071">
        <v>9882</v>
      </c>
      <c r="D1071" t="s">
        <v>2130</v>
      </c>
      <c r="E1071" s="3" t="str">
        <f>HYPERLINK("http://genome.ucsc.edu/cgi-bin/hgTracks?db=hg19&amp;lastVirtModeType=default&amp;lastVirtModeExtraState=&amp;virtModeType=default&amp;virtMode=0&amp;nonVirtPosition=&amp;position=chr13:75284663-75482168","chr13:75284663-75482168")</f>
        <v>chr13:75284663-75482168</v>
      </c>
      <c r="F1071" t="s">
        <v>22</v>
      </c>
      <c r="G1071">
        <v>-0.200782834559356</v>
      </c>
      <c r="H1071">
        <v>6.7381830217785696E-2</v>
      </c>
      <c r="I1071">
        <v>-2.97977709881734</v>
      </c>
      <c r="J1071">
        <v>2.8845820126324E-3</v>
      </c>
      <c r="K1071">
        <v>3.7852004405342803E-2</v>
      </c>
      <c r="L1071" t="s">
        <v>23</v>
      </c>
      <c r="M1071" t="s">
        <v>24</v>
      </c>
      <c r="N1071">
        <v>1979.01770654447</v>
      </c>
      <c r="O1071">
        <v>2132.2419118161702</v>
      </c>
      <c r="P1071">
        <v>1825.7935012727601</v>
      </c>
      <c r="Q1071">
        <v>2136.70120078317</v>
      </c>
      <c r="R1071">
        <v>2127.7826228491599</v>
      </c>
      <c r="S1071">
        <v>1695.79493000096</v>
      </c>
      <c r="T1071">
        <v>1955.7920725445699</v>
      </c>
    </row>
    <row r="1072" spans="1:20" x14ac:dyDescent="0.2">
      <c r="A1072" t="s">
        <v>2131</v>
      </c>
      <c r="B1072" s="3" t="str">
        <f>HYPERLINK("http://www.ncbi.nlm.nih.gov/gene/114882","OSBPL8")</f>
        <v>OSBPL8</v>
      </c>
      <c r="C1072">
        <v>114882</v>
      </c>
      <c r="D1072" t="s">
        <v>2132</v>
      </c>
      <c r="E1072" s="3" t="str">
        <f>HYPERLINK("http://genome.ucsc.edu/cgi-bin/hgTracks?db=hg19&amp;lastVirtModeType=default&amp;lastVirtModeExtraState=&amp;virtModeType=default&amp;virtMode=0&amp;nonVirtPosition=&amp;position=chr12:76351797-76559809","chr12:76351797-76559809")</f>
        <v>chr12:76351797-76559809</v>
      </c>
      <c r="F1072" t="s">
        <v>22</v>
      </c>
      <c r="G1072">
        <v>0.15119733141599601</v>
      </c>
      <c r="H1072">
        <v>5.0743386394112702E-2</v>
      </c>
      <c r="I1072">
        <v>2.97964606149222</v>
      </c>
      <c r="J1072">
        <v>2.8858161229374899E-3</v>
      </c>
      <c r="K1072">
        <v>3.7852004405342803E-2</v>
      </c>
      <c r="L1072" t="s">
        <v>23</v>
      </c>
      <c r="M1072" t="s">
        <v>24</v>
      </c>
      <c r="N1072">
        <v>4962.1813094282597</v>
      </c>
      <c r="O1072">
        <v>4686.9632276150096</v>
      </c>
      <c r="P1072">
        <v>5237.3993912414999</v>
      </c>
      <c r="Q1072">
        <v>4461.89439416602</v>
      </c>
      <c r="R1072">
        <v>4912.0320610640001</v>
      </c>
      <c r="S1072">
        <v>5217.6028998109796</v>
      </c>
      <c r="T1072">
        <v>5257.1958826720302</v>
      </c>
    </row>
    <row r="1073" spans="1:20" x14ac:dyDescent="0.2">
      <c r="A1073" t="s">
        <v>2133</v>
      </c>
      <c r="B1073" s="3" t="str">
        <f>HYPERLINK("http://www.ncbi.nlm.nih.gov/gene/6185","RPN2")</f>
        <v>RPN2</v>
      </c>
      <c r="C1073">
        <v>6185</v>
      </c>
      <c r="D1073" t="s">
        <v>2134</v>
      </c>
      <c r="E1073" s="3" t="str">
        <f>HYPERLINK("http://genome.ucsc.edu/cgi-bin/hgTracks?db=hg19&amp;lastVirtModeType=default&amp;lastVirtModeExtraState=&amp;virtModeType=default&amp;virtMode=0&amp;nonVirtPosition=&amp;position=chr20:37179045-37241622","chr20:37179045-37241622")</f>
        <v>chr20:37179045-37241622</v>
      </c>
      <c r="F1073" t="s">
        <v>27</v>
      </c>
      <c r="G1073">
        <v>-0.11999240421009801</v>
      </c>
      <c r="H1073">
        <v>4.0273643749721699E-2</v>
      </c>
      <c r="I1073">
        <v>-2.9794275620002</v>
      </c>
      <c r="J1073">
        <v>2.8878750243515701E-3</v>
      </c>
      <c r="K1073">
        <v>3.7852004405342803E-2</v>
      </c>
      <c r="L1073" t="s">
        <v>23</v>
      </c>
      <c r="M1073" t="s">
        <v>24</v>
      </c>
      <c r="N1073">
        <v>10685.4680086796</v>
      </c>
      <c r="O1073">
        <v>11142.0998141809</v>
      </c>
      <c r="P1073">
        <v>10228.8362031782</v>
      </c>
      <c r="Q1073">
        <v>10972.435335638</v>
      </c>
      <c r="R1073">
        <v>11311.764292723799</v>
      </c>
      <c r="S1073">
        <v>10215.2161141128</v>
      </c>
      <c r="T1073">
        <v>10242.4562922437</v>
      </c>
    </row>
    <row r="1074" spans="1:20" x14ac:dyDescent="0.2">
      <c r="A1074" t="s">
        <v>2135</v>
      </c>
      <c r="B1074" s="3" t="str">
        <f>HYPERLINK("http://www.ncbi.nlm.nih.gov/gene/158056","MAMDC4")</f>
        <v>MAMDC4</v>
      </c>
      <c r="C1074">
        <v>158056</v>
      </c>
      <c r="D1074" t="s">
        <v>2136</v>
      </c>
      <c r="E1074" s="3" t="str">
        <f>HYPERLINK("http://genome.ucsc.edu/cgi-bin/hgTracks?db=hg19&amp;lastVirtModeType=default&amp;lastVirtModeExtraState=&amp;virtModeType=default&amp;virtMode=0&amp;nonVirtPosition=&amp;position=chr9:136852366-136860799","chr9:136852366-136860799")</f>
        <v>chr9:136852366-136860799</v>
      </c>
      <c r="F1074" t="s">
        <v>27</v>
      </c>
      <c r="G1074">
        <v>-0.33960345667471997</v>
      </c>
      <c r="H1074">
        <v>0.113990695796636</v>
      </c>
      <c r="I1074">
        <v>-2.9792208416780599</v>
      </c>
      <c r="J1074">
        <v>2.88982416599051E-3</v>
      </c>
      <c r="K1074">
        <v>3.7852004405342803E-2</v>
      </c>
      <c r="L1074" t="s">
        <v>23</v>
      </c>
      <c r="M1074" t="s">
        <v>24</v>
      </c>
      <c r="N1074">
        <v>64.934859029810099</v>
      </c>
      <c r="O1074">
        <v>85.271797605759602</v>
      </c>
      <c r="P1074">
        <v>44.597920453860603</v>
      </c>
      <c r="Q1074">
        <v>90.806361398383402</v>
      </c>
      <c r="R1074">
        <v>79.737233813135902</v>
      </c>
      <c r="S1074">
        <v>48.338540762098297</v>
      </c>
      <c r="T1074">
        <v>40.857300145622901</v>
      </c>
    </row>
    <row r="1075" spans="1:20" x14ac:dyDescent="0.2">
      <c r="A1075" t="s">
        <v>2137</v>
      </c>
      <c r="B1075" s="3" t="str">
        <f>HYPERLINK("http://www.ncbi.nlm.nih.gov/gene/113115","MTFR2")</f>
        <v>MTFR2</v>
      </c>
      <c r="C1075">
        <v>113115</v>
      </c>
      <c r="D1075" t="s">
        <v>2138</v>
      </c>
      <c r="E1075" s="3" t="str">
        <f>HYPERLINK("http://genome.ucsc.edu/cgi-bin/hgTracks?db=hg19&amp;lastVirtModeType=default&amp;lastVirtModeExtraState=&amp;virtModeType=default&amp;virtMode=0&amp;nonVirtPosition=&amp;position=chr6:136231029-136250335","chr6:136231029-136250335")</f>
        <v>chr6:136231029-136250335</v>
      </c>
      <c r="F1075" t="s">
        <v>22</v>
      </c>
      <c r="G1075">
        <v>-0.35154768376721801</v>
      </c>
      <c r="H1075">
        <v>0.118215628095355</v>
      </c>
      <c r="I1075">
        <v>-2.9737834957291098</v>
      </c>
      <c r="J1075">
        <v>2.94152542290209E-3</v>
      </c>
      <c r="K1075">
        <v>3.8492442413816101E-2</v>
      </c>
      <c r="L1075" t="s">
        <v>23</v>
      </c>
      <c r="M1075" t="s">
        <v>24</v>
      </c>
      <c r="N1075">
        <v>136.30475829371699</v>
      </c>
      <c r="O1075">
        <v>166.51585340142501</v>
      </c>
      <c r="P1075">
        <v>106.093663186009</v>
      </c>
      <c r="Q1075">
        <v>163.726621309206</v>
      </c>
      <c r="R1075">
        <v>169.30508549364501</v>
      </c>
      <c r="S1075">
        <v>116.407098161788</v>
      </c>
      <c r="T1075">
        <v>95.780228210230703</v>
      </c>
    </row>
    <row r="1076" spans="1:20" x14ac:dyDescent="0.2">
      <c r="A1076" t="s">
        <v>2139</v>
      </c>
      <c r="B1076" s="3" t="str">
        <f>HYPERLINK("http://www.ncbi.nlm.nih.gov/gene/53343","NUDT9")</f>
        <v>NUDT9</v>
      </c>
      <c r="C1076">
        <v>53343</v>
      </c>
      <c r="D1076" t="s">
        <v>2140</v>
      </c>
      <c r="E1076" s="3" t="str">
        <f>HYPERLINK("http://genome.ucsc.edu/cgi-bin/hgTracks?db=hg19&amp;lastVirtModeType=default&amp;lastVirtModeExtraState=&amp;virtModeType=default&amp;virtMode=0&amp;nonVirtPosition=&amp;position=chr4:87422575-87459454","chr4:87422575-87459454")</f>
        <v>chr4:87422575-87459454</v>
      </c>
      <c r="F1076" t="s">
        <v>27</v>
      </c>
      <c r="G1076">
        <v>0.16156571395953401</v>
      </c>
      <c r="H1076">
        <v>5.4343457323152197E-2</v>
      </c>
      <c r="I1076">
        <v>2.9730481260841901</v>
      </c>
      <c r="J1076">
        <v>2.9485821497364801E-3</v>
      </c>
      <c r="K1076">
        <v>3.8533849674517298E-2</v>
      </c>
      <c r="L1076" t="s">
        <v>23</v>
      </c>
      <c r="M1076" t="s">
        <v>24</v>
      </c>
      <c r="N1076">
        <v>2615.1692947941701</v>
      </c>
      <c r="O1076">
        <v>2460.2165281421098</v>
      </c>
      <c r="P1076">
        <v>2770.12206144622</v>
      </c>
      <c r="Q1076">
        <v>2462.7785894409999</v>
      </c>
      <c r="R1076">
        <v>2457.6544668432298</v>
      </c>
      <c r="S1076">
        <v>2776.0133409090799</v>
      </c>
      <c r="T1076">
        <v>2764.23078198337</v>
      </c>
    </row>
    <row r="1077" spans="1:20" x14ac:dyDescent="0.2">
      <c r="A1077" t="s">
        <v>2141</v>
      </c>
      <c r="B1077" s="3" t="str">
        <f>HYPERLINK("http://www.ncbi.nlm.nih.gov/gene/26002","MOXD1")</f>
        <v>MOXD1</v>
      </c>
      <c r="C1077">
        <v>26002</v>
      </c>
      <c r="D1077" t="s">
        <v>2142</v>
      </c>
      <c r="E1077" s="3" t="str">
        <f>HYPERLINK("http://genome.ucsc.edu/cgi-bin/hgTracks?db=hg19&amp;lastVirtModeType=default&amp;lastVirtModeExtraState=&amp;virtModeType=default&amp;virtMode=0&amp;nonVirtPosition=&amp;position=chr6:132296054-132401534","chr6:132296054-132401534")</f>
        <v>chr6:132296054-132401534</v>
      </c>
      <c r="F1077" t="s">
        <v>22</v>
      </c>
      <c r="G1077">
        <v>-0.28153041366592102</v>
      </c>
      <c r="H1077">
        <v>9.4699925219704703E-2</v>
      </c>
      <c r="I1077">
        <v>-2.9728683841382999</v>
      </c>
      <c r="J1077">
        <v>2.95030933048295E-3</v>
      </c>
      <c r="K1077">
        <v>3.8533849674517298E-2</v>
      </c>
      <c r="L1077" t="s">
        <v>23</v>
      </c>
      <c r="M1077" t="s">
        <v>24</v>
      </c>
      <c r="N1077">
        <v>519.339261939116</v>
      </c>
      <c r="O1077">
        <v>582.55085311860398</v>
      </c>
      <c r="P1077">
        <v>456.12767075962699</v>
      </c>
      <c r="Q1077">
        <v>559.97256195669695</v>
      </c>
      <c r="R1077">
        <v>605.12914428051101</v>
      </c>
      <c r="S1077">
        <v>436.03336769076498</v>
      </c>
      <c r="T1077">
        <v>476.22197382848998</v>
      </c>
    </row>
    <row r="1078" spans="1:20" x14ac:dyDescent="0.2">
      <c r="A1078" t="s">
        <v>2143</v>
      </c>
      <c r="B1078" s="3" t="str">
        <f>HYPERLINK("http://www.ncbi.nlm.nih.gov/gene/8976","WASL")</f>
        <v>WASL</v>
      </c>
      <c r="C1078">
        <v>8976</v>
      </c>
      <c r="D1078" t="s">
        <v>2144</v>
      </c>
      <c r="E1078" s="3" t="str">
        <f>HYPERLINK("http://genome.ucsc.edu/cgi-bin/hgTracks?db=hg19&amp;lastVirtModeType=default&amp;lastVirtModeExtraState=&amp;virtModeType=default&amp;virtMode=0&amp;nonVirtPosition=&amp;position=chr7:123681926-123749071","chr7:123681926-123749071")</f>
        <v>chr7:123681926-123749071</v>
      </c>
      <c r="F1078" t="s">
        <v>22</v>
      </c>
      <c r="G1078">
        <v>0.176095104267917</v>
      </c>
      <c r="H1078">
        <v>5.9244963967636503E-2</v>
      </c>
      <c r="I1078">
        <v>2.9723219067887601</v>
      </c>
      <c r="J1078">
        <v>2.9555662260482402E-3</v>
      </c>
      <c r="K1078">
        <v>3.8565780422479198E-2</v>
      </c>
      <c r="L1078" t="s">
        <v>23</v>
      </c>
      <c r="M1078" t="s">
        <v>24</v>
      </c>
      <c r="N1078">
        <v>2264.55259516451</v>
      </c>
      <c r="O1078">
        <v>2118.5933594965099</v>
      </c>
      <c r="P1078">
        <v>2410.5118308325</v>
      </c>
      <c r="Q1078">
        <v>2173.8492577188699</v>
      </c>
      <c r="R1078">
        <v>2063.33746127416</v>
      </c>
      <c r="S1078">
        <v>2350.8314823689898</v>
      </c>
      <c r="T1078">
        <v>2470.1921792960202</v>
      </c>
    </row>
    <row r="1079" spans="1:20" x14ac:dyDescent="0.2">
      <c r="A1079" t="s">
        <v>2145</v>
      </c>
      <c r="B1079" s="3" t="str">
        <f>HYPERLINK("http://www.ncbi.nlm.nih.gov/gene/285598","ARL10")</f>
        <v>ARL10</v>
      </c>
      <c r="C1079">
        <v>285598</v>
      </c>
      <c r="D1079" t="s">
        <v>2146</v>
      </c>
      <c r="E1079" s="3" t="str">
        <f>HYPERLINK("http://genome.ucsc.edu/cgi-bin/hgTracks?db=hg19&amp;lastVirtModeType=default&amp;lastVirtModeExtraState=&amp;virtModeType=default&amp;virtMode=0&amp;nonVirtPosition=&amp;position=chr5:176365467-176369956","chr5:176365467-176369956")</f>
        <v>chr5:176365467-176369956</v>
      </c>
      <c r="F1079" t="s">
        <v>27</v>
      </c>
      <c r="G1079">
        <v>0.196517263871026</v>
      </c>
      <c r="H1079">
        <v>6.6148116287581896E-2</v>
      </c>
      <c r="I1079">
        <v>2.9708671221514198</v>
      </c>
      <c r="J1079">
        <v>2.9696023671669401E-3</v>
      </c>
      <c r="K1079">
        <v>3.8712097778828398E-2</v>
      </c>
      <c r="L1079" t="s">
        <v>23</v>
      </c>
      <c r="M1079" t="s">
        <v>24</v>
      </c>
      <c r="N1079">
        <v>1885.8009122901501</v>
      </c>
      <c r="O1079">
        <v>1745.3840546643801</v>
      </c>
      <c r="P1079">
        <v>2026.2177699159199</v>
      </c>
      <c r="Q1079">
        <v>1657.90402250079</v>
      </c>
      <c r="R1079">
        <v>1832.8640868279699</v>
      </c>
      <c r="S1079">
        <v>1951.2986454577699</v>
      </c>
      <c r="T1079">
        <v>2101.1368943740799</v>
      </c>
    </row>
    <row r="1080" spans="1:20" x14ac:dyDescent="0.2">
      <c r="A1080" t="s">
        <v>2147</v>
      </c>
      <c r="B1080" s="3" t="str">
        <f>HYPERLINK("http://www.ncbi.nlm.nih.gov/gene/257068","PLCXD2")</f>
        <v>PLCXD2</v>
      </c>
      <c r="C1080">
        <v>257068</v>
      </c>
      <c r="D1080" t="s">
        <v>2148</v>
      </c>
      <c r="E1080" s="3" t="str">
        <f>HYPERLINK("http://genome.ucsc.edu/cgi-bin/hgTracks?db=hg19&amp;lastVirtModeType=default&amp;lastVirtModeExtraState=&amp;virtModeType=default&amp;virtMode=0&amp;nonVirtPosition=&amp;position=chr3:111674675-111846447","chr3:111674675-111846447")</f>
        <v>chr3:111674675-111846447</v>
      </c>
      <c r="F1080" t="s">
        <v>27</v>
      </c>
      <c r="G1080">
        <v>-0.34074808099892101</v>
      </c>
      <c r="H1080">
        <v>0.114746352397869</v>
      </c>
      <c r="I1080">
        <v>-2.96957658242084</v>
      </c>
      <c r="J1080">
        <v>2.9821047102067599E-3</v>
      </c>
      <c r="K1080">
        <v>3.8838161439482898E-2</v>
      </c>
      <c r="L1080" t="s">
        <v>23</v>
      </c>
      <c r="M1080" t="s">
        <v>24</v>
      </c>
      <c r="N1080">
        <v>72.135678637335403</v>
      </c>
      <c r="O1080">
        <v>94.577250771837996</v>
      </c>
      <c r="P1080">
        <v>49.694106502832703</v>
      </c>
      <c r="Q1080">
        <v>96.309777240709593</v>
      </c>
      <c r="R1080">
        <v>92.844724302966497</v>
      </c>
      <c r="S1080">
        <v>40.4465341070619</v>
      </c>
      <c r="T1080">
        <v>58.941678898603499</v>
      </c>
    </row>
    <row r="1081" spans="1:20" x14ac:dyDescent="0.2">
      <c r="A1081" t="s">
        <v>2149</v>
      </c>
      <c r="B1081" s="3" t="str">
        <f>HYPERLINK("http://www.ncbi.nlm.nih.gov/gene/3075","CFH")</f>
        <v>CFH</v>
      </c>
      <c r="C1081">
        <v>3075</v>
      </c>
      <c r="D1081" t="s">
        <v>2150</v>
      </c>
      <c r="E1081" s="3" t="str">
        <f>HYPERLINK("http://genome.ucsc.edu/cgi-bin/hgTracks?db=hg19&amp;lastVirtModeType=default&amp;lastVirtModeExtraState=&amp;virtModeType=default&amp;virtMode=0&amp;nonVirtPosition=&amp;position=chr1:196651877-196747504","chr1:196651877-196747504")</f>
        <v>chr1:196651877-196747504</v>
      </c>
      <c r="F1081" t="s">
        <v>27</v>
      </c>
      <c r="G1081">
        <v>-0.201334508038814</v>
      </c>
      <c r="H1081">
        <v>6.7857715508802999E-2</v>
      </c>
      <c r="I1081">
        <v>-2.96700981648425</v>
      </c>
      <c r="J1081">
        <v>3.0071135793470101E-3</v>
      </c>
      <c r="K1081">
        <v>3.9083911489795703E-2</v>
      </c>
      <c r="L1081" t="s">
        <v>23</v>
      </c>
      <c r="M1081" t="s">
        <v>24</v>
      </c>
      <c r="N1081">
        <v>1665.44163652375</v>
      </c>
      <c r="O1081">
        <v>1795.2714697536101</v>
      </c>
      <c r="P1081">
        <v>1535.6118032939</v>
      </c>
      <c r="Q1081">
        <v>1850.52357698221</v>
      </c>
      <c r="R1081">
        <v>1740.0193625250099</v>
      </c>
      <c r="S1081">
        <v>1459.03473034987</v>
      </c>
      <c r="T1081">
        <v>1612.1888762379399</v>
      </c>
    </row>
    <row r="1082" spans="1:20" x14ac:dyDescent="0.2">
      <c r="A1082" t="s">
        <v>2151</v>
      </c>
      <c r="B1082" s="3" t="str">
        <f>HYPERLINK("http://www.ncbi.nlm.nih.gov/gene/5970","RELA")</f>
        <v>RELA</v>
      </c>
      <c r="C1082">
        <v>5970</v>
      </c>
      <c r="D1082" t="s">
        <v>2152</v>
      </c>
      <c r="E1082" s="3" t="str">
        <f>HYPERLINK("http://genome.ucsc.edu/cgi-bin/hgTracks?db=hg19&amp;lastVirtModeType=default&amp;lastVirtModeExtraState=&amp;virtModeType=default&amp;virtMode=0&amp;nonVirtPosition=&amp;position=chr11:65653595-65662972","chr11:65653595-65662972")</f>
        <v>chr11:65653595-65662972</v>
      </c>
      <c r="F1082" t="s">
        <v>22</v>
      </c>
      <c r="G1082">
        <v>0.147443513099178</v>
      </c>
      <c r="H1082">
        <v>4.9701803474765799E-2</v>
      </c>
      <c r="I1082">
        <v>2.96656263537876</v>
      </c>
      <c r="J1082">
        <v>3.0114901354070201E-3</v>
      </c>
      <c r="K1082">
        <v>3.9083911489795703E-2</v>
      </c>
      <c r="L1082" t="s">
        <v>23</v>
      </c>
      <c r="M1082" t="s">
        <v>24</v>
      </c>
      <c r="N1082">
        <v>3649.4845848637701</v>
      </c>
      <c r="O1082">
        <v>3453.9659113800799</v>
      </c>
      <c r="P1082">
        <v>3845.0032583474599</v>
      </c>
      <c r="Q1082">
        <v>3403.8626984787902</v>
      </c>
      <c r="R1082">
        <v>3504.06912428137</v>
      </c>
      <c r="S1082">
        <v>3807.89321105509</v>
      </c>
      <c r="T1082">
        <v>3882.1133056398398</v>
      </c>
    </row>
    <row r="1083" spans="1:20" x14ac:dyDescent="0.2">
      <c r="A1083" t="s">
        <v>2153</v>
      </c>
      <c r="B1083" s="3" t="str">
        <f>HYPERLINK("http://www.ncbi.nlm.nih.gov/gene/10137","RBM12")</f>
        <v>RBM12</v>
      </c>
      <c r="C1083">
        <v>10137</v>
      </c>
      <c r="D1083" t="s">
        <v>2154</v>
      </c>
      <c r="E1083" s="3" t="str">
        <f>HYPERLINK("http://genome.ucsc.edu/cgi-bin/hgTracks?db=hg19&amp;lastVirtModeType=default&amp;lastVirtModeExtraState=&amp;virtModeType=default&amp;virtMode=0&amp;nonVirtPosition=&amp;position=chr20:35648924-35664956","chr20:35648924-35664956")</f>
        <v>chr20:35648924-35664956</v>
      </c>
      <c r="F1083" t="s">
        <v>22</v>
      </c>
      <c r="G1083">
        <v>0.180076330536107</v>
      </c>
      <c r="H1083">
        <v>6.0705929030933102E-2</v>
      </c>
      <c r="I1083">
        <v>2.9663713810285</v>
      </c>
      <c r="J1083">
        <v>3.0133637127532499E-3</v>
      </c>
      <c r="K1083">
        <v>3.9083911489795703E-2</v>
      </c>
      <c r="L1083" t="s">
        <v>23</v>
      </c>
      <c r="M1083" t="s">
        <v>24</v>
      </c>
      <c r="N1083">
        <v>1884.05330581671</v>
      </c>
      <c r="O1083">
        <v>1757.57218377357</v>
      </c>
      <c r="P1083">
        <v>2010.53442785984</v>
      </c>
      <c r="Q1083">
        <v>1739.0794061751001</v>
      </c>
      <c r="R1083">
        <v>1776.06496137204</v>
      </c>
      <c r="S1083">
        <v>1999.63718621986</v>
      </c>
      <c r="T1083">
        <v>2021.4316694998299</v>
      </c>
    </row>
    <row r="1084" spans="1:20" x14ac:dyDescent="0.2">
      <c r="A1084" t="s">
        <v>2155</v>
      </c>
      <c r="B1084" s="3" t="str">
        <f>HYPERLINK("http://www.ncbi.nlm.nih.gov/gene/5740","PTGIS")</f>
        <v>PTGIS</v>
      </c>
      <c r="C1084">
        <v>5740</v>
      </c>
      <c r="D1084" t="s">
        <v>2156</v>
      </c>
      <c r="E1084" s="3" t="str">
        <f>HYPERLINK("http://genome.ucsc.edu/cgi-bin/hgTracks?db=hg19&amp;lastVirtModeType=default&amp;lastVirtModeExtraState=&amp;virtModeType=default&amp;virtMode=0&amp;nonVirtPosition=&amp;position=chr20:49503873-49568170","chr20:49503873-49568170")</f>
        <v>chr20:49503873-49568170</v>
      </c>
      <c r="F1084" t="s">
        <v>22</v>
      </c>
      <c r="G1084">
        <v>-0.29530866844585202</v>
      </c>
      <c r="H1084">
        <v>9.9552489857193005E-2</v>
      </c>
      <c r="I1084">
        <v>-2.9663614528322602</v>
      </c>
      <c r="J1084">
        <v>3.0134610009701201E-3</v>
      </c>
      <c r="K1084">
        <v>3.9083911489795703E-2</v>
      </c>
      <c r="L1084" t="s">
        <v>23</v>
      </c>
      <c r="M1084" t="s">
        <v>24</v>
      </c>
      <c r="N1084">
        <v>457.09146244918702</v>
      </c>
      <c r="O1084">
        <v>518.01668499321897</v>
      </c>
      <c r="P1084">
        <v>396.16623990515598</v>
      </c>
      <c r="Q1084">
        <v>500.81084165169</v>
      </c>
      <c r="R1084">
        <v>535.22252833474795</v>
      </c>
      <c r="S1084">
        <v>365.00530779543601</v>
      </c>
      <c r="T1084">
        <v>427.32717201487498</v>
      </c>
    </row>
    <row r="1085" spans="1:20" x14ac:dyDescent="0.2">
      <c r="A1085" t="s">
        <v>2157</v>
      </c>
      <c r="B1085" s="3" t="str">
        <f>HYPERLINK("http://www.ncbi.nlm.nih.gov/gene/8200","GDF5")</f>
        <v>GDF5</v>
      </c>
      <c r="C1085">
        <v>8200</v>
      </c>
      <c r="D1085" t="s">
        <v>2158</v>
      </c>
      <c r="E1085" s="3" t="str">
        <f>HYPERLINK("http://genome.ucsc.edu/cgi-bin/hgTracks?db=hg19&amp;lastVirtModeType=default&amp;lastVirtModeExtraState=&amp;virtModeType=default&amp;virtMode=0&amp;nonVirtPosition=&amp;position=chr20:35433348-35454746","chr20:35433348-35454746")</f>
        <v>chr20:35433348-35454746</v>
      </c>
      <c r="F1085" t="s">
        <v>22</v>
      </c>
      <c r="G1085">
        <v>-0.34914417599153602</v>
      </c>
      <c r="H1085">
        <v>0.117708293370077</v>
      </c>
      <c r="I1085">
        <v>-2.9661816172444202</v>
      </c>
      <c r="J1085">
        <v>3.0152237389677598E-3</v>
      </c>
      <c r="K1085">
        <v>3.9083911489795703E-2</v>
      </c>
      <c r="L1085" t="s">
        <v>23</v>
      </c>
      <c r="M1085" t="s">
        <v>24</v>
      </c>
      <c r="N1085">
        <v>105.190424717851</v>
      </c>
      <c r="O1085">
        <v>133.742043569591</v>
      </c>
      <c r="P1085">
        <v>76.638805866109905</v>
      </c>
      <c r="Q1085">
        <v>126.57856437350399</v>
      </c>
      <c r="R1085">
        <v>140.905522765679</v>
      </c>
      <c r="S1085">
        <v>60.176550744652999</v>
      </c>
      <c r="T1085">
        <v>93.101060987566896</v>
      </c>
    </row>
    <row r="1086" spans="1:20" x14ac:dyDescent="0.2">
      <c r="A1086" t="s">
        <v>2159</v>
      </c>
      <c r="B1086" s="3" t="str">
        <f>HYPERLINK("http://www.ncbi.nlm.nih.gov/gene/1107","CHD3")</f>
        <v>CHD3</v>
      </c>
      <c r="C1086">
        <v>1107</v>
      </c>
      <c r="D1086" t="s">
        <v>2160</v>
      </c>
      <c r="E1086" s="3" t="str">
        <f>HYPERLINK("http://genome.ucsc.edu/cgi-bin/hgTracks?db=hg19&amp;lastVirtModeType=default&amp;lastVirtModeExtraState=&amp;virtModeType=default&amp;virtMode=0&amp;nonVirtPosition=&amp;position=chr17:7888850-7912757","chr17:7888850-7912757")</f>
        <v>chr17:7888850-7912757</v>
      </c>
      <c r="F1086" t="s">
        <v>27</v>
      </c>
      <c r="G1086">
        <v>-0.14441773556120199</v>
      </c>
      <c r="H1086">
        <v>4.8712898160946802E-2</v>
      </c>
      <c r="I1086">
        <v>-2.9646713912206102</v>
      </c>
      <c r="J1086">
        <v>3.0300640443413299E-3</v>
      </c>
      <c r="K1086">
        <v>3.9239186311706399E-2</v>
      </c>
      <c r="L1086" t="s">
        <v>23</v>
      </c>
      <c r="M1086" t="s">
        <v>24</v>
      </c>
      <c r="N1086">
        <v>6783.9893907553596</v>
      </c>
      <c r="O1086">
        <v>7142.5193603398302</v>
      </c>
      <c r="P1086">
        <v>6425.45942117089</v>
      </c>
      <c r="Q1086">
        <v>7457.1284663520901</v>
      </c>
      <c r="R1086">
        <v>6827.9102543275703</v>
      </c>
      <c r="S1086">
        <v>6305.7133173741304</v>
      </c>
      <c r="T1086">
        <v>6545.2055249676496</v>
      </c>
    </row>
    <row r="1087" spans="1:20" x14ac:dyDescent="0.2">
      <c r="A1087" t="s">
        <v>2161</v>
      </c>
      <c r="B1087" s="3" t="str">
        <f>HYPERLINK("http://www.ncbi.nlm.nih.gov/gene/9817","KEAP1")</f>
        <v>KEAP1</v>
      </c>
      <c r="C1087">
        <v>9817</v>
      </c>
      <c r="D1087" t="s">
        <v>2162</v>
      </c>
      <c r="E1087" s="3" t="str">
        <f>HYPERLINK("http://genome.ucsc.edu/cgi-bin/hgTracks?db=hg19&amp;lastVirtModeType=default&amp;lastVirtModeExtraState=&amp;virtModeType=default&amp;virtMode=0&amp;nonVirtPosition=&amp;position=chr19:10486119-10502805","chr19:10486119-10502805")</f>
        <v>chr19:10486119-10502805</v>
      </c>
      <c r="F1087" t="s">
        <v>22</v>
      </c>
      <c r="G1087">
        <v>0.15613941792866101</v>
      </c>
      <c r="H1087">
        <v>5.2685481766642901E-2</v>
      </c>
      <c r="I1087">
        <v>2.9636137450586699</v>
      </c>
      <c r="J1087">
        <v>3.0404966863350701E-3</v>
      </c>
      <c r="K1087">
        <v>3.9337142977735003E-2</v>
      </c>
      <c r="L1087" t="s">
        <v>23</v>
      </c>
      <c r="M1087" t="s">
        <v>24</v>
      </c>
      <c r="N1087">
        <v>3288.2085338705401</v>
      </c>
      <c r="O1087">
        <v>3102.0028572943402</v>
      </c>
      <c r="P1087">
        <v>3474.4142104467301</v>
      </c>
      <c r="Q1087">
        <v>3088.7921415056198</v>
      </c>
      <c r="R1087">
        <v>3115.2135730830601</v>
      </c>
      <c r="S1087">
        <v>3374.8193458599699</v>
      </c>
      <c r="T1087">
        <v>3574.0090750334998</v>
      </c>
    </row>
    <row r="1088" spans="1:20" x14ac:dyDescent="0.2">
      <c r="A1088" t="s">
        <v>2163</v>
      </c>
      <c r="B1088" s="3" t="str">
        <f>HYPERLINK("http://www.ncbi.nlm.nih.gov/gene/23545","ATP6V0A2")</f>
        <v>ATP6V0A2</v>
      </c>
      <c r="C1088">
        <v>23545</v>
      </c>
      <c r="D1088" t="s">
        <v>2164</v>
      </c>
      <c r="E1088" s="3" t="str">
        <f>HYPERLINK("http://genome.ucsc.edu/cgi-bin/hgTracks?db=hg19&amp;lastVirtModeType=default&amp;lastVirtModeExtraState=&amp;virtModeType=default&amp;virtMode=0&amp;nonVirtPosition=&amp;position=chr12:123712317-123761754","chr12:123712317-123761754")</f>
        <v>chr12:123712317-123761754</v>
      </c>
      <c r="F1088" t="s">
        <v>27</v>
      </c>
      <c r="G1088">
        <v>0.24619126853489501</v>
      </c>
      <c r="H1088">
        <v>8.3095683119179198E-2</v>
      </c>
      <c r="I1088">
        <v>2.96274438446817</v>
      </c>
      <c r="J1088">
        <v>3.0490965968282199E-3</v>
      </c>
      <c r="K1088">
        <v>3.9411225946184902E-2</v>
      </c>
      <c r="L1088" t="s">
        <v>23</v>
      </c>
      <c r="M1088" t="s">
        <v>24</v>
      </c>
      <c r="N1088">
        <v>920.46654554315603</v>
      </c>
      <c r="O1088">
        <v>827.31745277966695</v>
      </c>
      <c r="P1088">
        <v>1013.61563830664</v>
      </c>
      <c r="Q1088">
        <v>799.37115109788999</v>
      </c>
      <c r="R1088">
        <v>855.26375446144402</v>
      </c>
      <c r="S1088">
        <v>1084.1644142356299</v>
      </c>
      <c r="T1088">
        <v>943.06686237765598</v>
      </c>
    </row>
    <row r="1089" spans="1:20" x14ac:dyDescent="0.2">
      <c r="A1089" t="s">
        <v>2165</v>
      </c>
      <c r="B1089" s="3" t="str">
        <f>HYPERLINK("http://www.ncbi.nlm.nih.gov/gene/2012","EMP1")</f>
        <v>EMP1</v>
      </c>
      <c r="C1089">
        <v>2012</v>
      </c>
      <c r="D1089" t="s">
        <v>2166</v>
      </c>
      <c r="E1089" s="3" t="str">
        <f>HYPERLINK("http://genome.ucsc.edu/cgi-bin/hgTracks?db=hg19&amp;lastVirtModeType=default&amp;lastVirtModeExtraState=&amp;virtModeType=default&amp;virtMode=0&amp;nonVirtPosition=&amp;position=chr12:13196667-13216774","chr12:13196667-13216774")</f>
        <v>chr12:13196667-13216774</v>
      </c>
      <c r="F1089" t="s">
        <v>27</v>
      </c>
      <c r="G1089">
        <v>0.26243496662143401</v>
      </c>
      <c r="H1089">
        <v>8.8666770285080507E-2</v>
      </c>
      <c r="I1089">
        <v>2.95978939773779</v>
      </c>
      <c r="J1089">
        <v>3.0784941108323201E-3</v>
      </c>
      <c r="K1089">
        <v>3.9753736568695297E-2</v>
      </c>
      <c r="L1089" t="s">
        <v>23</v>
      </c>
      <c r="M1089" t="s">
        <v>24</v>
      </c>
      <c r="N1089">
        <v>11939.754282113499</v>
      </c>
      <c r="O1089">
        <v>10637.9205081294</v>
      </c>
      <c r="P1089">
        <v>13241.5880560977</v>
      </c>
      <c r="Q1089">
        <v>10484.007179631501</v>
      </c>
      <c r="R1089">
        <v>10791.8338366272</v>
      </c>
      <c r="S1089">
        <v>14208.571481561299</v>
      </c>
      <c r="T1089">
        <v>12274.6046306342</v>
      </c>
    </row>
    <row r="1090" spans="1:20" x14ac:dyDescent="0.2">
      <c r="A1090" t="s">
        <v>2167</v>
      </c>
      <c r="B1090" s="3" t="str">
        <f>HYPERLINK("http://www.ncbi.nlm.nih.gov/gene/26354","GNL3")</f>
        <v>GNL3</v>
      </c>
      <c r="C1090">
        <v>26354</v>
      </c>
      <c r="D1090" t="s">
        <v>2168</v>
      </c>
      <c r="E1090" s="3" t="str">
        <f>HYPERLINK("http://genome.ucsc.edu/cgi-bin/hgTracks?db=hg19&amp;lastVirtModeType=default&amp;lastVirtModeExtraState=&amp;virtModeType=default&amp;virtMode=0&amp;nonVirtPosition=&amp;position=chr3:52685919-52694494","chr3:52685919-52694494")</f>
        <v>chr3:52685919-52694494</v>
      </c>
      <c r="F1090" t="s">
        <v>27</v>
      </c>
      <c r="G1090">
        <v>0.16034638300461801</v>
      </c>
      <c r="H1090">
        <v>5.4186815636159603E-2</v>
      </c>
      <c r="I1090">
        <v>2.95914017316082</v>
      </c>
      <c r="J1090">
        <v>3.0849874153233499E-3</v>
      </c>
      <c r="K1090">
        <v>3.9800110455074797E-2</v>
      </c>
      <c r="L1090" t="s">
        <v>23</v>
      </c>
      <c r="M1090" t="s">
        <v>24</v>
      </c>
      <c r="N1090">
        <v>2658.8673990495799</v>
      </c>
      <c r="O1090">
        <v>2502.2957911400299</v>
      </c>
      <c r="P1090">
        <v>2815.43900695914</v>
      </c>
      <c r="Q1090">
        <v>2505.4300622190299</v>
      </c>
      <c r="R1090">
        <v>2499.1615200610299</v>
      </c>
      <c r="S1090">
        <v>2837.17639248561</v>
      </c>
      <c r="T1090">
        <v>2793.70162143267</v>
      </c>
    </row>
    <row r="1091" spans="1:20" x14ac:dyDescent="0.2">
      <c r="A1091" t="s">
        <v>2169</v>
      </c>
      <c r="B1091" s="3" t="str">
        <f>HYPERLINK("http://www.ncbi.nlm.nih.gov/gene/2280","FKBP1A")</f>
        <v>FKBP1A</v>
      </c>
      <c r="C1091">
        <v>2280</v>
      </c>
      <c r="D1091" t="s">
        <v>2170</v>
      </c>
      <c r="E1091" s="3" t="str">
        <f>HYPERLINK("http://genome.ucsc.edu/cgi-bin/hgTracks?db=hg19&amp;lastVirtModeType=default&amp;lastVirtModeExtraState=&amp;virtModeType=default&amp;virtMode=0&amp;nonVirtPosition=&amp;position=chr20:1368976-1393172","chr20:1368976-1393172")</f>
        <v>chr20:1368976-1393172</v>
      </c>
      <c r="F1091" t="s">
        <v>22</v>
      </c>
      <c r="G1091">
        <v>-0.122533487233269</v>
      </c>
      <c r="H1091">
        <v>4.1417656009791998E-2</v>
      </c>
      <c r="I1091">
        <v>-2.9584843527673099</v>
      </c>
      <c r="J1091">
        <v>3.0915593663192898E-3</v>
      </c>
      <c r="K1091">
        <v>3.9847410854983799E-2</v>
      </c>
      <c r="L1091" t="s">
        <v>23</v>
      </c>
      <c r="M1091" t="s">
        <v>24</v>
      </c>
      <c r="N1091">
        <v>7512.5223920403696</v>
      </c>
      <c r="O1091">
        <v>7842.7966725587903</v>
      </c>
      <c r="P1091">
        <v>7182.2481115219498</v>
      </c>
      <c r="Q1091">
        <v>7882.2673401717902</v>
      </c>
      <c r="R1091">
        <v>7803.3260049457904</v>
      </c>
      <c r="S1091">
        <v>7131.4145136573197</v>
      </c>
      <c r="T1091">
        <v>7233.0817093865799</v>
      </c>
    </row>
    <row r="1092" spans="1:20" x14ac:dyDescent="0.2">
      <c r="A1092" t="s">
        <v>2169</v>
      </c>
      <c r="B1092" s="3" t="str">
        <f>HYPERLINK("http://www.ncbi.nlm.nih.gov/gene/102465524","MIR6869")</f>
        <v>MIR6869</v>
      </c>
      <c r="C1092">
        <v>102465524</v>
      </c>
      <c r="D1092" t="s">
        <v>2171</v>
      </c>
      <c r="E1092" s="3" t="str">
        <f>HYPERLINK("http://genome.ucsc.edu/cgi-bin/hgTracks?db=hg19&amp;lastVirtModeType=default&amp;lastVirtModeExtraState=&amp;virtModeType=default&amp;virtMode=0&amp;nonVirtPosition=&amp;position=chr20:1392899-1392961","chr20:1392899-1392961")</f>
        <v>chr20:1392899-1392961</v>
      </c>
      <c r="F1092" t="s">
        <v>22</v>
      </c>
      <c r="G1092">
        <v>-0.122533487233269</v>
      </c>
      <c r="H1092">
        <v>4.1417656009791998E-2</v>
      </c>
      <c r="I1092">
        <v>-2.9584843527673099</v>
      </c>
      <c r="J1092">
        <v>3.0915593663192898E-3</v>
      </c>
      <c r="K1092">
        <v>3.9847410854983799E-2</v>
      </c>
      <c r="L1092" t="s">
        <v>23</v>
      </c>
      <c r="M1092" t="s">
        <v>24</v>
      </c>
      <c r="N1092">
        <v>7512.5223920403696</v>
      </c>
      <c r="O1092">
        <v>7842.7966725587903</v>
      </c>
      <c r="P1092">
        <v>7182.2481115219498</v>
      </c>
      <c r="Q1092">
        <v>7882.2673401717902</v>
      </c>
      <c r="R1092">
        <v>7803.3260049457904</v>
      </c>
      <c r="S1092">
        <v>7131.4145136573197</v>
      </c>
      <c r="T1092">
        <v>7233.0817093865799</v>
      </c>
    </row>
    <row r="1093" spans="1:20" x14ac:dyDescent="0.2">
      <c r="A1093" t="s">
        <v>2172</v>
      </c>
      <c r="B1093" s="3" t="str">
        <f>HYPERLINK("http://www.ncbi.nlm.nih.gov/gene/23057","NMNAT2")</f>
        <v>NMNAT2</v>
      </c>
      <c r="C1093">
        <v>23057</v>
      </c>
      <c r="D1093" t="s">
        <v>2173</v>
      </c>
      <c r="E1093" s="3" t="str">
        <f>HYPERLINK("http://genome.ucsc.edu/cgi-bin/hgTracks?db=hg19&amp;lastVirtModeType=default&amp;lastVirtModeExtraState=&amp;virtModeType=default&amp;virtMode=0&amp;nonVirtPosition=&amp;position=chr1:183248236-183304874","chr1:183248236-183304874")</f>
        <v>chr1:183248236-183304874</v>
      </c>
      <c r="F1093" t="s">
        <v>22</v>
      </c>
      <c r="G1093">
        <v>-0.21998570737916201</v>
      </c>
      <c r="H1093">
        <v>7.4368557173260796E-2</v>
      </c>
      <c r="I1093">
        <v>-2.9580472681034902</v>
      </c>
      <c r="J1093">
        <v>3.09594646151529E-3</v>
      </c>
      <c r="K1093">
        <v>3.9866488049972497E-2</v>
      </c>
      <c r="L1093" t="s">
        <v>23</v>
      </c>
      <c r="M1093" t="s">
        <v>24</v>
      </c>
      <c r="N1093">
        <v>1254.39471300078</v>
      </c>
      <c r="O1093">
        <v>1360.7412809044499</v>
      </c>
      <c r="P1093">
        <v>1148.0481450971299</v>
      </c>
      <c r="Q1093">
        <v>1401.9951858326201</v>
      </c>
      <c r="R1093">
        <v>1319.48737597628</v>
      </c>
      <c r="S1093">
        <v>1214.38252404374</v>
      </c>
      <c r="T1093">
        <v>1081.7137661505101</v>
      </c>
    </row>
    <row r="1094" spans="1:20" x14ac:dyDescent="0.2">
      <c r="A1094" t="s">
        <v>2174</v>
      </c>
      <c r="B1094" s="3" t="str">
        <f>HYPERLINK("http://www.ncbi.nlm.nih.gov/gene/54480","CHPF2")</f>
        <v>CHPF2</v>
      </c>
      <c r="C1094">
        <v>54480</v>
      </c>
      <c r="D1094" t="s">
        <v>2175</v>
      </c>
      <c r="E1094" s="3" t="str">
        <f>HYPERLINK("http://genome.ucsc.edu/cgi-bin/hgTracks?db=hg19&amp;lastVirtModeType=default&amp;lastVirtModeExtraState=&amp;virtModeType=default&amp;virtMode=0&amp;nonVirtPosition=&amp;position=chr7:151232488-151238827","chr7:151232488-151238827")</f>
        <v>chr7:151232488-151238827</v>
      </c>
      <c r="F1094" t="s">
        <v>27</v>
      </c>
      <c r="G1094">
        <v>0.12500349213452699</v>
      </c>
      <c r="H1094">
        <v>4.22878856026618E-2</v>
      </c>
      <c r="I1094">
        <v>2.9560118779421498</v>
      </c>
      <c r="J1094">
        <v>3.1164508890723199E-3</v>
      </c>
      <c r="K1094">
        <v>4.00928775729247E-2</v>
      </c>
      <c r="L1094" t="s">
        <v>23</v>
      </c>
      <c r="M1094" t="s">
        <v>24</v>
      </c>
      <c r="N1094">
        <v>9821.9958117386595</v>
      </c>
      <c r="O1094">
        <v>9381.3823721135595</v>
      </c>
      <c r="P1094">
        <v>10262.6092513637</v>
      </c>
      <c r="Q1094">
        <v>9160.4356695520692</v>
      </c>
      <c r="R1094">
        <v>9602.3290746750408</v>
      </c>
      <c r="S1094">
        <v>10148.134057544999</v>
      </c>
      <c r="T1094">
        <v>10377.0844451825</v>
      </c>
    </row>
    <row r="1095" spans="1:20" x14ac:dyDescent="0.2">
      <c r="A1095" t="s">
        <v>2174</v>
      </c>
      <c r="B1095" s="3" t="str">
        <f>HYPERLINK("http://www.ncbi.nlm.nih.gov/gene/768213","MIR671")</f>
        <v>MIR671</v>
      </c>
      <c r="C1095">
        <v>768213</v>
      </c>
      <c r="D1095" t="s">
        <v>2176</v>
      </c>
      <c r="E1095" s="3" t="str">
        <f>HYPERLINK("http://genome.ucsc.edu/cgi-bin/hgTracks?db=hg19&amp;lastVirtModeType=default&amp;lastVirtModeExtraState=&amp;virtModeType=default&amp;virtMode=0&amp;nonVirtPosition=&amp;position=chr7:151238420-151238538","chr7:151238420-151238538")</f>
        <v>chr7:151238420-151238538</v>
      </c>
      <c r="F1095" t="s">
        <v>27</v>
      </c>
      <c r="G1095">
        <v>0.12500349213452699</v>
      </c>
      <c r="H1095">
        <v>4.22878856026618E-2</v>
      </c>
      <c r="I1095">
        <v>2.9560118779421498</v>
      </c>
      <c r="J1095">
        <v>3.1164508890723199E-3</v>
      </c>
      <c r="K1095">
        <v>4.00928775729247E-2</v>
      </c>
      <c r="L1095" t="s">
        <v>23</v>
      </c>
      <c r="M1095" t="s">
        <v>24</v>
      </c>
      <c r="N1095">
        <v>9821.9958117386595</v>
      </c>
      <c r="O1095">
        <v>9381.3823721135595</v>
      </c>
      <c r="P1095">
        <v>10262.6092513637</v>
      </c>
      <c r="Q1095">
        <v>9160.4356695520692</v>
      </c>
      <c r="R1095">
        <v>9602.3290746750408</v>
      </c>
      <c r="S1095">
        <v>10148.134057544999</v>
      </c>
      <c r="T1095">
        <v>10377.0844451825</v>
      </c>
    </row>
    <row r="1096" spans="1:20" x14ac:dyDescent="0.2">
      <c r="A1096" t="s">
        <v>2177</v>
      </c>
      <c r="B1096" s="3" t="str">
        <f>HYPERLINK("http://www.ncbi.nlm.nih.gov/gene/374462","PTPRQ")</f>
        <v>PTPRQ</v>
      </c>
      <c r="C1096">
        <v>374462</v>
      </c>
      <c r="D1096" t="s">
        <v>2178</v>
      </c>
      <c r="E1096" s="3" t="str">
        <f>HYPERLINK("http://genome.ucsc.edu/cgi-bin/hgTracks?db=hg19&amp;lastVirtModeType=default&amp;lastVirtModeExtraState=&amp;virtModeType=default&amp;virtMode=0&amp;nonVirtPosition=&amp;position=chr12:80444345-80680189","chr12:80444345-80680189")</f>
        <v>chr12:80444345-80680189</v>
      </c>
      <c r="F1096" t="s">
        <v>27</v>
      </c>
      <c r="G1096">
        <v>-0.31153318774560301</v>
      </c>
      <c r="H1096">
        <v>0.105436270881327</v>
      </c>
      <c r="I1096">
        <v>-2.9547060526851001</v>
      </c>
      <c r="J1096">
        <v>3.1296708303264198E-3</v>
      </c>
      <c r="K1096">
        <v>4.02252162765665E-2</v>
      </c>
      <c r="L1096" t="s">
        <v>23</v>
      </c>
      <c r="M1096" t="s">
        <v>24</v>
      </c>
      <c r="N1096">
        <v>42.725117621523601</v>
      </c>
      <c r="O1096">
        <v>59.193514562055199</v>
      </c>
      <c r="P1096">
        <v>26.256720680992</v>
      </c>
      <c r="Q1096">
        <v>55.034158423262603</v>
      </c>
      <c r="R1096">
        <v>63.352870700847703</v>
      </c>
      <c r="S1096">
        <v>21.703018301350301</v>
      </c>
      <c r="T1096">
        <v>30.8104230606336</v>
      </c>
    </row>
    <row r="1097" spans="1:20" x14ac:dyDescent="0.2">
      <c r="A1097" t="s">
        <v>2179</v>
      </c>
      <c r="B1097" s="3" t="str">
        <f>HYPERLINK("http://www.ncbi.nlm.nih.gov/gene/6464","SHC1")</f>
        <v>SHC1</v>
      </c>
      <c r="C1097">
        <v>6464</v>
      </c>
      <c r="D1097" t="s">
        <v>2180</v>
      </c>
      <c r="E1097" s="3" t="str">
        <f>HYPERLINK("http://genome.ucsc.edu/cgi-bin/hgTracks?db=hg19&amp;lastVirtModeType=default&amp;lastVirtModeExtraState=&amp;virtModeType=default&amp;virtMode=0&amp;nonVirtPosition=&amp;position=chr1:154962297-154974483","chr1:154962297-154974483")</f>
        <v>chr1:154962297-154974483</v>
      </c>
      <c r="F1097" t="s">
        <v>22</v>
      </c>
      <c r="G1097">
        <v>-0.12493912559892</v>
      </c>
      <c r="H1097">
        <v>4.2306052832252597E-2</v>
      </c>
      <c r="I1097">
        <v>-2.95322104603602</v>
      </c>
      <c r="J1097">
        <v>3.14476688697321E-3</v>
      </c>
      <c r="K1097">
        <v>4.0381398022425699E-2</v>
      </c>
      <c r="L1097" t="s">
        <v>23</v>
      </c>
      <c r="M1097" t="s">
        <v>24</v>
      </c>
      <c r="N1097">
        <v>11470.3406922014</v>
      </c>
      <c r="O1097">
        <v>11982.6722689076</v>
      </c>
      <c r="P1097">
        <v>10958.009115495201</v>
      </c>
      <c r="Q1097">
        <v>11667.241585731699</v>
      </c>
      <c r="R1097">
        <v>12298.1029520835</v>
      </c>
      <c r="S1097">
        <v>10839.671140692601</v>
      </c>
      <c r="T1097">
        <v>11076.347090297801</v>
      </c>
    </row>
    <row r="1098" spans="1:20" x14ac:dyDescent="0.2">
      <c r="A1098" t="s">
        <v>2181</v>
      </c>
      <c r="B1098" s="3" t="str">
        <f>HYPERLINK("http://www.ncbi.nlm.nih.gov/gene/11342","RNF13")</f>
        <v>RNF13</v>
      </c>
      <c r="C1098">
        <v>11342</v>
      </c>
      <c r="D1098" t="s">
        <v>2182</v>
      </c>
      <c r="E1098" s="3" t="str">
        <f>HYPERLINK("http://genome.ucsc.edu/cgi-bin/hgTracks?db=hg19&amp;lastVirtModeType=default&amp;lastVirtModeExtraState=&amp;virtModeType=default&amp;virtMode=0&amp;nonVirtPosition=&amp;position=chr3:149812687-149962138","chr3:149812687-149962138")</f>
        <v>chr3:149812687-149962138</v>
      </c>
      <c r="F1098" t="s">
        <v>27</v>
      </c>
      <c r="G1098">
        <v>0.221205067562634</v>
      </c>
      <c r="H1098">
        <v>7.4925432837674305E-2</v>
      </c>
      <c r="I1098">
        <v>2.9523361986026102</v>
      </c>
      <c r="J1098">
        <v>3.1537934650174302E-3</v>
      </c>
      <c r="K1098">
        <v>4.04594233669308E-2</v>
      </c>
      <c r="L1098" t="s">
        <v>23</v>
      </c>
      <c r="M1098" t="s">
        <v>24</v>
      </c>
      <c r="N1098">
        <v>1093.0724724571501</v>
      </c>
      <c r="O1098">
        <v>998.24951475652301</v>
      </c>
      <c r="P1098">
        <v>1187.8954301577801</v>
      </c>
      <c r="Q1098">
        <v>1011.25266102745</v>
      </c>
      <c r="R1098">
        <v>985.24636848559703</v>
      </c>
      <c r="S1098">
        <v>1233.1260398494501</v>
      </c>
      <c r="T1098">
        <v>1142.6648204661101</v>
      </c>
    </row>
    <row r="1099" spans="1:20" x14ac:dyDescent="0.2">
      <c r="A1099" t="s">
        <v>2183</v>
      </c>
      <c r="B1099" s="3" t="str">
        <f>HYPERLINK("http://www.ncbi.nlm.nih.gov/gene/5983","RFC3")</f>
        <v>RFC3</v>
      </c>
      <c r="C1099">
        <v>5983</v>
      </c>
      <c r="D1099" t="s">
        <v>2184</v>
      </c>
      <c r="E1099" s="3" t="str">
        <f>HYPERLINK("http://genome.ucsc.edu/cgi-bin/hgTracks?db=hg19&amp;lastVirtModeType=default&amp;lastVirtModeExtraState=&amp;virtModeType=default&amp;virtMode=0&amp;nonVirtPosition=&amp;position=chr13:33818068-33966558","chr13:33818068-33966558")</f>
        <v>chr13:33818068-33966558</v>
      </c>
      <c r="F1099" t="s">
        <v>27</v>
      </c>
      <c r="G1099">
        <v>-0.25352367300615097</v>
      </c>
      <c r="H1099">
        <v>8.5888060036564698E-2</v>
      </c>
      <c r="I1099">
        <v>-2.9517918194708299</v>
      </c>
      <c r="J1099">
        <v>3.15935855816896E-3</v>
      </c>
      <c r="K1099">
        <v>4.0467623490092898E-2</v>
      </c>
      <c r="L1099" t="s">
        <v>23</v>
      </c>
      <c r="M1099" t="s">
        <v>24</v>
      </c>
      <c r="N1099">
        <v>688.852965947131</v>
      </c>
      <c r="O1099">
        <v>760.80342665653598</v>
      </c>
      <c r="P1099">
        <v>616.90250523772397</v>
      </c>
      <c r="Q1099">
        <v>758.09553228044297</v>
      </c>
      <c r="R1099">
        <v>763.51132103263001</v>
      </c>
      <c r="S1099">
        <v>596.83300328713199</v>
      </c>
      <c r="T1099">
        <v>636.97200718831698</v>
      </c>
    </row>
    <row r="1100" spans="1:20" x14ac:dyDescent="0.2">
      <c r="A1100" t="s">
        <v>2185</v>
      </c>
      <c r="B1100" s="3" t="str">
        <f>HYPERLINK("http://www.ncbi.nlm.nih.gov/gene/25960","ADGRA2")</f>
        <v>ADGRA2</v>
      </c>
      <c r="C1100">
        <v>25960</v>
      </c>
      <c r="D1100" t="s">
        <v>2186</v>
      </c>
      <c r="E1100" s="3" t="str">
        <f>HYPERLINK("http://genome.ucsc.edu/cgi-bin/hgTracks?db=hg19&amp;lastVirtModeType=default&amp;lastVirtModeExtraState=&amp;virtModeType=default&amp;virtMode=0&amp;nonVirtPosition=&amp;position=chr8:37796882-37843986","chr8:37796882-37843986")</f>
        <v>chr8:37796882-37843986</v>
      </c>
      <c r="F1100" t="s">
        <v>27</v>
      </c>
      <c r="G1100">
        <v>-0.210124859400285</v>
      </c>
      <c r="H1100">
        <v>7.1187827806141898E-2</v>
      </c>
      <c r="I1100">
        <v>-2.9516964609805898</v>
      </c>
      <c r="J1100">
        <v>3.16033431222761E-3</v>
      </c>
      <c r="K1100">
        <v>4.0467623490092898E-2</v>
      </c>
      <c r="L1100" t="s">
        <v>23</v>
      </c>
      <c r="M1100" t="s">
        <v>24</v>
      </c>
      <c r="N1100">
        <v>1405.3435642913801</v>
      </c>
      <c r="O1100">
        <v>1520.16805714514</v>
      </c>
      <c r="P1100">
        <v>1290.5190714376199</v>
      </c>
      <c r="Q1100">
        <v>1496.92910911274</v>
      </c>
      <c r="R1100">
        <v>1543.40700517755</v>
      </c>
      <c r="S1100">
        <v>1217.34202653937</v>
      </c>
      <c r="T1100">
        <v>1363.6961163358701</v>
      </c>
    </row>
    <row r="1101" spans="1:20" x14ac:dyDescent="0.2">
      <c r="A1101" t="s">
        <v>2187</v>
      </c>
      <c r="B1101" s="3" t="str">
        <f>HYPERLINK("http://www.ncbi.nlm.nih.gov/gene/51303","FKBP11")</f>
        <v>FKBP11</v>
      </c>
      <c r="C1101">
        <v>51303</v>
      </c>
      <c r="D1101" t="s">
        <v>2188</v>
      </c>
      <c r="E1101" s="3" t="str">
        <f>HYPERLINK("http://genome.ucsc.edu/cgi-bin/hgTracks?db=hg19&amp;lastVirtModeType=default&amp;lastVirtModeExtraState=&amp;virtModeType=default&amp;virtMode=0&amp;nonVirtPosition=&amp;position=chr12:48923125-48925547","chr12:48923125-48925547")</f>
        <v>chr12:48923125-48925547</v>
      </c>
      <c r="F1101" t="s">
        <v>22</v>
      </c>
      <c r="G1101">
        <v>-0.189944631752302</v>
      </c>
      <c r="H1101">
        <v>6.4366098580274506E-2</v>
      </c>
      <c r="I1101">
        <v>-2.9510042699793599</v>
      </c>
      <c r="J1101">
        <v>3.1674253822014499E-3</v>
      </c>
      <c r="K1101">
        <v>4.0493724256496902E-2</v>
      </c>
      <c r="L1101" t="s">
        <v>23</v>
      </c>
      <c r="M1101" t="s">
        <v>24</v>
      </c>
      <c r="N1101">
        <v>1922.6596788332299</v>
      </c>
      <c r="O1101">
        <v>2058.0557852309298</v>
      </c>
      <c r="P1101">
        <v>1787.26357243554</v>
      </c>
      <c r="Q1101">
        <v>2052.7741091877001</v>
      </c>
      <c r="R1101">
        <v>2063.33746127416</v>
      </c>
      <c r="S1101">
        <v>1879.2840847305599</v>
      </c>
      <c r="T1101">
        <v>1695.2430601405199</v>
      </c>
    </row>
    <row r="1102" spans="1:20" x14ac:dyDescent="0.2">
      <c r="A1102" t="s">
        <v>2189</v>
      </c>
      <c r="B1102" s="3" t="str">
        <f>HYPERLINK("http://www.ncbi.nlm.nih.gov/gene/4501","MT1X")</f>
        <v>MT1X</v>
      </c>
      <c r="C1102">
        <v>4501</v>
      </c>
      <c r="D1102" t="s">
        <v>2190</v>
      </c>
      <c r="E1102" s="3" t="str">
        <f>HYPERLINK("http://genome.ucsc.edu/cgi-bin/hgTracks?db=hg19&amp;lastVirtModeType=default&amp;lastVirtModeExtraState=&amp;virtModeType=default&amp;virtMode=0&amp;nonVirtPosition=&amp;position=chr16:56682469-56684196","chr16:56682469-56684196")</f>
        <v>chr16:56682469-56684196</v>
      </c>
      <c r="F1102" t="s">
        <v>27</v>
      </c>
      <c r="G1102">
        <v>0.25334437066865001</v>
      </c>
      <c r="H1102">
        <v>8.5852640541434294E-2</v>
      </c>
      <c r="I1102">
        <v>2.9509211256744199</v>
      </c>
      <c r="J1102">
        <v>3.1682781192373601E-3</v>
      </c>
      <c r="K1102">
        <v>4.0493724256496902E-2</v>
      </c>
      <c r="L1102" t="s">
        <v>23</v>
      </c>
      <c r="M1102" t="s">
        <v>24</v>
      </c>
      <c r="N1102">
        <v>694.02856416338398</v>
      </c>
      <c r="O1102">
        <v>621.86251106683005</v>
      </c>
      <c r="P1102">
        <v>766.19461725993801</v>
      </c>
      <c r="Q1102">
        <v>628.76525998577597</v>
      </c>
      <c r="R1102">
        <v>614.95976214788402</v>
      </c>
      <c r="S1102">
        <v>786.24116300800802</v>
      </c>
      <c r="T1102">
        <v>746.14807151186699</v>
      </c>
    </row>
    <row r="1103" spans="1:20" x14ac:dyDescent="0.2">
      <c r="A1103" t="s">
        <v>2191</v>
      </c>
      <c r="B1103" s="3" t="str">
        <f>HYPERLINK("http://www.ncbi.nlm.nih.gov/gene/51696","HECA")</f>
        <v>HECA</v>
      </c>
      <c r="C1103">
        <v>51696</v>
      </c>
      <c r="D1103" t="s">
        <v>2192</v>
      </c>
      <c r="E1103" s="3" t="str">
        <f>HYPERLINK("http://genome.ucsc.edu/cgi-bin/hgTracks?db=hg19&amp;lastVirtModeType=default&amp;lastVirtModeExtraState=&amp;virtModeType=default&amp;virtMode=0&amp;nonVirtPosition=&amp;position=chr6:139135111-139180809","chr6:139135111-139180809")</f>
        <v>chr6:139135111-139180809</v>
      </c>
      <c r="F1103" t="s">
        <v>27</v>
      </c>
      <c r="G1103">
        <v>0.20741018153583399</v>
      </c>
      <c r="H1103">
        <v>7.0333652602677904E-2</v>
      </c>
      <c r="I1103">
        <v>2.9489465406768498</v>
      </c>
      <c r="J1103">
        <v>3.1885912724149302E-3</v>
      </c>
      <c r="K1103">
        <v>4.07154010334249E-2</v>
      </c>
      <c r="L1103" t="s">
        <v>23</v>
      </c>
      <c r="M1103" t="s">
        <v>24</v>
      </c>
      <c r="N1103">
        <v>1247.2237526707099</v>
      </c>
      <c r="O1103">
        <v>1147.4463928432499</v>
      </c>
      <c r="P1103">
        <v>1347.00111249818</v>
      </c>
      <c r="Q1103">
        <v>1144.7104952038601</v>
      </c>
      <c r="R1103">
        <v>1150.1822904826299</v>
      </c>
      <c r="S1103">
        <v>1375.1821596401001</v>
      </c>
      <c r="T1103">
        <v>1318.8200653562501</v>
      </c>
    </row>
    <row r="1104" spans="1:20" x14ac:dyDescent="0.2">
      <c r="A1104" t="s">
        <v>2193</v>
      </c>
      <c r="B1104" s="3" t="str">
        <f>HYPERLINK("http://www.ncbi.nlm.nih.gov/gene/388","RHOB")</f>
        <v>RHOB</v>
      </c>
      <c r="C1104">
        <v>388</v>
      </c>
      <c r="D1104" t="s">
        <v>2194</v>
      </c>
      <c r="E1104" s="3" t="str">
        <f>HYPERLINK("http://genome.ucsc.edu/cgi-bin/hgTracks?db=hg19&amp;lastVirtModeType=default&amp;lastVirtModeExtraState=&amp;virtModeType=default&amp;virtMode=0&amp;nonVirtPosition=&amp;position=chr2:20447070-20449443","chr2:20447070-20449443")</f>
        <v>chr2:20447070-20449443</v>
      </c>
      <c r="F1104" t="s">
        <v>27</v>
      </c>
      <c r="G1104">
        <v>-0.12686053675642001</v>
      </c>
      <c r="H1104">
        <v>4.3048519132957E-2</v>
      </c>
      <c r="I1104">
        <v>-2.9469198781172099</v>
      </c>
      <c r="J1104">
        <v>3.2095635304775398E-3</v>
      </c>
      <c r="K1104">
        <v>4.09450737274131E-2</v>
      </c>
      <c r="L1104" t="s">
        <v>23</v>
      </c>
      <c r="M1104" t="s">
        <v>24</v>
      </c>
      <c r="N1104">
        <v>6319.2906996636302</v>
      </c>
      <c r="O1104">
        <v>6607.5365815464402</v>
      </c>
      <c r="P1104">
        <v>6031.0448177808103</v>
      </c>
      <c r="Q1104">
        <v>6696.2812261504796</v>
      </c>
      <c r="R1104">
        <v>6518.7919369423998</v>
      </c>
      <c r="S1104">
        <v>6041.3310944304103</v>
      </c>
      <c r="T1104">
        <v>6020.7585411312102</v>
      </c>
    </row>
    <row r="1105" spans="1:20" x14ac:dyDescent="0.2">
      <c r="A1105" t="s">
        <v>2195</v>
      </c>
      <c r="B1105" s="3" t="str">
        <f>HYPERLINK("http://www.ncbi.nlm.nih.gov/gene/55320","MIS18BP1")</f>
        <v>MIS18BP1</v>
      </c>
      <c r="C1105">
        <v>55320</v>
      </c>
      <c r="D1105" t="s">
        <v>2196</v>
      </c>
      <c r="E1105" s="3" t="str">
        <f>HYPERLINK("http://genome.ucsc.edu/cgi-bin/hgTracks?db=hg19&amp;lastVirtModeType=default&amp;lastVirtModeExtraState=&amp;virtModeType=default&amp;virtMode=0&amp;nonVirtPosition=&amp;position=chr14:45203189-45253402","chr14:45203189-45253402")</f>
        <v>chr14:45203189-45253402</v>
      </c>
      <c r="F1105" t="s">
        <v>22</v>
      </c>
      <c r="G1105">
        <v>-0.226633872444018</v>
      </c>
      <c r="H1105">
        <v>7.6922960348101699E-2</v>
      </c>
      <c r="I1105">
        <v>-2.94624480673163</v>
      </c>
      <c r="J1105">
        <v>3.2165771470526999E-3</v>
      </c>
      <c r="K1105">
        <v>4.0996411705093702E-2</v>
      </c>
      <c r="L1105" t="s">
        <v>23</v>
      </c>
      <c r="M1105" t="s">
        <v>24</v>
      </c>
      <c r="N1105">
        <v>968.146395138667</v>
      </c>
      <c r="O1105">
        <v>1054.2818738963001</v>
      </c>
      <c r="P1105">
        <v>882.01091638103799</v>
      </c>
      <c r="Q1105">
        <v>1025.0112006332699</v>
      </c>
      <c r="R1105">
        <v>1083.5525471593301</v>
      </c>
      <c r="S1105">
        <v>865.16122955837204</v>
      </c>
      <c r="T1105">
        <v>898.86060320370302</v>
      </c>
    </row>
    <row r="1106" spans="1:20" x14ac:dyDescent="0.2">
      <c r="A1106" t="s">
        <v>2197</v>
      </c>
      <c r="B1106" s="3" t="str">
        <f>HYPERLINK("http://www.ncbi.nlm.nih.gov/gene/2521","FUS")</f>
        <v>FUS</v>
      </c>
      <c r="C1106">
        <v>2521</v>
      </c>
      <c r="D1106" t="s">
        <v>2198</v>
      </c>
      <c r="E1106" s="3" t="str">
        <f>HYPERLINK("http://genome.ucsc.edu/cgi-bin/hgTracks?db=hg19&amp;lastVirtModeType=default&amp;lastVirtModeExtraState=&amp;virtModeType=default&amp;virtMode=0&amp;nonVirtPosition=&amp;position=chr16:31180109-31194871","chr16:31180109-31194871")</f>
        <v>chr16:31180109-31194871</v>
      </c>
      <c r="F1106" t="s">
        <v>27</v>
      </c>
      <c r="G1106">
        <v>-0.14008857598992899</v>
      </c>
      <c r="H1106">
        <v>4.7560780169670101E-2</v>
      </c>
      <c r="I1106">
        <v>-2.9454642142154102</v>
      </c>
      <c r="J1106">
        <v>3.22470447912524E-3</v>
      </c>
      <c r="K1106">
        <v>4.1061835865110002E-2</v>
      </c>
      <c r="L1106" t="s">
        <v>23</v>
      </c>
      <c r="M1106" t="s">
        <v>24</v>
      </c>
      <c r="N1106">
        <v>8291.0427384656905</v>
      </c>
      <c r="O1106">
        <v>8710.5326786758596</v>
      </c>
      <c r="P1106">
        <v>7871.5527982555104</v>
      </c>
      <c r="Q1106">
        <v>9004.9641720063501</v>
      </c>
      <c r="R1106">
        <v>8416.1011853453692</v>
      </c>
      <c r="S1106">
        <v>8120.8748480325203</v>
      </c>
      <c r="T1106">
        <v>7622.2307484784997</v>
      </c>
    </row>
    <row r="1107" spans="1:20" x14ac:dyDescent="0.2">
      <c r="A1107" t="s">
        <v>2199</v>
      </c>
      <c r="B1107" s="3" t="str">
        <f>HYPERLINK("http://www.ncbi.nlm.nih.gov/gene/3895","KTN1")</f>
        <v>KTN1</v>
      </c>
      <c r="C1107">
        <v>3895</v>
      </c>
      <c r="D1107" t="s">
        <v>2200</v>
      </c>
      <c r="E1107" s="3" t="str">
        <f>HYPERLINK("http://genome.ucsc.edu/cgi-bin/hgTracks?db=hg19&amp;lastVirtModeType=default&amp;lastVirtModeExtraState=&amp;virtModeType=default&amp;virtMode=0&amp;nonVirtPosition=&amp;position=chr14:55580206-55684584","chr14:55580206-55684584")</f>
        <v>chr14:55580206-55684584</v>
      </c>
      <c r="F1107" t="s">
        <v>27</v>
      </c>
      <c r="G1107">
        <v>0.116756044235337</v>
      </c>
      <c r="H1107">
        <v>3.9648738126878601E-2</v>
      </c>
      <c r="I1107">
        <v>2.9447606595122799</v>
      </c>
      <c r="J1107">
        <v>3.2320457414361302E-3</v>
      </c>
      <c r="K1107">
        <v>4.1087019605723599E-2</v>
      </c>
      <c r="L1107" t="s">
        <v>23</v>
      </c>
      <c r="M1107" t="s">
        <v>24</v>
      </c>
      <c r="N1107">
        <v>10284.8242153594</v>
      </c>
      <c r="O1107">
        <v>9855.8116795128299</v>
      </c>
      <c r="P1107">
        <v>10713.836751205899</v>
      </c>
      <c r="Q1107">
        <v>9831.8524023158698</v>
      </c>
      <c r="R1107">
        <v>9879.77095670979</v>
      </c>
      <c r="S1107">
        <v>10770.616082461</v>
      </c>
      <c r="T1107">
        <v>10657.057419950899</v>
      </c>
    </row>
    <row r="1108" spans="1:20" x14ac:dyDescent="0.2">
      <c r="A1108" t="s">
        <v>2201</v>
      </c>
      <c r="B1108" s="3" t="str">
        <f>HYPERLINK("http://www.ncbi.nlm.nih.gov/gene/23392","KIAA0368")</f>
        <v>KIAA0368</v>
      </c>
      <c r="C1108">
        <v>23392</v>
      </c>
      <c r="D1108" t="s">
        <v>2202</v>
      </c>
      <c r="E1108" s="3" t="str">
        <f>HYPERLINK("http://genome.ucsc.edu/cgi-bin/hgTracks?db=hg19&amp;lastVirtModeType=default&amp;lastVirtModeExtraState=&amp;virtModeType=default&amp;virtMode=0&amp;nonVirtPosition=&amp;position=chr9:111360692-111484745","chr9:111360692-111484745")</f>
        <v>chr9:111360692-111484745</v>
      </c>
      <c r="F1108" t="s">
        <v>22</v>
      </c>
      <c r="G1108">
        <v>0.13433030451679601</v>
      </c>
      <c r="H1108">
        <v>4.5617645883940003E-2</v>
      </c>
      <c r="I1108">
        <v>2.9447004972277</v>
      </c>
      <c r="J1108">
        <v>3.23267421281725E-3</v>
      </c>
      <c r="K1108">
        <v>4.1087019605723599E-2</v>
      </c>
      <c r="L1108" t="s">
        <v>23</v>
      </c>
      <c r="M1108" t="s">
        <v>24</v>
      </c>
      <c r="N1108">
        <v>5616.0858688976296</v>
      </c>
      <c r="O1108">
        <v>5342.5385980166002</v>
      </c>
      <c r="P1108">
        <v>5889.6331397786698</v>
      </c>
      <c r="Q1108">
        <v>5338.3133670564803</v>
      </c>
      <c r="R1108">
        <v>5346.7638289767201</v>
      </c>
      <c r="S1108">
        <v>6032.4525869435001</v>
      </c>
      <c r="T1108">
        <v>5746.8136926138404</v>
      </c>
    </row>
    <row r="1109" spans="1:20" x14ac:dyDescent="0.2">
      <c r="A1109" t="s">
        <v>2203</v>
      </c>
      <c r="B1109" s="3" t="str">
        <f>HYPERLINK("http://www.ncbi.nlm.nih.gov/gene/81631","MAP1LC3B")</f>
        <v>MAP1LC3B</v>
      </c>
      <c r="C1109">
        <v>81631</v>
      </c>
      <c r="D1109" t="s">
        <v>2204</v>
      </c>
      <c r="E1109" s="3" t="str">
        <f>HYPERLINK("http://genome.ucsc.edu/cgi-bin/hgTracks?db=hg19&amp;lastVirtModeType=default&amp;lastVirtModeExtraState=&amp;virtModeType=default&amp;virtMode=0&amp;nonVirtPosition=&amp;position=chr16:87392194-87404774","chr16:87392194-87404774")</f>
        <v>chr16:87392194-87404774</v>
      </c>
      <c r="F1109" t="s">
        <v>27</v>
      </c>
      <c r="G1109">
        <v>0.13491846166542701</v>
      </c>
      <c r="H1109">
        <v>4.5830713174992599E-2</v>
      </c>
      <c r="I1109">
        <v>2.94384381823334</v>
      </c>
      <c r="J1109">
        <v>3.2416354015736499E-3</v>
      </c>
      <c r="K1109">
        <v>4.11627665714639E-2</v>
      </c>
      <c r="L1109" t="s">
        <v>23</v>
      </c>
      <c r="M1109" t="s">
        <v>24</v>
      </c>
      <c r="N1109">
        <v>4816.9705770010596</v>
      </c>
      <c r="O1109">
        <v>4581.5253640022402</v>
      </c>
      <c r="P1109">
        <v>5052.41578999987</v>
      </c>
      <c r="Q1109">
        <v>4525.1836763527699</v>
      </c>
      <c r="R1109">
        <v>4637.8670516517104</v>
      </c>
      <c r="S1109">
        <v>5085.41178833912</v>
      </c>
      <c r="T1109">
        <v>5019.4197916606199</v>
      </c>
    </row>
    <row r="1110" spans="1:20" x14ac:dyDescent="0.2">
      <c r="A1110" t="s">
        <v>2205</v>
      </c>
      <c r="B1110" s="3" t="str">
        <f>HYPERLINK("http://www.ncbi.nlm.nih.gov/gene/64943","NT5DC2")</f>
        <v>NT5DC2</v>
      </c>
      <c r="C1110">
        <v>64943</v>
      </c>
      <c r="D1110" t="s">
        <v>2206</v>
      </c>
      <c r="E1110" s="3" t="str">
        <f>HYPERLINK("http://genome.ucsc.edu/cgi-bin/hgTracks?db=hg19&amp;lastVirtModeType=default&amp;lastVirtModeExtraState=&amp;virtModeType=default&amp;virtMode=0&amp;nonVirtPosition=&amp;position=chr3:52524368-52533777","chr3:52524368-52533777")</f>
        <v>chr3:52524368-52533777</v>
      </c>
      <c r="F1110" t="s">
        <v>22</v>
      </c>
      <c r="G1110">
        <v>-0.136582367607363</v>
      </c>
      <c r="H1110">
        <v>4.6400970318740298E-2</v>
      </c>
      <c r="I1110">
        <v>-2.9435239536833699</v>
      </c>
      <c r="J1110">
        <v>3.2449871056454702E-3</v>
      </c>
      <c r="K1110">
        <v>4.1167209220001798E-2</v>
      </c>
      <c r="L1110" t="s">
        <v>23</v>
      </c>
      <c r="M1110" t="s">
        <v>24</v>
      </c>
      <c r="N1110">
        <v>4865.3890919216601</v>
      </c>
      <c r="O1110">
        <v>5104.9615418946596</v>
      </c>
      <c r="P1110">
        <v>4625.8166419486597</v>
      </c>
      <c r="Q1110">
        <v>5014.9876863198097</v>
      </c>
      <c r="R1110">
        <v>5194.9353974695096</v>
      </c>
      <c r="S1110">
        <v>4570.4583540979902</v>
      </c>
      <c r="T1110">
        <v>4681.1749297993201</v>
      </c>
    </row>
    <row r="1111" spans="1:20" x14ac:dyDescent="0.2">
      <c r="A1111" t="s">
        <v>2207</v>
      </c>
      <c r="B1111" s="3" t="str">
        <f>HYPERLINK("http://www.ncbi.nlm.nih.gov/gene/6932","TCF7")</f>
        <v>TCF7</v>
      </c>
      <c r="C1111">
        <v>6932</v>
      </c>
      <c r="D1111" t="s">
        <v>2208</v>
      </c>
      <c r="E1111" s="3" t="str">
        <f>HYPERLINK("http://genome.ucsc.edu/cgi-bin/hgTracks?db=hg19&amp;lastVirtModeType=default&amp;lastVirtModeExtraState=&amp;virtModeType=default&amp;virtMode=0&amp;nonVirtPosition=&amp;position=chr5:134115606-134148229","chr5:134115606-134148229")</f>
        <v>chr5:134115606-134148229</v>
      </c>
      <c r="F1111" t="s">
        <v>27</v>
      </c>
      <c r="G1111">
        <v>0.158979483033758</v>
      </c>
      <c r="H1111">
        <v>5.4037006568164798E-2</v>
      </c>
      <c r="I1111">
        <v>2.9420482948701698</v>
      </c>
      <c r="J1111">
        <v>3.2604907339052499E-3</v>
      </c>
      <c r="K1111">
        <v>4.1325665364858301E-2</v>
      </c>
      <c r="L1111" t="s">
        <v>23</v>
      </c>
      <c r="M1111" t="s">
        <v>24</v>
      </c>
      <c r="N1111">
        <v>2890.6084360587402</v>
      </c>
      <c r="O1111">
        <v>2723.9036615648001</v>
      </c>
      <c r="P1111">
        <v>3057.3132105526702</v>
      </c>
      <c r="Q1111">
        <v>2758.58719096604</v>
      </c>
      <c r="R1111">
        <v>2689.2201321635698</v>
      </c>
      <c r="S1111">
        <v>2992.0570230907001</v>
      </c>
      <c r="T1111">
        <v>3122.5693980146498</v>
      </c>
    </row>
    <row r="1112" spans="1:20" x14ac:dyDescent="0.2">
      <c r="A1112" t="s">
        <v>2209</v>
      </c>
      <c r="B1112" s="3" t="str">
        <f>HYPERLINK("http://www.ncbi.nlm.nih.gov/gene/401541","CENPP")</f>
        <v>CENPP</v>
      </c>
      <c r="C1112">
        <v>401541</v>
      </c>
      <c r="D1112" t="s">
        <v>2210</v>
      </c>
      <c r="E1112" s="3" t="str">
        <f>HYPERLINK("http://genome.ucsc.edu/cgi-bin/hgTracks?db=hg19&amp;lastVirtModeType=default&amp;lastVirtModeExtraState=&amp;virtModeType=default&amp;virtMode=0&amp;nonVirtPosition=&amp;position=chr9:92325467-92615155","chr9:92325467-92615155")</f>
        <v>chr9:92325467-92615155</v>
      </c>
      <c r="F1112" t="s">
        <v>27</v>
      </c>
      <c r="G1112">
        <v>-0.34407266605932002</v>
      </c>
      <c r="H1112">
        <v>0.116966028781245</v>
      </c>
      <c r="I1112">
        <v>-2.9416461313123499</v>
      </c>
      <c r="J1112">
        <v>3.2647276473901201E-3</v>
      </c>
      <c r="K1112">
        <v>4.1341158777754503E-2</v>
      </c>
      <c r="L1112" t="s">
        <v>23</v>
      </c>
      <c r="M1112" t="s">
        <v>24</v>
      </c>
      <c r="N1112">
        <v>159.05348598863301</v>
      </c>
      <c r="O1112">
        <v>191.480864835196</v>
      </c>
      <c r="P1112">
        <v>126.626107142069</v>
      </c>
      <c r="Q1112">
        <v>193.99540844200101</v>
      </c>
      <c r="R1112">
        <v>188.966321228391</v>
      </c>
      <c r="S1112">
        <v>123.312603984945</v>
      </c>
      <c r="T1112">
        <v>129.93961029919399</v>
      </c>
    </row>
    <row r="1113" spans="1:20" x14ac:dyDescent="0.2">
      <c r="A1113" t="s">
        <v>2211</v>
      </c>
      <c r="B1113" s="3" t="str">
        <f>HYPERLINK("http://www.ncbi.nlm.nih.gov/gene/54908","SPDL1")</f>
        <v>SPDL1</v>
      </c>
      <c r="C1113">
        <v>54908</v>
      </c>
      <c r="D1113" t="s">
        <v>2212</v>
      </c>
      <c r="E1113" s="3" t="str">
        <f>HYPERLINK("http://genome.ucsc.edu/cgi-bin/hgTracks?db=hg19&amp;lastVirtModeType=default&amp;lastVirtModeExtraState=&amp;virtModeType=default&amp;virtMode=0&amp;nonVirtPosition=&amp;position=chr5:169583633-169604777","chr5:169583633-169604777")</f>
        <v>chr5:169583633-169604777</v>
      </c>
      <c r="F1113" t="s">
        <v>27</v>
      </c>
      <c r="G1113">
        <v>-0.22222307518324699</v>
      </c>
      <c r="H1113">
        <v>7.5647470539081593E-2</v>
      </c>
      <c r="I1113">
        <v>-2.9376140880803301</v>
      </c>
      <c r="J1113">
        <v>3.3074845122744701E-3</v>
      </c>
      <c r="K1113">
        <v>4.1814886041415297E-2</v>
      </c>
      <c r="L1113" t="s">
        <v>23</v>
      </c>
      <c r="M1113" t="s">
        <v>24</v>
      </c>
      <c r="N1113">
        <v>1007.38459360814</v>
      </c>
      <c r="O1113">
        <v>1095.6992742569601</v>
      </c>
      <c r="P1113">
        <v>919.06991295931402</v>
      </c>
      <c r="Q1113">
        <v>1108.93829222874</v>
      </c>
      <c r="R1113">
        <v>1082.4602562851701</v>
      </c>
      <c r="S1113">
        <v>895.74275534663798</v>
      </c>
      <c r="T1113">
        <v>942.39707057198996</v>
      </c>
    </row>
    <row r="1114" spans="1:20" x14ac:dyDescent="0.2">
      <c r="A1114" t="s">
        <v>2213</v>
      </c>
      <c r="B1114" s="3" t="str">
        <f>HYPERLINK("http://www.ncbi.nlm.nih.gov/gene/51495","HACD3")</f>
        <v>HACD3</v>
      </c>
      <c r="C1114">
        <v>51495</v>
      </c>
      <c r="D1114" t="s">
        <v>2214</v>
      </c>
      <c r="E1114" s="3" t="str">
        <f>HYPERLINK("http://genome.ucsc.edu/cgi-bin/hgTracks?db=hg19&amp;lastVirtModeType=default&amp;lastVirtModeExtraState=&amp;virtModeType=default&amp;virtMode=0&amp;nonVirtPosition=&amp;position=chr15:65530488-65578355","chr15:65530488-65578355")</f>
        <v>chr15:65530488-65578355</v>
      </c>
      <c r="F1114" t="s">
        <v>27</v>
      </c>
      <c r="G1114">
        <v>0.13004530495504801</v>
      </c>
      <c r="H1114">
        <v>4.4270084615664902E-2</v>
      </c>
      <c r="I1114">
        <v>2.93754362757717</v>
      </c>
      <c r="J1114">
        <v>3.3082362078850499E-3</v>
      </c>
      <c r="K1114">
        <v>4.1814886041415297E-2</v>
      </c>
      <c r="L1114" t="s">
        <v>23</v>
      </c>
      <c r="M1114" t="s">
        <v>24</v>
      </c>
      <c r="N1114">
        <v>6069.4721104331402</v>
      </c>
      <c r="O1114">
        <v>5786.3475293820402</v>
      </c>
      <c r="P1114">
        <v>6352.5966914842202</v>
      </c>
      <c r="Q1114">
        <v>5892.7825131708496</v>
      </c>
      <c r="R1114">
        <v>5679.9125455932399</v>
      </c>
      <c r="S1114">
        <v>6417.1879113765199</v>
      </c>
      <c r="T1114">
        <v>6288.0054715919296</v>
      </c>
    </row>
    <row r="1115" spans="1:20" x14ac:dyDescent="0.2">
      <c r="A1115" t="s">
        <v>2215</v>
      </c>
      <c r="B1115" s="3" t="str">
        <f>HYPERLINK("http://www.ncbi.nlm.nih.gov/gene/84270","CARD19")</f>
        <v>CARD19</v>
      </c>
      <c r="C1115">
        <v>84270</v>
      </c>
      <c r="D1115" t="s">
        <v>2216</v>
      </c>
      <c r="E1115" s="3" t="str">
        <f>HYPERLINK("http://genome.ucsc.edu/cgi-bin/hgTracks?db=hg19&amp;lastVirtModeType=default&amp;lastVirtModeExtraState=&amp;virtModeType=default&amp;virtMode=0&amp;nonVirtPosition=&amp;position=chr9:93096122-93113295","chr9:93096122-93113295")</f>
        <v>chr9:93096122-93113295</v>
      </c>
      <c r="F1115" t="s">
        <v>27</v>
      </c>
      <c r="G1115">
        <v>0.208185098924353</v>
      </c>
      <c r="H1115">
        <v>7.0925035958533805E-2</v>
      </c>
      <c r="I1115">
        <v>2.9352836570441601</v>
      </c>
      <c r="J1115">
        <v>3.3324290010045199E-3</v>
      </c>
      <c r="K1115">
        <v>4.2081888876405099E-2</v>
      </c>
      <c r="L1115" t="s">
        <v>23</v>
      </c>
      <c r="M1115" t="s">
        <v>24</v>
      </c>
      <c r="N1115">
        <v>1221.3708252190099</v>
      </c>
      <c r="O1115">
        <v>1123.98311978475</v>
      </c>
      <c r="P1115">
        <v>1318.7585306532801</v>
      </c>
      <c r="Q1115">
        <v>1150.2139110461901</v>
      </c>
      <c r="R1115">
        <v>1097.7523285233101</v>
      </c>
      <c r="S1115">
        <v>1332.7626238692801</v>
      </c>
      <c r="T1115">
        <v>1304.7544374372701</v>
      </c>
    </row>
    <row r="1116" spans="1:20" x14ac:dyDescent="0.2">
      <c r="A1116" t="s">
        <v>2217</v>
      </c>
      <c r="B1116" s="3" t="str">
        <f>HYPERLINK("http://www.ncbi.nlm.nih.gov/gene/23481","PES1")</f>
        <v>PES1</v>
      </c>
      <c r="C1116">
        <v>23481</v>
      </c>
      <c r="D1116" t="s">
        <v>2218</v>
      </c>
      <c r="E1116" s="3" t="str">
        <f>HYPERLINK("http://genome.ucsc.edu/cgi-bin/hgTracks?db=hg19&amp;lastVirtModeType=default&amp;lastVirtModeExtraState=&amp;virtModeType=default&amp;virtMode=0&amp;nonVirtPosition=&amp;position=chr22:30576624-30591940","chr22:30576624-30591940")</f>
        <v>chr22:30576624-30591940</v>
      </c>
      <c r="F1116" t="s">
        <v>22</v>
      </c>
      <c r="G1116">
        <v>0.15156889361515699</v>
      </c>
      <c r="H1116">
        <v>5.1666492410478E-2</v>
      </c>
      <c r="I1116">
        <v>2.9336013834842598</v>
      </c>
      <c r="J1116">
        <v>3.3505420851741899E-3</v>
      </c>
      <c r="K1116">
        <v>4.22716965557303E-2</v>
      </c>
      <c r="L1116" t="s">
        <v>23</v>
      </c>
      <c r="M1116" t="s">
        <v>24</v>
      </c>
      <c r="N1116">
        <v>3101.8632237168599</v>
      </c>
      <c r="O1116">
        <v>2929.8208257715901</v>
      </c>
      <c r="P1116">
        <v>3273.9056216621302</v>
      </c>
      <c r="Q1116">
        <v>2907.1794187088499</v>
      </c>
      <c r="R1116">
        <v>2952.4622328343298</v>
      </c>
      <c r="S1116">
        <v>3291.95327598208</v>
      </c>
      <c r="T1116">
        <v>3255.85796734218</v>
      </c>
    </row>
    <row r="1117" spans="1:20" x14ac:dyDescent="0.2">
      <c r="A1117" t="s">
        <v>2219</v>
      </c>
      <c r="B1117" s="3" t="str">
        <f>HYPERLINK("http://www.ncbi.nlm.nih.gov/gene/10432","RBM14")</f>
        <v>RBM14</v>
      </c>
      <c r="C1117">
        <v>10432</v>
      </c>
      <c r="D1117" t="s">
        <v>2220</v>
      </c>
      <c r="E1117" s="3" t="str">
        <f>HYPERLINK("http://genome.ucsc.edu/cgi-bin/hgTracks?db=hg19&amp;lastVirtModeType=default&amp;lastVirtModeExtraState=&amp;virtModeType=default&amp;virtMode=0&amp;nonVirtPosition=&amp;position=chr11:66616581-66629926","chr11:66616581-66629926")</f>
        <v>chr11:66616581-66629926</v>
      </c>
      <c r="F1117" t="s">
        <v>27</v>
      </c>
      <c r="G1117">
        <v>-0.19879122812148201</v>
      </c>
      <c r="H1117">
        <v>6.7830348022489301E-2</v>
      </c>
      <c r="I1117">
        <v>-2.9307121947181001</v>
      </c>
      <c r="J1117">
        <v>3.381859383588E-3</v>
      </c>
      <c r="K1117">
        <v>4.26275915317334E-2</v>
      </c>
      <c r="L1117" t="s">
        <v>23</v>
      </c>
      <c r="M1117" t="s">
        <v>24</v>
      </c>
      <c r="N1117">
        <v>1365.51624969769</v>
      </c>
      <c r="O1117">
        <v>1468.4787971589401</v>
      </c>
      <c r="P1117">
        <v>1262.5537022364499</v>
      </c>
      <c r="Q1117">
        <v>1440.5190967289</v>
      </c>
      <c r="R1117">
        <v>1496.43849758899</v>
      </c>
      <c r="S1117">
        <v>1253.8425573189199</v>
      </c>
      <c r="T1117">
        <v>1271.2648471539701</v>
      </c>
    </row>
    <row r="1118" spans="1:20" x14ac:dyDescent="0.2">
      <c r="A1118" t="s">
        <v>2221</v>
      </c>
      <c r="B1118" s="3" t="str">
        <f>HYPERLINK("http://www.ncbi.nlm.nih.gov/gene/9112","MTA1")</f>
        <v>MTA1</v>
      </c>
      <c r="C1118">
        <v>9112</v>
      </c>
      <c r="D1118" t="s">
        <v>2222</v>
      </c>
      <c r="E1118" s="3" t="str">
        <f>HYPERLINK("http://genome.ucsc.edu/cgi-bin/hgTracks?db=hg19&amp;lastVirtModeType=default&amp;lastVirtModeExtraState=&amp;virtModeType=default&amp;virtMode=0&amp;nonVirtPosition=&amp;position=chr14:105419848-105470720","chr14:105419848-105470720")</f>
        <v>chr14:105419848-105470720</v>
      </c>
      <c r="F1118" t="s">
        <v>27</v>
      </c>
      <c r="G1118">
        <v>0.18974236195067501</v>
      </c>
      <c r="H1118">
        <v>6.4797734564845999E-2</v>
      </c>
      <c r="I1118">
        <v>2.92822524159069</v>
      </c>
      <c r="J1118">
        <v>3.40902985333549E-3</v>
      </c>
      <c r="K1118">
        <v>4.2930611027220303E-2</v>
      </c>
      <c r="L1118" t="s">
        <v>23</v>
      </c>
      <c r="M1118" t="s">
        <v>24</v>
      </c>
      <c r="N1118">
        <v>1636.0403443999901</v>
      </c>
      <c r="O1118">
        <v>1519.89466127323</v>
      </c>
      <c r="P1118">
        <v>1752.18602752673</v>
      </c>
      <c r="Q1118">
        <v>1568.4735150629899</v>
      </c>
      <c r="R1118">
        <v>1471.3158074834801</v>
      </c>
      <c r="S1118">
        <v>1760.90398490501</v>
      </c>
      <c r="T1118">
        <v>1743.4680701484599</v>
      </c>
    </row>
    <row r="1119" spans="1:20" x14ac:dyDescent="0.2">
      <c r="A1119" t="s">
        <v>2223</v>
      </c>
      <c r="B1119" s="3" t="str">
        <f>HYPERLINK("http://www.ncbi.nlm.nih.gov/gene/11228","RASSF8")</f>
        <v>RASSF8</v>
      </c>
      <c r="C1119">
        <v>11228</v>
      </c>
      <c r="D1119" t="s">
        <v>2224</v>
      </c>
      <c r="E1119" s="3" t="str">
        <f>HYPERLINK("http://genome.ucsc.edu/cgi-bin/hgTracks?db=hg19&amp;lastVirtModeType=default&amp;lastVirtModeExtraState=&amp;virtModeType=default&amp;virtMode=0&amp;nonVirtPosition=&amp;position=chr12:25959030-26072874","chr12:25959030-26072874")</f>
        <v>chr12:25959030-26072874</v>
      </c>
      <c r="F1119" t="s">
        <v>27</v>
      </c>
      <c r="G1119">
        <v>0.19203980358134701</v>
      </c>
      <c r="H1119">
        <v>6.5599863174200204E-2</v>
      </c>
      <c r="I1119">
        <v>2.9274421361426599</v>
      </c>
      <c r="J1119">
        <v>3.4176264908897598E-3</v>
      </c>
      <c r="K1119">
        <v>4.2999385042258802E-2</v>
      </c>
      <c r="L1119" t="s">
        <v>23</v>
      </c>
      <c r="M1119" t="s">
        <v>24</v>
      </c>
      <c r="N1119">
        <v>2765.4053481703099</v>
      </c>
      <c r="O1119">
        <v>2561.8466245171198</v>
      </c>
      <c r="P1119">
        <v>2968.9640718235</v>
      </c>
      <c r="Q1119">
        <v>2510.9334780613599</v>
      </c>
      <c r="R1119">
        <v>2612.7597709728898</v>
      </c>
      <c r="S1119">
        <v>3203.1682011129201</v>
      </c>
      <c r="T1119">
        <v>2734.75994253407</v>
      </c>
    </row>
    <row r="1120" spans="1:20" x14ac:dyDescent="0.2">
      <c r="A1120" t="s">
        <v>2225</v>
      </c>
      <c r="B1120" s="3" t="str">
        <f>HYPERLINK("http://www.ncbi.nlm.nih.gov/gene/56204","FAM214A")</f>
        <v>FAM214A</v>
      </c>
      <c r="C1120">
        <v>56204</v>
      </c>
      <c r="D1120" t="s">
        <v>2226</v>
      </c>
      <c r="E1120" s="3" t="str">
        <f>HYPERLINK("http://genome.ucsc.edu/cgi-bin/hgTracks?db=hg19&amp;lastVirtModeType=default&amp;lastVirtModeExtraState=&amp;virtModeType=default&amp;virtMode=0&amp;nonVirtPosition=&amp;position=chr15:52581320-52652050","chr15:52581320-52652050")</f>
        <v>chr15:52581320-52652050</v>
      </c>
      <c r="F1120" t="s">
        <v>22</v>
      </c>
      <c r="G1120">
        <v>-0.202279403521504</v>
      </c>
      <c r="H1120">
        <v>6.9107964578718706E-2</v>
      </c>
      <c r="I1120">
        <v>-2.9270056607020098</v>
      </c>
      <c r="J1120">
        <v>3.4224265150012102E-3</v>
      </c>
      <c r="K1120">
        <v>4.3020309098741098E-2</v>
      </c>
      <c r="L1120" t="s">
        <v>23</v>
      </c>
      <c r="M1120" t="s">
        <v>24</v>
      </c>
      <c r="N1120">
        <v>1274.3283547810099</v>
      </c>
      <c r="O1120">
        <v>1372.58863463387</v>
      </c>
      <c r="P1120">
        <v>1176.0680749281601</v>
      </c>
      <c r="Q1120">
        <v>1357.96785909401</v>
      </c>
      <c r="R1120">
        <v>1387.20941017373</v>
      </c>
      <c r="S1120">
        <v>1171.96298827291</v>
      </c>
      <c r="T1120">
        <v>1180.1731615834001</v>
      </c>
    </row>
    <row r="1121" spans="1:20" x14ac:dyDescent="0.2">
      <c r="A1121" t="s">
        <v>2227</v>
      </c>
      <c r="B1121" s="3" t="str">
        <f>HYPERLINK("http://www.ncbi.nlm.nih.gov/gene/54874","FNBP1L")</f>
        <v>FNBP1L</v>
      </c>
      <c r="C1121">
        <v>54874</v>
      </c>
      <c r="D1121" t="s">
        <v>2228</v>
      </c>
      <c r="E1121" s="3" t="str">
        <f>HYPERLINK("http://genome.ucsc.edu/cgi-bin/hgTracks?db=hg19&amp;lastVirtModeType=default&amp;lastVirtModeExtraState=&amp;virtModeType=default&amp;virtMode=0&amp;nonVirtPosition=&amp;position=chr1:93448130-93554661","chr1:93448130-93554661")</f>
        <v>chr1:93448130-93554661</v>
      </c>
      <c r="F1121" t="s">
        <v>27</v>
      </c>
      <c r="G1121">
        <v>-0.27169587622281099</v>
      </c>
      <c r="H1121">
        <v>9.2847387981391999E-2</v>
      </c>
      <c r="I1121">
        <v>-2.92626300135943</v>
      </c>
      <c r="J1121">
        <v>3.43060782282003E-3</v>
      </c>
      <c r="K1121">
        <v>4.3083659049591501E-2</v>
      </c>
      <c r="L1121" t="s">
        <v>23</v>
      </c>
      <c r="M1121" t="s">
        <v>24</v>
      </c>
      <c r="N1121">
        <v>525.99956627665802</v>
      </c>
      <c r="O1121">
        <v>587.18768257311899</v>
      </c>
      <c r="P1121">
        <v>464.81144998019698</v>
      </c>
      <c r="Q1121">
        <v>594.36891097123703</v>
      </c>
      <c r="R1121">
        <v>580.00645417500198</v>
      </c>
      <c r="S1121">
        <v>456.74988516023501</v>
      </c>
      <c r="T1121">
        <v>472.87301480015998</v>
      </c>
    </row>
    <row r="1122" spans="1:20" x14ac:dyDescent="0.2">
      <c r="A1122" t="s">
        <v>2229</v>
      </c>
      <c r="B1122" s="3" t="str">
        <f>HYPERLINK("http://www.ncbi.nlm.nih.gov/gene/80018","NAA25")</f>
        <v>NAA25</v>
      </c>
      <c r="C1122">
        <v>80018</v>
      </c>
      <c r="D1122" t="s">
        <v>2230</v>
      </c>
      <c r="E1122" s="3" t="str">
        <f>HYPERLINK("http://genome.ucsc.edu/cgi-bin/hgTracks?db=hg19&amp;lastVirtModeType=default&amp;lastVirtModeExtraState=&amp;virtModeType=default&amp;virtMode=0&amp;nonVirtPosition=&amp;position=chr12:112026688-112108831","chr12:112026688-112108831")</f>
        <v>chr12:112026688-112108831</v>
      </c>
      <c r="F1122" t="s">
        <v>22</v>
      </c>
      <c r="G1122">
        <v>0.17044951649828</v>
      </c>
      <c r="H1122">
        <v>5.82621562316002E-2</v>
      </c>
      <c r="I1122">
        <v>2.9255614196755602</v>
      </c>
      <c r="J1122">
        <v>3.4383529586004299E-3</v>
      </c>
      <c r="K1122">
        <v>4.3141420378999401E-2</v>
      </c>
      <c r="L1122" t="s">
        <v>23</v>
      </c>
      <c r="M1122" t="s">
        <v>24</v>
      </c>
      <c r="N1122">
        <v>2449.8537497994798</v>
      </c>
      <c r="O1122">
        <v>2293.8214755481199</v>
      </c>
      <c r="P1122">
        <v>2605.8860240508302</v>
      </c>
      <c r="Q1122">
        <v>2294.9244062500502</v>
      </c>
      <c r="R1122">
        <v>2292.7185448462001</v>
      </c>
      <c r="S1122">
        <v>2700.0527768543502</v>
      </c>
      <c r="T1122">
        <v>2511.7192712473102</v>
      </c>
    </row>
    <row r="1123" spans="1:20" x14ac:dyDescent="0.2">
      <c r="A1123" t="s">
        <v>2231</v>
      </c>
      <c r="B1123" s="3" t="str">
        <f>HYPERLINK("http://www.ncbi.nlm.nih.gov/gene/10186","LHFP")</f>
        <v>LHFP</v>
      </c>
      <c r="C1123">
        <v>10186</v>
      </c>
      <c r="D1123" t="s">
        <v>2232</v>
      </c>
      <c r="E1123" s="3" t="str">
        <f>HYPERLINK("http://genome.ucsc.edu/cgi-bin/hgTracks?db=hg19&amp;lastVirtModeType=default&amp;lastVirtModeExtraState=&amp;virtModeType=default&amp;virtMode=0&amp;nonVirtPosition=&amp;position=chr13:39342891-39603219","chr13:39342891-39603219")</f>
        <v>chr13:39342891-39603219</v>
      </c>
      <c r="F1123" t="s">
        <v>22</v>
      </c>
      <c r="G1123">
        <v>-0.19397991583077201</v>
      </c>
      <c r="H1123">
        <v>6.6352100390815405E-2</v>
      </c>
      <c r="I1123">
        <v>-2.9234932230965698</v>
      </c>
      <c r="J1123">
        <v>3.4612775972414898E-3</v>
      </c>
      <c r="K1123">
        <v>4.3349736044355998E-2</v>
      </c>
      <c r="L1123" t="s">
        <v>23</v>
      </c>
      <c r="M1123" t="s">
        <v>24</v>
      </c>
      <c r="N1123">
        <v>1678.95455446139</v>
      </c>
      <c r="O1123">
        <v>1803.12795953725</v>
      </c>
      <c r="P1123">
        <v>1554.7811493855399</v>
      </c>
      <c r="Q1123">
        <v>1762.46892350499</v>
      </c>
      <c r="R1123">
        <v>1843.7869955695</v>
      </c>
      <c r="S1123">
        <v>1486.65675364249</v>
      </c>
      <c r="T1123">
        <v>1622.9055451285899</v>
      </c>
    </row>
    <row r="1124" spans="1:20" x14ac:dyDescent="0.2">
      <c r="A1124" t="s">
        <v>2233</v>
      </c>
      <c r="B1124" s="3" t="str">
        <f>HYPERLINK("http://www.ncbi.nlm.nih.gov/gene/26012","NSMF")</f>
        <v>NSMF</v>
      </c>
      <c r="C1124">
        <v>26012</v>
      </c>
      <c r="D1124" t="s">
        <v>2234</v>
      </c>
      <c r="E1124" s="3" t="str">
        <f>HYPERLINK("http://genome.ucsc.edu/cgi-bin/hgTracks?db=hg19&amp;lastVirtModeType=default&amp;lastVirtModeExtraState=&amp;virtModeType=default&amp;virtMode=0&amp;nonVirtPosition=&amp;position=chr9:137447570-137459334","chr9:137447570-137459334")</f>
        <v>chr9:137447570-137459334</v>
      </c>
      <c r="F1124" t="s">
        <v>22</v>
      </c>
      <c r="G1124">
        <v>0.1929817339072</v>
      </c>
      <c r="H1124">
        <v>6.6047418031735999E-2</v>
      </c>
      <c r="I1124">
        <v>2.9218664356337398</v>
      </c>
      <c r="J1124">
        <v>3.4794071481507099E-3</v>
      </c>
      <c r="K1124">
        <v>4.3534312124496502E-2</v>
      </c>
      <c r="L1124" t="s">
        <v>23</v>
      </c>
      <c r="M1124" t="s">
        <v>24</v>
      </c>
      <c r="N1124">
        <v>1527.4984180449801</v>
      </c>
      <c r="O1124">
        <v>1415.1091393899501</v>
      </c>
      <c r="P1124">
        <v>1639.8876967000101</v>
      </c>
      <c r="Q1124">
        <v>1373.1022526603999</v>
      </c>
      <c r="R1124">
        <v>1457.1160261195</v>
      </c>
      <c r="S1124">
        <v>1645.4833875751001</v>
      </c>
      <c r="T1124">
        <v>1634.2920058249199</v>
      </c>
    </row>
    <row r="1125" spans="1:20" x14ac:dyDescent="0.2">
      <c r="A1125" t="s">
        <v>2233</v>
      </c>
      <c r="B1125" s="3" t="str">
        <f>HYPERLINK("http://www.ncbi.nlm.nih.gov/gene/102466223","MIR7114")</f>
        <v>MIR7114</v>
      </c>
      <c r="C1125">
        <v>102466223</v>
      </c>
      <c r="D1125" t="s">
        <v>2235</v>
      </c>
      <c r="E1125" s="3" t="str">
        <f>HYPERLINK("http://genome.ucsc.edu/cgi-bin/hgTracks?db=hg19&amp;lastVirtModeType=default&amp;lastVirtModeExtraState=&amp;virtModeType=default&amp;virtMode=0&amp;nonVirtPosition=&amp;position=chr9:137450025-137450086","chr9:137450025-137450086")</f>
        <v>chr9:137450025-137450086</v>
      </c>
      <c r="F1125" t="s">
        <v>22</v>
      </c>
      <c r="G1125">
        <v>0.1929817339072</v>
      </c>
      <c r="H1125">
        <v>6.6047418031735999E-2</v>
      </c>
      <c r="I1125">
        <v>2.9218664356337398</v>
      </c>
      <c r="J1125">
        <v>3.4794071481507099E-3</v>
      </c>
      <c r="K1125">
        <v>4.3534312124496502E-2</v>
      </c>
      <c r="L1125" t="s">
        <v>23</v>
      </c>
      <c r="M1125" t="s">
        <v>24</v>
      </c>
      <c r="N1125">
        <v>1527.4984180449801</v>
      </c>
      <c r="O1125">
        <v>1415.1091393899501</v>
      </c>
      <c r="P1125">
        <v>1639.8876967000101</v>
      </c>
      <c r="Q1125">
        <v>1373.1022526603999</v>
      </c>
      <c r="R1125">
        <v>1457.1160261195</v>
      </c>
      <c r="S1125">
        <v>1645.4833875751001</v>
      </c>
      <c r="T1125">
        <v>1634.2920058249199</v>
      </c>
    </row>
    <row r="1126" spans="1:20" x14ac:dyDescent="0.2">
      <c r="A1126" t="s">
        <v>2236</v>
      </c>
      <c r="B1126" s="3" t="str">
        <f>HYPERLINK("http://www.ncbi.nlm.nih.gov/gene/83461","CDCA3")</f>
        <v>CDCA3</v>
      </c>
      <c r="C1126">
        <v>83461</v>
      </c>
      <c r="D1126" t="s">
        <v>2237</v>
      </c>
      <c r="E1126" s="3" t="str">
        <f>HYPERLINK("http://genome.ucsc.edu/cgi-bin/hgTracks?db=hg19&amp;lastVirtModeType=default&amp;lastVirtModeExtraState=&amp;virtModeType=default&amp;virtMode=0&amp;nonVirtPosition=&amp;position=chr12:6848807-6851930","chr12:6848807-6851930")</f>
        <v>chr12:6848807-6851930</v>
      </c>
      <c r="F1126" t="s">
        <v>22</v>
      </c>
      <c r="G1126">
        <v>-0.32901809995023501</v>
      </c>
      <c r="H1126">
        <v>0.112615653231007</v>
      </c>
      <c r="I1126">
        <v>-2.9216018422885202</v>
      </c>
      <c r="J1126">
        <v>3.4823640367925299E-3</v>
      </c>
      <c r="K1126">
        <v>4.3534312124496502E-2</v>
      </c>
      <c r="L1126" t="s">
        <v>23</v>
      </c>
      <c r="M1126" t="s">
        <v>24</v>
      </c>
      <c r="N1126">
        <v>231.418597270432</v>
      </c>
      <c r="O1126">
        <v>270.82390196898598</v>
      </c>
      <c r="P1126">
        <v>192.013292571878</v>
      </c>
      <c r="Q1126">
        <v>269.66737627398697</v>
      </c>
      <c r="R1126">
        <v>271.98042766398402</v>
      </c>
      <c r="S1126">
        <v>205.192173030948</v>
      </c>
      <c r="T1126">
        <v>178.834412112808</v>
      </c>
    </row>
    <row r="1127" spans="1:20" x14ac:dyDescent="0.2">
      <c r="A1127" t="s">
        <v>2238</v>
      </c>
      <c r="B1127" s="3" t="str">
        <f>HYPERLINK("http://www.ncbi.nlm.nih.gov/gene/10988","METAP2")</f>
        <v>METAP2</v>
      </c>
      <c r="C1127">
        <v>10988</v>
      </c>
      <c r="D1127" t="s">
        <v>2239</v>
      </c>
      <c r="E1127" s="3" t="str">
        <f>HYPERLINK("http://genome.ucsc.edu/cgi-bin/hgTracks?db=hg19&amp;lastVirtModeType=default&amp;lastVirtModeExtraState=&amp;virtModeType=default&amp;virtMode=0&amp;nonVirtPosition=&amp;position=chr12:95474045-95515837","chr12:95474045-95515837")</f>
        <v>chr12:95474045-95515837</v>
      </c>
      <c r="F1127" t="s">
        <v>27</v>
      </c>
      <c r="G1127">
        <v>0.13977546786203601</v>
      </c>
      <c r="H1127">
        <v>4.7864044807507E-2</v>
      </c>
      <c r="I1127">
        <v>2.9202602584918398</v>
      </c>
      <c r="J1127">
        <v>3.4973917530176299E-3</v>
      </c>
      <c r="K1127">
        <v>4.3682359290422301E-2</v>
      </c>
      <c r="L1127" t="s">
        <v>23</v>
      </c>
      <c r="M1127" t="s">
        <v>24</v>
      </c>
      <c r="N1127">
        <v>4208.26486577388</v>
      </c>
      <c r="O1127">
        <v>3995.4662038608299</v>
      </c>
      <c r="P1127">
        <v>4421.0635276869298</v>
      </c>
      <c r="Q1127">
        <v>4047.7623520309699</v>
      </c>
      <c r="R1127">
        <v>3943.1700556906899</v>
      </c>
      <c r="S1127">
        <v>4475.7542742375499</v>
      </c>
      <c r="T1127">
        <v>4366.3727811363196</v>
      </c>
    </row>
    <row r="1128" spans="1:20" x14ac:dyDescent="0.2">
      <c r="A1128" t="s">
        <v>2240</v>
      </c>
      <c r="B1128" s="3" t="str">
        <f>HYPERLINK("http://www.ncbi.nlm.nih.gov/gene/9960","USP3")</f>
        <v>USP3</v>
      </c>
      <c r="C1128">
        <v>9960</v>
      </c>
      <c r="D1128" t="s">
        <v>2241</v>
      </c>
      <c r="E1128" s="3" t="str">
        <f>HYPERLINK("http://genome.ucsc.edu/cgi-bin/hgTracks?db=hg19&amp;lastVirtModeType=default&amp;lastVirtModeExtraState=&amp;virtModeType=default&amp;virtMode=0&amp;nonVirtPosition=&amp;position=chr15:63504510-63594640","chr15:63504510-63594640")</f>
        <v>chr15:63504510-63594640</v>
      </c>
      <c r="F1128" t="s">
        <v>27</v>
      </c>
      <c r="G1128">
        <v>0.24655493678297299</v>
      </c>
      <c r="H1128">
        <v>8.4441520064789805E-2</v>
      </c>
      <c r="I1128">
        <v>2.9198306306399702</v>
      </c>
      <c r="J1128">
        <v>3.50221667892782E-3</v>
      </c>
      <c r="K1128">
        <v>4.3702820322853601E-2</v>
      </c>
      <c r="L1128" t="s">
        <v>23</v>
      </c>
      <c r="M1128" t="s">
        <v>24</v>
      </c>
      <c r="N1128">
        <v>780.55915851420605</v>
      </c>
      <c r="O1128">
        <v>701.17948385757995</v>
      </c>
      <c r="P1128">
        <v>859.93883317083305</v>
      </c>
      <c r="Q1128">
        <v>661.78575503973298</v>
      </c>
      <c r="R1128">
        <v>740.57321267542704</v>
      </c>
      <c r="S1128">
        <v>879.95874203656604</v>
      </c>
      <c r="T1128">
        <v>839.91892430509995</v>
      </c>
    </row>
    <row r="1129" spans="1:20" x14ac:dyDescent="0.2">
      <c r="A1129" t="s">
        <v>2242</v>
      </c>
      <c r="B1129" s="3" t="str">
        <f>HYPERLINK("http://www.ncbi.nlm.nih.gov/gene/22995","CEP152")</f>
        <v>CEP152</v>
      </c>
      <c r="C1129">
        <v>22995</v>
      </c>
      <c r="D1129" t="s">
        <v>2243</v>
      </c>
      <c r="E1129" s="3" t="str">
        <f>HYPERLINK("http://genome.ucsc.edu/cgi-bin/hgTracks?db=hg19&amp;lastVirtModeType=default&amp;lastVirtModeExtraState=&amp;virtModeType=default&amp;virtMode=0&amp;nonVirtPosition=&amp;position=chr15:48737937-48811146","chr15:48737937-48811146")</f>
        <v>chr15:48737937-48811146</v>
      </c>
      <c r="F1129" t="s">
        <v>22</v>
      </c>
      <c r="G1129">
        <v>-0.32241212975842198</v>
      </c>
      <c r="H1129">
        <v>0.110450754893251</v>
      </c>
      <c r="I1129">
        <v>-2.9190577291212398</v>
      </c>
      <c r="J1129">
        <v>3.5109119847030299E-3</v>
      </c>
      <c r="K1129">
        <v>4.3771497234743002E-2</v>
      </c>
      <c r="L1129" t="s">
        <v>23</v>
      </c>
      <c r="M1129" t="s">
        <v>24</v>
      </c>
      <c r="N1129">
        <v>326.55912750179999</v>
      </c>
      <c r="O1129">
        <v>378.73434771699601</v>
      </c>
      <c r="P1129">
        <v>274.38390728660403</v>
      </c>
      <c r="Q1129">
        <v>389.36667084458298</v>
      </c>
      <c r="R1129">
        <v>368.10202458940802</v>
      </c>
      <c r="S1129">
        <v>315.68026620145798</v>
      </c>
      <c r="T1129">
        <v>233.08754837174999</v>
      </c>
    </row>
    <row r="1130" spans="1:20" x14ac:dyDescent="0.2">
      <c r="A1130" t="s">
        <v>2244</v>
      </c>
      <c r="B1130" s="3" t="str">
        <f>HYPERLINK("http://www.ncbi.nlm.nih.gov/gene/57406","ABHD6")</f>
        <v>ABHD6</v>
      </c>
      <c r="C1130">
        <v>57406</v>
      </c>
      <c r="D1130" t="s">
        <v>2245</v>
      </c>
      <c r="E1130" s="3" t="str">
        <f>HYPERLINK("http://genome.ucsc.edu/cgi-bin/hgTracks?db=hg19&amp;lastVirtModeType=default&amp;lastVirtModeExtraState=&amp;virtModeType=default&amp;virtMode=0&amp;nonVirtPosition=&amp;position=chr3:58237501-58294736","chr3:58237501-58294736")</f>
        <v>chr3:58237501-58294736</v>
      </c>
      <c r="F1130" t="s">
        <v>27</v>
      </c>
      <c r="G1130">
        <v>0.28185616390226398</v>
      </c>
      <c r="H1130">
        <v>9.6617960565238498E-2</v>
      </c>
      <c r="I1130">
        <v>2.9172232807786198</v>
      </c>
      <c r="J1130">
        <v>3.5316286151803301E-3</v>
      </c>
      <c r="K1130">
        <v>4.3989786401982797E-2</v>
      </c>
      <c r="L1130" t="s">
        <v>23</v>
      </c>
      <c r="M1130" t="s">
        <v>24</v>
      </c>
      <c r="N1130">
        <v>460.63656194482002</v>
      </c>
      <c r="O1130">
        <v>403.89899929406801</v>
      </c>
      <c r="P1130">
        <v>517.37412459557197</v>
      </c>
      <c r="Q1130">
        <v>400.37350252923602</v>
      </c>
      <c r="R1130">
        <v>407.42449605889999</v>
      </c>
      <c r="S1130">
        <v>512.98043257737004</v>
      </c>
      <c r="T1130">
        <v>521.76781661377402</v>
      </c>
    </row>
    <row r="1131" spans="1:20" x14ac:dyDescent="0.2">
      <c r="A1131" t="s">
        <v>2246</v>
      </c>
      <c r="B1131" s="3" t="str">
        <f>HYPERLINK("http://www.ncbi.nlm.nih.gov/gene/11064","CNTRL")</f>
        <v>CNTRL</v>
      </c>
      <c r="C1131">
        <v>11064</v>
      </c>
      <c r="D1131" t="s">
        <v>2247</v>
      </c>
      <c r="E1131" s="3" t="str">
        <f>HYPERLINK("http://genome.ucsc.edu/cgi-bin/hgTracks?db=hg19&amp;lastVirtModeType=default&amp;lastVirtModeExtraState=&amp;virtModeType=default&amp;virtMode=0&amp;nonVirtPosition=&amp;position=chr9:121121769-121177610","chr9:121121769-121177610")</f>
        <v>chr9:121121769-121177610</v>
      </c>
      <c r="F1131" t="s">
        <v>27</v>
      </c>
      <c r="G1131">
        <v>-0.31318918738009599</v>
      </c>
      <c r="H1131">
        <v>0.10739459115209</v>
      </c>
      <c r="I1131">
        <v>-2.91624730836365</v>
      </c>
      <c r="J1131">
        <v>3.5426956502781098E-3</v>
      </c>
      <c r="K1131">
        <v>4.4087593600647901E-2</v>
      </c>
      <c r="L1131" t="s">
        <v>23</v>
      </c>
      <c r="M1131" t="s">
        <v>24</v>
      </c>
      <c r="N1131">
        <v>302.673100630531</v>
      </c>
      <c r="O1131">
        <v>347.94039588290701</v>
      </c>
      <c r="P1131">
        <v>257.40580537815401</v>
      </c>
      <c r="Q1131">
        <v>334.33251242132098</v>
      </c>
      <c r="R1131">
        <v>361.54827934449298</v>
      </c>
      <c r="S1131">
        <v>268.32822627124</v>
      </c>
      <c r="T1131">
        <v>246.483384485069</v>
      </c>
    </row>
    <row r="1132" spans="1:20" x14ac:dyDescent="0.2">
      <c r="A1132" t="s">
        <v>2248</v>
      </c>
      <c r="B1132" s="3" t="str">
        <f>HYPERLINK("http://www.ncbi.nlm.nih.gov/gene/64167","ERAP2")</f>
        <v>ERAP2</v>
      </c>
      <c r="C1132">
        <v>64167</v>
      </c>
      <c r="D1132" t="s">
        <v>2249</v>
      </c>
      <c r="E1132" s="3" t="str">
        <f>HYPERLINK("http://genome.ucsc.edu/cgi-bin/hgTracks?db=hg19&amp;lastVirtModeType=default&amp;lastVirtModeExtraState=&amp;virtModeType=default&amp;virtMode=0&amp;nonVirtPosition=&amp;position=chr5:96875938-96919716","chr5:96875938-96919716")</f>
        <v>chr5:96875938-96919716</v>
      </c>
      <c r="F1132" t="s">
        <v>27</v>
      </c>
      <c r="G1132">
        <v>-0.21410764694866499</v>
      </c>
      <c r="H1132">
        <v>7.3499277631159099E-2</v>
      </c>
      <c r="I1132">
        <v>-2.91305784014803</v>
      </c>
      <c r="J1132">
        <v>3.5790830112498698E-3</v>
      </c>
      <c r="K1132">
        <v>4.4500040268613497E-2</v>
      </c>
      <c r="L1132" t="s">
        <v>23</v>
      </c>
      <c r="M1132" t="s">
        <v>24</v>
      </c>
      <c r="N1132">
        <v>1129.4679711502499</v>
      </c>
      <c r="O1132">
        <v>1223.5596024334</v>
      </c>
      <c r="P1132">
        <v>1035.3763398670999</v>
      </c>
      <c r="Q1132">
        <v>1268.5373516561999</v>
      </c>
      <c r="R1132">
        <v>1178.5818532106</v>
      </c>
      <c r="S1132">
        <v>1048.6503842879699</v>
      </c>
      <c r="T1132">
        <v>1022.10229544624</v>
      </c>
    </row>
    <row r="1133" spans="1:20" x14ac:dyDescent="0.2">
      <c r="A1133" t="s">
        <v>2250</v>
      </c>
      <c r="B1133" s="3" t="str">
        <f>HYPERLINK("http://www.ncbi.nlm.nih.gov/gene/101927752","LOC101927752")</f>
        <v>LOC101927752</v>
      </c>
      <c r="C1133">
        <v>101927752</v>
      </c>
      <c r="D1133" t="s">
        <v>2251</v>
      </c>
      <c r="E1133" s="3" t="str">
        <f>HYPERLINK("http://genome.ucsc.edu/cgi-bin/hgTracks?db=hg19&amp;lastVirtModeType=default&amp;lastVirtModeExtraState=&amp;virtModeType=default&amp;virtMode=0&amp;nonVirtPosition=&amp;position=chr8:1761962-1763334","chr8:1761962-1763334")</f>
        <v>chr8:1761962-1763334</v>
      </c>
      <c r="F1133" t="s">
        <v>22</v>
      </c>
      <c r="G1133">
        <v>0.28078776844766701</v>
      </c>
      <c r="H1133">
        <v>9.6443910097755395E-2</v>
      </c>
      <c r="I1133">
        <v>2.9114100430297798</v>
      </c>
      <c r="J1133">
        <v>3.59801495845702E-3</v>
      </c>
      <c r="K1133">
        <v>4.46872804711737E-2</v>
      </c>
      <c r="L1133" t="s">
        <v>23</v>
      </c>
      <c r="M1133" t="s">
        <v>24</v>
      </c>
      <c r="N1133">
        <v>472.900040325178</v>
      </c>
      <c r="O1133">
        <v>415.35215634414601</v>
      </c>
      <c r="P1133">
        <v>530.44792430620998</v>
      </c>
      <c r="Q1133">
        <v>432.018143622612</v>
      </c>
      <c r="R1133">
        <v>398.68616906568002</v>
      </c>
      <c r="S1133">
        <v>529.750946719323</v>
      </c>
      <c r="T1133">
        <v>531.14490189309697</v>
      </c>
    </row>
    <row r="1134" spans="1:20" x14ac:dyDescent="0.2">
      <c r="A1134" t="s">
        <v>2252</v>
      </c>
      <c r="B1134" s="3" t="str">
        <f>HYPERLINK("http://www.ncbi.nlm.nih.gov/gene/221749","PXDC1")</f>
        <v>PXDC1</v>
      </c>
      <c r="C1134">
        <v>221749</v>
      </c>
      <c r="D1134" t="s">
        <v>2253</v>
      </c>
      <c r="E1134" s="3" t="str">
        <f>HYPERLINK("http://genome.ucsc.edu/cgi-bin/hgTracks?db=hg19&amp;lastVirtModeType=default&amp;lastVirtModeExtraState=&amp;virtModeType=default&amp;virtMode=0&amp;nonVirtPosition=&amp;position=chr6:3722601-3752012","chr6:3722601-3752012")</f>
        <v>chr6:3722601-3752012</v>
      </c>
      <c r="F1134" t="s">
        <v>22</v>
      </c>
      <c r="G1134">
        <v>0.20944927594274201</v>
      </c>
      <c r="H1134">
        <v>7.1946509841992107E-2</v>
      </c>
      <c r="I1134">
        <v>2.9111804923231301</v>
      </c>
      <c r="J1134">
        <v>3.6006595392042398E-3</v>
      </c>
      <c r="K1134">
        <v>4.46872804711737E-2</v>
      </c>
      <c r="L1134" t="s">
        <v>23</v>
      </c>
      <c r="M1134" t="s">
        <v>24</v>
      </c>
      <c r="N1134">
        <v>1705.28116240803</v>
      </c>
      <c r="O1134">
        <v>1567.57780649187</v>
      </c>
      <c r="P1134">
        <v>1842.98451832418</v>
      </c>
      <c r="Q1134">
        <v>1469.4120299011099</v>
      </c>
      <c r="R1134">
        <v>1665.74358308263</v>
      </c>
      <c r="S1134">
        <v>1738.2144657717799</v>
      </c>
      <c r="T1134">
        <v>1947.7545708765799</v>
      </c>
    </row>
    <row r="1135" spans="1:20" x14ac:dyDescent="0.2">
      <c r="A1135" t="s">
        <v>2254</v>
      </c>
      <c r="B1135" s="3" t="str">
        <f>HYPERLINK("http://www.ncbi.nlm.nih.gov/gene/5216","PFN1")</f>
        <v>PFN1</v>
      </c>
      <c r="C1135">
        <v>5216</v>
      </c>
      <c r="D1135" t="s">
        <v>2255</v>
      </c>
      <c r="E1135" s="3" t="str">
        <f>HYPERLINK("http://genome.ucsc.edu/cgi-bin/hgTracks?db=hg19&amp;lastVirtModeType=default&amp;lastVirtModeExtraState=&amp;virtModeType=default&amp;virtMode=0&amp;nonVirtPosition=&amp;position=chr17:4945649-4949086","chr17:4945649-4949086")</f>
        <v>chr17:4945649-4949086</v>
      </c>
      <c r="F1135" t="s">
        <v>22</v>
      </c>
      <c r="G1135">
        <v>-0.121976949878362</v>
      </c>
      <c r="H1135">
        <v>4.1907042188896002E-2</v>
      </c>
      <c r="I1135">
        <v>-2.9106551908042402</v>
      </c>
      <c r="J1135">
        <v>3.6067180244691499E-3</v>
      </c>
      <c r="K1135">
        <v>4.4704306150094797E-2</v>
      </c>
      <c r="L1135" t="s">
        <v>23</v>
      </c>
      <c r="M1135" t="s">
        <v>24</v>
      </c>
      <c r="N1135">
        <v>15493.0239014159</v>
      </c>
      <c r="O1135">
        <v>16172.589727483601</v>
      </c>
      <c r="P1135">
        <v>14813.4580753481</v>
      </c>
      <c r="Q1135">
        <v>16330.010658142601</v>
      </c>
      <c r="R1135">
        <v>16015.168796824601</v>
      </c>
      <c r="S1135">
        <v>14422.642162079101</v>
      </c>
      <c r="T1135">
        <v>15204.273988617</v>
      </c>
    </row>
    <row r="1136" spans="1:20" x14ac:dyDescent="0.2">
      <c r="A1136" t="s">
        <v>2256</v>
      </c>
      <c r="B1136" s="3" t="str">
        <f>HYPERLINK("http://www.ncbi.nlm.nih.gov/gene/6138","RPL15")</f>
        <v>RPL15</v>
      </c>
      <c r="C1136">
        <v>6138</v>
      </c>
      <c r="D1136" t="s">
        <v>2257</v>
      </c>
      <c r="E1136" s="3" t="str">
        <f>HYPERLINK("http://genome.ucsc.edu/cgi-bin/hgTracks?db=hg19&amp;lastVirtModeType=default&amp;lastVirtModeExtraState=&amp;virtModeType=default&amp;virtMode=0&amp;nonVirtPosition=&amp;position=chr3:23916803-23920856","chr3:23916803-23920856")</f>
        <v>chr3:23916803-23920856</v>
      </c>
      <c r="F1136" t="s">
        <v>27</v>
      </c>
      <c r="G1136">
        <v>0.114419965418162</v>
      </c>
      <c r="H1136">
        <v>3.9312869183895899E-2</v>
      </c>
      <c r="I1136">
        <v>2.91049643013675</v>
      </c>
      <c r="J1136">
        <v>3.6085508901965101E-3</v>
      </c>
      <c r="K1136">
        <v>4.4704306150094797E-2</v>
      </c>
      <c r="L1136" t="s">
        <v>23</v>
      </c>
      <c r="M1136" t="s">
        <v>24</v>
      </c>
      <c r="N1136">
        <v>13616.869059372601</v>
      </c>
      <c r="O1136">
        <v>13060.710499856599</v>
      </c>
      <c r="P1136">
        <v>14173.0276188886</v>
      </c>
      <c r="Q1136">
        <v>12906.886004215699</v>
      </c>
      <c r="R1136">
        <v>13214.534995497501</v>
      </c>
      <c r="S1136">
        <v>14125.705411683401</v>
      </c>
      <c r="T1136">
        <v>14220.349826093799</v>
      </c>
    </row>
    <row r="1137" spans="1:20" x14ac:dyDescent="0.2">
      <c r="A1137" t="s">
        <v>2258</v>
      </c>
      <c r="B1137" s="3" t="str">
        <f>HYPERLINK("http://www.ncbi.nlm.nih.gov/gene/309","ANXA6")</f>
        <v>ANXA6</v>
      </c>
      <c r="C1137">
        <v>309</v>
      </c>
      <c r="D1137" t="s">
        <v>2259</v>
      </c>
      <c r="E1137" s="3" t="str">
        <f>HYPERLINK("http://genome.ucsc.edu/cgi-bin/hgTracks?db=hg19&amp;lastVirtModeType=default&amp;lastVirtModeExtraState=&amp;virtModeType=default&amp;virtMode=0&amp;nonVirtPosition=&amp;position=chr5:151100705-151141655","chr5:151100705-151141655")</f>
        <v>chr5:151100705-151141655</v>
      </c>
      <c r="F1137" t="s">
        <v>22</v>
      </c>
      <c r="G1137">
        <v>-0.122849976692433</v>
      </c>
      <c r="H1137">
        <v>4.2240731428579002E-2</v>
      </c>
      <c r="I1137">
        <v>-2.9083297693400101</v>
      </c>
      <c r="J1137">
        <v>3.6336494451523799E-3</v>
      </c>
      <c r="K1137">
        <v>4.4974610551281401E-2</v>
      </c>
      <c r="L1137" t="s">
        <v>23</v>
      </c>
      <c r="M1137" t="s">
        <v>24</v>
      </c>
      <c r="N1137">
        <v>12508.473001172801</v>
      </c>
      <c r="O1137">
        <v>13060.5738019207</v>
      </c>
      <c r="P1137">
        <v>11956.372200424999</v>
      </c>
      <c r="Q1137">
        <v>12942.6582071908</v>
      </c>
      <c r="R1137">
        <v>13178.489396650501</v>
      </c>
      <c r="S1137">
        <v>11634.7908111875</v>
      </c>
      <c r="T1137">
        <v>12277.9535896625</v>
      </c>
    </row>
    <row r="1138" spans="1:20" x14ac:dyDescent="0.2">
      <c r="A1138" t="s">
        <v>2260</v>
      </c>
      <c r="B1138" s="3" t="str">
        <f>HYPERLINK("http://www.ncbi.nlm.nih.gov/gene/26471","NUPR1")</f>
        <v>NUPR1</v>
      </c>
      <c r="C1138">
        <v>26471</v>
      </c>
      <c r="D1138" t="s">
        <v>2261</v>
      </c>
      <c r="E1138" s="3" t="str">
        <f>HYPERLINK("http://genome.ucsc.edu/cgi-bin/hgTracks?db=hg19&amp;lastVirtModeType=default&amp;lastVirtModeExtraState=&amp;virtModeType=default&amp;virtMode=0&amp;nonVirtPosition=&amp;position=chr16:28537340-28539174","chr16:28537340-28539174")</f>
        <v>chr16:28537340-28539174</v>
      </c>
      <c r="F1138" t="s">
        <v>22</v>
      </c>
      <c r="G1138">
        <v>0.32447819900853597</v>
      </c>
      <c r="H1138">
        <v>0.11161057815332701</v>
      </c>
      <c r="I1138">
        <v>2.9072351776798202</v>
      </c>
      <c r="J1138">
        <v>3.6463894397047699E-3</v>
      </c>
      <c r="K1138">
        <v>4.5091600339144403E-2</v>
      </c>
      <c r="L1138" t="s">
        <v>23</v>
      </c>
      <c r="M1138" t="s">
        <v>24</v>
      </c>
      <c r="N1138">
        <v>1481.1664332206201</v>
      </c>
      <c r="O1138">
        <v>1233.24400145705</v>
      </c>
      <c r="P1138">
        <v>1729.0888649842</v>
      </c>
      <c r="Q1138">
        <v>1086.92462885944</v>
      </c>
      <c r="R1138">
        <v>1379.56337405467</v>
      </c>
      <c r="S1138">
        <v>1723.41695329359</v>
      </c>
      <c r="T1138">
        <v>1734.7607766748099</v>
      </c>
    </row>
    <row r="1139" spans="1:20" x14ac:dyDescent="0.2">
      <c r="A1139" t="s">
        <v>2262</v>
      </c>
      <c r="B1139" s="3" t="str">
        <f>HYPERLINK("http://www.ncbi.nlm.nih.gov/gene/26577","PCOLCE2")</f>
        <v>PCOLCE2</v>
      </c>
      <c r="C1139">
        <v>26577</v>
      </c>
      <c r="D1139" t="s">
        <v>2263</v>
      </c>
      <c r="E1139" s="3" t="str">
        <f>HYPERLINK("http://genome.ucsc.edu/cgi-bin/hgTracks?db=hg19&amp;lastVirtModeType=default&amp;lastVirtModeExtraState=&amp;virtModeType=default&amp;virtMode=0&amp;nonVirtPosition=&amp;position=chr3:142817859-142889203","chr3:142817859-142889203")</f>
        <v>chr3:142817859-142889203</v>
      </c>
      <c r="F1139" t="s">
        <v>22</v>
      </c>
      <c r="G1139">
        <v>-0.18262004803854401</v>
      </c>
      <c r="H1139">
        <v>6.2825313971802396E-2</v>
      </c>
      <c r="I1139">
        <v>-2.9067908537712799</v>
      </c>
      <c r="J1139">
        <v>3.6515725234256302E-3</v>
      </c>
      <c r="K1139">
        <v>4.50994671163336E-2</v>
      </c>
      <c r="L1139" t="s">
        <v>23</v>
      </c>
      <c r="M1139" t="s">
        <v>24</v>
      </c>
      <c r="N1139">
        <v>1738.92221121988</v>
      </c>
      <c r="O1139">
        <v>1858.80808346923</v>
      </c>
      <c r="P1139">
        <v>1619.0363389705201</v>
      </c>
      <c r="Q1139">
        <v>1862.9062626274399</v>
      </c>
      <c r="R1139">
        <v>1854.70990431102</v>
      </c>
      <c r="S1139">
        <v>1582.3473343348101</v>
      </c>
      <c r="T1139">
        <v>1655.7253436062299</v>
      </c>
    </row>
    <row r="1140" spans="1:20" x14ac:dyDescent="0.2">
      <c r="A1140" t="s">
        <v>2264</v>
      </c>
      <c r="B1140" s="3" t="str">
        <f>HYPERLINK("http://www.ncbi.nlm.nih.gov/gene/26256","CABYR")</f>
        <v>CABYR</v>
      </c>
      <c r="C1140">
        <v>26256</v>
      </c>
      <c r="D1140" t="s">
        <v>2265</v>
      </c>
      <c r="E1140" s="3" t="str">
        <f>HYPERLINK("http://genome.ucsc.edu/cgi-bin/hgTracks?db=hg19&amp;lastVirtModeType=default&amp;lastVirtModeExtraState=&amp;virtModeType=default&amp;virtMode=0&amp;nonVirtPosition=&amp;position=chr18:24138955-24161600","chr18:24138955-24161600")</f>
        <v>chr18:24138955-24161600</v>
      </c>
      <c r="F1140" t="s">
        <v>27</v>
      </c>
      <c r="G1140">
        <v>-0.33751003685645098</v>
      </c>
      <c r="H1140">
        <v>0.11613266029043801</v>
      </c>
      <c r="I1140">
        <v>-2.9062456333331701</v>
      </c>
      <c r="J1140">
        <v>3.65794172917722E-3</v>
      </c>
      <c r="K1140">
        <v>4.50994671163336E-2</v>
      </c>
      <c r="L1140" t="s">
        <v>23</v>
      </c>
      <c r="M1140" t="s">
        <v>24</v>
      </c>
      <c r="N1140">
        <v>173.05382382228899</v>
      </c>
      <c r="O1140">
        <v>206.38955391525101</v>
      </c>
      <c r="P1140">
        <v>139.71809372932699</v>
      </c>
      <c r="Q1140">
        <v>200.87467824490901</v>
      </c>
      <c r="R1140">
        <v>211.90442958559399</v>
      </c>
      <c r="S1140">
        <v>138.11011646313801</v>
      </c>
      <c r="T1140">
        <v>141.32607099551501</v>
      </c>
    </row>
    <row r="1141" spans="1:20" x14ac:dyDescent="0.2">
      <c r="A1141" t="s">
        <v>2266</v>
      </c>
      <c r="B1141" s="3" t="str">
        <f>HYPERLINK("http://www.ncbi.nlm.nih.gov/gene/1891","ECH1")</f>
        <v>ECH1</v>
      </c>
      <c r="C1141">
        <v>1891</v>
      </c>
      <c r="D1141" t="s">
        <v>2267</v>
      </c>
      <c r="E1141" s="3" t="str">
        <f>HYPERLINK("http://genome.ucsc.edu/cgi-bin/hgTracks?db=hg19&amp;lastVirtModeType=default&amp;lastVirtModeExtraState=&amp;virtModeType=default&amp;virtMode=0&amp;nonVirtPosition=&amp;position=chr19:38815421-38831857","chr19:38815421-38831857")</f>
        <v>chr19:38815421-38831857</v>
      </c>
      <c r="F1141" t="s">
        <v>22</v>
      </c>
      <c r="G1141">
        <v>0.18735560173595101</v>
      </c>
      <c r="H1141">
        <v>6.4467417517087594E-2</v>
      </c>
      <c r="I1141">
        <v>2.9062060952928901</v>
      </c>
      <c r="J1141">
        <v>3.6584040008678801E-3</v>
      </c>
      <c r="K1141">
        <v>4.50994671163336E-2</v>
      </c>
      <c r="L1141" t="s">
        <v>23</v>
      </c>
      <c r="M1141" t="s">
        <v>24</v>
      </c>
      <c r="N1141">
        <v>1563.9516851005101</v>
      </c>
      <c r="O1141">
        <v>1453.65403102201</v>
      </c>
      <c r="P1141">
        <v>1674.2493391789999</v>
      </c>
      <c r="Q1141">
        <v>1455.6534902952999</v>
      </c>
      <c r="R1141">
        <v>1451.6545717487299</v>
      </c>
      <c r="S1141">
        <v>1678.0379150271301</v>
      </c>
      <c r="T1141">
        <v>1670.4607633308799</v>
      </c>
    </row>
    <row r="1142" spans="1:20" x14ac:dyDescent="0.2">
      <c r="A1142" t="s">
        <v>2268</v>
      </c>
      <c r="B1142" s="3" t="str">
        <f>HYPERLINK("http://www.ncbi.nlm.nih.gov/gene/255394","TCP11L2")</f>
        <v>TCP11L2</v>
      </c>
      <c r="C1142">
        <v>255394</v>
      </c>
      <c r="D1142" t="s">
        <v>2269</v>
      </c>
      <c r="E1142" s="3" t="str">
        <f>HYPERLINK("http://genome.ucsc.edu/cgi-bin/hgTracks?db=hg19&amp;lastVirtModeType=default&amp;lastVirtModeExtraState=&amp;virtModeType=default&amp;virtMode=0&amp;nonVirtPosition=&amp;position=chr12:106302790-106347014","chr12:106302790-106347014")</f>
        <v>chr12:106302790-106347014</v>
      </c>
      <c r="F1142" t="s">
        <v>27</v>
      </c>
      <c r="G1142">
        <v>0.32969116001821203</v>
      </c>
      <c r="H1142">
        <v>0.113449761097509</v>
      </c>
      <c r="I1142">
        <v>2.9060542466444299</v>
      </c>
      <c r="J1142">
        <v>3.6601798819074901E-3</v>
      </c>
      <c r="K1142">
        <v>4.50994671163336E-2</v>
      </c>
      <c r="L1142" t="s">
        <v>23</v>
      </c>
      <c r="M1142" t="s">
        <v>24</v>
      </c>
      <c r="N1142">
        <v>215.804568759191</v>
      </c>
      <c r="O1142">
        <v>177.601524421947</v>
      </c>
      <c r="P1142">
        <v>254.007613096434</v>
      </c>
      <c r="Q1142">
        <v>170.60589111211399</v>
      </c>
      <c r="R1142">
        <v>184.59715773177999</v>
      </c>
      <c r="S1142">
        <v>255.503715456805</v>
      </c>
      <c r="T1142">
        <v>252.511510736063</v>
      </c>
    </row>
    <row r="1143" spans="1:20" x14ac:dyDescent="0.2">
      <c r="A1143" t="s">
        <v>2270</v>
      </c>
      <c r="B1143" s="3" t="str">
        <f>HYPERLINK("http://www.ncbi.nlm.nih.gov/gene/7905","REEP5")</f>
        <v>REEP5</v>
      </c>
      <c r="C1143">
        <v>7905</v>
      </c>
      <c r="D1143" t="s">
        <v>2271</v>
      </c>
      <c r="E1143" s="3" t="str">
        <f>HYPERLINK("http://genome.ucsc.edu/cgi-bin/hgTracks?db=hg19&amp;lastVirtModeType=default&amp;lastVirtModeExtraState=&amp;virtModeType=default&amp;virtMode=0&amp;nonVirtPosition=&amp;position=chr5:112876383-112922334","chr5:112876383-112922334")</f>
        <v>chr5:112876383-112922334</v>
      </c>
      <c r="F1143" t="s">
        <v>22</v>
      </c>
      <c r="G1143">
        <v>0.123677150453142</v>
      </c>
      <c r="H1143">
        <v>4.2588581424475899E-2</v>
      </c>
      <c r="I1143">
        <v>2.90399788667448</v>
      </c>
      <c r="J1143">
        <v>3.68430646892106E-3</v>
      </c>
      <c r="K1143">
        <v>4.5355995435173602E-2</v>
      </c>
      <c r="L1143" t="s">
        <v>23</v>
      </c>
      <c r="M1143" t="s">
        <v>24</v>
      </c>
      <c r="N1143">
        <v>6483.3709911168198</v>
      </c>
      <c r="O1143">
        <v>6195.1205224449895</v>
      </c>
      <c r="P1143">
        <v>6771.6214597886601</v>
      </c>
      <c r="Q1143">
        <v>6139.06037211495</v>
      </c>
      <c r="R1143">
        <v>6251.18067277503</v>
      </c>
      <c r="S1143">
        <v>6791.0717266588799</v>
      </c>
      <c r="T1143">
        <v>6752.1711929184303</v>
      </c>
    </row>
    <row r="1144" spans="1:20" x14ac:dyDescent="0.2">
      <c r="A1144" t="s">
        <v>2272</v>
      </c>
      <c r="B1144" s="3" t="str">
        <f>HYPERLINK("http://www.ncbi.nlm.nih.gov/gene/3459","IFNGR1")</f>
        <v>IFNGR1</v>
      </c>
      <c r="C1144">
        <v>3459</v>
      </c>
      <c r="D1144" t="s">
        <v>2273</v>
      </c>
      <c r="E1144" s="3" t="str">
        <f>HYPERLINK("http://genome.ucsc.edu/cgi-bin/hgTracks?db=hg19&amp;lastVirtModeType=default&amp;lastVirtModeExtraState=&amp;virtModeType=default&amp;virtMode=0&amp;nonVirtPosition=&amp;position=chr6:137197483-137219430","chr6:137197483-137219430")</f>
        <v>chr6:137197483-137219430</v>
      </c>
      <c r="F1144" t="s">
        <v>22</v>
      </c>
      <c r="G1144">
        <v>0.18744855879627201</v>
      </c>
      <c r="H1144">
        <v>6.45596566919137E-2</v>
      </c>
      <c r="I1144">
        <v>2.9034937358914101</v>
      </c>
      <c r="J1144">
        <v>3.6902435300639998E-3</v>
      </c>
      <c r="K1144">
        <v>4.5388340602060699E-2</v>
      </c>
      <c r="L1144" t="s">
        <v>23</v>
      </c>
      <c r="M1144" t="s">
        <v>24</v>
      </c>
      <c r="N1144">
        <v>2757.2045967358599</v>
      </c>
      <c r="O1144">
        <v>2560.2971947562801</v>
      </c>
      <c r="P1144">
        <v>2954.1119987154502</v>
      </c>
      <c r="Q1144">
        <v>2570.0951983663699</v>
      </c>
      <c r="R1144">
        <v>2550.4991911461998</v>
      </c>
      <c r="S1144">
        <v>3179.4921811478098</v>
      </c>
      <c r="T1144">
        <v>2728.7318162830802</v>
      </c>
    </row>
    <row r="1145" spans="1:20" x14ac:dyDescent="0.2">
      <c r="A1145" t="s">
        <v>2274</v>
      </c>
      <c r="B1145" s="3" t="str">
        <f>HYPERLINK("http://www.ncbi.nlm.nih.gov/gene/9921","RNF10")</f>
        <v>RNF10</v>
      </c>
      <c r="C1145">
        <v>9921</v>
      </c>
      <c r="D1145" t="s">
        <v>2275</v>
      </c>
      <c r="E1145" s="3" t="str">
        <f>HYPERLINK("http://genome.ucsc.edu/cgi-bin/hgTracks?db=hg19&amp;lastVirtModeType=default&amp;lastVirtModeExtraState=&amp;virtModeType=default&amp;virtMode=0&amp;nonVirtPosition=&amp;position=chr12:120534328-120577594","chr12:120534328-120577594")</f>
        <v>chr12:120534328-120577594</v>
      </c>
      <c r="F1145" t="s">
        <v>27</v>
      </c>
      <c r="G1145">
        <v>0.143329304658144</v>
      </c>
      <c r="H1145">
        <v>4.93941875815989E-2</v>
      </c>
      <c r="I1145">
        <v>2.90174434838845</v>
      </c>
      <c r="J1145">
        <v>3.7109124671558902E-3</v>
      </c>
      <c r="K1145">
        <v>4.5594782174090298E-2</v>
      </c>
      <c r="L1145" t="s">
        <v>23</v>
      </c>
      <c r="M1145" t="s">
        <v>24</v>
      </c>
      <c r="N1145">
        <v>4307.2513401905499</v>
      </c>
      <c r="O1145">
        <v>4084.9971776770299</v>
      </c>
      <c r="P1145">
        <v>4529.5055027040598</v>
      </c>
      <c r="Q1145">
        <v>4073.9035772820198</v>
      </c>
      <c r="R1145">
        <v>4096.0907780720499</v>
      </c>
      <c r="S1145">
        <v>4391.9017035277902</v>
      </c>
      <c r="T1145">
        <v>4667.1093018803303</v>
      </c>
    </row>
    <row r="1146" spans="1:20" x14ac:dyDescent="0.2">
      <c r="A1146" t="s">
        <v>2276</v>
      </c>
      <c r="B1146" s="3" t="str">
        <f>HYPERLINK("http://www.ncbi.nlm.nih.gov/gene/7050","TGIF1")</f>
        <v>TGIF1</v>
      </c>
      <c r="C1146">
        <v>7050</v>
      </c>
      <c r="D1146" t="s">
        <v>2277</v>
      </c>
      <c r="E1146" s="3" t="str">
        <f>HYPERLINK("http://genome.ucsc.edu/cgi-bin/hgTracks?db=hg19&amp;lastVirtModeType=default&amp;lastVirtModeExtraState=&amp;virtModeType=default&amp;virtMode=0&amp;nonVirtPosition=&amp;position=chr18:3453773-3458408","chr18:3453773-3458408")</f>
        <v>chr18:3453773-3458408</v>
      </c>
      <c r="F1146" t="s">
        <v>27</v>
      </c>
      <c r="G1146">
        <v>0.23162449138868099</v>
      </c>
      <c r="H1146">
        <v>7.9834618291166101E-2</v>
      </c>
      <c r="I1146">
        <v>2.9013039248702799</v>
      </c>
      <c r="J1146">
        <v>3.7161326078522499E-3</v>
      </c>
      <c r="K1146">
        <v>4.5594782174090298E-2</v>
      </c>
      <c r="L1146" t="s">
        <v>23</v>
      </c>
      <c r="M1146" t="s">
        <v>24</v>
      </c>
      <c r="N1146">
        <v>1032.10779673922</v>
      </c>
      <c r="O1146">
        <v>935.69520462888397</v>
      </c>
      <c r="P1146">
        <v>1128.52038884956</v>
      </c>
      <c r="Q1146">
        <v>934.20483923488302</v>
      </c>
      <c r="R1146">
        <v>937.18557002288503</v>
      </c>
      <c r="S1146">
        <v>1207.47701822058</v>
      </c>
      <c r="T1146">
        <v>1049.5637594785401</v>
      </c>
    </row>
    <row r="1147" spans="1:20" x14ac:dyDescent="0.2">
      <c r="A1147" t="s">
        <v>2278</v>
      </c>
      <c r="B1147" s="3" t="str">
        <f>HYPERLINK("http://www.ncbi.nlm.nih.gov/gene/10038","PARP2")</f>
        <v>PARP2</v>
      </c>
      <c r="C1147">
        <v>10038</v>
      </c>
      <c r="D1147" t="s">
        <v>2279</v>
      </c>
      <c r="E1147" s="3" t="str">
        <f>HYPERLINK("http://genome.ucsc.edu/cgi-bin/hgTracks?db=hg19&amp;lastVirtModeType=default&amp;lastVirtModeExtraState=&amp;virtModeType=default&amp;virtMode=0&amp;nonVirtPosition=&amp;position=chr14:20343613-20357904","chr14:20343613-20357904")</f>
        <v>chr14:20343613-20357904</v>
      </c>
      <c r="F1147" t="s">
        <v>27</v>
      </c>
      <c r="G1147">
        <v>-0.21507571152520999</v>
      </c>
      <c r="H1147">
        <v>7.4132580106292797E-2</v>
      </c>
      <c r="I1147">
        <v>-2.9012306224446802</v>
      </c>
      <c r="J1147">
        <v>3.7170020760269101E-3</v>
      </c>
      <c r="K1147">
        <v>4.5594782174090298E-2</v>
      </c>
      <c r="L1147" t="s">
        <v>23</v>
      </c>
      <c r="M1147" t="s">
        <v>24</v>
      </c>
      <c r="N1147">
        <v>1048.6259380722299</v>
      </c>
      <c r="O1147">
        <v>1136.7072271165</v>
      </c>
      <c r="P1147">
        <v>960.54464902796099</v>
      </c>
      <c r="Q1147">
        <v>1157.0931808491</v>
      </c>
      <c r="R1147">
        <v>1116.3212733839</v>
      </c>
      <c r="S1147">
        <v>955.91930609129099</v>
      </c>
      <c r="T1147">
        <v>965.169991964632</v>
      </c>
    </row>
    <row r="1148" spans="1:20" x14ac:dyDescent="0.2">
      <c r="A1148" t="s">
        <v>2280</v>
      </c>
      <c r="B1148" s="3" t="str">
        <f>HYPERLINK("http://www.ncbi.nlm.nih.gov/gene/414919","C8orf82")</f>
        <v>C8orf82</v>
      </c>
      <c r="C1148">
        <v>414919</v>
      </c>
      <c r="D1148" t="s">
        <v>2281</v>
      </c>
      <c r="E1148" s="3" t="str">
        <f>HYPERLINK("http://genome.ucsc.edu/cgi-bin/hgTracks?db=hg19&amp;lastVirtModeType=default&amp;lastVirtModeExtraState=&amp;virtModeType=default&amp;virtMode=0&amp;nonVirtPosition=&amp;position=chr8:144526218-144529074","chr8:144526218-144529074")</f>
        <v>chr8:144526218-144529074</v>
      </c>
      <c r="F1148" t="s">
        <v>22</v>
      </c>
      <c r="G1148">
        <v>0.28283414756271202</v>
      </c>
      <c r="H1148">
        <v>9.7518079027861304E-2</v>
      </c>
      <c r="I1148">
        <v>2.9003252564266102</v>
      </c>
      <c r="J1148">
        <v>3.7277562276274399E-3</v>
      </c>
      <c r="K1148">
        <v>4.5685834589528802E-2</v>
      </c>
      <c r="L1148" t="s">
        <v>23</v>
      </c>
      <c r="M1148" t="s">
        <v>24</v>
      </c>
      <c r="N1148">
        <v>460.65579860294599</v>
      </c>
      <c r="O1148">
        <v>403.61543620763899</v>
      </c>
      <c r="P1148">
        <v>517.69616099825396</v>
      </c>
      <c r="Q1148">
        <v>397.621794608073</v>
      </c>
      <c r="R1148">
        <v>409.60907780720498</v>
      </c>
      <c r="S1148">
        <v>496.20991843541799</v>
      </c>
      <c r="T1148">
        <v>539.18240356108902</v>
      </c>
    </row>
    <row r="1149" spans="1:20" x14ac:dyDescent="0.2">
      <c r="A1149" t="s">
        <v>2282</v>
      </c>
      <c r="B1149" s="3" t="str">
        <f>HYPERLINK("http://www.ncbi.nlm.nih.gov/gene/9682","KDM4A")</f>
        <v>KDM4A</v>
      </c>
      <c r="C1149">
        <v>9682</v>
      </c>
      <c r="D1149" t="s">
        <v>2283</v>
      </c>
      <c r="E1149" s="3" t="str">
        <f>HYPERLINK("http://genome.ucsc.edu/cgi-bin/hgTracks?db=hg19&amp;lastVirtModeType=default&amp;lastVirtModeExtraState=&amp;virtModeType=default&amp;virtMode=0&amp;nonVirtPosition=&amp;position=chr1:43650125-43705518","chr1:43650125-43705518")</f>
        <v>chr1:43650125-43705518</v>
      </c>
      <c r="F1149" t="s">
        <v>27</v>
      </c>
      <c r="G1149">
        <v>-0.173824714286823</v>
      </c>
      <c r="H1149">
        <v>5.99445467568114E-2</v>
      </c>
      <c r="I1149">
        <v>-2.8997585884169199</v>
      </c>
      <c r="J1149">
        <v>3.7345016275662601E-3</v>
      </c>
      <c r="K1149">
        <v>4.5727638678967501E-2</v>
      </c>
      <c r="L1149" t="s">
        <v>23</v>
      </c>
      <c r="M1149" t="s">
        <v>24</v>
      </c>
      <c r="N1149">
        <v>1977.56317376332</v>
      </c>
      <c r="O1149">
        <v>2105.6963226712601</v>
      </c>
      <c r="P1149">
        <v>1849.43002485538</v>
      </c>
      <c r="Q1149">
        <v>2085.7946042416502</v>
      </c>
      <c r="R1149">
        <v>2125.59804110086</v>
      </c>
      <c r="S1149">
        <v>1820.0940348177801</v>
      </c>
      <c r="T1149">
        <v>1878.7660148929899</v>
      </c>
    </row>
    <row r="1150" spans="1:20" x14ac:dyDescent="0.2">
      <c r="A1150" t="s">
        <v>2284</v>
      </c>
      <c r="B1150" s="3" t="str">
        <f>HYPERLINK("http://www.ncbi.nlm.nih.gov/gene/84444","DOT1L")</f>
        <v>DOT1L</v>
      </c>
      <c r="C1150">
        <v>84444</v>
      </c>
      <c r="D1150" t="s">
        <v>2285</v>
      </c>
      <c r="E1150" s="3" t="str">
        <f>HYPERLINK("http://genome.ucsc.edu/cgi-bin/hgTracks?db=hg19&amp;lastVirtModeType=default&amp;lastVirtModeExtraState=&amp;virtModeType=default&amp;virtMode=0&amp;nonVirtPosition=&amp;position=chr19:2164148-2232578","chr19:2164148-2232578")</f>
        <v>chr19:2164148-2232578</v>
      </c>
      <c r="F1150" t="s">
        <v>27</v>
      </c>
      <c r="G1150">
        <v>0.210565409197977</v>
      </c>
      <c r="H1150">
        <v>7.2640329380114194E-2</v>
      </c>
      <c r="I1150">
        <v>2.89873973583083</v>
      </c>
      <c r="J1150">
        <v>3.7466575740563901E-3</v>
      </c>
      <c r="K1150">
        <v>4.5835559295815703E-2</v>
      </c>
      <c r="L1150" t="s">
        <v>23</v>
      </c>
      <c r="M1150" t="s">
        <v>24</v>
      </c>
      <c r="N1150">
        <v>1258.2449930923001</v>
      </c>
      <c r="O1150">
        <v>1156.1529255794201</v>
      </c>
      <c r="P1150">
        <v>1360.3370606051701</v>
      </c>
      <c r="Q1150">
        <v>1207.99977739062</v>
      </c>
      <c r="R1150">
        <v>1104.3060737682199</v>
      </c>
      <c r="S1150">
        <v>1399.8446804370899</v>
      </c>
      <c r="T1150">
        <v>1320.8294407732501</v>
      </c>
    </row>
    <row r="1151" spans="1:20" x14ac:dyDescent="0.2">
      <c r="A1151" t="s">
        <v>2286</v>
      </c>
      <c r="B1151" s="3" t="str">
        <f>HYPERLINK("http://www.ncbi.nlm.nih.gov/gene/781","CACNA2D1")</f>
        <v>CACNA2D1</v>
      </c>
      <c r="C1151">
        <v>781</v>
      </c>
      <c r="D1151" t="s">
        <v>2287</v>
      </c>
      <c r="E1151" s="3" t="str">
        <f>HYPERLINK("http://genome.ucsc.edu/cgi-bin/hgTracks?db=hg19&amp;lastVirtModeType=default&amp;lastVirtModeExtraState=&amp;virtModeType=default&amp;virtMode=0&amp;nonVirtPosition=&amp;position=chr7:82050335-82443806","chr7:82050335-82443806")</f>
        <v>chr7:82050335-82443806</v>
      </c>
      <c r="F1151" t="s">
        <v>22</v>
      </c>
      <c r="G1151">
        <v>-0.18242855734038699</v>
      </c>
      <c r="H1151">
        <v>6.2953711280997998E-2</v>
      </c>
      <c r="I1151">
        <v>-2.8978205355694699</v>
      </c>
      <c r="J1151">
        <v>3.7576554157761201E-3</v>
      </c>
      <c r="K1151">
        <v>4.58882336348653E-2</v>
      </c>
      <c r="L1151" t="s">
        <v>23</v>
      </c>
      <c r="M1151" t="s">
        <v>24</v>
      </c>
      <c r="N1151">
        <v>1877.9481202407501</v>
      </c>
      <c r="O1151">
        <v>2004.7490696692801</v>
      </c>
      <c r="P1151">
        <v>1751.1471708122101</v>
      </c>
      <c r="Q1151">
        <v>2001.8675126461801</v>
      </c>
      <c r="R1151">
        <v>2007.63062669238</v>
      </c>
      <c r="S1151">
        <v>1819.1075339859001</v>
      </c>
      <c r="T1151">
        <v>1683.1868076385299</v>
      </c>
    </row>
    <row r="1152" spans="1:20" x14ac:dyDescent="0.2">
      <c r="A1152" t="s">
        <v>2288</v>
      </c>
      <c r="B1152" s="3" t="str">
        <f>HYPERLINK("http://www.ncbi.nlm.nih.gov/gene/29035","C16orf72")</f>
        <v>C16orf72</v>
      </c>
      <c r="C1152">
        <v>29035</v>
      </c>
      <c r="D1152" t="s">
        <v>2289</v>
      </c>
      <c r="E1152" s="3" t="str">
        <f>HYPERLINK("http://genome.ucsc.edu/cgi-bin/hgTracks?db=hg19&amp;lastVirtModeType=default&amp;lastVirtModeExtraState=&amp;virtModeType=default&amp;virtMode=0&amp;nonVirtPosition=&amp;position=chr16:9091679-9119698","chr16:9091679-9119698")</f>
        <v>chr16:9091679-9119698</v>
      </c>
      <c r="F1152" t="s">
        <v>27</v>
      </c>
      <c r="G1152">
        <v>0.15399683703609199</v>
      </c>
      <c r="H1152">
        <v>5.3160692442315999E-2</v>
      </c>
      <c r="I1152">
        <v>2.8968177418529999</v>
      </c>
      <c r="J1152">
        <v>3.76968687668816E-3</v>
      </c>
      <c r="K1152">
        <v>4.5968153227070402E-2</v>
      </c>
      <c r="L1152" t="s">
        <v>23</v>
      </c>
      <c r="M1152" t="s">
        <v>24</v>
      </c>
      <c r="N1152">
        <v>3035.7374226934799</v>
      </c>
      <c r="O1152">
        <v>2863.29663243394</v>
      </c>
      <c r="P1152">
        <v>3208.1782129530202</v>
      </c>
      <c r="Q1152">
        <v>2791.6076860200001</v>
      </c>
      <c r="R1152">
        <v>2934.9855788478899</v>
      </c>
      <c r="S1152">
        <v>3228.8172227417899</v>
      </c>
      <c r="T1152">
        <v>3187.53920316425</v>
      </c>
    </row>
    <row r="1153" spans="1:20" x14ac:dyDescent="0.2">
      <c r="A1153" t="s">
        <v>2290</v>
      </c>
      <c r="B1153" s="3" t="str">
        <f>HYPERLINK("http://www.ncbi.nlm.nih.gov/gene/220042","DDIAS")</f>
        <v>DDIAS</v>
      </c>
      <c r="C1153">
        <v>220042</v>
      </c>
      <c r="D1153" t="s">
        <v>2291</v>
      </c>
      <c r="E1153" s="3" t="str">
        <f>HYPERLINK("http://genome.ucsc.edu/cgi-bin/hgTracks?db=hg19&amp;lastVirtModeType=default&amp;lastVirtModeExtraState=&amp;virtModeType=default&amp;virtMode=0&amp;nonVirtPosition=&amp;position=chr11:82901694-82934657","chr11:82901694-82934657")</f>
        <v>chr11:82901694-82934657</v>
      </c>
      <c r="F1153" t="s">
        <v>27</v>
      </c>
      <c r="G1153">
        <v>-0.30667698605111798</v>
      </c>
      <c r="H1153">
        <v>0.10587810138597201</v>
      </c>
      <c r="I1153">
        <v>-2.8965100623890798</v>
      </c>
      <c r="J1153">
        <v>3.7733854099861E-3</v>
      </c>
      <c r="K1153">
        <v>4.5968153227070402E-2</v>
      </c>
      <c r="L1153" t="s">
        <v>23</v>
      </c>
      <c r="M1153" t="s">
        <v>24</v>
      </c>
      <c r="N1153">
        <v>325.12184829105001</v>
      </c>
      <c r="O1153">
        <v>371.97587872152098</v>
      </c>
      <c r="P1153">
        <v>278.26781786058001</v>
      </c>
      <c r="Q1153">
        <v>371.480569357023</v>
      </c>
      <c r="R1153">
        <v>372.471188086018</v>
      </c>
      <c r="S1153">
        <v>293.97724790010801</v>
      </c>
      <c r="T1153">
        <v>262.55838782105201</v>
      </c>
    </row>
    <row r="1154" spans="1:20" x14ac:dyDescent="0.2">
      <c r="A1154" t="s">
        <v>2292</v>
      </c>
      <c r="B1154" s="3" t="str">
        <f>HYPERLINK("http://www.ncbi.nlm.nih.gov/gene/57697","FANCM")</f>
        <v>FANCM</v>
      </c>
      <c r="C1154">
        <v>57697</v>
      </c>
      <c r="D1154" t="s">
        <v>2293</v>
      </c>
      <c r="E1154" s="3" t="str">
        <f>HYPERLINK("http://genome.ucsc.edu/cgi-bin/hgTracks?db=hg19&amp;lastVirtModeType=default&amp;lastVirtModeExtraState=&amp;virtModeType=default&amp;virtMode=0&amp;nonVirtPosition=&amp;position=chr14:45135938-45200890","chr14:45135938-45200890")</f>
        <v>chr14:45135938-45200890</v>
      </c>
      <c r="F1154" t="s">
        <v>27</v>
      </c>
      <c r="G1154">
        <v>-0.30063439848888601</v>
      </c>
      <c r="H1154">
        <v>0.103794532441416</v>
      </c>
      <c r="I1154">
        <v>-2.8964377161058299</v>
      </c>
      <c r="J1154">
        <v>3.7742555442381001E-3</v>
      </c>
      <c r="K1154">
        <v>4.5968153227070402E-2</v>
      </c>
      <c r="L1154" t="s">
        <v>23</v>
      </c>
      <c r="M1154" t="s">
        <v>24</v>
      </c>
      <c r="N1154">
        <v>349.309146864588</v>
      </c>
      <c r="O1154">
        <v>397.68667573566898</v>
      </c>
      <c r="P1154">
        <v>300.93161799350599</v>
      </c>
      <c r="Q1154">
        <v>382.48740104167501</v>
      </c>
      <c r="R1154">
        <v>412.88595042966301</v>
      </c>
      <c r="S1154">
        <v>305.81525788266299</v>
      </c>
      <c r="T1154">
        <v>296.047978104349</v>
      </c>
    </row>
    <row r="1155" spans="1:20" x14ac:dyDescent="0.2">
      <c r="A1155" t="s">
        <v>2294</v>
      </c>
      <c r="B1155" s="3" t="str">
        <f>HYPERLINK("http://www.ncbi.nlm.nih.gov/gene/533","ATP6V0B")</f>
        <v>ATP6V0B</v>
      </c>
      <c r="C1155">
        <v>533</v>
      </c>
      <c r="D1155" t="s">
        <v>2295</v>
      </c>
      <c r="E1155" s="3" t="str">
        <f>HYPERLINK("http://genome.ucsc.edu/cgi-bin/hgTracks?db=hg19&amp;lastVirtModeType=default&amp;lastVirtModeExtraState=&amp;virtModeType=default&amp;virtMode=0&amp;nonVirtPosition=&amp;position=chr1:43974647-43978300","chr1:43974647-43978300")</f>
        <v>chr1:43974647-43978300</v>
      </c>
      <c r="F1155" t="s">
        <v>27</v>
      </c>
      <c r="G1155">
        <v>0.13071471541115001</v>
      </c>
      <c r="H1155">
        <v>4.5157818451964198E-2</v>
      </c>
      <c r="I1155">
        <v>2.8946197998956702</v>
      </c>
      <c r="J1155">
        <v>3.7961802135313E-3</v>
      </c>
      <c r="K1155">
        <v>4.6194157451968303E-2</v>
      </c>
      <c r="L1155" t="s">
        <v>23</v>
      </c>
      <c r="M1155" t="s">
        <v>24</v>
      </c>
      <c r="N1155">
        <v>4888.4377342212001</v>
      </c>
      <c r="O1155">
        <v>4658.14275755791</v>
      </c>
      <c r="P1155">
        <v>5118.7327108844802</v>
      </c>
      <c r="Q1155">
        <v>4638.0037011204604</v>
      </c>
      <c r="R1155">
        <v>4678.2818139953597</v>
      </c>
      <c r="S1155">
        <v>5120.9258182867798</v>
      </c>
      <c r="T1155">
        <v>5116.5396034821797</v>
      </c>
    </row>
    <row r="1156" spans="1:20" x14ac:dyDescent="0.2">
      <c r="A1156" t="s">
        <v>2296</v>
      </c>
      <c r="B1156" s="3" t="str">
        <f>HYPERLINK("http://www.ncbi.nlm.nih.gov/gene/2006","ELN")</f>
        <v>ELN</v>
      </c>
      <c r="C1156">
        <v>2006</v>
      </c>
      <c r="D1156" t="s">
        <v>2297</v>
      </c>
      <c r="E1156" s="3" t="str">
        <f>HYPERLINK("http://genome.ucsc.edu/cgi-bin/hgTracks?db=hg19&amp;lastVirtModeType=default&amp;lastVirtModeExtraState=&amp;virtModeType=default&amp;virtMode=0&amp;nonVirtPosition=&amp;position=chr7:74027788-74069906","chr7:74027788-74069906")</f>
        <v>chr7:74027788-74069906</v>
      </c>
      <c r="F1156" t="s">
        <v>27</v>
      </c>
      <c r="G1156">
        <v>-0.26069372451925898</v>
      </c>
      <c r="H1156">
        <v>9.0158854270028593E-2</v>
      </c>
      <c r="I1156">
        <v>-2.8914933162135399</v>
      </c>
      <c r="J1156">
        <v>3.8341574808666299E-3</v>
      </c>
      <c r="K1156">
        <v>4.6614925259401502E-2</v>
      </c>
      <c r="L1156" t="s">
        <v>23</v>
      </c>
      <c r="M1156" t="s">
        <v>24</v>
      </c>
      <c r="N1156">
        <v>789.13081280335302</v>
      </c>
      <c r="O1156">
        <v>876.88507322490898</v>
      </c>
      <c r="P1156">
        <v>701.37655238179696</v>
      </c>
      <c r="Q1156">
        <v>872.291411008713</v>
      </c>
      <c r="R1156">
        <v>881.47873544110496</v>
      </c>
      <c r="S1156">
        <v>624.45502657975999</v>
      </c>
      <c r="T1156">
        <v>778.29807818383301</v>
      </c>
    </row>
    <row r="1157" spans="1:20" x14ac:dyDescent="0.2">
      <c r="A1157" t="s">
        <v>2298</v>
      </c>
      <c r="B1157" s="3" t="str">
        <f>HYPERLINK("http://www.ncbi.nlm.nih.gov/gene/1500","CTNND1")</f>
        <v>CTNND1</v>
      </c>
      <c r="C1157">
        <v>1500</v>
      </c>
      <c r="D1157" t="s">
        <v>2299</v>
      </c>
      <c r="E1157" s="3" t="str">
        <f>HYPERLINK("http://genome.ucsc.edu/cgi-bin/hgTracks?db=hg19&amp;lastVirtModeType=default&amp;lastVirtModeExtraState=&amp;virtModeType=default&amp;virtMode=0&amp;nonVirtPosition=&amp;position=chr11:57761761-57819180","chr11:57761761-57819180")</f>
        <v>chr11:57761761-57819180</v>
      </c>
      <c r="F1157" t="s">
        <v>27</v>
      </c>
      <c r="G1157">
        <v>-0.12390677846987699</v>
      </c>
      <c r="H1157">
        <v>4.2910317362465297E-2</v>
      </c>
      <c r="I1157">
        <v>-2.8875754384016998</v>
      </c>
      <c r="J1157">
        <v>3.88223498127385E-3</v>
      </c>
      <c r="K1157">
        <v>4.7157635547554998E-2</v>
      </c>
      <c r="L1157" t="s">
        <v>23</v>
      </c>
      <c r="M1157" t="s">
        <v>24</v>
      </c>
      <c r="N1157">
        <v>7334.38288838054</v>
      </c>
      <c r="O1157">
        <v>7661.17313624076</v>
      </c>
      <c r="P1157">
        <v>7007.5926405203199</v>
      </c>
      <c r="Q1157">
        <v>7587.8345926073398</v>
      </c>
      <c r="R1157">
        <v>7734.5116798741801</v>
      </c>
      <c r="S1157">
        <v>6877.8837998642803</v>
      </c>
      <c r="T1157">
        <v>7137.3014811763496</v>
      </c>
    </row>
    <row r="1158" spans="1:20" x14ac:dyDescent="0.2">
      <c r="A1158" t="s">
        <v>2300</v>
      </c>
      <c r="B1158" s="3" t="str">
        <f>HYPERLINK("http://www.ncbi.nlm.nih.gov/gene/39","ACAT2")</f>
        <v>ACAT2</v>
      </c>
      <c r="C1158">
        <v>39</v>
      </c>
      <c r="D1158" t="s">
        <v>2301</v>
      </c>
      <c r="E1158" s="3" t="str">
        <f>HYPERLINK("http://genome.ucsc.edu/cgi-bin/hgTracks?db=hg19&amp;lastVirtModeType=default&amp;lastVirtModeExtraState=&amp;virtModeType=default&amp;virtMode=0&amp;nonVirtPosition=&amp;position=chr6:159762478-159779112","chr6:159762478-159779112")</f>
        <v>chr6:159762478-159779112</v>
      </c>
      <c r="F1158" t="s">
        <v>27</v>
      </c>
      <c r="G1158">
        <v>-0.25960851696831999</v>
      </c>
      <c r="H1158">
        <v>8.9955219161506103E-2</v>
      </c>
      <c r="I1158">
        <v>-2.8859750372262201</v>
      </c>
      <c r="J1158">
        <v>3.9020310507092699E-3</v>
      </c>
      <c r="K1158">
        <v>4.7342140726929098E-2</v>
      </c>
      <c r="L1158" t="s">
        <v>23</v>
      </c>
      <c r="M1158" t="s">
        <v>24</v>
      </c>
      <c r="N1158">
        <v>667.84803062559104</v>
      </c>
      <c r="O1158">
        <v>738.95252556622802</v>
      </c>
      <c r="P1158">
        <v>596.74353568495303</v>
      </c>
      <c r="Q1158">
        <v>720.94747534474095</v>
      </c>
      <c r="R1158">
        <v>756.95757578771497</v>
      </c>
      <c r="S1158">
        <v>640.23903988983295</v>
      </c>
      <c r="T1158">
        <v>553.24803148007402</v>
      </c>
    </row>
    <row r="1159" spans="1:20" x14ac:dyDescent="0.2">
      <c r="A1159" t="s">
        <v>2302</v>
      </c>
      <c r="B1159" s="3" t="str">
        <f>HYPERLINK("http://www.ncbi.nlm.nih.gov/gene/10123","ARL4C")</f>
        <v>ARL4C</v>
      </c>
      <c r="C1159">
        <v>10123</v>
      </c>
      <c r="D1159" t="s">
        <v>2303</v>
      </c>
      <c r="E1159" s="3" t="str">
        <f>HYPERLINK("http://genome.ucsc.edu/cgi-bin/hgTracks?db=hg19&amp;lastVirtModeType=default&amp;lastVirtModeExtraState=&amp;virtModeType=default&amp;virtMode=0&amp;nonVirtPosition=&amp;position=chr2:234493040-234497049","chr2:234493040-234497049")</f>
        <v>chr2:234493040-234497049</v>
      </c>
      <c r="F1159" t="s">
        <v>22</v>
      </c>
      <c r="G1159">
        <v>0.19825605629308601</v>
      </c>
      <c r="H1159">
        <v>6.8702034713084295E-2</v>
      </c>
      <c r="I1159">
        <v>2.8857377677538798</v>
      </c>
      <c r="J1159">
        <v>3.9049737332258099E-3</v>
      </c>
      <c r="K1159">
        <v>4.7342140726929098E-2</v>
      </c>
      <c r="L1159" t="s">
        <v>23</v>
      </c>
      <c r="M1159" t="s">
        <v>24</v>
      </c>
      <c r="N1159">
        <v>2478.3052343634799</v>
      </c>
      <c r="O1159">
        <v>2294.3199295996301</v>
      </c>
      <c r="P1159">
        <v>2662.2905391273198</v>
      </c>
      <c r="Q1159">
        <v>2389.8583295301801</v>
      </c>
      <c r="R1159">
        <v>2198.7815296690801</v>
      </c>
      <c r="S1159">
        <v>2448.4950647250598</v>
      </c>
      <c r="T1159">
        <v>2876.0860135295802</v>
      </c>
    </row>
    <row r="1160" spans="1:20" x14ac:dyDescent="0.2">
      <c r="A1160" t="s">
        <v>2304</v>
      </c>
      <c r="B1160" s="3" t="str">
        <f>HYPERLINK("http://www.ncbi.nlm.nih.gov/gene/1719","DHFR")</f>
        <v>DHFR</v>
      </c>
      <c r="C1160">
        <v>1719</v>
      </c>
      <c r="D1160" t="s">
        <v>2305</v>
      </c>
      <c r="E1160" s="3" t="str">
        <f>HYPERLINK("http://genome.ucsc.edu/cgi-bin/hgTracks?db=hg19&amp;lastVirtModeType=default&amp;lastVirtModeExtraState=&amp;virtModeType=default&amp;virtMode=0&amp;nonVirtPosition=&amp;position=chr5:80626225-80654981","chr5:80626225-80654981")</f>
        <v>chr5:80626225-80654981</v>
      </c>
      <c r="F1160" t="s">
        <v>22</v>
      </c>
      <c r="G1160">
        <v>-0.317422171128321</v>
      </c>
      <c r="H1160">
        <v>0.110005508617753</v>
      </c>
      <c r="I1160">
        <v>-2.8855115995263598</v>
      </c>
      <c r="J1160">
        <v>3.90778061126468E-3</v>
      </c>
      <c r="K1160">
        <v>4.7342140726929098E-2</v>
      </c>
      <c r="L1160" t="s">
        <v>23</v>
      </c>
      <c r="M1160" t="s">
        <v>24</v>
      </c>
      <c r="N1160">
        <v>264.83239515924402</v>
      </c>
      <c r="O1160">
        <v>306.66986067271802</v>
      </c>
      <c r="P1160">
        <v>222.99492964577101</v>
      </c>
      <c r="Q1160">
        <v>288.92933172212901</v>
      </c>
      <c r="R1160">
        <v>324.410389623306</v>
      </c>
      <c r="S1160">
        <v>222.94918800478001</v>
      </c>
      <c r="T1160">
        <v>223.04067128676101</v>
      </c>
    </row>
    <row r="1161" spans="1:20" x14ac:dyDescent="0.2">
      <c r="A1161" t="s">
        <v>2306</v>
      </c>
      <c r="B1161" s="3" t="str">
        <f>HYPERLINK("http://www.ncbi.nlm.nih.gov/gene/327657","SERPINA9")</f>
        <v>SERPINA9</v>
      </c>
      <c r="C1161">
        <v>327657</v>
      </c>
      <c r="D1161" t="s">
        <v>2307</v>
      </c>
      <c r="E1161" s="3" t="str">
        <f>HYPERLINK("http://genome.ucsc.edu/cgi-bin/hgTracks?db=hg19&amp;lastVirtModeType=default&amp;lastVirtModeExtraState=&amp;virtModeType=default&amp;virtMode=0&amp;nonVirtPosition=&amp;position=chr14:94462720-94476333","chr14:94462720-94476333")</f>
        <v>chr14:94462720-94476333</v>
      </c>
      <c r="F1161" t="s">
        <v>22</v>
      </c>
      <c r="G1161">
        <v>-0.33318891718620702</v>
      </c>
      <c r="H1161">
        <v>0.115526400896384</v>
      </c>
      <c r="I1161">
        <v>-2.8840932860450299</v>
      </c>
      <c r="J1161">
        <v>3.9254245171766403E-3</v>
      </c>
      <c r="K1161">
        <v>4.7513920413557301E-2</v>
      </c>
      <c r="L1161" t="s">
        <v>23</v>
      </c>
      <c r="M1161" t="s">
        <v>24</v>
      </c>
      <c r="N1161">
        <v>71.215894386091307</v>
      </c>
      <c r="O1161">
        <v>91.683761307460401</v>
      </c>
      <c r="P1161">
        <v>50.748027464722199</v>
      </c>
      <c r="Q1161">
        <v>89.430507437801793</v>
      </c>
      <c r="R1161">
        <v>93.937015177118994</v>
      </c>
      <c r="S1161">
        <v>53.271044921496099</v>
      </c>
      <c r="T1161">
        <v>48.225010007948299</v>
      </c>
    </row>
    <row r="1162" spans="1:20" x14ac:dyDescent="0.2">
      <c r="A1162" t="s">
        <v>2308</v>
      </c>
      <c r="B1162" s="3" t="str">
        <f>HYPERLINK("http://www.ncbi.nlm.nih.gov/gene/4323","MMP14")</f>
        <v>MMP14</v>
      </c>
      <c r="C1162">
        <v>4323</v>
      </c>
      <c r="D1162" t="s">
        <v>2309</v>
      </c>
      <c r="E1162" s="3" t="str">
        <f>HYPERLINK("http://genome.ucsc.edu/cgi-bin/hgTracks?db=hg19&amp;lastVirtModeType=default&amp;lastVirtModeExtraState=&amp;virtModeType=default&amp;virtMode=0&amp;nonVirtPosition=&amp;position=chr14:22836532-22847599","chr14:22836532-22847599")</f>
        <v>chr14:22836532-22847599</v>
      </c>
      <c r="F1162" t="s">
        <v>27</v>
      </c>
      <c r="G1162">
        <v>0.11634567765045099</v>
      </c>
      <c r="H1162">
        <v>4.0356360105740598E-2</v>
      </c>
      <c r="I1162">
        <v>2.8829576638132299</v>
      </c>
      <c r="J1162">
        <v>3.9396038498612004E-3</v>
      </c>
      <c r="K1162">
        <v>4.7643498410049799E-2</v>
      </c>
      <c r="L1162" t="s">
        <v>23</v>
      </c>
      <c r="M1162" t="s">
        <v>24</v>
      </c>
      <c r="N1162">
        <v>98746.2360918903</v>
      </c>
      <c r="O1162">
        <v>94644.080242151394</v>
      </c>
      <c r="P1162">
        <v>102848.391941629</v>
      </c>
      <c r="Q1162">
        <v>95108.656733121898</v>
      </c>
      <c r="R1162">
        <v>94179.503751180906</v>
      </c>
      <c r="S1162">
        <v>103469.13975168701</v>
      </c>
      <c r="T1162">
        <v>102227.644131571</v>
      </c>
    </row>
    <row r="1163" spans="1:20" x14ac:dyDescent="0.2">
      <c r="A1163" t="s">
        <v>2310</v>
      </c>
      <c r="B1163" s="3" t="str">
        <f>HYPERLINK("http://www.ncbi.nlm.nih.gov/gene/128989","TANGO2")</f>
        <v>TANGO2</v>
      </c>
      <c r="C1163">
        <v>128989</v>
      </c>
      <c r="D1163" t="s">
        <v>2311</v>
      </c>
      <c r="E1163" s="3" t="str">
        <f>HYPERLINK("http://genome.ucsc.edu/cgi-bin/hgTracks?db=hg19&amp;lastVirtModeType=default&amp;lastVirtModeExtraState=&amp;virtModeType=default&amp;virtMode=0&amp;nonVirtPosition=&amp;position=chr22:20021068-20067164","chr22:20021068-20067164")</f>
        <v>chr22:20021068-20067164</v>
      </c>
      <c r="F1163" t="s">
        <v>27</v>
      </c>
      <c r="G1163">
        <v>0.191013989714963</v>
      </c>
      <c r="H1163">
        <v>6.6272275747682005E-2</v>
      </c>
      <c r="I1163">
        <v>2.8822609086522002</v>
      </c>
      <c r="J1163">
        <v>3.9483265140745401E-3</v>
      </c>
      <c r="K1163">
        <v>4.7706916135698899E-2</v>
      </c>
      <c r="L1163" t="s">
        <v>23</v>
      </c>
      <c r="M1163" t="s">
        <v>24</v>
      </c>
      <c r="N1163">
        <v>1640.6017017548199</v>
      </c>
      <c r="O1163">
        <v>1522.12693440711</v>
      </c>
      <c r="P1163">
        <v>1759.0764691025299</v>
      </c>
      <c r="Q1163">
        <v>1473.53959178286</v>
      </c>
      <c r="R1163">
        <v>1570.7142770313601</v>
      </c>
      <c r="S1163">
        <v>1703.6869366559999</v>
      </c>
      <c r="T1163">
        <v>1814.4660015490599</v>
      </c>
    </row>
    <row r="1164" spans="1:20" x14ac:dyDescent="0.2">
      <c r="A1164" t="s">
        <v>2312</v>
      </c>
      <c r="B1164" s="3" t="str">
        <f>HYPERLINK("http://www.ncbi.nlm.nih.gov/gene/5393","EXOSC9")</f>
        <v>EXOSC9</v>
      </c>
      <c r="C1164">
        <v>5393</v>
      </c>
      <c r="D1164" t="s">
        <v>2313</v>
      </c>
      <c r="E1164" s="3" t="str">
        <f>HYPERLINK("http://genome.ucsc.edu/cgi-bin/hgTracks?db=hg19&amp;lastVirtModeType=default&amp;lastVirtModeExtraState=&amp;virtModeType=default&amp;virtMode=0&amp;nonVirtPosition=&amp;position=chr4:121801316-121817021","chr4:121801316-121817021")</f>
        <v>chr4:121801316-121817021</v>
      </c>
      <c r="F1164" t="s">
        <v>27</v>
      </c>
      <c r="G1164">
        <v>-0.210160934058194</v>
      </c>
      <c r="H1164">
        <v>7.2925604110761905E-2</v>
      </c>
      <c r="I1164">
        <v>-2.88185386491958</v>
      </c>
      <c r="J1164">
        <v>3.9534303986856504E-3</v>
      </c>
      <c r="K1164">
        <v>4.7726535640471003E-2</v>
      </c>
      <c r="L1164" t="s">
        <v>23</v>
      </c>
      <c r="M1164" t="s">
        <v>24</v>
      </c>
      <c r="N1164">
        <v>1249.7973798519599</v>
      </c>
      <c r="O1164">
        <v>1350.8896823012899</v>
      </c>
      <c r="P1164">
        <v>1148.70507740264</v>
      </c>
      <c r="Q1164">
        <v>1396.4917699902901</v>
      </c>
      <c r="R1164">
        <v>1305.2875946122899</v>
      </c>
      <c r="S1164">
        <v>1197.6120099017801</v>
      </c>
      <c r="T1164">
        <v>1099.7981449034901</v>
      </c>
    </row>
    <row r="1165" spans="1:20" x14ac:dyDescent="0.2">
      <c r="A1165" t="s">
        <v>2314</v>
      </c>
      <c r="B1165" s="3" t="str">
        <f>HYPERLINK("http://www.ncbi.nlm.nih.gov/gene/57470","LRRC47")</f>
        <v>LRRC47</v>
      </c>
      <c r="C1165">
        <v>57470</v>
      </c>
      <c r="D1165" t="s">
        <v>2315</v>
      </c>
      <c r="E1165" s="3" t="str">
        <f>HYPERLINK("http://genome.ucsc.edu/cgi-bin/hgTracks?db=hg19&amp;lastVirtModeType=default&amp;lastVirtModeExtraState=&amp;virtModeType=default&amp;virtMode=0&amp;nonVirtPosition=&amp;position=chr1:3780219-3796504","chr1:3780219-3796504")</f>
        <v>chr1:3780219-3796504</v>
      </c>
      <c r="F1165" t="s">
        <v>22</v>
      </c>
      <c r="G1165">
        <v>0.18027819068563999</v>
      </c>
      <c r="H1165">
        <v>6.2578445730307006E-2</v>
      </c>
      <c r="I1165">
        <v>2.8808352234023502</v>
      </c>
      <c r="J1165">
        <v>3.9662293206355302E-3</v>
      </c>
      <c r="K1165">
        <v>4.78389348313066E-2</v>
      </c>
      <c r="L1165" t="s">
        <v>23</v>
      </c>
      <c r="M1165" t="s">
        <v>24</v>
      </c>
      <c r="N1165">
        <v>1746.98409048807</v>
      </c>
      <c r="O1165">
        <v>1629.9846051622901</v>
      </c>
      <c r="P1165">
        <v>1863.9835758138399</v>
      </c>
      <c r="Q1165">
        <v>1651.0247526978801</v>
      </c>
      <c r="R1165">
        <v>1608.9444576266999</v>
      </c>
      <c r="S1165">
        <v>1839.82405145538</v>
      </c>
      <c r="T1165">
        <v>1888.1431001723099</v>
      </c>
    </row>
    <row r="1166" spans="1:20" x14ac:dyDescent="0.2">
      <c r="A1166" t="s">
        <v>2316</v>
      </c>
      <c r="B1166" s="3" t="str">
        <f>HYPERLINK("http://www.ncbi.nlm.nih.gov/gene/4521","NUDT1")</f>
        <v>NUDT1</v>
      </c>
      <c r="C1166">
        <v>4521</v>
      </c>
      <c r="D1166" t="s">
        <v>2317</v>
      </c>
      <c r="E1166" s="3" t="str">
        <f>HYPERLINK("http://genome.ucsc.edu/cgi-bin/hgTracks?db=hg19&amp;lastVirtModeType=default&amp;lastVirtModeExtraState=&amp;virtModeType=default&amp;virtMode=0&amp;nonVirtPosition=&amp;position=chr7:2242221-2251145","chr7:2242221-2251145")</f>
        <v>chr7:2242221-2251145</v>
      </c>
      <c r="F1166" t="s">
        <v>27</v>
      </c>
      <c r="G1166">
        <v>-0.29078211986409802</v>
      </c>
      <c r="H1166">
        <v>0.10095513441918399</v>
      </c>
      <c r="I1166">
        <v>-2.8803103629847899</v>
      </c>
      <c r="J1166">
        <v>3.97283871006315E-3</v>
      </c>
      <c r="K1166">
        <v>4.7876546634275999E-2</v>
      </c>
      <c r="L1166" t="s">
        <v>23</v>
      </c>
      <c r="M1166" t="s">
        <v>24</v>
      </c>
      <c r="N1166">
        <v>407.43485221517</v>
      </c>
      <c r="O1166">
        <v>461.59585908810902</v>
      </c>
      <c r="P1166">
        <v>353.27384534223103</v>
      </c>
      <c r="Q1166">
        <v>456.78351491308001</v>
      </c>
      <c r="R1166">
        <v>466.40820326313701</v>
      </c>
      <c r="S1166">
        <v>331.464279511531</v>
      </c>
      <c r="T1166">
        <v>375.08341117293099</v>
      </c>
    </row>
    <row r="1167" spans="1:20" x14ac:dyDescent="0.2">
      <c r="A1167" t="s">
        <v>2318</v>
      </c>
      <c r="B1167" s="3" t="str">
        <f>HYPERLINK("http://www.ncbi.nlm.nih.gov/gene/3164","NR4A1")</f>
        <v>NR4A1</v>
      </c>
      <c r="C1167">
        <v>3164</v>
      </c>
      <c r="D1167" t="s">
        <v>2319</v>
      </c>
      <c r="E1167" s="3" t="str">
        <f>HYPERLINK("http://genome.ucsc.edu/cgi-bin/hgTracks?db=hg19&amp;lastVirtModeType=default&amp;lastVirtModeExtraState=&amp;virtModeType=default&amp;virtMode=0&amp;nonVirtPosition=&amp;position=chr12:52022831-52059507","chr12:52022831-52059507")</f>
        <v>chr12:52022831-52059507</v>
      </c>
      <c r="F1167" t="s">
        <v>27</v>
      </c>
      <c r="G1167">
        <v>0.29433245608076303</v>
      </c>
      <c r="H1167">
        <v>0.102222459319616</v>
      </c>
      <c r="I1167">
        <v>2.8793325658550302</v>
      </c>
      <c r="J1167">
        <v>3.9851784546363397E-3</v>
      </c>
      <c r="K1167">
        <v>4.7955320754908E-2</v>
      </c>
      <c r="L1167" t="s">
        <v>23</v>
      </c>
      <c r="M1167" t="s">
        <v>24</v>
      </c>
      <c r="N1167">
        <v>381.34087857704702</v>
      </c>
      <c r="O1167">
        <v>330.48472263224801</v>
      </c>
      <c r="P1167">
        <v>432.19703452184598</v>
      </c>
      <c r="Q1167">
        <v>339.83592826364702</v>
      </c>
      <c r="R1167">
        <v>321.133517000849</v>
      </c>
      <c r="S1167">
        <v>416.303351053173</v>
      </c>
      <c r="T1167">
        <v>448.09071799051998</v>
      </c>
    </row>
    <row r="1168" spans="1:20" x14ac:dyDescent="0.2">
      <c r="A1168" t="s">
        <v>2320</v>
      </c>
      <c r="B1168" s="3" t="str">
        <f>HYPERLINK("http://www.ncbi.nlm.nih.gov/gene/51669","SARAF")</f>
        <v>SARAF</v>
      </c>
      <c r="C1168">
        <v>51669</v>
      </c>
      <c r="D1168" t="s">
        <v>2321</v>
      </c>
      <c r="E1168" s="3" t="str">
        <f>HYPERLINK("http://genome.ucsc.edu/cgi-bin/hgTracks?db=hg19&amp;lastVirtModeType=default&amp;lastVirtModeExtraState=&amp;virtModeType=default&amp;virtMode=0&amp;nonVirtPosition=&amp;position=chr8:30063011-30083208","chr8:30063011-30083208")</f>
        <v>chr8:30063011-30083208</v>
      </c>
      <c r="F1168" t="s">
        <v>22</v>
      </c>
      <c r="G1168">
        <v>0.117243043046361</v>
      </c>
      <c r="H1168">
        <v>4.0720158646787401E-2</v>
      </c>
      <c r="I1168">
        <v>2.8792383660227099</v>
      </c>
      <c r="J1168">
        <v>3.98636908710771E-3</v>
      </c>
      <c r="K1168">
        <v>4.7955320754908E-2</v>
      </c>
      <c r="L1168" t="s">
        <v>23</v>
      </c>
      <c r="M1168" t="s">
        <v>24</v>
      </c>
      <c r="N1168">
        <v>9430.2313204531001</v>
      </c>
      <c r="O1168">
        <v>9036.0976550739106</v>
      </c>
      <c r="P1168">
        <v>9824.3649858322897</v>
      </c>
      <c r="Q1168">
        <v>9164.5632314338109</v>
      </c>
      <c r="R1168">
        <v>8907.6320787140194</v>
      </c>
      <c r="S1168">
        <v>9861.0623154680598</v>
      </c>
      <c r="T1168">
        <v>9787.6676561965105</v>
      </c>
    </row>
    <row r="1169" spans="1:20" x14ac:dyDescent="0.2">
      <c r="A1169" t="s">
        <v>2322</v>
      </c>
      <c r="B1169" s="3" t="str">
        <f>HYPERLINK("http://www.ncbi.nlm.nih.gov/gene/57222","ERGIC1")</f>
        <v>ERGIC1</v>
      </c>
      <c r="C1169">
        <v>57222</v>
      </c>
      <c r="D1169" t="s">
        <v>2323</v>
      </c>
      <c r="E1169" s="3" t="str">
        <f>HYPERLINK("http://genome.ucsc.edu/cgi-bin/hgTracks?db=hg19&amp;lastVirtModeType=default&amp;lastVirtModeExtraState=&amp;virtModeType=default&amp;virtMode=0&amp;nonVirtPosition=&amp;position=chr5:172834219-172952685","chr5:172834219-172952685")</f>
        <v>chr5:172834219-172952685</v>
      </c>
      <c r="F1169" t="s">
        <v>27</v>
      </c>
      <c r="G1169">
        <v>-0.120311981256655</v>
      </c>
      <c r="H1169">
        <v>4.17903299550113E-2</v>
      </c>
      <c r="I1169">
        <v>-2.8789430805206599</v>
      </c>
      <c r="J1169">
        <v>3.9901034217793797E-3</v>
      </c>
      <c r="K1169">
        <v>4.7958175570799698E-2</v>
      </c>
      <c r="L1169" t="s">
        <v>23</v>
      </c>
      <c r="M1169" t="s">
        <v>24</v>
      </c>
      <c r="N1169">
        <v>12091.926373471901</v>
      </c>
      <c r="O1169">
        <v>12614.500803164299</v>
      </c>
      <c r="P1169">
        <v>11569.3519437796</v>
      </c>
      <c r="Q1169">
        <v>12546.412266543301</v>
      </c>
      <c r="R1169">
        <v>12682.5893397852</v>
      </c>
      <c r="S1169">
        <v>11276.691009215199</v>
      </c>
      <c r="T1169">
        <v>11862.012878344</v>
      </c>
    </row>
    <row r="1170" spans="1:20" x14ac:dyDescent="0.2">
      <c r="A1170" t="s">
        <v>2324</v>
      </c>
      <c r="B1170" s="3" t="str">
        <f>HYPERLINK("http://www.ncbi.nlm.nih.gov/gene/7130","TNFAIP6")</f>
        <v>TNFAIP6</v>
      </c>
      <c r="C1170">
        <v>7130</v>
      </c>
      <c r="D1170" t="s">
        <v>2325</v>
      </c>
      <c r="E1170" s="3" t="str">
        <f>HYPERLINK("http://genome.ucsc.edu/cgi-bin/hgTracks?db=hg19&amp;lastVirtModeType=default&amp;lastVirtModeExtraState=&amp;virtModeType=default&amp;virtMode=0&amp;nonVirtPosition=&amp;position=chr2:151357591-151380048","chr2:151357591-151380048")</f>
        <v>chr2:151357591-151380048</v>
      </c>
      <c r="F1170" t="s">
        <v>27</v>
      </c>
      <c r="G1170">
        <v>0.30352715302572097</v>
      </c>
      <c r="H1170">
        <v>0.10546309331290001</v>
      </c>
      <c r="I1170">
        <v>2.87804144076431</v>
      </c>
      <c r="J1170">
        <v>4.0015256934399102E-3</v>
      </c>
      <c r="K1170">
        <v>4.8053347950818698E-2</v>
      </c>
      <c r="L1170" t="s">
        <v>23</v>
      </c>
      <c r="M1170" t="s">
        <v>24</v>
      </c>
      <c r="N1170">
        <v>330.91829515541298</v>
      </c>
      <c r="O1170">
        <v>283.02284459944099</v>
      </c>
      <c r="P1170">
        <v>378.81374571138298</v>
      </c>
      <c r="Q1170">
        <v>282.05006191922098</v>
      </c>
      <c r="R1170">
        <v>283.99562727966202</v>
      </c>
      <c r="S1170">
        <v>394.60033275182298</v>
      </c>
      <c r="T1170">
        <v>363.027158670944</v>
      </c>
    </row>
    <row r="1171" spans="1:20" x14ac:dyDescent="0.2">
      <c r="A1171" t="s">
        <v>2326</v>
      </c>
      <c r="B1171" s="3" t="str">
        <f>HYPERLINK("http://www.ncbi.nlm.nih.gov/gene/1490","CTGF")</f>
        <v>CTGF</v>
      </c>
      <c r="C1171">
        <v>1490</v>
      </c>
      <c r="D1171" t="s">
        <v>2327</v>
      </c>
      <c r="E1171" s="3" t="str">
        <f>HYPERLINK("http://genome.ucsc.edu/cgi-bin/hgTracks?db=hg19&amp;lastVirtModeType=default&amp;lastVirtModeExtraState=&amp;virtModeType=default&amp;virtMode=0&amp;nonVirtPosition=&amp;position=chr6:131948176-131951378","chr6:131948176-131951378")</f>
        <v>chr6:131948176-131951378</v>
      </c>
      <c r="F1171" t="s">
        <v>22</v>
      </c>
      <c r="G1171">
        <v>-0.33784772705612598</v>
      </c>
      <c r="H1171">
        <v>0.117500231228886</v>
      </c>
      <c r="I1171">
        <v>-2.87529414642606</v>
      </c>
      <c r="J1171">
        <v>4.0365126025913101E-3</v>
      </c>
      <c r="K1171">
        <v>4.8398799602711998E-2</v>
      </c>
      <c r="L1171" t="s">
        <v>23</v>
      </c>
      <c r="M1171" t="s">
        <v>24</v>
      </c>
      <c r="N1171">
        <v>9666.4249311885596</v>
      </c>
      <c r="O1171">
        <v>11646.9594652252</v>
      </c>
      <c r="P1171">
        <v>7685.8903971519203</v>
      </c>
      <c r="Q1171">
        <v>10815.5879841317</v>
      </c>
      <c r="R1171">
        <v>12478.3309463187</v>
      </c>
      <c r="S1171">
        <v>6718.0706650997899</v>
      </c>
      <c r="T1171">
        <v>8653.7101292040606</v>
      </c>
    </row>
    <row r="1172" spans="1:20" x14ac:dyDescent="0.2">
      <c r="A1172" t="s">
        <v>2328</v>
      </c>
      <c r="B1172" s="3" t="str">
        <f>HYPERLINK("http://www.ncbi.nlm.nih.gov/gene/5564","PRKAB1")</f>
        <v>PRKAB1</v>
      </c>
      <c r="C1172">
        <v>5564</v>
      </c>
      <c r="D1172" t="s">
        <v>2329</v>
      </c>
      <c r="E1172" s="3" t="str">
        <f>HYPERLINK("http://genome.ucsc.edu/cgi-bin/hgTracks?db=hg19&amp;lastVirtModeType=default&amp;lastVirtModeExtraState=&amp;virtModeType=default&amp;virtMode=0&amp;nonVirtPosition=&amp;position=chr12:119667955-119681624","chr12:119667955-119681624")</f>
        <v>chr12:119667955-119681624</v>
      </c>
      <c r="F1172" t="s">
        <v>27</v>
      </c>
      <c r="G1172">
        <v>0.23053165717997301</v>
      </c>
      <c r="H1172">
        <v>8.0178548831709995E-2</v>
      </c>
      <c r="I1172">
        <v>2.87522860589364</v>
      </c>
      <c r="J1172">
        <v>4.0373506449979998E-3</v>
      </c>
      <c r="K1172">
        <v>4.8398799602711998E-2</v>
      </c>
      <c r="L1172" t="s">
        <v>23</v>
      </c>
      <c r="M1172" t="s">
        <v>24</v>
      </c>
      <c r="N1172">
        <v>910.33571783286902</v>
      </c>
      <c r="O1172">
        <v>825.76293941156598</v>
      </c>
      <c r="P1172">
        <v>994.90849625417104</v>
      </c>
      <c r="Q1172">
        <v>821.38481446719504</v>
      </c>
      <c r="R1172">
        <v>830.14106435593601</v>
      </c>
      <c r="S1172">
        <v>1042.73137929669</v>
      </c>
      <c r="T1172">
        <v>947.085613211652</v>
      </c>
    </row>
    <row r="1173" spans="1:20" x14ac:dyDescent="0.2">
      <c r="A1173" t="s">
        <v>2330</v>
      </c>
      <c r="B1173" s="3" t="str">
        <f>HYPERLINK("http://www.ncbi.nlm.nih.gov/gene/54566","EPB41L4B")</f>
        <v>EPB41L4B</v>
      </c>
      <c r="C1173">
        <v>54566</v>
      </c>
      <c r="D1173" t="s">
        <v>2331</v>
      </c>
      <c r="E1173" s="3" t="str">
        <f>HYPERLINK("http://genome.ucsc.edu/cgi-bin/hgTracks?db=hg19&amp;lastVirtModeType=default&amp;lastVirtModeExtraState=&amp;virtModeType=default&amp;virtMode=0&amp;nonVirtPosition=&amp;position=chr9:109239726-109320964","chr9:109239726-109320964")</f>
        <v>chr9:109239726-109320964</v>
      </c>
      <c r="F1173" t="s">
        <v>22</v>
      </c>
      <c r="G1173">
        <v>-0.31675926652653202</v>
      </c>
      <c r="H1173">
        <v>0.110206508769618</v>
      </c>
      <c r="I1173">
        <v>-2.8742337459278802</v>
      </c>
      <c r="J1173">
        <v>4.0500909586508298E-3</v>
      </c>
      <c r="K1173">
        <v>4.85091243728712E-2</v>
      </c>
      <c r="L1173" t="s">
        <v>23</v>
      </c>
      <c r="M1173" t="s">
        <v>24</v>
      </c>
      <c r="N1173">
        <v>54.043883996032498</v>
      </c>
      <c r="O1173">
        <v>72.526709538227294</v>
      </c>
      <c r="P1173">
        <v>35.561058453837802</v>
      </c>
      <c r="Q1173">
        <v>78.423675753149297</v>
      </c>
      <c r="R1173">
        <v>66.629743323305306</v>
      </c>
      <c r="S1173">
        <v>29.595024956386698</v>
      </c>
      <c r="T1173">
        <v>41.527091951288803</v>
      </c>
    </row>
    <row r="1174" spans="1:20" x14ac:dyDescent="0.2">
      <c r="A1174" t="s">
        <v>2332</v>
      </c>
      <c r="B1174" s="3" t="str">
        <f>HYPERLINK("http://www.ncbi.nlm.nih.gov/gene/126820","WDR63")</f>
        <v>WDR63</v>
      </c>
      <c r="C1174">
        <v>126820</v>
      </c>
      <c r="D1174" t="s">
        <v>2333</v>
      </c>
      <c r="E1174" s="3" t="str">
        <f>HYPERLINK("http://genome.ucsc.edu/cgi-bin/hgTracks?db=hg19&amp;lastVirtModeType=default&amp;lastVirtModeExtraState=&amp;virtModeType=default&amp;virtMode=0&amp;nonVirtPosition=&amp;position=chr1:85062297-85133138","chr1:85062297-85133138")</f>
        <v>chr1:85062297-85133138</v>
      </c>
      <c r="F1174" t="s">
        <v>27</v>
      </c>
      <c r="G1174">
        <v>-0.31857132182502201</v>
      </c>
      <c r="H1174">
        <v>0.110849786323612</v>
      </c>
      <c r="I1174">
        <v>-2.8739010907517</v>
      </c>
      <c r="J1174">
        <v>4.0543591209716099E-3</v>
      </c>
      <c r="K1174">
        <v>4.8517871714663797E-2</v>
      </c>
      <c r="L1174" t="s">
        <v>23</v>
      </c>
      <c r="M1174" t="s">
        <v>24</v>
      </c>
      <c r="N1174">
        <v>245.705777705966</v>
      </c>
      <c r="O1174">
        <v>285.49098943417602</v>
      </c>
      <c r="P1174">
        <v>205.92056597775601</v>
      </c>
      <c r="Q1174">
        <v>284.801769840384</v>
      </c>
      <c r="R1174">
        <v>286.18020902796701</v>
      </c>
      <c r="S1174">
        <v>204.205672199068</v>
      </c>
      <c r="T1174">
        <v>207.63545975644399</v>
      </c>
    </row>
    <row r="1175" spans="1:20" x14ac:dyDescent="0.2">
      <c r="A1175" t="s">
        <v>2334</v>
      </c>
      <c r="B1175" s="3" t="str">
        <f>HYPERLINK("http://www.ncbi.nlm.nih.gov/gene/51514","DTL")</f>
        <v>DTL</v>
      </c>
      <c r="C1175">
        <v>51514</v>
      </c>
      <c r="D1175" t="s">
        <v>2335</v>
      </c>
      <c r="E1175" s="3" t="str">
        <f>HYPERLINK("http://genome.ucsc.edu/cgi-bin/hgTracks?db=hg19&amp;lastVirtModeType=default&amp;lastVirtModeExtraState=&amp;virtModeType=default&amp;virtMode=0&amp;nonVirtPosition=&amp;position=chr1:212035552-212105006","chr1:212035552-212105006")</f>
        <v>chr1:212035552-212105006</v>
      </c>
      <c r="F1175" t="s">
        <v>27</v>
      </c>
      <c r="G1175">
        <v>-0.27197856296772999</v>
      </c>
      <c r="H1175">
        <v>9.4670685214701497E-2</v>
      </c>
      <c r="I1175">
        <v>-2.87289103644826</v>
      </c>
      <c r="J1175">
        <v>4.0673437446161597E-3</v>
      </c>
      <c r="K1175">
        <v>4.8630821371984399E-2</v>
      </c>
      <c r="L1175" t="s">
        <v>23</v>
      </c>
      <c r="M1175" t="s">
        <v>24</v>
      </c>
      <c r="N1175">
        <v>777.94145504484595</v>
      </c>
      <c r="O1175">
        <v>871.354946732793</v>
      </c>
      <c r="P1175">
        <v>684.52796335689902</v>
      </c>
      <c r="Q1175">
        <v>961.72191844651502</v>
      </c>
      <c r="R1175">
        <v>780.98797501907097</v>
      </c>
      <c r="S1175">
        <v>617.54952075660299</v>
      </c>
      <c r="T1175">
        <v>751.50640595719506</v>
      </c>
    </row>
    <row r="1176" spans="1:20" x14ac:dyDescent="0.2">
      <c r="A1176" t="s">
        <v>2336</v>
      </c>
      <c r="B1176" s="3" t="str">
        <f>HYPERLINK("http://www.ncbi.nlm.nih.gov/gene/22877","MLXIP")</f>
        <v>MLXIP</v>
      </c>
      <c r="C1176">
        <v>22877</v>
      </c>
      <c r="D1176" t="s">
        <v>2337</v>
      </c>
      <c r="E1176" s="3" t="str">
        <f>HYPERLINK("http://genome.ucsc.edu/cgi-bin/hgTracks?db=hg19&amp;lastVirtModeType=default&amp;lastVirtModeExtraState=&amp;virtModeType=default&amp;virtMode=0&amp;nonVirtPosition=&amp;position=chr12:122078727-122147347","chr12:122078727-122147347")</f>
        <v>chr12:122078727-122147347</v>
      </c>
      <c r="F1176" t="s">
        <v>27</v>
      </c>
      <c r="G1176">
        <v>0.15953966814373599</v>
      </c>
      <c r="H1176">
        <v>5.5569527810573102E-2</v>
      </c>
      <c r="I1176">
        <v>2.8709919704118998</v>
      </c>
      <c r="J1176">
        <v>4.0918591870259396E-3</v>
      </c>
      <c r="K1176">
        <v>4.8881321333513798E-2</v>
      </c>
      <c r="L1176" t="s">
        <v>23</v>
      </c>
      <c r="M1176" t="s">
        <v>24</v>
      </c>
      <c r="N1176">
        <v>2779.3821702364198</v>
      </c>
      <c r="O1176">
        <v>2616.8127571257901</v>
      </c>
      <c r="P1176">
        <v>2941.95158334706</v>
      </c>
      <c r="Q1176">
        <v>2567.3434904452001</v>
      </c>
      <c r="R1176">
        <v>2666.28202380637</v>
      </c>
      <c r="S1176">
        <v>2863.81191494636</v>
      </c>
      <c r="T1176">
        <v>3020.09125174776</v>
      </c>
    </row>
    <row r="1177" spans="1:20" x14ac:dyDescent="0.2">
      <c r="A1177" t="s">
        <v>2338</v>
      </c>
      <c r="B1177" s="3" t="str">
        <f>HYPERLINK("http://www.ncbi.nlm.nih.gov/gene/55823","VPS11")</f>
        <v>VPS11</v>
      </c>
      <c r="C1177">
        <v>55823</v>
      </c>
      <c r="D1177" t="s">
        <v>2339</v>
      </c>
      <c r="E1177" s="3" t="str">
        <f>HYPERLINK("http://genome.ucsc.edu/cgi-bin/hgTracks?db=hg19&amp;lastVirtModeType=default&amp;lastVirtModeExtraState=&amp;virtModeType=default&amp;virtMode=0&amp;nonVirtPosition=&amp;position=chr11:119067751-119081978","chr11:119067751-119081978")</f>
        <v>chr11:119067751-119081978</v>
      </c>
      <c r="F1177" t="s">
        <v>27</v>
      </c>
      <c r="G1177">
        <v>0.193521828117103</v>
      </c>
      <c r="H1177">
        <v>6.7441148729843498E-2</v>
      </c>
      <c r="I1177">
        <v>2.8694918719773801</v>
      </c>
      <c r="J1177">
        <v>4.1113189907560797E-3</v>
      </c>
      <c r="K1177">
        <v>4.9071043202113897E-2</v>
      </c>
      <c r="L1177" t="s">
        <v>23</v>
      </c>
      <c r="M1177" t="s">
        <v>24</v>
      </c>
      <c r="N1177">
        <v>1413.5258760244401</v>
      </c>
      <c r="O1177">
        <v>1309.9554851703699</v>
      </c>
      <c r="P1177">
        <v>1517.0962668785301</v>
      </c>
      <c r="Q1177">
        <v>1296.05443086784</v>
      </c>
      <c r="R1177">
        <v>1323.8565394728901</v>
      </c>
      <c r="S1177">
        <v>1487.64325447437</v>
      </c>
      <c r="T1177">
        <v>1546.5492792826799</v>
      </c>
    </row>
    <row r="1178" spans="1:20" x14ac:dyDescent="0.2">
      <c r="A1178" t="s">
        <v>2340</v>
      </c>
      <c r="B1178" s="3" t="str">
        <f>HYPERLINK("http://www.ncbi.nlm.nih.gov/gene/583","BBS2")</f>
        <v>BBS2</v>
      </c>
      <c r="C1178">
        <v>583</v>
      </c>
      <c r="D1178" t="s">
        <v>2341</v>
      </c>
      <c r="E1178" s="3" t="str">
        <f>HYPERLINK("http://genome.ucsc.edu/cgi-bin/hgTracks?db=hg19&amp;lastVirtModeType=default&amp;lastVirtModeExtraState=&amp;virtModeType=default&amp;virtMode=0&amp;nonVirtPosition=&amp;position=chr16:56484346-56520096","chr16:56484346-56520096")</f>
        <v>chr16:56484346-56520096</v>
      </c>
      <c r="F1178" t="s">
        <v>22</v>
      </c>
      <c r="G1178">
        <v>-0.183241048950257</v>
      </c>
      <c r="H1178">
        <v>6.3879979254367697E-2</v>
      </c>
      <c r="I1178">
        <v>-2.8685207961730601</v>
      </c>
      <c r="J1178">
        <v>4.1239608667195601E-3</v>
      </c>
      <c r="K1178">
        <v>4.91791298488626E-2</v>
      </c>
      <c r="L1178" t="s">
        <v>23</v>
      </c>
      <c r="M1178" t="s">
        <v>24</v>
      </c>
      <c r="N1178">
        <v>1617.0904907393201</v>
      </c>
      <c r="O1178">
        <v>1728.68941781588</v>
      </c>
      <c r="P1178">
        <v>1505.49156366277</v>
      </c>
      <c r="Q1178">
        <v>1755.5896537020801</v>
      </c>
      <c r="R1178">
        <v>1701.7891819296699</v>
      </c>
      <c r="S1178">
        <v>1511.3192744394801</v>
      </c>
      <c r="T1178">
        <v>1499.6638528860601</v>
      </c>
    </row>
    <row r="1179" spans="1:20" x14ac:dyDescent="0.2">
      <c r="A1179" t="s">
        <v>2342</v>
      </c>
      <c r="B1179" s="3" t="str">
        <f>HYPERLINK("http://www.ncbi.nlm.nih.gov/gene/9334","B4GALT5")</f>
        <v>B4GALT5</v>
      </c>
      <c r="C1179">
        <v>9334</v>
      </c>
      <c r="D1179" t="s">
        <v>2343</v>
      </c>
      <c r="E1179" s="3" t="str">
        <f>HYPERLINK("http://genome.ucsc.edu/cgi-bin/hgTracks?db=hg19&amp;lastVirtModeType=default&amp;lastVirtModeExtraState=&amp;virtModeType=default&amp;virtMode=0&amp;nonVirtPosition=&amp;position=chr20:49632945-49713884","chr20:49632945-49713884")</f>
        <v>chr20:49632945-49713884</v>
      </c>
      <c r="F1179" t="s">
        <v>22</v>
      </c>
      <c r="G1179">
        <v>-0.14588565372306</v>
      </c>
      <c r="H1179">
        <v>5.0862970899189897E-2</v>
      </c>
      <c r="I1179">
        <v>-2.86820944872066</v>
      </c>
      <c r="J1179">
        <v>4.12802158119604E-3</v>
      </c>
      <c r="K1179">
        <v>4.91847853731733E-2</v>
      </c>
      <c r="L1179" t="s">
        <v>23</v>
      </c>
      <c r="M1179" t="s">
        <v>24</v>
      </c>
      <c r="N1179">
        <v>3507.4593292847899</v>
      </c>
      <c r="O1179">
        <v>3692.4305346256101</v>
      </c>
      <c r="P1179">
        <v>3322.4881239439701</v>
      </c>
      <c r="Q1179">
        <v>3709.3022777279002</v>
      </c>
      <c r="R1179">
        <v>3675.55879152332</v>
      </c>
      <c r="S1179">
        <v>3398.4953658250802</v>
      </c>
      <c r="T1179">
        <v>3246.48088206285</v>
      </c>
    </row>
    <row r="1180" spans="1:20" x14ac:dyDescent="0.2">
      <c r="A1180" t="s">
        <v>2344</v>
      </c>
      <c r="B1180" s="3" t="str">
        <f>HYPERLINK("http://www.ncbi.nlm.nih.gov/gene/140606","SELENOM")</f>
        <v>SELENOM</v>
      </c>
      <c r="C1180">
        <v>140606</v>
      </c>
      <c r="D1180" t="s">
        <v>2345</v>
      </c>
      <c r="E1180" s="3" t="str">
        <f>HYPERLINK("http://genome.ucsc.edu/cgi-bin/hgTracks?db=hg19&amp;lastVirtModeType=default&amp;lastVirtModeExtraState=&amp;virtModeType=default&amp;virtMode=0&amp;nonVirtPosition=&amp;position=chr22:31104776-31107565","chr22:31104776-31107565")</f>
        <v>chr22:31104776-31107565</v>
      </c>
      <c r="F1180" t="s">
        <v>22</v>
      </c>
      <c r="G1180">
        <v>0.158186264481534</v>
      </c>
      <c r="H1180">
        <v>5.51610387690563E-2</v>
      </c>
      <c r="I1180">
        <v>2.8677172876278698</v>
      </c>
      <c r="J1180">
        <v>4.1344479385318402E-3</v>
      </c>
      <c r="K1180">
        <v>4.9218592907140299E-2</v>
      </c>
      <c r="L1180" t="s">
        <v>23</v>
      </c>
      <c r="M1180" t="s">
        <v>24</v>
      </c>
      <c r="N1180">
        <v>3186.7987374621498</v>
      </c>
      <c r="O1180">
        <v>3004.0539974356502</v>
      </c>
      <c r="P1180">
        <v>3369.5434774886498</v>
      </c>
      <c r="Q1180">
        <v>3039.2613989246802</v>
      </c>
      <c r="R1180">
        <v>2968.8465959466198</v>
      </c>
      <c r="S1180">
        <v>3234.7362277330699</v>
      </c>
      <c r="T1180">
        <v>3504.3507272442398</v>
      </c>
    </row>
    <row r="1181" spans="1:20" x14ac:dyDescent="0.2">
      <c r="A1181" t="s">
        <v>2346</v>
      </c>
      <c r="B1181" s="3" t="str">
        <f>HYPERLINK("http://www.ncbi.nlm.nih.gov/gene/29102","DROSHA")</f>
        <v>DROSHA</v>
      </c>
      <c r="C1181">
        <v>29102</v>
      </c>
      <c r="D1181" t="s">
        <v>2347</v>
      </c>
      <c r="E1181" s="3" t="str">
        <f>HYPERLINK("http://genome.ucsc.edu/cgi-bin/hgTracks?db=hg19&amp;lastVirtModeType=default&amp;lastVirtModeExtraState=&amp;virtModeType=default&amp;virtMode=0&amp;nonVirtPosition=&amp;position=chr5:31400494-31532175","chr5:31400494-31532175")</f>
        <v>chr5:31400494-31532175</v>
      </c>
      <c r="F1181" t="s">
        <v>22</v>
      </c>
      <c r="G1181">
        <v>-0.16282360391679901</v>
      </c>
      <c r="H1181">
        <v>5.6788958799715301E-2</v>
      </c>
      <c r="I1181">
        <v>-2.8671700865488501</v>
      </c>
      <c r="J1181">
        <v>4.1416036326958599E-3</v>
      </c>
      <c r="K1181">
        <v>4.92610166685091E-2</v>
      </c>
      <c r="L1181" t="s">
        <v>23</v>
      </c>
      <c r="M1181" t="s">
        <v>24</v>
      </c>
      <c r="N1181">
        <v>2609.5808270816701</v>
      </c>
      <c r="O1181">
        <v>2768.3092878542302</v>
      </c>
      <c r="P1181">
        <v>2450.8523663091</v>
      </c>
      <c r="Q1181">
        <v>2802.6145177046501</v>
      </c>
      <c r="R1181">
        <v>2734.0040580038199</v>
      </c>
      <c r="S1181">
        <v>2370.5614990065801</v>
      </c>
      <c r="T1181">
        <v>2531.14323361162</v>
      </c>
    </row>
    <row r="1182" spans="1:20" x14ac:dyDescent="0.2">
      <c r="A1182" t="s">
        <v>2348</v>
      </c>
      <c r="B1182" s="3" t="str">
        <f>HYPERLINK("http://www.ncbi.nlm.nih.gov/gene/51427","ZNF107")</f>
        <v>ZNF107</v>
      </c>
      <c r="C1182">
        <v>51427</v>
      </c>
      <c r="D1182" t="s">
        <v>2349</v>
      </c>
      <c r="E1182" s="3" t="str">
        <f>HYPERLINK("http://genome.ucsc.edu/cgi-bin/hgTracks?db=hg19&amp;lastVirtModeType=default&amp;lastVirtModeExtraState=&amp;virtModeType=default&amp;virtMode=0&amp;nonVirtPosition=&amp;position=chr7:64666082-64711582","chr7:64666082-64711582")</f>
        <v>chr7:64666082-64711582</v>
      </c>
      <c r="F1182" t="s">
        <v>27</v>
      </c>
      <c r="G1182">
        <v>-0.31114096196093699</v>
      </c>
      <c r="H1182">
        <v>0.10852926169551499</v>
      </c>
      <c r="I1182">
        <v>-2.8668854565127302</v>
      </c>
      <c r="J1182">
        <v>4.1453301524953697E-3</v>
      </c>
      <c r="K1182">
        <v>4.9262615001145101E-2</v>
      </c>
      <c r="L1182" t="s">
        <v>23</v>
      </c>
      <c r="M1182" t="s">
        <v>24</v>
      </c>
      <c r="N1182">
        <v>318.147593682234</v>
      </c>
      <c r="O1182">
        <v>365.78453589890398</v>
      </c>
      <c r="P1182">
        <v>270.51065146556402</v>
      </c>
      <c r="Q1182">
        <v>359.097883711789</v>
      </c>
      <c r="R1182">
        <v>372.471188086018</v>
      </c>
      <c r="S1182">
        <v>299.89625289138598</v>
      </c>
      <c r="T1182">
        <v>241.12505003974201</v>
      </c>
    </row>
    <row r="1183" spans="1:20" x14ac:dyDescent="0.2">
      <c r="A1183" t="s">
        <v>2350</v>
      </c>
      <c r="B1183" s="3" t="str">
        <f>HYPERLINK("http://www.ncbi.nlm.nih.gov/gene/157570","ESCO2")</f>
        <v>ESCO2</v>
      </c>
      <c r="C1183">
        <v>157570</v>
      </c>
      <c r="D1183" t="s">
        <v>2351</v>
      </c>
      <c r="E1183" s="3" t="str">
        <f>HYPERLINK("http://genome.ucsc.edu/cgi-bin/hgTracks?db=hg19&amp;lastVirtModeType=default&amp;lastVirtModeExtraState=&amp;virtModeType=default&amp;virtMode=0&amp;nonVirtPosition=&amp;position=chr8:27774540-27804907","chr8:27774540-27804907")</f>
        <v>chr8:27774540-27804907</v>
      </c>
      <c r="F1183" t="s">
        <v>27</v>
      </c>
      <c r="G1183">
        <v>-0.32028703323499202</v>
      </c>
      <c r="H1183">
        <v>0.11186682350419699</v>
      </c>
      <c r="I1183">
        <v>-2.86311010898577</v>
      </c>
      <c r="J1183">
        <v>4.1950475289170503E-3</v>
      </c>
      <c r="K1183">
        <v>4.9810287282743199E-2</v>
      </c>
      <c r="L1183" t="s">
        <v>23</v>
      </c>
      <c r="M1183" t="s">
        <v>24</v>
      </c>
      <c r="N1183">
        <v>260.73006669902202</v>
      </c>
      <c r="O1183">
        <v>304.73196414653597</v>
      </c>
      <c r="P1183">
        <v>216.728169251509</v>
      </c>
      <c r="Q1183">
        <v>317.82226489434203</v>
      </c>
      <c r="R1183">
        <v>291.64166339872997</v>
      </c>
      <c r="S1183">
        <v>194.34066388027301</v>
      </c>
      <c r="T1183">
        <v>239.115674622744</v>
      </c>
    </row>
  </sheetData>
  <pageMargins left="0.75" right="0.75" top="1" bottom="1" header="0.5" footer="0.5"/>
</worksheet>
</file>