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t\OneDrive - University of Cape Town\Documents\root\Masters\Results\DAQ Results\"/>
    </mc:Choice>
  </mc:AlternateContent>
  <xr:revisionPtr revIDLastSave="0" documentId="13_ncr:1_{1146FEBE-E29B-4E04-A5E0-CBF0DED401FD}" xr6:coauthVersionLast="47" xr6:coauthVersionMax="47" xr10:uidLastSave="{00000000-0000-0000-0000-000000000000}"/>
  <bookViews>
    <workbookView xWindow="-96" yWindow="-96" windowWidth="23232" windowHeight="12552" firstSheet="2" activeTab="2" xr2:uid="{51D92320-50F6-49CC-A6C8-C95E339398F9}"/>
  </bookViews>
  <sheets>
    <sheet name="0.1D10H" sheetId="1" r:id="rId1"/>
    <sheet name="0.1D30H" sheetId="7" r:id="rId2"/>
    <sheet name="0.1D50H" sheetId="8" r:id="rId3"/>
    <sheet name="0.1Graphs" sheetId="16" r:id="rId4"/>
    <sheet name="0.3D10H" sheetId="9" r:id="rId5"/>
    <sheet name="0.3D30H" sheetId="11" r:id="rId6"/>
    <sheet name="0.3D50H" sheetId="10" r:id="rId7"/>
    <sheet name="0.3Graphs" sheetId="17" r:id="rId8"/>
    <sheet name="0.5D10H" sheetId="12" r:id="rId9"/>
    <sheet name="0.5D30H" sheetId="13" r:id="rId10"/>
    <sheet name="0.5D50H" sheetId="14" r:id="rId11"/>
    <sheet name="0.5Graphs" sheetId="18" r:id="rId12"/>
    <sheet name="Sheet1" sheetId="1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2" l="1"/>
  <c r="E7" i="12"/>
  <c r="D7" i="12"/>
  <c r="C7" i="12"/>
  <c r="B7" i="12"/>
  <c r="E15" i="12"/>
  <c r="D15" i="12"/>
  <c r="F15" i="13"/>
  <c r="D15" i="13"/>
  <c r="C15" i="13"/>
  <c r="B15" i="13"/>
  <c r="L15" i="13" s="1"/>
  <c r="F15" i="12"/>
  <c r="F23" i="13"/>
  <c r="E23" i="13"/>
  <c r="D23" i="13"/>
  <c r="C23" i="13"/>
  <c r="B23" i="13"/>
  <c r="F23" i="12"/>
  <c r="E23" i="12"/>
  <c r="D23" i="12"/>
  <c r="C23" i="12"/>
  <c r="B23" i="12"/>
  <c r="F7" i="14"/>
  <c r="C7" i="14"/>
  <c r="B7" i="14"/>
  <c r="F15" i="14"/>
  <c r="E15" i="14"/>
  <c r="D15" i="14"/>
  <c r="C15" i="14"/>
  <c r="B15" i="14"/>
  <c r="B23" i="14"/>
  <c r="F23" i="14"/>
  <c r="E23" i="14"/>
  <c r="D23" i="14"/>
  <c r="C23" i="14"/>
  <c r="E15" i="11"/>
  <c r="F23" i="11"/>
  <c r="B23" i="11"/>
  <c r="D15" i="9"/>
  <c r="F7" i="9"/>
  <c r="E7" i="9"/>
  <c r="D7" i="9"/>
  <c r="C7" i="9"/>
  <c r="B7" i="9"/>
  <c r="E15" i="9"/>
  <c r="F15" i="9"/>
  <c r="C23" i="9"/>
  <c r="E7" i="10"/>
  <c r="D7" i="10"/>
  <c r="C7" i="10"/>
  <c r="B7" i="10"/>
  <c r="F15" i="10"/>
  <c r="E15" i="10"/>
  <c r="D15" i="10"/>
  <c r="C15" i="10"/>
  <c r="B15" i="10"/>
  <c r="E23" i="10"/>
  <c r="D23" i="10"/>
  <c r="C23" i="10"/>
  <c r="B23" i="10"/>
  <c r="E15" i="8"/>
  <c r="D15" i="8"/>
  <c r="C15" i="8"/>
  <c r="B15" i="8"/>
  <c r="E15" i="7"/>
  <c r="D15" i="7"/>
  <c r="C15" i="7"/>
  <c r="B15" i="7"/>
  <c r="F7" i="7"/>
  <c r="E7" i="7"/>
  <c r="D7" i="7"/>
  <c r="C7" i="7"/>
  <c r="B7" i="7"/>
  <c r="E7" i="1"/>
  <c r="D7" i="1"/>
  <c r="C7" i="1"/>
  <c r="B7" i="1"/>
  <c r="E15" i="1"/>
  <c r="D15" i="1"/>
  <c r="C15" i="1"/>
  <c r="B15" i="1"/>
  <c r="E23" i="1"/>
  <c r="C23" i="1"/>
  <c r="D23" i="1"/>
  <c r="B23" i="1"/>
  <c r="E23" i="7"/>
  <c r="D23" i="7"/>
  <c r="C23" i="7"/>
  <c r="B23" i="7"/>
  <c r="E23" i="8"/>
  <c r="D23" i="8"/>
  <c r="C23" i="8"/>
  <c r="B23" i="8"/>
  <c r="J21" i="19"/>
  <c r="J22" i="19"/>
  <c r="I21" i="19"/>
  <c r="I22" i="19"/>
  <c r="H21" i="19"/>
  <c r="H22" i="19"/>
  <c r="I20" i="19"/>
  <c r="J20" i="19"/>
  <c r="H20" i="19"/>
  <c r="E21" i="19"/>
  <c r="E22" i="19"/>
  <c r="D21" i="19"/>
  <c r="D22" i="19"/>
  <c r="C22" i="19"/>
  <c r="C21" i="19"/>
  <c r="D20" i="19"/>
  <c r="E20" i="19"/>
  <c r="C20" i="19"/>
  <c r="E7" i="14"/>
  <c r="D7" i="14"/>
  <c r="F7" i="13"/>
  <c r="E7" i="13"/>
  <c r="D7" i="13"/>
  <c r="C7" i="13"/>
  <c r="B7" i="13"/>
  <c r="E15" i="13"/>
  <c r="C15" i="12"/>
  <c r="B15" i="12"/>
  <c r="L23" i="14"/>
  <c r="L15" i="14"/>
  <c r="L7" i="14"/>
  <c r="L23" i="13"/>
  <c r="L7" i="13"/>
  <c r="L23" i="12"/>
  <c r="L15" i="12"/>
  <c r="L7" i="12"/>
  <c r="L15" i="10"/>
  <c r="L23" i="10"/>
  <c r="L7" i="10"/>
  <c r="L7" i="11"/>
  <c r="F7" i="11"/>
  <c r="E7" i="11"/>
  <c r="D7" i="11"/>
  <c r="C7" i="11"/>
  <c r="B7" i="11"/>
  <c r="L15" i="11"/>
  <c r="F15" i="11"/>
  <c r="D15" i="11"/>
  <c r="C15" i="11"/>
  <c r="B15" i="11"/>
  <c r="L23" i="11"/>
  <c r="E23" i="11"/>
  <c r="D23" i="11"/>
  <c r="C23" i="11"/>
  <c r="F23" i="9"/>
  <c r="E23" i="9"/>
  <c r="L23" i="9"/>
  <c r="B23" i="9"/>
  <c r="C15" i="9"/>
  <c r="B15" i="9"/>
  <c r="L15" i="9" s="1"/>
  <c r="L7" i="9"/>
  <c r="L7" i="8"/>
  <c r="F7" i="8"/>
  <c r="E7" i="8"/>
  <c r="D7" i="8"/>
  <c r="C7" i="8"/>
  <c r="B7" i="8"/>
  <c r="L15" i="8"/>
  <c r="L23" i="8"/>
  <c r="L15" i="7"/>
  <c r="L23" i="7"/>
  <c r="L7" i="7"/>
  <c r="L23" i="1"/>
  <c r="L15" i="1"/>
  <c r="L7" i="1"/>
</calcChain>
</file>

<file path=xl/sharedStrings.xml><?xml version="1.0" encoding="utf-8"?>
<sst xmlns="http://schemas.openxmlformats.org/spreadsheetml/2006/main" count="209" uniqueCount="12">
  <si>
    <t>Velocity</t>
  </si>
  <si>
    <t>Hydration</t>
  </si>
  <si>
    <t>Concentration</t>
  </si>
  <si>
    <t>Force Reading No</t>
  </si>
  <si>
    <t>Force Reading</t>
  </si>
  <si>
    <t>AVG</t>
  </si>
  <si>
    <t>Peak to Peak</t>
  </si>
  <si>
    <t>PeaktoPeak</t>
  </si>
  <si>
    <t>0.02s</t>
  </si>
  <si>
    <t>6.28 m/s</t>
  </si>
  <si>
    <t>15 m/s</t>
  </si>
  <si>
    <t>31.4 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</si>
</sst>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0" xfId="0" applyFill="1"/>
    <xf numFmtId="0" fontId="0" fillId="0" borderId="0" xfId="0" applyFill="1" applyBorder="1"/>
    <xf numFmtId="0" fontId="0" fillId="0" borderId="0" xfId="0" applyFill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</a:t>
            </a:r>
            <a:r>
              <a:rPr lang="en-ZA" baseline="0"/>
              <a:t> Polishing Force vs Hydration Level</a:t>
            </a:r>
          </a:p>
          <a:p>
            <a:pPr>
              <a:defRPr/>
            </a:pPr>
            <a:r>
              <a:rPr lang="en-ZA" baseline="0"/>
              <a:t>0.1% Diamond Concentration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'0.1Graphs'!$B$3</c:f>
              <c:strCache>
                <c:ptCount val="1"/>
                <c:pt idx="0">
                  <c:v>6.28 m/s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xVal>
            <c:numRef>
              <c:f>'0.1Graphs'!$C$2:$E$2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'0.1Graphs'!$C$3:$E$3</c:f>
              <c:numCache>
                <c:formatCode>General</c:formatCode>
                <c:ptCount val="3"/>
                <c:pt idx="0">
                  <c:v>2.0057499999999999</c:v>
                </c:pt>
                <c:pt idx="1">
                  <c:v>1.5318000000000001</c:v>
                </c:pt>
                <c:pt idx="2">
                  <c:v>1.2052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F2-4175-BD60-2BBA4B9A7F11}"/>
            </c:ext>
          </c:extLst>
        </c:ser>
        <c:ser>
          <c:idx val="1"/>
          <c:order val="1"/>
          <c:tx>
            <c:strRef>
              <c:f>'0.1Graphs'!$B$4</c:f>
              <c:strCache>
                <c:ptCount val="1"/>
                <c:pt idx="0">
                  <c:v>15 m/s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'0.1Graphs'!$C$2:$E$2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'0.1Graphs'!$C$4:$E$4</c:f>
              <c:numCache>
                <c:formatCode>General</c:formatCode>
                <c:ptCount val="3"/>
                <c:pt idx="0">
                  <c:v>2.226</c:v>
                </c:pt>
                <c:pt idx="1">
                  <c:v>1.88625</c:v>
                </c:pt>
                <c:pt idx="2">
                  <c:v>1.5660000000000001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F2-4175-BD60-2BBA4B9A7F11}"/>
            </c:ext>
          </c:extLst>
        </c:ser>
        <c:ser>
          <c:idx val="2"/>
          <c:order val="2"/>
          <c:tx>
            <c:strRef>
              <c:f>'0.1Graphs'!$B$5</c:f>
              <c:strCache>
                <c:ptCount val="1"/>
                <c:pt idx="0">
                  <c:v>31.4 m/s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'0.1Graphs'!$C$2:$E$2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'0.1Graphs'!$C$5:$E$5</c:f>
              <c:numCache>
                <c:formatCode>General</c:formatCode>
                <c:ptCount val="3"/>
                <c:pt idx="0">
                  <c:v>3.1155000000000008</c:v>
                </c:pt>
                <c:pt idx="1">
                  <c:v>2.8194999999999997</c:v>
                </c:pt>
                <c:pt idx="2">
                  <c:v>1.9820000000000002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F2-4175-BD60-2BBA4B9A7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622031"/>
        <c:axId val="1475609551"/>
      </c:scatterChart>
      <c:valAx>
        <c:axId val="147562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Abrasive</a:t>
                </a:r>
                <a:r>
                  <a:rPr lang="en-ZA" baseline="0"/>
                  <a:t> Hydration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09551"/>
        <c:crosses val="autoZero"/>
        <c:crossBetween val="midCat"/>
      </c:valAx>
      <c:valAx>
        <c:axId val="147560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2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 Polishing Force vs Impinging Velocity</a:t>
            </a:r>
          </a:p>
          <a:p>
            <a:pPr>
              <a:defRPr/>
            </a:pPr>
            <a:r>
              <a:rPr lang="en-ZA"/>
              <a:t>0.1% Diamond Concentration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'0.1Graphs'!$B$8</c:f>
              <c:strCache>
                <c:ptCount val="1"/>
                <c:pt idx="0">
                  <c:v>10%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'0.1Graphs'!$C$7:$E$7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'0.1Graphs'!$C$8:$E$8</c:f>
              <c:numCache>
                <c:formatCode>General</c:formatCode>
                <c:ptCount val="3"/>
                <c:pt idx="0">
                  <c:v>2.0057499999999999</c:v>
                </c:pt>
                <c:pt idx="1">
                  <c:v>2.226</c:v>
                </c:pt>
                <c:pt idx="2">
                  <c:v>3.1155000000000008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52-4E17-98C9-99DCDAFD7EA3}"/>
            </c:ext>
          </c:extLst>
        </c:ser>
        <c:ser>
          <c:idx val="1"/>
          <c:order val="1"/>
          <c:tx>
            <c:strRef>
              <c:f>'0.1Graphs'!$B$9</c:f>
              <c:strCache>
                <c:ptCount val="1"/>
                <c:pt idx="0">
                  <c:v>30%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'0.1Graphs'!$C$7:$E$7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'0.1Graphs'!$C$9:$E$9</c:f>
              <c:numCache>
                <c:formatCode>General</c:formatCode>
                <c:ptCount val="3"/>
                <c:pt idx="0">
                  <c:v>1.5318000000000001</c:v>
                </c:pt>
                <c:pt idx="1">
                  <c:v>1.88625</c:v>
                </c:pt>
                <c:pt idx="2">
                  <c:v>2.8194999999999997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52-4E17-98C9-99DCDAFD7EA3}"/>
            </c:ext>
          </c:extLst>
        </c:ser>
        <c:ser>
          <c:idx val="2"/>
          <c:order val="2"/>
          <c:tx>
            <c:strRef>
              <c:f>'0.1Graphs'!$B$10</c:f>
              <c:strCache>
                <c:ptCount val="1"/>
                <c:pt idx="0">
                  <c:v>50%</c:v>
                </c:pt>
              </c:strCache>
            </c:strRef>
          </c:tx>
          <c:spPr>
            <a:ln w="19050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</a:ln>
              <a:effectLst/>
            </c:spPr>
          </c:marker>
          <c:xVal>
            <c:numRef>
              <c:f>'0.1Graphs'!$C$7:$E$7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'0.1Graphs'!$C$10:$E$10</c:f>
              <c:numCache>
                <c:formatCode>General</c:formatCode>
                <c:ptCount val="3"/>
                <c:pt idx="0">
                  <c:v>1.2052</c:v>
                </c:pt>
                <c:pt idx="1">
                  <c:v>1.5660000000000001</c:v>
                </c:pt>
                <c:pt idx="2">
                  <c:v>1.9820000000000002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52-4E17-98C9-99DCDAFD7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582527"/>
        <c:axId val="1237584191"/>
      </c:scatterChart>
      <c:valAx>
        <c:axId val="1237582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Impinging Velocity</a:t>
                </a:r>
                <a:r>
                  <a:rPr lang="en-ZA" baseline="0"/>
                  <a:t> (m/s)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4191"/>
        <c:crosses val="autoZero"/>
        <c:crossBetween val="midCat"/>
      </c:valAx>
      <c:valAx>
        <c:axId val="123758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2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</a:t>
            </a:r>
            <a:r>
              <a:rPr lang="en-ZA" baseline="0"/>
              <a:t> Polishing Force vs Hydration Level</a:t>
            </a:r>
          </a:p>
          <a:p>
            <a:pPr>
              <a:defRPr/>
            </a:pPr>
            <a:r>
              <a:rPr lang="en-ZA" baseline="0"/>
              <a:t>0.3% Diamond Concentration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'0.3Graphs'!$B$3</c:f>
              <c:strCache>
                <c:ptCount val="1"/>
                <c:pt idx="0">
                  <c:v>6.28 m/s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xVal>
            <c:numRef>
              <c:f>'0.3Graphs'!$C$2:$E$2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'0.3Graphs'!$C$3:$E$3</c:f>
              <c:numCache>
                <c:formatCode>General</c:formatCode>
                <c:ptCount val="3"/>
                <c:pt idx="0">
                  <c:v>1.7462000000000004</c:v>
                </c:pt>
                <c:pt idx="1">
                  <c:v>1.1698</c:v>
                </c:pt>
                <c:pt idx="2">
                  <c:v>1.1447500000000002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D6-4489-B46C-AE1080AA82C3}"/>
            </c:ext>
          </c:extLst>
        </c:ser>
        <c:ser>
          <c:idx val="1"/>
          <c:order val="1"/>
          <c:tx>
            <c:strRef>
              <c:f>'0.3Graphs'!$B$4</c:f>
              <c:strCache>
                <c:ptCount val="1"/>
                <c:pt idx="0">
                  <c:v>15 m/s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'0.3Graphs'!$C$2:$E$2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'0.3Graphs'!$C$4:$E$4</c:f>
              <c:numCache>
                <c:formatCode>General</c:formatCode>
                <c:ptCount val="3"/>
                <c:pt idx="0">
                  <c:v>2.2165999999999992</c:v>
                </c:pt>
                <c:pt idx="1">
                  <c:v>2.0367999999999999</c:v>
                </c:pt>
                <c:pt idx="2">
                  <c:v>1.9004000000000001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D6-4489-B46C-AE1080AA82C3}"/>
            </c:ext>
          </c:extLst>
        </c:ser>
        <c:ser>
          <c:idx val="2"/>
          <c:order val="2"/>
          <c:tx>
            <c:strRef>
              <c:f>'0.3Graphs'!$B$5</c:f>
              <c:strCache>
                <c:ptCount val="1"/>
                <c:pt idx="0">
                  <c:v>31.4 m/s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'0.3Graphs'!$C$2:$E$2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'0.3Graphs'!$C$5:$E$5</c:f>
              <c:numCache>
                <c:formatCode>General</c:formatCode>
                <c:ptCount val="3"/>
                <c:pt idx="0">
                  <c:v>2.8842000000000008</c:v>
                </c:pt>
                <c:pt idx="1">
                  <c:v>2.525399999999999</c:v>
                </c:pt>
                <c:pt idx="2">
                  <c:v>2.0514999999999999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CD6-4489-B46C-AE1080AA8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622031"/>
        <c:axId val="1475609551"/>
      </c:scatterChart>
      <c:valAx>
        <c:axId val="147562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Abrasive</a:t>
                </a:r>
                <a:r>
                  <a:rPr lang="en-ZA" baseline="0"/>
                  <a:t> Hydration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09551"/>
        <c:crosses val="autoZero"/>
        <c:crossBetween val="midCat"/>
      </c:valAx>
      <c:valAx>
        <c:axId val="147560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2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 Polishing Force vs Impinging Velocity</a:t>
            </a:r>
          </a:p>
          <a:p>
            <a:pPr>
              <a:defRPr/>
            </a:pPr>
            <a:r>
              <a:rPr lang="en-ZA"/>
              <a:t>0.3% Diamond Concentration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'0.3Graphs'!$B$8</c:f>
              <c:strCache>
                <c:ptCount val="1"/>
                <c:pt idx="0">
                  <c:v>10%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'0.3Graphs'!$C$7:$E$7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'0.3Graphs'!$C$8:$E$8</c:f>
              <c:numCache>
                <c:formatCode>General</c:formatCode>
                <c:ptCount val="3"/>
                <c:pt idx="0">
                  <c:v>1.7462000000000004</c:v>
                </c:pt>
                <c:pt idx="1">
                  <c:v>2.2165999999999992</c:v>
                </c:pt>
                <c:pt idx="2">
                  <c:v>2.8842000000000008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2C-4F33-B29D-DC27C2E51C15}"/>
            </c:ext>
          </c:extLst>
        </c:ser>
        <c:ser>
          <c:idx val="1"/>
          <c:order val="1"/>
          <c:tx>
            <c:strRef>
              <c:f>'0.3Graphs'!$B$9</c:f>
              <c:strCache>
                <c:ptCount val="1"/>
                <c:pt idx="0">
                  <c:v>30%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'0.3Graphs'!$C$7:$E$7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'0.3Graphs'!$C$9:$E$9</c:f>
              <c:numCache>
                <c:formatCode>General</c:formatCode>
                <c:ptCount val="3"/>
                <c:pt idx="0">
                  <c:v>1.1698</c:v>
                </c:pt>
                <c:pt idx="1">
                  <c:v>2.0367999999999999</c:v>
                </c:pt>
                <c:pt idx="2">
                  <c:v>2.525399999999999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2C-4F33-B29D-DC27C2E51C15}"/>
            </c:ext>
          </c:extLst>
        </c:ser>
        <c:ser>
          <c:idx val="2"/>
          <c:order val="2"/>
          <c:tx>
            <c:strRef>
              <c:f>'0.3Graphs'!$B$10</c:f>
              <c:strCache>
                <c:ptCount val="1"/>
                <c:pt idx="0">
                  <c:v>50%</c:v>
                </c:pt>
              </c:strCache>
            </c:strRef>
          </c:tx>
          <c:spPr>
            <a:ln w="19050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</a:ln>
              <a:effectLst/>
            </c:spPr>
          </c:marker>
          <c:xVal>
            <c:numRef>
              <c:f>'0.3Graphs'!$C$7:$E$7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'0.3Graphs'!$C$10:$E$10</c:f>
              <c:numCache>
                <c:formatCode>General</c:formatCode>
                <c:ptCount val="3"/>
                <c:pt idx="0">
                  <c:v>1.1447500000000002</c:v>
                </c:pt>
                <c:pt idx="1">
                  <c:v>1.9004000000000001</c:v>
                </c:pt>
                <c:pt idx="2">
                  <c:v>2.0514999999999999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2C-4F33-B29D-DC27C2E51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582527"/>
        <c:axId val="1237584191"/>
      </c:scatterChart>
      <c:valAx>
        <c:axId val="1237582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Impinging Velocity</a:t>
                </a:r>
                <a:r>
                  <a:rPr lang="en-ZA" baseline="0"/>
                  <a:t> (m/s)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4191"/>
        <c:crosses val="autoZero"/>
        <c:crossBetween val="midCat"/>
      </c:valAx>
      <c:valAx>
        <c:axId val="123758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2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</a:t>
            </a:r>
            <a:r>
              <a:rPr lang="en-ZA" baseline="0"/>
              <a:t> Polishing Force vs Hydration Level</a:t>
            </a:r>
          </a:p>
          <a:p>
            <a:pPr>
              <a:defRPr/>
            </a:pPr>
            <a:r>
              <a:rPr lang="en-ZA" baseline="0"/>
              <a:t>0.5% Diamond Concentration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'0.5Graphs'!$B$3</c:f>
              <c:strCache>
                <c:ptCount val="1"/>
                <c:pt idx="0">
                  <c:v>6.28 m/s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xVal>
            <c:numRef>
              <c:f>'0.5Graphs'!$C$2:$E$2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'0.5Graphs'!$C$3:$E$3</c:f>
              <c:numCache>
                <c:formatCode>General</c:formatCode>
                <c:ptCount val="3"/>
                <c:pt idx="0">
                  <c:v>1.4032</c:v>
                </c:pt>
                <c:pt idx="1">
                  <c:v>1.2637999999999998</c:v>
                </c:pt>
                <c:pt idx="2">
                  <c:v>1.1756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CB-4C02-8E66-F75B3BFA1D6E}"/>
            </c:ext>
          </c:extLst>
        </c:ser>
        <c:ser>
          <c:idx val="1"/>
          <c:order val="1"/>
          <c:tx>
            <c:strRef>
              <c:f>'0.5Graphs'!$B$4</c:f>
              <c:strCache>
                <c:ptCount val="1"/>
                <c:pt idx="0">
                  <c:v>15 m/s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'0.5Graphs'!$C$2:$E$2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'0.5Graphs'!$C$4:$E$4</c:f>
              <c:numCache>
                <c:formatCode>General</c:formatCode>
                <c:ptCount val="3"/>
                <c:pt idx="0">
                  <c:v>2.0364</c:v>
                </c:pt>
                <c:pt idx="1">
                  <c:v>1.8295999999999999</c:v>
                </c:pt>
                <c:pt idx="2">
                  <c:v>1.64374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CB-4C02-8E66-F75B3BFA1D6E}"/>
            </c:ext>
          </c:extLst>
        </c:ser>
        <c:ser>
          <c:idx val="2"/>
          <c:order val="2"/>
          <c:tx>
            <c:strRef>
              <c:f>'0.5Graphs'!$B$5</c:f>
              <c:strCache>
                <c:ptCount val="1"/>
                <c:pt idx="0">
                  <c:v>31.4 m/s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'0.5Graphs'!$C$2:$E$2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'0.5Graphs'!$C$5:$E$5</c:f>
              <c:numCache>
                <c:formatCode>General</c:formatCode>
                <c:ptCount val="3"/>
                <c:pt idx="0">
                  <c:v>2.9094000000000002</c:v>
                </c:pt>
                <c:pt idx="1">
                  <c:v>2.5834000000000001</c:v>
                </c:pt>
                <c:pt idx="2">
                  <c:v>2.1164000000000001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CB-4C02-8E66-F75B3BFA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622031"/>
        <c:axId val="1475609551"/>
      </c:scatterChart>
      <c:valAx>
        <c:axId val="147562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Abrasive</a:t>
                </a:r>
                <a:r>
                  <a:rPr lang="en-ZA" baseline="0"/>
                  <a:t> Hydration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09551"/>
        <c:crosses val="autoZero"/>
        <c:crossBetween val="midCat"/>
      </c:valAx>
      <c:valAx>
        <c:axId val="147560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2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 Polishing Force vs Impinging Velocity</a:t>
            </a:r>
          </a:p>
          <a:p>
            <a:pPr>
              <a:defRPr/>
            </a:pPr>
            <a:r>
              <a:rPr lang="en-ZA"/>
              <a:t>0.5% Diamond Concentration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'0.5Graphs'!$B$8</c:f>
              <c:strCache>
                <c:ptCount val="1"/>
                <c:pt idx="0">
                  <c:v>10%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'0.5Graphs'!$C$7:$E$7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'0.5Graphs'!$C$8:$E$8</c:f>
              <c:numCache>
                <c:formatCode>General</c:formatCode>
                <c:ptCount val="3"/>
                <c:pt idx="0">
                  <c:v>1.4032</c:v>
                </c:pt>
                <c:pt idx="1">
                  <c:v>2.0364</c:v>
                </c:pt>
                <c:pt idx="2">
                  <c:v>2.9094000000000002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24-46D0-AB79-E1B2E0EBA8B7}"/>
            </c:ext>
          </c:extLst>
        </c:ser>
        <c:ser>
          <c:idx val="1"/>
          <c:order val="1"/>
          <c:tx>
            <c:strRef>
              <c:f>'0.5Graphs'!$B$9</c:f>
              <c:strCache>
                <c:ptCount val="1"/>
                <c:pt idx="0">
                  <c:v>30%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'0.5Graphs'!$C$7:$E$7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'0.5Graphs'!$C$9:$E$9</c:f>
              <c:numCache>
                <c:formatCode>General</c:formatCode>
                <c:ptCount val="3"/>
                <c:pt idx="0">
                  <c:v>1.2637999999999998</c:v>
                </c:pt>
                <c:pt idx="1">
                  <c:v>1.8295999999999999</c:v>
                </c:pt>
                <c:pt idx="2">
                  <c:v>2.5834000000000001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24-46D0-AB79-E1B2E0EBA8B7}"/>
            </c:ext>
          </c:extLst>
        </c:ser>
        <c:ser>
          <c:idx val="2"/>
          <c:order val="2"/>
          <c:tx>
            <c:strRef>
              <c:f>'0.5Graphs'!$B$10</c:f>
              <c:strCache>
                <c:ptCount val="1"/>
                <c:pt idx="0">
                  <c:v>50%</c:v>
                </c:pt>
              </c:strCache>
            </c:strRef>
          </c:tx>
          <c:spPr>
            <a:ln w="19050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</a:ln>
              <a:effectLst/>
            </c:spPr>
          </c:marker>
          <c:xVal>
            <c:numRef>
              <c:f>'0.5Graphs'!$C$7:$E$7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'0.5Graphs'!$C$10:$E$10</c:f>
              <c:numCache>
                <c:formatCode>General</c:formatCode>
                <c:ptCount val="3"/>
                <c:pt idx="0">
                  <c:v>1.1756</c:v>
                </c:pt>
                <c:pt idx="1">
                  <c:v>1.64374</c:v>
                </c:pt>
                <c:pt idx="2">
                  <c:v>2.1164000000000001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24-46D0-AB79-E1B2E0EBA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582527"/>
        <c:axId val="1237584191"/>
      </c:scatterChart>
      <c:valAx>
        <c:axId val="1237582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Impinging Velocity</a:t>
                </a:r>
                <a:r>
                  <a:rPr lang="en-ZA" baseline="0"/>
                  <a:t> (m/s)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4191"/>
        <c:crosses val="autoZero"/>
        <c:crossBetween val="midCat"/>
      </c:valAx>
      <c:valAx>
        <c:axId val="123758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2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</a:t>
            </a:r>
            <a:r>
              <a:rPr lang="en-ZA" baseline="0"/>
              <a:t> Polishing Force vs Hydration Level</a:t>
            </a:r>
          </a:p>
          <a:p>
            <a:pPr>
              <a:defRPr/>
            </a:pPr>
            <a:r>
              <a:rPr lang="en-ZA" baseline="0"/>
              <a:t>Averages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Sheet1!$B$20</c:f>
              <c:strCache>
                <c:ptCount val="1"/>
                <c:pt idx="0">
                  <c:v>6.28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xVal>
            <c:numRef>
              <c:f>Sheet1!$C$19:$E$19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Sheet1!$C$20:$E$20</c:f>
              <c:numCache>
                <c:formatCode>General</c:formatCode>
                <c:ptCount val="3"/>
                <c:pt idx="0">
                  <c:v>1.7183833333333336</c:v>
                </c:pt>
                <c:pt idx="1">
                  <c:v>1.3217999999999999</c:v>
                </c:pt>
                <c:pt idx="2">
                  <c:v>1.1751833333333332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5D-4C03-B7DF-E144620843F1}"/>
            </c:ext>
          </c:extLst>
        </c:ser>
        <c:ser>
          <c:idx val="1"/>
          <c:order val="1"/>
          <c:tx>
            <c:strRef>
              <c:f>Sheet1!$B$21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Sheet1!$C$19:$E$19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Sheet1!$C$21:$E$21</c:f>
              <c:numCache>
                <c:formatCode>General</c:formatCode>
                <c:ptCount val="3"/>
                <c:pt idx="0">
                  <c:v>2.1596666666666664</c:v>
                </c:pt>
                <c:pt idx="1">
                  <c:v>1.9175500000000001</c:v>
                </c:pt>
                <c:pt idx="2">
                  <c:v>1.7033800000000001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5D-4C03-B7DF-E144620843F1}"/>
            </c:ext>
          </c:extLst>
        </c:ser>
        <c:ser>
          <c:idx val="2"/>
          <c:order val="2"/>
          <c:tx>
            <c:strRef>
              <c:f>Sheet1!$B$22</c:f>
              <c:strCache>
                <c:ptCount val="1"/>
                <c:pt idx="0">
                  <c:v>31.4</c:v>
                </c:pt>
              </c:strCache>
            </c:strRef>
          </c:tx>
          <c:spPr>
            <a:ln w="19050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Sheet1!$C$19:$E$19</c:f>
              <c:numCache>
                <c:formatCode>0%</c:formatCode>
                <c:ptCount val="3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</c:numCache>
            </c:numRef>
          </c:xVal>
          <c:yVal>
            <c:numRef>
              <c:f>Sheet1!$C$22:$E$22</c:f>
              <c:numCache>
                <c:formatCode>General</c:formatCode>
                <c:ptCount val="3"/>
                <c:pt idx="0">
                  <c:v>2.9697000000000009</c:v>
                </c:pt>
                <c:pt idx="1">
                  <c:v>2.6427666666666663</c:v>
                </c:pt>
                <c:pt idx="2">
                  <c:v>2.0499666666666667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5D-4C03-B7DF-E1446208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622031"/>
        <c:axId val="1475609551"/>
      </c:scatterChart>
      <c:valAx>
        <c:axId val="147562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Abrasive</a:t>
                </a:r>
                <a:r>
                  <a:rPr lang="en-ZA" baseline="0"/>
                  <a:t> Hydration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09551"/>
        <c:crosses val="autoZero"/>
        <c:crossBetween val="midCat"/>
      </c:valAx>
      <c:valAx>
        <c:axId val="147560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2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Net Polishing Force vs Impinging Velocity</a:t>
            </a:r>
          </a:p>
          <a:p>
            <a:pPr>
              <a:defRPr/>
            </a:pPr>
            <a:r>
              <a:rPr lang="en-ZA"/>
              <a:t>Averages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Sheet1!$G$20</c:f>
              <c:strCache>
                <c:ptCount val="1"/>
                <c:pt idx="0">
                  <c:v>10%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Sheet1!$H$19:$J$19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Sheet1!$H$20:$J$20</c:f>
              <c:numCache>
                <c:formatCode>General</c:formatCode>
                <c:ptCount val="3"/>
                <c:pt idx="0">
                  <c:v>1.7183833333333336</c:v>
                </c:pt>
                <c:pt idx="1">
                  <c:v>2.1596666666666664</c:v>
                </c:pt>
                <c:pt idx="2">
                  <c:v>2.9697000000000009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55-4AAC-8980-C4FA04AA892C}"/>
            </c:ext>
          </c:extLst>
        </c:ser>
        <c:ser>
          <c:idx val="1"/>
          <c:order val="1"/>
          <c:tx>
            <c:strRef>
              <c:f>Sheet1!$G$21</c:f>
              <c:strCache>
                <c:ptCount val="1"/>
                <c:pt idx="0">
                  <c:v>30%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Sheet1!$H$19:$J$19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Sheet1!$H$21:$J$21</c:f>
              <c:numCache>
                <c:formatCode>General</c:formatCode>
                <c:ptCount val="3"/>
                <c:pt idx="0">
                  <c:v>1.3217999999999999</c:v>
                </c:pt>
                <c:pt idx="1">
                  <c:v>1.9175500000000001</c:v>
                </c:pt>
                <c:pt idx="2">
                  <c:v>2.6427666666666663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55-4AAC-8980-C4FA04AA892C}"/>
            </c:ext>
          </c:extLst>
        </c:ser>
        <c:ser>
          <c:idx val="2"/>
          <c:order val="2"/>
          <c:tx>
            <c:strRef>
              <c:f>Sheet1!$G$22</c:f>
              <c:strCache>
                <c:ptCount val="1"/>
                <c:pt idx="0">
                  <c:v>50%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</a:ln>
              <a:effectLst/>
            </c:spPr>
          </c:marker>
          <c:xVal>
            <c:numRef>
              <c:f>Sheet1!$H$19:$J$19</c:f>
              <c:numCache>
                <c:formatCode>General</c:formatCode>
                <c:ptCount val="3"/>
                <c:pt idx="0">
                  <c:v>6.28</c:v>
                </c:pt>
                <c:pt idx="1">
                  <c:v>15</c:v>
                </c:pt>
                <c:pt idx="2">
                  <c:v>31.4</c:v>
                </c:pt>
              </c:numCache>
            </c:numRef>
          </c:xVal>
          <c:yVal>
            <c:numRef>
              <c:f>Sheet1!$H$22:$J$22</c:f>
              <c:numCache>
                <c:formatCode>General</c:formatCode>
                <c:ptCount val="3"/>
                <c:pt idx="0">
                  <c:v>1.1751833333333332</c:v>
                </c:pt>
                <c:pt idx="1">
                  <c:v>1.7033800000000001</c:v>
                </c:pt>
                <c:pt idx="2">
                  <c:v>2.0499666666666667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955-4AAC-8980-C4FA04AA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582527"/>
        <c:axId val="1237584191"/>
      </c:scatterChart>
      <c:valAx>
        <c:axId val="1237582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Impinging Velocity</a:t>
                </a:r>
                <a:r>
                  <a:rPr lang="en-ZA" baseline="0"/>
                  <a:t> (m/s)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4191"/>
        <c:crosses val="autoZero"/>
        <c:crossBetween val="midCat"/>
      </c:valAx>
      <c:valAx>
        <c:axId val="123758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Polishing Force 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582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13</xdr:col>
      <xdr:colOff>295275</xdr:colOff>
      <xdr:row>33</xdr:row>
      <xdr:rowOff>103824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29814D-0909-4E7F-984C-92F8E8C22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438150</xdr:colOff>
      <xdr:row>14</xdr:row>
      <xdr:rowOff>0</xdr:rowOff>
    </xdr:from>
    <xdr:to>
      <xdr:col>23</xdr:col>
      <xdr:colOff>295275</xdr:colOff>
      <xdr:row>33</xdr:row>
      <xdr:rowOff>132398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53531E-1F2A-4C24-AC80-DCF2E3FC5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13</xdr:row>
      <xdr:rowOff>95250</xdr:rowOff>
    </xdr:from>
    <xdr:to>
      <xdr:col>12</xdr:col>
      <xdr:colOff>550545</xdr:colOff>
      <xdr:row>33</xdr:row>
      <xdr:rowOff>18099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BDC400-04D5-42EF-9619-4B15FE321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55245</xdr:colOff>
      <xdr:row>13</xdr:row>
      <xdr:rowOff>95250</xdr:rowOff>
    </xdr:from>
    <xdr:to>
      <xdr:col>22</xdr:col>
      <xdr:colOff>550545</xdr:colOff>
      <xdr:row>33</xdr:row>
      <xdr:rowOff>48578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4AB28B-EA79-4841-AEF5-1E7B08893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13</xdr:row>
      <xdr:rowOff>67626</xdr:rowOff>
    </xdr:from>
    <xdr:to>
      <xdr:col>12</xdr:col>
      <xdr:colOff>57150</xdr:colOff>
      <xdr:row>32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C5F0FA-680D-40CE-B638-0877B9267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200025</xdr:colOff>
      <xdr:row>13</xdr:row>
      <xdr:rowOff>67626</xdr:rowOff>
    </xdr:from>
    <xdr:to>
      <xdr:col>22</xdr:col>
      <xdr:colOff>57150</xdr:colOff>
      <xdr:row>33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68CB4B-228C-4A33-9063-D7BEB2118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24</xdr:row>
      <xdr:rowOff>47625</xdr:rowOff>
    </xdr:from>
    <xdr:to>
      <xdr:col>10</xdr:col>
      <xdr:colOff>521970</xdr:colOff>
      <xdr:row>43</xdr:row>
      <xdr:rowOff>151449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2C9AEA-E82C-4EB9-A5F8-633729A03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26670</xdr:colOff>
      <xdr:row>24</xdr:row>
      <xdr:rowOff>47625</xdr:rowOff>
    </xdr:from>
    <xdr:to>
      <xdr:col>20</xdr:col>
      <xdr:colOff>521970</xdr:colOff>
      <xdr:row>44</xdr:row>
      <xdr:rowOff>953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C1AF93-ECB6-4B5C-A137-E122984CB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9ED8-B9E4-4CE0-BDC6-FF2093D31A4E}">
  <dimension ref="A1:L29"/>
  <sheetViews>
    <sheetView workbookViewId="0">
      <selection activeCell="L23" activeCellId="2" sqref="L7 L15 L23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1" spans="1:12" x14ac:dyDescent="0.55000000000000004">
      <c r="C1" s="3"/>
    </row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3.363-1.05</f>
        <v>2.3129999999999997</v>
      </c>
      <c r="C7" s="1">
        <f>1.14+0.463</f>
        <v>1.603</v>
      </c>
      <c r="D7" s="1">
        <f>0.937+1.266</f>
        <v>2.2030000000000003</v>
      </c>
      <c r="E7" s="1">
        <f>2.785-0.881</f>
        <v>1.9040000000000001</v>
      </c>
      <c r="F7" s="1"/>
      <c r="G7" s="1"/>
      <c r="H7" s="1"/>
      <c r="I7" s="1"/>
      <c r="J7" s="1"/>
      <c r="K7" s="1"/>
      <c r="L7" s="1">
        <f>AVERAGE(B7:K7)</f>
        <v>2.0057499999999999</v>
      </c>
    </row>
    <row r="8" spans="1:12" x14ac:dyDescent="0.55000000000000004">
      <c r="A8" s="4" t="s">
        <v>7</v>
      </c>
      <c r="B8" t="s">
        <v>8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1.677+0.754</f>
        <v>2.431</v>
      </c>
      <c r="C15" s="1">
        <f>0.621+1.321</f>
        <v>1.9419999999999999</v>
      </c>
      <c r="D15" s="1">
        <f>0.936+1.323</f>
        <v>2.2589999999999999</v>
      </c>
      <c r="E15" s="1">
        <f>1.519+0.753</f>
        <v>2.2719999999999998</v>
      </c>
      <c r="F15" s="1"/>
      <c r="G15" s="1"/>
      <c r="H15" s="1"/>
      <c r="I15" s="1"/>
      <c r="J15" s="1"/>
      <c r="K15" s="1"/>
      <c r="L15" s="1">
        <f>AVERAGE(B15:F15)</f>
        <v>2.226</v>
      </c>
    </row>
    <row r="16" spans="1:12" x14ac:dyDescent="0.55000000000000004">
      <c r="A16" s="4" t="s">
        <v>6</v>
      </c>
      <c r="B16" s="4">
        <v>0.04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1.576+1.369</f>
        <v>2.9450000000000003</v>
      </c>
      <c r="C23" s="1">
        <f>9.653-6.653</f>
        <v>3.0000000000000009</v>
      </c>
      <c r="D23" s="1">
        <f>9.505-6.584</f>
        <v>2.9210000000000012</v>
      </c>
      <c r="E23" s="1">
        <f>1.641+1.955</f>
        <v>3.5960000000000001</v>
      </c>
      <c r="F23" s="1"/>
      <c r="G23" s="1"/>
      <c r="H23" s="1"/>
      <c r="I23" s="1"/>
      <c r="J23" s="1"/>
      <c r="K23" s="1"/>
      <c r="L23" s="1">
        <f>AVERAGE(B23:F23)</f>
        <v>3.1155000000000008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1.39</v>
      </c>
    </row>
    <row r="28" spans="1:12" x14ac:dyDescent="0.55000000000000004">
      <c r="A28">
        <v>15</v>
      </c>
      <c r="B28">
        <v>2.0194000000000001</v>
      </c>
    </row>
    <row r="29" spans="1:12" x14ac:dyDescent="0.55000000000000004">
      <c r="A29">
        <v>31.4</v>
      </c>
      <c r="B29">
        <v>2.5533999999999999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7F40-E3D6-44D6-A708-B46D10F867C6}">
  <dimension ref="A2:L29"/>
  <sheetViews>
    <sheetView workbookViewId="0">
      <selection activeCell="N14" sqref="N14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2.407-1.183</f>
        <v>1.224</v>
      </c>
      <c r="C7" s="1">
        <f>2.904-1.645</f>
        <v>1.2589999999999999</v>
      </c>
      <c r="D7" s="1">
        <f>2.308-0.995</f>
        <v>1.3129999999999997</v>
      </c>
      <c r="E7" s="1">
        <f>3.104-1.911</f>
        <v>1.1930000000000001</v>
      </c>
      <c r="F7" s="1">
        <f>2.891-1.561</f>
        <v>1.33</v>
      </c>
      <c r="G7" s="1"/>
      <c r="H7" s="1"/>
      <c r="I7" s="1"/>
      <c r="J7" s="1"/>
      <c r="K7" s="1"/>
      <c r="L7" s="1">
        <f>AVERAGE(B7:F7)</f>
        <v>1.2637999999999998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3.093-0.972</f>
        <v>2.121</v>
      </c>
      <c r="C15" s="1">
        <f>2.672-1.128</f>
        <v>1.5440000000000003</v>
      </c>
      <c r="D15" s="1">
        <f>2.066-0.341</f>
        <v>1.7249999999999999</v>
      </c>
      <c r="E15" s="1">
        <f>2.015+0.02</f>
        <v>2.0350000000000001</v>
      </c>
      <c r="F15" s="1">
        <f>2.724-1.001</f>
        <v>1.7230000000000003</v>
      </c>
      <c r="G15" s="1"/>
      <c r="H15" s="1"/>
      <c r="I15" s="1"/>
      <c r="J15" s="1"/>
      <c r="K15" s="1"/>
      <c r="L15" s="1">
        <f>AVERAGE(B15:F15)</f>
        <v>1.8295999999999999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3.225-0.282</f>
        <v>2.9430000000000001</v>
      </c>
      <c r="C23" s="1">
        <f>2.542+0.165</f>
        <v>2.7069999999999999</v>
      </c>
      <c r="D23" s="1">
        <f>3.148-0.826</f>
        <v>2.3220000000000001</v>
      </c>
      <c r="E23" s="1">
        <f>2.297+0.353</f>
        <v>2.6500000000000004</v>
      </c>
      <c r="F23" s="1">
        <f>2.134+0.161</f>
        <v>2.2949999999999999</v>
      </c>
      <c r="G23" s="1"/>
      <c r="H23" s="1"/>
      <c r="I23" s="1"/>
      <c r="J23" s="1"/>
      <c r="K23" s="1"/>
      <c r="L23" s="1">
        <f>AVERAGE(B23:F23)</f>
        <v>2.5834000000000001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1.2638</v>
      </c>
    </row>
    <row r="28" spans="1:12" x14ac:dyDescent="0.55000000000000004">
      <c r="A28">
        <v>15</v>
      </c>
      <c r="B28">
        <v>1.9896</v>
      </c>
    </row>
    <row r="29" spans="1:12" x14ac:dyDescent="0.55000000000000004">
      <c r="A29">
        <v>31.4</v>
      </c>
      <c r="B29">
        <v>2.9965999999999999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3C37-3846-4A86-A816-DEE5CD08C537}">
  <dimension ref="A2:L29"/>
  <sheetViews>
    <sheetView workbookViewId="0">
      <selection activeCell="N11" sqref="N11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3.218-2.021</f>
        <v>1.1970000000000001</v>
      </c>
      <c r="C7" s="1">
        <f>3.263-1.921</f>
        <v>1.3419999999999999</v>
      </c>
      <c r="D7" s="1">
        <f>3.365-2.403</f>
        <v>0.96200000000000019</v>
      </c>
      <c r="E7" s="1">
        <f>3.255-2.196</f>
        <v>1.0589999999999997</v>
      </c>
      <c r="F7" s="1">
        <f>3.306-1.988</f>
        <v>1.3180000000000001</v>
      </c>
      <c r="G7" s="1"/>
      <c r="H7" s="1"/>
      <c r="I7" s="1"/>
      <c r="J7" s="1"/>
      <c r="K7" s="1"/>
      <c r="L7" s="1">
        <f>AVERAGE(B7:F7)</f>
        <v>1.1756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3.134-1.92</f>
        <v>1.214</v>
      </c>
      <c r="C15" s="1">
        <f>-1.798--3.42</f>
        <v>1.6219999999999999</v>
      </c>
      <c r="D15" s="1">
        <f>-1.866+3.42</f>
        <v>1.5539999999999998</v>
      </c>
      <c r="E15" s="1">
        <f>3.86-1.914</f>
        <v>1.946</v>
      </c>
      <c r="F15" s="1">
        <f>3.8067-1.924</f>
        <v>1.8827000000000003</v>
      </c>
      <c r="G15" s="1"/>
      <c r="H15" s="1"/>
      <c r="I15" s="1"/>
      <c r="J15" s="1"/>
      <c r="K15" s="1"/>
      <c r="L15" s="1">
        <f>AVERAGE(B15:F15)</f>
        <v>1.64374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4.327-2.28</f>
        <v>2.0470000000000002</v>
      </c>
      <c r="C23" s="1">
        <f>2.363-0.282</f>
        <v>2.081</v>
      </c>
      <c r="D23" s="1">
        <f>2.466-0.365</f>
        <v>2.101</v>
      </c>
      <c r="E23" s="1">
        <f>2.692-0.365</f>
        <v>2.327</v>
      </c>
      <c r="F23" s="1">
        <f>3.988-1.962</f>
        <v>2.0259999999999998</v>
      </c>
      <c r="G23" s="1"/>
      <c r="H23" s="1"/>
      <c r="I23" s="1"/>
      <c r="J23" s="1"/>
      <c r="K23" s="1"/>
      <c r="L23" s="1">
        <f>AVERAGE(B23:F23)</f>
        <v>2.1164000000000001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1.4156</v>
      </c>
    </row>
    <row r="28" spans="1:12" x14ac:dyDescent="0.55000000000000004">
      <c r="A28">
        <v>15</v>
      </c>
      <c r="B28">
        <v>2.0937999999999999</v>
      </c>
    </row>
    <row r="29" spans="1:12" x14ac:dyDescent="0.55000000000000004">
      <c r="A29">
        <v>31.4</v>
      </c>
      <c r="B29">
        <v>3.2936000000000001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17E5-AC09-4EC2-96D9-A3BBBF13F9F1}">
  <dimension ref="B2:E10"/>
  <sheetViews>
    <sheetView workbookViewId="0">
      <selection activeCell="M12" sqref="M12"/>
    </sheetView>
  </sheetViews>
  <sheetFormatPr defaultRowHeight="14.4" x14ac:dyDescent="0.55000000000000004"/>
  <sheetData>
    <row r="2" spans="2:5" x14ac:dyDescent="0.55000000000000004">
      <c r="C2" s="6">
        <v>0.1</v>
      </c>
      <c r="D2" s="6">
        <v>0.3</v>
      </c>
      <c r="E2" s="6">
        <v>0.5</v>
      </c>
    </row>
    <row r="3" spans="2:5" x14ac:dyDescent="0.55000000000000004">
      <c r="B3" t="s">
        <v>9</v>
      </c>
      <c r="C3" s="1">
        <v>1.4032</v>
      </c>
      <c r="D3" s="1">
        <v>1.2637999999999998</v>
      </c>
      <c r="E3" s="1">
        <v>1.1756</v>
      </c>
    </row>
    <row r="4" spans="2:5" x14ac:dyDescent="0.55000000000000004">
      <c r="B4" t="s">
        <v>10</v>
      </c>
      <c r="C4" s="1">
        <v>2.0364</v>
      </c>
      <c r="D4" s="1">
        <v>1.8295999999999999</v>
      </c>
      <c r="E4" s="1">
        <v>1.64374</v>
      </c>
    </row>
    <row r="5" spans="2:5" x14ac:dyDescent="0.55000000000000004">
      <c r="B5" t="s">
        <v>11</v>
      </c>
      <c r="C5" s="1">
        <v>2.9094000000000002</v>
      </c>
      <c r="D5" s="1">
        <v>2.5834000000000001</v>
      </c>
      <c r="E5" s="1">
        <v>2.1164000000000001</v>
      </c>
    </row>
    <row r="7" spans="2:5" x14ac:dyDescent="0.55000000000000004">
      <c r="C7">
        <v>6.28</v>
      </c>
      <c r="D7">
        <v>15</v>
      </c>
      <c r="E7">
        <v>31.4</v>
      </c>
    </row>
    <row r="8" spans="2:5" x14ac:dyDescent="0.55000000000000004">
      <c r="B8" s="6">
        <v>0.1</v>
      </c>
      <c r="C8" s="1">
        <v>1.4032</v>
      </c>
      <c r="D8" s="1">
        <v>2.0364</v>
      </c>
      <c r="E8" s="1">
        <v>2.9094000000000002</v>
      </c>
    </row>
    <row r="9" spans="2:5" x14ac:dyDescent="0.55000000000000004">
      <c r="B9" s="6">
        <v>0.3</v>
      </c>
      <c r="C9" s="1">
        <v>1.2637999999999998</v>
      </c>
      <c r="D9" s="1">
        <v>1.8295999999999999</v>
      </c>
      <c r="E9" s="1">
        <v>2.5834000000000001</v>
      </c>
    </row>
    <row r="10" spans="2:5" x14ac:dyDescent="0.55000000000000004">
      <c r="B10" s="6">
        <v>0.5</v>
      </c>
      <c r="C10" s="1">
        <v>1.1756</v>
      </c>
      <c r="D10" s="1">
        <v>1.64374</v>
      </c>
      <c r="E10" s="1">
        <v>2.1164000000000001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B60D-AD09-452B-B626-23D3ADA18597}">
  <dimension ref="B2:J22"/>
  <sheetViews>
    <sheetView workbookViewId="0">
      <selection activeCell="N11" sqref="N11"/>
    </sheetView>
  </sheetViews>
  <sheetFormatPr defaultRowHeight="14.4" x14ac:dyDescent="0.55000000000000004"/>
  <sheetData>
    <row r="2" spans="2:10" x14ac:dyDescent="0.55000000000000004">
      <c r="C2" s="6">
        <v>0.1</v>
      </c>
      <c r="D2" s="6">
        <v>0.3</v>
      </c>
      <c r="E2" s="6">
        <v>0.5</v>
      </c>
      <c r="H2">
        <v>6.28</v>
      </c>
      <c r="I2">
        <v>15</v>
      </c>
      <c r="J2">
        <v>31.4</v>
      </c>
    </row>
    <row r="3" spans="2:10" x14ac:dyDescent="0.55000000000000004">
      <c r="B3" t="s">
        <v>9</v>
      </c>
      <c r="C3" s="1">
        <v>2.0057499999999999</v>
      </c>
      <c r="D3" s="1">
        <v>1.5318000000000001</v>
      </c>
      <c r="E3" s="1">
        <v>1.2052</v>
      </c>
      <c r="G3" s="6">
        <v>0.1</v>
      </c>
      <c r="H3" s="1">
        <v>2.0057499999999999</v>
      </c>
      <c r="I3" s="1">
        <v>2.226</v>
      </c>
      <c r="J3" s="1">
        <v>3.1155000000000008</v>
      </c>
    </row>
    <row r="4" spans="2:10" x14ac:dyDescent="0.55000000000000004">
      <c r="B4" t="s">
        <v>10</v>
      </c>
      <c r="C4" s="1">
        <v>2.226</v>
      </c>
      <c r="D4" s="1">
        <v>1.88625</v>
      </c>
      <c r="E4" s="1">
        <v>1.5660000000000001</v>
      </c>
      <c r="G4" s="6">
        <v>0.3</v>
      </c>
      <c r="H4" s="1">
        <v>1.5318000000000001</v>
      </c>
      <c r="I4" s="1">
        <v>1.88625</v>
      </c>
      <c r="J4" s="1">
        <v>2.8194999999999997</v>
      </c>
    </row>
    <row r="5" spans="2:10" x14ac:dyDescent="0.55000000000000004">
      <c r="B5" t="s">
        <v>11</v>
      </c>
      <c r="C5" s="1">
        <v>3.1155000000000008</v>
      </c>
      <c r="D5" s="1">
        <v>2.8194999999999997</v>
      </c>
      <c r="E5" s="1">
        <v>1.9820000000000002</v>
      </c>
      <c r="G5" s="6">
        <v>0.5</v>
      </c>
      <c r="H5" s="1">
        <v>1.2052</v>
      </c>
      <c r="I5" s="1">
        <v>1.5660000000000001</v>
      </c>
      <c r="J5" s="1">
        <v>1.9820000000000002</v>
      </c>
    </row>
    <row r="8" spans="2:10" x14ac:dyDescent="0.55000000000000004">
      <c r="C8" s="6">
        <v>0.1</v>
      </c>
      <c r="D8" s="6">
        <v>0.3</v>
      </c>
      <c r="E8" s="6">
        <v>0.5</v>
      </c>
      <c r="H8">
        <v>6.28</v>
      </c>
      <c r="I8">
        <v>15</v>
      </c>
      <c r="J8">
        <v>31.4</v>
      </c>
    </row>
    <row r="9" spans="2:10" x14ac:dyDescent="0.55000000000000004">
      <c r="B9" t="s">
        <v>9</v>
      </c>
      <c r="C9" s="1">
        <v>1.7462000000000004</v>
      </c>
      <c r="D9" s="1">
        <v>1.1698</v>
      </c>
      <c r="E9" s="1">
        <v>1.1447500000000002</v>
      </c>
      <c r="G9" s="6">
        <v>0.1</v>
      </c>
      <c r="H9" s="1">
        <v>1.7462000000000004</v>
      </c>
      <c r="I9" s="1">
        <v>2.2165999999999992</v>
      </c>
      <c r="J9" s="1">
        <v>2.8842000000000008</v>
      </c>
    </row>
    <row r="10" spans="2:10" x14ac:dyDescent="0.55000000000000004">
      <c r="B10" t="s">
        <v>10</v>
      </c>
      <c r="C10" s="1">
        <v>2.2165999999999992</v>
      </c>
      <c r="D10" s="1">
        <v>2.0367999999999999</v>
      </c>
      <c r="E10" s="1">
        <v>1.9004000000000001</v>
      </c>
      <c r="G10" s="6">
        <v>0.3</v>
      </c>
      <c r="H10" s="1">
        <v>1.1698</v>
      </c>
      <c r="I10" s="1">
        <v>2.0367999999999999</v>
      </c>
      <c r="J10" s="1">
        <v>2.525399999999999</v>
      </c>
    </row>
    <row r="11" spans="2:10" x14ac:dyDescent="0.55000000000000004">
      <c r="B11" t="s">
        <v>11</v>
      </c>
      <c r="C11" s="1">
        <v>2.8842000000000008</v>
      </c>
      <c r="D11" s="1">
        <v>2.525399999999999</v>
      </c>
      <c r="E11" s="1">
        <v>2.0514999999999999</v>
      </c>
      <c r="G11" s="6">
        <v>0.5</v>
      </c>
      <c r="H11" s="1">
        <v>1.1447500000000002</v>
      </c>
      <c r="I11" s="1">
        <v>1.9004000000000001</v>
      </c>
      <c r="J11" s="1">
        <v>2.0514999999999999</v>
      </c>
    </row>
    <row r="14" spans="2:10" x14ac:dyDescent="0.55000000000000004">
      <c r="C14" s="6">
        <v>0.1</v>
      </c>
      <c r="D14" s="6">
        <v>0.3</v>
      </c>
      <c r="E14" s="6">
        <v>0.5</v>
      </c>
      <c r="H14">
        <v>6.28</v>
      </c>
      <c r="I14">
        <v>15</v>
      </c>
      <c r="J14">
        <v>31.4</v>
      </c>
    </row>
    <row r="15" spans="2:10" x14ac:dyDescent="0.55000000000000004">
      <c r="B15" t="s">
        <v>9</v>
      </c>
      <c r="C15" s="1">
        <v>1.4032</v>
      </c>
      <c r="D15" s="1">
        <v>1.2637999999999998</v>
      </c>
      <c r="E15" s="1">
        <v>1.1756</v>
      </c>
      <c r="G15" s="6">
        <v>0.1</v>
      </c>
      <c r="H15" s="1">
        <v>1.4032</v>
      </c>
      <c r="I15" s="1">
        <v>2.0364</v>
      </c>
      <c r="J15" s="1">
        <v>2.9094000000000002</v>
      </c>
    </row>
    <row r="16" spans="2:10" x14ac:dyDescent="0.55000000000000004">
      <c r="B16" t="s">
        <v>10</v>
      </c>
      <c r="C16" s="1">
        <v>2.0364</v>
      </c>
      <c r="D16" s="1">
        <v>1.8295999999999999</v>
      </c>
      <c r="E16" s="1">
        <v>1.64374</v>
      </c>
      <c r="G16" s="6">
        <v>0.3</v>
      </c>
      <c r="H16" s="1">
        <v>1.2637999999999998</v>
      </c>
      <c r="I16" s="1">
        <v>1.8295999999999999</v>
      </c>
      <c r="J16" s="1">
        <v>2.5834000000000001</v>
      </c>
    </row>
    <row r="17" spans="2:10" x14ac:dyDescent="0.55000000000000004">
      <c r="B17" t="s">
        <v>11</v>
      </c>
      <c r="C17" s="1">
        <v>2.9094000000000002</v>
      </c>
      <c r="D17" s="1">
        <v>2.5834000000000001</v>
      </c>
      <c r="E17" s="1">
        <v>2.1164000000000001</v>
      </c>
      <c r="G17" s="6">
        <v>0.5</v>
      </c>
      <c r="H17" s="1">
        <v>1.1756</v>
      </c>
      <c r="I17" s="1">
        <v>1.64374</v>
      </c>
      <c r="J17" s="1">
        <v>2.1164000000000001</v>
      </c>
    </row>
    <row r="19" spans="2:10" x14ac:dyDescent="0.55000000000000004">
      <c r="C19" s="6">
        <v>0.1</v>
      </c>
      <c r="D19" s="6">
        <v>0.3</v>
      </c>
      <c r="E19" s="6">
        <v>0.5</v>
      </c>
      <c r="H19">
        <v>6.28</v>
      </c>
      <c r="I19">
        <v>15</v>
      </c>
      <c r="J19">
        <v>31.4</v>
      </c>
    </row>
    <row r="20" spans="2:10" x14ac:dyDescent="0.55000000000000004">
      <c r="B20">
        <v>6.28</v>
      </c>
      <c r="C20">
        <f>AVERAGE(C3,C9,C15)</f>
        <v>1.7183833333333336</v>
      </c>
      <c r="D20">
        <f t="shared" ref="D20:E20" si="0">AVERAGE(D3,D9,D15)</f>
        <v>1.3217999999999999</v>
      </c>
      <c r="E20">
        <f t="shared" si="0"/>
        <v>1.1751833333333332</v>
      </c>
      <c r="G20" s="6">
        <v>0.1</v>
      </c>
      <c r="H20">
        <f>AVERAGE(H3,H9,H15)</f>
        <v>1.7183833333333336</v>
      </c>
      <c r="I20">
        <f t="shared" ref="I20:J20" si="1">AVERAGE(I3,I9,I15)</f>
        <v>2.1596666666666664</v>
      </c>
      <c r="J20">
        <f t="shared" si="1"/>
        <v>2.9697000000000009</v>
      </c>
    </row>
    <row r="21" spans="2:10" x14ac:dyDescent="0.55000000000000004">
      <c r="B21">
        <v>15</v>
      </c>
      <c r="C21">
        <f>AVERAGE(C4,C10,C16)</f>
        <v>2.1596666666666664</v>
      </c>
      <c r="D21">
        <f t="shared" ref="D21:E21" si="2">AVERAGE(D4,D10,D16)</f>
        <v>1.9175500000000001</v>
      </c>
      <c r="E21">
        <f t="shared" si="2"/>
        <v>1.7033800000000001</v>
      </c>
      <c r="G21" s="6">
        <v>0.3</v>
      </c>
      <c r="H21">
        <f t="shared" ref="H21:J22" si="3">AVERAGE(H4,H10,H16)</f>
        <v>1.3217999999999999</v>
      </c>
      <c r="I21">
        <f t="shared" si="3"/>
        <v>1.9175500000000001</v>
      </c>
      <c r="J21">
        <f t="shared" si="3"/>
        <v>2.6427666666666663</v>
      </c>
    </row>
    <row r="22" spans="2:10" x14ac:dyDescent="0.55000000000000004">
      <c r="B22">
        <v>31.4</v>
      </c>
      <c r="C22">
        <f>AVERAGE(C5,C11,C17)</f>
        <v>2.9697000000000009</v>
      </c>
      <c r="D22">
        <f t="shared" ref="D22:E22" si="4">AVERAGE(D5,D11,D17)</f>
        <v>2.6427666666666663</v>
      </c>
      <c r="E22">
        <f t="shared" si="4"/>
        <v>2.0499666666666667</v>
      </c>
      <c r="G22" s="6">
        <v>0.5</v>
      </c>
      <c r="H22">
        <f t="shared" si="3"/>
        <v>1.1751833333333332</v>
      </c>
      <c r="I22">
        <f t="shared" si="3"/>
        <v>1.7033800000000001</v>
      </c>
      <c r="J22">
        <f t="shared" si="3"/>
        <v>2.0499666666666667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6F59-2676-4FCA-9898-6CA8722783A5}">
  <dimension ref="A2:L29"/>
  <sheetViews>
    <sheetView workbookViewId="0">
      <selection activeCell="L23" activeCellId="2" sqref="L7 L15 L23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0.896+0.347</f>
        <v>1.2429999999999999</v>
      </c>
      <c r="C7" s="1">
        <f>1.34+0.335</f>
        <v>1.675</v>
      </c>
      <c r="D7" s="1">
        <f>2.648-1.237</f>
        <v>1.411</v>
      </c>
      <c r="E7" s="1">
        <f>1.917+0.218</f>
        <v>2.1350000000000002</v>
      </c>
      <c r="F7" s="1">
        <f>2.464-1.269</f>
        <v>1.1950000000000001</v>
      </c>
      <c r="G7" s="1"/>
      <c r="H7" s="1"/>
      <c r="I7" s="1"/>
      <c r="J7" s="1"/>
      <c r="K7" s="1"/>
      <c r="L7" s="1">
        <f>AVERAGE(B7:K7)</f>
        <v>1.5318000000000001</v>
      </c>
    </row>
    <row r="8" spans="1:12" x14ac:dyDescent="0.55000000000000004">
      <c r="A8" s="4" t="s">
        <v>7</v>
      </c>
      <c r="B8" t="s">
        <v>8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2.621-1.023</f>
        <v>1.5980000000000001</v>
      </c>
      <c r="C15" s="1">
        <f>0.668+1.22</f>
        <v>1.8879999999999999</v>
      </c>
      <c r="D15" s="1">
        <f>1.441+0.591</f>
        <v>2.032</v>
      </c>
      <c r="E15" s="1">
        <f>2.548-0.521</f>
        <v>2.0270000000000001</v>
      </c>
      <c r="F15" s="1"/>
      <c r="G15" s="1"/>
      <c r="H15" s="1"/>
      <c r="I15" s="1"/>
      <c r="J15" s="1"/>
      <c r="K15" s="1"/>
      <c r="L15" s="1">
        <f>AVERAGE(B15:G15)</f>
        <v>1.88625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2.984-0.383</f>
        <v>2.601</v>
      </c>
      <c r="C23" s="1">
        <f>3.331-0.632</f>
        <v>2.6989999999999998</v>
      </c>
      <c r="D23" s="1">
        <f>3.132+0.065</f>
        <v>3.1970000000000001</v>
      </c>
      <c r="E23" s="1">
        <f>1.242+1.539</f>
        <v>2.7809999999999997</v>
      </c>
      <c r="F23" s="1"/>
      <c r="G23" s="1"/>
      <c r="H23" s="1"/>
      <c r="I23" s="1"/>
      <c r="J23" s="1"/>
      <c r="K23" s="1"/>
      <c r="L23" s="1">
        <f>AVERAGE(B23:F23)</f>
        <v>2.8194999999999997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1.0712999999999999</v>
      </c>
    </row>
    <row r="28" spans="1:12" x14ac:dyDescent="0.55000000000000004">
      <c r="A28">
        <v>15</v>
      </c>
      <c r="B28">
        <v>2.2667999999999999</v>
      </c>
    </row>
    <row r="29" spans="1:12" x14ac:dyDescent="0.55000000000000004">
      <c r="A29">
        <v>31.4</v>
      </c>
      <c r="B29">
        <v>3.1248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D66F-3468-4724-82BD-6105FB90BEE5}">
  <dimension ref="A2:L29"/>
  <sheetViews>
    <sheetView tabSelected="1" workbookViewId="0">
      <selection activeCell="I5" sqref="I5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1.293-0.232</f>
        <v>1.0609999999999999</v>
      </c>
      <c r="C7" s="1">
        <f>1.349-0.232</f>
        <v>1.117</v>
      </c>
      <c r="D7" s="1">
        <f>1.445+0.091</f>
        <v>1.536</v>
      </c>
      <c r="E7" s="1">
        <f>4.238-3.417</f>
        <v>0.82100000000000062</v>
      </c>
      <c r="F7" s="1">
        <f>1.499-0.008</f>
        <v>1.4910000000000001</v>
      </c>
      <c r="G7" s="1"/>
      <c r="H7" s="1"/>
      <c r="I7" s="1"/>
      <c r="J7" s="1"/>
      <c r="K7" s="1"/>
      <c r="L7" s="1">
        <f>AVERAGE(B7:F7)</f>
        <v>1.2052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1.276+0.065</f>
        <v>1.341</v>
      </c>
      <c r="C15" s="1">
        <f>1.489+0.19</f>
        <v>1.679</v>
      </c>
      <c r="D15" s="1">
        <f>1.929-0.441</f>
        <v>1.488</v>
      </c>
      <c r="E15" s="1">
        <f>2.573-0.817</f>
        <v>1.756</v>
      </c>
      <c r="F15" s="1"/>
      <c r="G15" s="1"/>
      <c r="H15" s="1"/>
      <c r="I15" s="1"/>
      <c r="J15" s="1"/>
      <c r="K15" s="1"/>
      <c r="L15" s="1">
        <f>AVERAGE(B15:F15)</f>
        <v>1.5660000000000001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2.822-0.73</f>
        <v>2.0920000000000001</v>
      </c>
      <c r="C23" s="1">
        <f>3.464-1.329</f>
        <v>2.1349999999999998</v>
      </c>
      <c r="D23" s="1">
        <f>2.075-0.34</f>
        <v>1.7350000000000001</v>
      </c>
      <c r="E23" s="1">
        <f>2.803-0.837</f>
        <v>1.966</v>
      </c>
      <c r="F23" s="1"/>
      <c r="G23" s="1"/>
      <c r="H23" s="1"/>
      <c r="I23" s="1"/>
      <c r="J23" s="1"/>
      <c r="K23" s="1"/>
      <c r="L23" s="1">
        <f>AVERAGE(B23:F23)</f>
        <v>1.9820000000000002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1.2052</v>
      </c>
    </row>
    <row r="28" spans="1:12" x14ac:dyDescent="0.55000000000000004">
      <c r="A28">
        <v>15</v>
      </c>
      <c r="B28">
        <v>2.2522000000000002</v>
      </c>
    </row>
    <row r="29" spans="1:12" x14ac:dyDescent="0.55000000000000004">
      <c r="A29">
        <v>31.4</v>
      </c>
      <c r="B29">
        <v>3.2524000000000002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EA02-2F70-493F-A7C1-2CEE94D0261F}">
  <dimension ref="B2:E10"/>
  <sheetViews>
    <sheetView zoomScale="70" zoomScaleNormal="70" workbookViewId="0">
      <selection activeCell="I10" sqref="I10"/>
    </sheetView>
  </sheetViews>
  <sheetFormatPr defaultRowHeight="14.4" x14ac:dyDescent="0.55000000000000004"/>
  <sheetData>
    <row r="2" spans="2:5" x14ac:dyDescent="0.55000000000000004">
      <c r="C2" s="6">
        <v>0.1</v>
      </c>
      <c r="D2" s="6">
        <v>0.3</v>
      </c>
      <c r="E2" s="6">
        <v>0.5</v>
      </c>
    </row>
    <row r="3" spans="2:5" x14ac:dyDescent="0.55000000000000004">
      <c r="B3" t="s">
        <v>9</v>
      </c>
      <c r="C3" s="1">
        <v>2.0057499999999999</v>
      </c>
      <c r="D3" s="1">
        <v>1.5318000000000001</v>
      </c>
      <c r="E3" s="1">
        <v>1.2052</v>
      </c>
    </row>
    <row r="4" spans="2:5" x14ac:dyDescent="0.55000000000000004">
      <c r="B4" t="s">
        <v>10</v>
      </c>
      <c r="C4" s="1">
        <v>2.226</v>
      </c>
      <c r="D4" s="1">
        <v>1.88625</v>
      </c>
      <c r="E4" s="1">
        <v>1.5660000000000001</v>
      </c>
    </row>
    <row r="5" spans="2:5" x14ac:dyDescent="0.55000000000000004">
      <c r="B5" t="s">
        <v>11</v>
      </c>
      <c r="C5" s="1">
        <v>3.1155000000000008</v>
      </c>
      <c r="D5" s="1">
        <v>2.8194999999999997</v>
      </c>
      <c r="E5" s="1">
        <v>1.9820000000000002</v>
      </c>
    </row>
    <row r="7" spans="2:5" x14ac:dyDescent="0.55000000000000004">
      <c r="C7">
        <v>6.28</v>
      </c>
      <c r="D7">
        <v>15</v>
      </c>
      <c r="E7">
        <v>31.4</v>
      </c>
    </row>
    <row r="8" spans="2:5" x14ac:dyDescent="0.55000000000000004">
      <c r="B8" s="6">
        <v>0.1</v>
      </c>
      <c r="C8" s="1">
        <v>2.0057499999999999</v>
      </c>
      <c r="D8" s="1">
        <v>2.226</v>
      </c>
      <c r="E8" s="1">
        <v>3.1155000000000008</v>
      </c>
    </row>
    <row r="9" spans="2:5" x14ac:dyDescent="0.55000000000000004">
      <c r="B9" s="6">
        <v>0.3</v>
      </c>
      <c r="C9" s="1">
        <v>1.5318000000000001</v>
      </c>
      <c r="D9" s="1">
        <v>1.88625</v>
      </c>
      <c r="E9" s="1">
        <v>2.8194999999999997</v>
      </c>
    </row>
    <row r="10" spans="2:5" x14ac:dyDescent="0.55000000000000004">
      <c r="B10" s="6">
        <v>0.5</v>
      </c>
      <c r="C10" s="1">
        <v>1.2052</v>
      </c>
      <c r="D10" s="1">
        <v>1.5660000000000001</v>
      </c>
      <c r="E10" s="1">
        <v>1.9820000000000002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4A65-BE1D-491A-9E32-FC473901DC97}">
  <dimension ref="A2:L29"/>
  <sheetViews>
    <sheetView workbookViewId="0">
      <selection activeCell="M9" sqref="M9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0.3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10.497-8.428</f>
        <v>2.0689999999999991</v>
      </c>
      <c r="C7" s="1">
        <f>10.097-8.524</f>
        <v>1.5730000000000004</v>
      </c>
      <c r="D7" s="1">
        <f>10.938-9.151</f>
        <v>1.7870000000000008</v>
      </c>
      <c r="E7" s="1">
        <f>10.938-8.907</f>
        <v>2.0310000000000006</v>
      </c>
      <c r="F7" s="1">
        <f>10.529-9.258</f>
        <v>1.2710000000000008</v>
      </c>
      <c r="G7" s="1"/>
      <c r="H7" s="1"/>
      <c r="I7" s="1"/>
      <c r="J7" s="1"/>
      <c r="K7" s="1"/>
      <c r="L7" s="1">
        <f>AVERAGE(B7:F7)</f>
        <v>1.7462000000000004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9.434-7.167</f>
        <v>2.2669999999999995</v>
      </c>
      <c r="C15" s="1">
        <f>9.27-7.099</f>
        <v>2.1709999999999994</v>
      </c>
      <c r="D15" s="1">
        <f>9.744-8.021</f>
        <v>1.722999999999999</v>
      </c>
      <c r="E15" s="1">
        <f>10.652-8.117</f>
        <v>2.5349999999999984</v>
      </c>
      <c r="F15" s="1">
        <f>10.282-7.895</f>
        <v>2.3870000000000005</v>
      </c>
      <c r="G15" s="1"/>
      <c r="H15" s="1"/>
      <c r="I15" s="1"/>
      <c r="J15" s="1"/>
      <c r="K15" s="1"/>
      <c r="L15" s="1">
        <f>AVERAGE(B15:F15)</f>
        <v>2.2165999999999992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9.653-6.653</f>
        <v>3.0000000000000009</v>
      </c>
      <c r="C23" s="1">
        <f>2.841-0.045</f>
        <v>2.7960000000000003</v>
      </c>
      <c r="D23" s="1">
        <v>2.7450000000000001</v>
      </c>
      <c r="E23" s="1">
        <f>9.505-6.584</f>
        <v>2.9210000000000012</v>
      </c>
      <c r="F23" s="1">
        <f>9.425-6.466</f>
        <v>2.9590000000000005</v>
      </c>
      <c r="G23" s="1"/>
      <c r="H23" s="1"/>
      <c r="I23" s="1"/>
      <c r="J23" s="1"/>
      <c r="K23" s="1"/>
      <c r="L23" s="1">
        <f>AVERAGE(B23:F23)</f>
        <v>2.8842000000000008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1.2265999999999999</v>
      </c>
    </row>
    <row r="28" spans="1:12" x14ac:dyDescent="0.55000000000000004">
      <c r="A28">
        <v>15</v>
      </c>
      <c r="B28">
        <v>2.0448</v>
      </c>
    </row>
    <row r="29" spans="1:12" x14ac:dyDescent="0.55000000000000004">
      <c r="A29">
        <v>31.4</v>
      </c>
      <c r="B29">
        <v>2.7513999999999998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2AFD-D8C6-4EA4-BC50-0411353F97F0}">
  <dimension ref="A2:L29"/>
  <sheetViews>
    <sheetView workbookViewId="0">
      <selection activeCell="M11" sqref="M11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6.105-4.836</f>
        <v>1.2690000000000001</v>
      </c>
      <c r="C7" s="1">
        <f>4.886-3.53</f>
        <v>1.3560000000000003</v>
      </c>
      <c r="D7" s="1">
        <f>5.438-4.396</f>
        <v>1.0419999999999998</v>
      </c>
      <c r="E7" s="1">
        <f>5.245-4.149</f>
        <v>1.0960000000000001</v>
      </c>
      <c r="F7" s="1">
        <f>6.264-5.178</f>
        <v>1.0860000000000003</v>
      </c>
      <c r="G7" s="1"/>
      <c r="H7" s="1"/>
      <c r="I7" s="1"/>
      <c r="J7" s="1"/>
      <c r="K7" s="1"/>
      <c r="L7" s="1">
        <f>AVERAGE(B7:F7)</f>
        <v>1.1698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5.026-3.099</f>
        <v>1.9269999999999996</v>
      </c>
      <c r="C15" s="1">
        <f>5.172-3.195</f>
        <v>1.9769999999999999</v>
      </c>
      <c r="D15" s="1">
        <f>4.741-2.754</f>
        <v>1.9869999999999997</v>
      </c>
      <c r="E15" s="1">
        <f>5.459-3.076</f>
        <v>2.3829999999999996</v>
      </c>
      <c r="F15" s="1">
        <f>4.819-2.909</f>
        <v>1.9100000000000001</v>
      </c>
      <c r="G15" s="1"/>
      <c r="H15" s="1"/>
      <c r="I15" s="1"/>
      <c r="J15" s="1"/>
      <c r="K15" s="1"/>
      <c r="L15" s="1">
        <f>AVERAGE(B15:F15)</f>
        <v>2.0367999999999999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3.79-2.045</f>
        <v>1.7450000000000001</v>
      </c>
      <c r="C23" s="1">
        <f>4.725-1.785</f>
        <v>2.9399999999999995</v>
      </c>
      <c r="D23" s="1">
        <f>62.516-59.71</f>
        <v>2.8059999999999974</v>
      </c>
      <c r="E23" s="1">
        <f>62.516-59.546</f>
        <v>2.9699999999999989</v>
      </c>
      <c r="F23" s="1">
        <f>4.725-2.559</f>
        <v>2.1659999999999995</v>
      </c>
      <c r="G23" s="1"/>
      <c r="H23" s="1"/>
      <c r="I23" s="1"/>
      <c r="J23" s="1"/>
      <c r="K23" s="1"/>
      <c r="L23" s="1">
        <f>AVERAGE(B23:F23)</f>
        <v>2.525399999999999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1.1698</v>
      </c>
    </row>
    <row r="28" spans="1:12" x14ac:dyDescent="0.55000000000000004">
      <c r="A28">
        <v>15</v>
      </c>
      <c r="B28">
        <v>1.9343999999999999</v>
      </c>
    </row>
    <row r="29" spans="1:12" x14ac:dyDescent="0.55000000000000004">
      <c r="A29">
        <v>31.4</v>
      </c>
      <c r="B29">
        <v>2.9944000000000002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0F39-A245-4462-BA01-9183287163E6}">
  <dimension ref="A2:L29"/>
  <sheetViews>
    <sheetView workbookViewId="0">
      <selection activeCell="M9" sqref="M9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2.311-1.392</f>
        <v>0.91900000000000004</v>
      </c>
      <c r="C7" s="1">
        <f>2.2-1.07</f>
        <v>1.1300000000000001</v>
      </c>
      <c r="D7" s="1">
        <f>2.88-1.62</f>
        <v>1.2599999999999998</v>
      </c>
      <c r="E7" s="1">
        <f>1.11+0.16</f>
        <v>1.27</v>
      </c>
      <c r="F7" s="1"/>
      <c r="G7" s="1"/>
      <c r="H7" s="1"/>
      <c r="I7" s="1"/>
      <c r="J7" s="1"/>
      <c r="K7" s="1"/>
      <c r="L7" s="1">
        <f>AVERAGE(B7:F7)</f>
        <v>1.1447500000000002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3.843-1.621</f>
        <v>2.222</v>
      </c>
      <c r="C15" s="1">
        <f>1.958-0.263</f>
        <v>1.6949999999999998</v>
      </c>
      <c r="D15" s="1">
        <f>3.329-1.711</f>
        <v>1.6180000000000001</v>
      </c>
      <c r="E15" s="1">
        <f>3.281-1.192</f>
        <v>2.0890000000000004</v>
      </c>
      <c r="F15" s="1">
        <f>2.382-0.504</f>
        <v>1.8780000000000001</v>
      </c>
      <c r="G15" s="1"/>
      <c r="H15" s="1"/>
      <c r="I15" s="1"/>
      <c r="J15" s="1"/>
      <c r="K15" s="1"/>
      <c r="L15" s="1">
        <f>AVERAGE(B15:F15)</f>
        <v>1.9004000000000001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2.975-1.485</f>
        <v>1.49</v>
      </c>
      <c r="C23" s="1">
        <f>2.347-0.407</f>
        <v>1.94</v>
      </c>
      <c r="D23" s="1">
        <f>2.65-0.132</f>
        <v>2.5179999999999998</v>
      </c>
      <c r="E23" s="1">
        <f>2.39-0.132</f>
        <v>2.258</v>
      </c>
      <c r="F23" s="1"/>
      <c r="G23" s="1"/>
      <c r="H23" s="1"/>
      <c r="I23" s="1"/>
      <c r="J23" s="1"/>
      <c r="K23" s="1"/>
      <c r="L23" s="1">
        <f>AVERAGE(B23:F23)</f>
        <v>2.0514999999999999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1.2194</v>
      </c>
    </row>
    <row r="28" spans="1:12" x14ac:dyDescent="0.55000000000000004">
      <c r="A28">
        <v>15</v>
      </c>
      <c r="B28">
        <v>2.5329999999999999</v>
      </c>
    </row>
    <row r="29" spans="1:12" x14ac:dyDescent="0.55000000000000004">
      <c r="A29">
        <v>31.4</v>
      </c>
      <c r="B29">
        <v>3.1252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7105-2444-4370-A6CC-157BE17517D3}">
  <dimension ref="B2:E10"/>
  <sheetViews>
    <sheetView workbookViewId="0">
      <selection activeCell="H6" sqref="H6"/>
    </sheetView>
  </sheetViews>
  <sheetFormatPr defaultRowHeight="14.4" x14ac:dyDescent="0.55000000000000004"/>
  <sheetData>
    <row r="2" spans="2:5" x14ac:dyDescent="0.55000000000000004">
      <c r="C2" s="6">
        <v>0.1</v>
      </c>
      <c r="D2" s="6">
        <v>0.3</v>
      </c>
      <c r="E2" s="6">
        <v>0.5</v>
      </c>
    </row>
    <row r="3" spans="2:5" x14ac:dyDescent="0.55000000000000004">
      <c r="B3" t="s">
        <v>9</v>
      </c>
      <c r="C3" s="1">
        <v>1.7462000000000004</v>
      </c>
      <c r="D3" s="1">
        <v>1.1698</v>
      </c>
      <c r="E3" s="1">
        <v>1.1447500000000002</v>
      </c>
    </row>
    <row r="4" spans="2:5" x14ac:dyDescent="0.55000000000000004">
      <c r="B4" t="s">
        <v>10</v>
      </c>
      <c r="C4" s="1">
        <v>2.2165999999999992</v>
      </c>
      <c r="D4" s="1">
        <v>2.0367999999999999</v>
      </c>
      <c r="E4" s="1">
        <v>1.9004000000000001</v>
      </c>
    </row>
    <row r="5" spans="2:5" x14ac:dyDescent="0.55000000000000004">
      <c r="B5" t="s">
        <v>11</v>
      </c>
      <c r="C5" s="1">
        <v>2.8842000000000008</v>
      </c>
      <c r="D5" s="1">
        <v>2.525399999999999</v>
      </c>
      <c r="E5" s="1">
        <v>2.0514999999999999</v>
      </c>
    </row>
    <row r="7" spans="2:5" x14ac:dyDescent="0.55000000000000004">
      <c r="C7">
        <v>6.28</v>
      </c>
      <c r="D7">
        <v>15</v>
      </c>
      <c r="E7">
        <v>31.4</v>
      </c>
    </row>
    <row r="8" spans="2:5" x14ac:dyDescent="0.55000000000000004">
      <c r="B8" s="6">
        <v>0.1</v>
      </c>
      <c r="C8" s="1">
        <v>1.7462000000000004</v>
      </c>
      <c r="D8" s="1">
        <v>2.2165999999999992</v>
      </c>
      <c r="E8" s="1">
        <v>2.8842000000000008</v>
      </c>
    </row>
    <row r="9" spans="2:5" x14ac:dyDescent="0.55000000000000004">
      <c r="B9" s="6">
        <v>0.3</v>
      </c>
      <c r="C9" s="1">
        <v>1.1698</v>
      </c>
      <c r="D9" s="1">
        <v>2.0367999999999999</v>
      </c>
      <c r="E9" s="1">
        <v>2.525399999999999</v>
      </c>
    </row>
    <row r="10" spans="2:5" x14ac:dyDescent="0.55000000000000004">
      <c r="B10" s="6">
        <v>0.5</v>
      </c>
      <c r="C10" s="1">
        <v>1.1447500000000002</v>
      </c>
      <c r="D10" s="1">
        <v>1.9004000000000001</v>
      </c>
      <c r="E10" s="1">
        <v>2.0514999999999999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928-9809-40B6-B9F0-5069D9A9D7E4}">
  <dimension ref="A2:L29"/>
  <sheetViews>
    <sheetView topLeftCell="A4" workbookViewId="0">
      <selection activeCell="N18" sqref="N18"/>
    </sheetView>
  </sheetViews>
  <sheetFormatPr defaultRowHeight="14.4" x14ac:dyDescent="0.55000000000000004"/>
  <cols>
    <col min="1" max="1" width="14.89453125" customWidth="1"/>
    <col min="2" max="2" width="10.9453125" customWidth="1"/>
  </cols>
  <sheetData>
    <row r="2" spans="1:12" x14ac:dyDescent="0.55000000000000004">
      <c r="A2" s="1" t="s">
        <v>0</v>
      </c>
      <c r="B2" s="1">
        <v>6.28</v>
      </c>
    </row>
    <row r="3" spans="1:12" x14ac:dyDescent="0.55000000000000004">
      <c r="A3" s="1" t="s">
        <v>1</v>
      </c>
      <c r="B3" s="1">
        <v>10</v>
      </c>
    </row>
    <row r="4" spans="1:12" x14ac:dyDescent="0.55000000000000004">
      <c r="A4" s="1" t="s">
        <v>2</v>
      </c>
      <c r="B4" s="1">
        <v>0.1</v>
      </c>
    </row>
    <row r="6" spans="1:12" x14ac:dyDescent="0.55000000000000004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 t="s">
        <v>5</v>
      </c>
    </row>
    <row r="7" spans="1:12" x14ac:dyDescent="0.55000000000000004">
      <c r="A7" s="1" t="s">
        <v>4</v>
      </c>
      <c r="B7" s="1">
        <f>1.421-0.012</f>
        <v>1.409</v>
      </c>
      <c r="C7" s="1">
        <f>0.874+0.558</f>
        <v>1.4319999999999999</v>
      </c>
      <c r="D7" s="1">
        <f>1.505-0.12</f>
        <v>1.3849999999999998</v>
      </c>
      <c r="E7" s="1">
        <f>0.913+0.46</f>
        <v>1.373</v>
      </c>
      <c r="F7" s="1">
        <f>1.614-0.197</f>
        <v>1.417</v>
      </c>
      <c r="G7" s="1"/>
      <c r="H7" s="1"/>
      <c r="I7" s="1"/>
      <c r="J7" s="1"/>
      <c r="K7" s="1"/>
      <c r="L7" s="1">
        <f>AVERAGE(B7:F7)</f>
        <v>1.4032</v>
      </c>
    </row>
    <row r="8" spans="1:12" x14ac:dyDescent="0.55000000000000004">
      <c r="A8" s="4" t="s">
        <v>7</v>
      </c>
    </row>
    <row r="9" spans="1:12" x14ac:dyDescent="0.55000000000000004">
      <c r="A9" s="4"/>
    </row>
    <row r="10" spans="1:12" x14ac:dyDescent="0.55000000000000004">
      <c r="A10" s="1" t="s">
        <v>0</v>
      </c>
      <c r="B10" s="1">
        <v>15</v>
      </c>
    </row>
    <row r="11" spans="1:12" x14ac:dyDescent="0.55000000000000004">
      <c r="A11" s="1" t="s">
        <v>1</v>
      </c>
      <c r="B11" s="1">
        <v>10</v>
      </c>
    </row>
    <row r="12" spans="1:12" x14ac:dyDescent="0.55000000000000004">
      <c r="A12" s="1" t="s">
        <v>2</v>
      </c>
      <c r="B12" s="1">
        <v>0.1</v>
      </c>
    </row>
    <row r="14" spans="1:12" x14ac:dyDescent="0.55000000000000004">
      <c r="A14" s="1" t="s">
        <v>3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 t="s">
        <v>5</v>
      </c>
    </row>
    <row r="15" spans="1:12" x14ac:dyDescent="0.55000000000000004">
      <c r="A15" s="1" t="s">
        <v>4</v>
      </c>
      <c r="B15" s="1">
        <f>0.725+1.192</f>
        <v>1.9169999999999998</v>
      </c>
      <c r="C15" s="1">
        <f>1.738+0.363</f>
        <v>2.101</v>
      </c>
      <c r="D15" s="1">
        <f>0.62+1.345</f>
        <v>1.9649999999999999</v>
      </c>
      <c r="E15" s="1">
        <f>1.961+0.202</f>
        <v>2.1630000000000003</v>
      </c>
      <c r="F15" s="1">
        <f>0.632+1.404</f>
        <v>2.036</v>
      </c>
      <c r="G15" s="1"/>
      <c r="H15" s="1"/>
      <c r="I15" s="1"/>
      <c r="J15" s="1"/>
      <c r="K15" s="1"/>
      <c r="L15" s="1">
        <f>AVERAGE(B15:F15)</f>
        <v>2.0364</v>
      </c>
    </row>
    <row r="16" spans="1:12" x14ac:dyDescent="0.55000000000000004">
      <c r="A16" s="4" t="s">
        <v>6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 x14ac:dyDescent="0.55000000000000004">
      <c r="A18" s="1" t="s">
        <v>0</v>
      </c>
      <c r="B18" s="1">
        <v>31.4</v>
      </c>
      <c r="C18" s="5"/>
    </row>
    <row r="19" spans="1:12" x14ac:dyDescent="0.55000000000000004">
      <c r="A19" s="1" t="s">
        <v>1</v>
      </c>
      <c r="B19" s="1">
        <v>10</v>
      </c>
    </row>
    <row r="20" spans="1:12" x14ac:dyDescent="0.55000000000000004">
      <c r="A20" s="1" t="s">
        <v>2</v>
      </c>
      <c r="B20" s="1">
        <v>0.1</v>
      </c>
    </row>
    <row r="22" spans="1:12" x14ac:dyDescent="0.55000000000000004">
      <c r="A22" s="1" t="s">
        <v>3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 t="s">
        <v>5</v>
      </c>
    </row>
    <row r="23" spans="1:12" x14ac:dyDescent="0.55000000000000004">
      <c r="A23" s="1" t="s">
        <v>4</v>
      </c>
      <c r="B23" s="1">
        <f>1.214+1.883</f>
        <v>3.097</v>
      </c>
      <c r="C23" s="1">
        <f>1.694+0.849</f>
        <v>2.5430000000000001</v>
      </c>
      <c r="D23" s="1">
        <f>1.798+1.285</f>
        <v>3.0830000000000002</v>
      </c>
      <c r="E23" s="1">
        <f>0.749+1.918</f>
        <v>2.6669999999999998</v>
      </c>
      <c r="F23" s="1">
        <f>1.505+1.652</f>
        <v>3.157</v>
      </c>
      <c r="G23" s="1"/>
      <c r="H23" s="1"/>
      <c r="I23" s="1"/>
      <c r="J23" s="1"/>
      <c r="K23" s="1"/>
      <c r="L23" s="1">
        <f>AVERAGE(B23:F23)</f>
        <v>2.9094000000000002</v>
      </c>
    </row>
    <row r="24" spans="1:12" x14ac:dyDescent="0.55000000000000004">
      <c r="A24" s="4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1:12" x14ac:dyDescent="0.55000000000000004">
      <c r="A27">
        <v>6.28</v>
      </c>
      <c r="B27">
        <v>1.0631999999999999</v>
      </c>
    </row>
    <row r="28" spans="1:12" x14ac:dyDescent="0.55000000000000004">
      <c r="A28">
        <v>15</v>
      </c>
      <c r="B28">
        <v>1.8364</v>
      </c>
    </row>
    <row r="29" spans="1:12" x14ac:dyDescent="0.55000000000000004">
      <c r="A29">
        <v>31.4</v>
      </c>
      <c r="B29">
        <v>2.5453999999999999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0.1D10H</vt:lpstr>
      <vt:lpstr>0.1D30H</vt:lpstr>
      <vt:lpstr>0.1D50H</vt:lpstr>
      <vt:lpstr>0.1Graphs</vt:lpstr>
      <vt:lpstr>0.3D10H</vt:lpstr>
      <vt:lpstr>0.3D30H</vt:lpstr>
      <vt:lpstr>0.3D50H</vt:lpstr>
      <vt:lpstr>0.3Graphs</vt:lpstr>
      <vt:lpstr>0.5D10H</vt:lpstr>
      <vt:lpstr>0.5D30H</vt:lpstr>
      <vt:lpstr>0.5D50H</vt:lpstr>
      <vt:lpstr>0.5Graphs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 de Jongh</dc:creator>
  <cp:lastModifiedBy>Quintin de Jongh</cp:lastModifiedBy>
  <dcterms:created xsi:type="dcterms:W3CDTF">2022-01-21T11:41:38Z</dcterms:created>
  <dcterms:modified xsi:type="dcterms:W3CDTF">2022-03-18T09:01:18Z</dcterms:modified>
</cp:coreProperties>
</file>