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3"/>
  <workbookPr defaultThemeVersion="166925"/>
  <mc:AlternateContent xmlns:mc="http://schemas.openxmlformats.org/markup-compatibility/2006">
    <mc:Choice Requires="x15">
      <x15ac:absPath xmlns:x15ac="http://schemas.microsoft.com/office/spreadsheetml/2010/11/ac" url="E:\Manuscripts\Paper II Case France\TO SUBMIT\SI\"/>
    </mc:Choice>
  </mc:AlternateContent>
  <xr:revisionPtr revIDLastSave="0" documentId="13_ncr:1_{516A6FD3-5BAE-491D-A021-8ED797BFC519}" xr6:coauthVersionLast="36" xr6:coauthVersionMax="47" xr10:uidLastSave="{00000000-0000-0000-0000-000000000000}"/>
  <bookViews>
    <workbookView xWindow="0" yWindow="0" windowWidth="6120" windowHeight="5772" tabRatio="782" xr2:uid="{1D5FD37F-DB4B-456C-9CFF-038FC2FCCE04}"/>
  </bookViews>
  <sheets>
    <sheet name="INDEX" sheetId="4" r:id="rId1"/>
    <sheet name="Table S2.1" sheetId="3" r:id="rId2"/>
    <sheet name="Table S2.2" sheetId="9" r:id="rId3"/>
    <sheet name="Table S2. 3" sheetId="10" r:id="rId4"/>
    <sheet name="Table S2.4" sheetId="2" r:id="rId5"/>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82" i="10" l="1"/>
  <c r="W31" i="9" l="1"/>
  <c r="W30" i="9"/>
  <c r="W29" i="9"/>
  <c r="W28" i="9"/>
  <c r="W27" i="9"/>
  <c r="W26" i="9"/>
  <c r="W25" i="9"/>
  <c r="W24" i="9"/>
  <c r="W23" i="9"/>
  <c r="V31" i="9"/>
  <c r="V30" i="9"/>
  <c r="V29" i="9"/>
  <c r="V28" i="9"/>
  <c r="V27" i="9"/>
  <c r="V26" i="9"/>
  <c r="V25" i="9"/>
  <c r="V24" i="9"/>
  <c r="V23" i="9"/>
  <c r="U31" i="9"/>
  <c r="U30" i="9"/>
  <c r="U29" i="9"/>
  <c r="U28" i="9"/>
  <c r="U27" i="9"/>
  <c r="U26" i="9"/>
  <c r="U25" i="9"/>
  <c r="U24" i="9"/>
  <c r="U23" i="9"/>
  <c r="T31" i="9"/>
  <c r="T30" i="9"/>
  <c r="T29" i="9"/>
  <c r="T28" i="9"/>
  <c r="T27" i="9"/>
  <c r="T26" i="9"/>
  <c r="T25" i="9"/>
  <c r="T24" i="9"/>
  <c r="T23" i="9"/>
  <c r="AU29" i="9" l="1"/>
  <c r="AX29" i="9"/>
  <c r="AW29" i="9"/>
  <c r="AV29" i="9"/>
  <c r="AX23" i="9"/>
  <c r="AW23" i="9"/>
  <c r="AV23" i="9"/>
  <c r="AU23" i="9"/>
  <c r="AF29" i="9" l="1"/>
  <c r="AE29" i="9"/>
  <c r="AD29" i="9"/>
  <c r="AC29" i="9"/>
  <c r="AF23" i="9"/>
  <c r="AE23" i="9"/>
  <c r="AD23" i="9"/>
  <c r="AC23" i="9"/>
  <c r="AO29" i="9" l="1"/>
  <c r="AN29" i="9"/>
  <c r="AM29" i="9"/>
  <c r="AL29" i="9"/>
  <c r="AO23" i="9" l="1"/>
  <c r="AN23" i="9"/>
  <c r="AM23" i="9"/>
  <c r="AL23" i="9"/>
  <c r="B23" i="9" l="1"/>
  <c r="D105" i="10"/>
  <c r="D107" i="10"/>
  <c r="I107" i="10"/>
  <c r="I106" i="10"/>
  <c r="I49" i="10"/>
  <c r="H49" i="10"/>
  <c r="I69" i="10"/>
  <c r="I68" i="10"/>
  <c r="I67" i="10"/>
  <c r="I66" i="10"/>
  <c r="I65" i="10"/>
  <c r="I64" i="10"/>
  <c r="H67" i="10"/>
  <c r="H66" i="10"/>
  <c r="H65" i="10"/>
  <c r="H64" i="10"/>
  <c r="D65" i="10"/>
  <c r="O40" i="10"/>
  <c r="E57" i="10"/>
  <c r="D57" i="10"/>
  <c r="E56" i="10"/>
  <c r="D56" i="10"/>
  <c r="E55" i="10"/>
  <c r="D55" i="10"/>
  <c r="E54" i="10"/>
  <c r="D54" i="10"/>
  <c r="E53" i="10"/>
  <c r="D53" i="10"/>
  <c r="E52" i="10"/>
  <c r="D52" i="10"/>
  <c r="E51" i="10"/>
  <c r="D51" i="10"/>
  <c r="E50" i="10"/>
  <c r="D50" i="10"/>
  <c r="E49" i="10"/>
  <c r="D49" i="10"/>
  <c r="E48" i="10"/>
  <c r="D48" i="10"/>
  <c r="E47" i="10"/>
  <c r="D47" i="10"/>
  <c r="E46" i="10"/>
  <c r="D46" i="10"/>
  <c r="E45" i="10"/>
  <c r="D45" i="10"/>
  <c r="E44" i="10"/>
  <c r="D44" i="10"/>
  <c r="E43" i="10"/>
  <c r="D43" i="10"/>
  <c r="E42" i="10"/>
  <c r="D42" i="10"/>
  <c r="E41" i="10"/>
  <c r="D41" i="10"/>
  <c r="E40" i="10"/>
  <c r="D40" i="10"/>
  <c r="O25" i="10"/>
  <c r="I28" i="10"/>
  <c r="I27" i="10"/>
  <c r="I26" i="10"/>
  <c r="H27" i="10"/>
  <c r="H26" i="10"/>
  <c r="H28" i="10"/>
  <c r="H29" i="10"/>
  <c r="H30" i="10"/>
  <c r="H31" i="10"/>
  <c r="H32" i="10"/>
  <c r="H33" i="10"/>
  <c r="O28" i="10"/>
  <c r="O26" i="10"/>
  <c r="P14" i="10"/>
  <c r="P12" i="10"/>
  <c r="P11" i="10"/>
  <c r="O14" i="10"/>
  <c r="O12" i="10"/>
  <c r="O11" i="10"/>
  <c r="I19" i="10"/>
  <c r="I18" i="10"/>
  <c r="I17" i="10"/>
  <c r="I16" i="10"/>
  <c r="I15" i="10"/>
  <c r="I14" i="10"/>
  <c r="I13" i="10"/>
  <c r="I12" i="10"/>
  <c r="H19" i="10"/>
  <c r="H18" i="10"/>
  <c r="H17" i="10"/>
  <c r="H16" i="10"/>
  <c r="H15" i="10"/>
  <c r="H14" i="10"/>
  <c r="H13" i="10"/>
  <c r="H12" i="10"/>
  <c r="J12" i="10" s="1"/>
  <c r="K12" i="10"/>
  <c r="K16" i="10"/>
  <c r="E113" i="10"/>
  <c r="D113" i="10"/>
  <c r="E107" i="10"/>
  <c r="E112" i="10"/>
  <c r="D112" i="10"/>
  <c r="E109" i="10"/>
  <c r="D109" i="10"/>
  <c r="E108" i="10"/>
  <c r="D108" i="10"/>
  <c r="E111" i="10"/>
  <c r="D111" i="10"/>
  <c r="E106" i="10"/>
  <c r="D106" i="10"/>
  <c r="E110" i="10"/>
  <c r="D110" i="10"/>
  <c r="E105" i="10"/>
  <c r="E99" i="10"/>
  <c r="D99" i="10"/>
  <c r="E93" i="10"/>
  <c r="D93" i="10"/>
  <c r="E98" i="10"/>
  <c r="D98" i="10"/>
  <c r="E95" i="10"/>
  <c r="D95" i="10"/>
  <c r="E94" i="10"/>
  <c r="D94" i="10"/>
  <c r="E97" i="10"/>
  <c r="D97" i="10"/>
  <c r="E92" i="10"/>
  <c r="D92" i="10"/>
  <c r="E96" i="10"/>
  <c r="D96" i="10"/>
  <c r="E91" i="10"/>
  <c r="D91" i="10"/>
  <c r="E85" i="10"/>
  <c r="D85" i="10"/>
  <c r="E79" i="10"/>
  <c r="D79" i="10"/>
  <c r="E84" i="10"/>
  <c r="D84" i="10"/>
  <c r="E81" i="10"/>
  <c r="D81" i="10"/>
  <c r="E80" i="10"/>
  <c r="D80" i="10"/>
  <c r="E83" i="10"/>
  <c r="D83" i="10"/>
  <c r="E78" i="10"/>
  <c r="D78" i="10"/>
  <c r="E82" i="10"/>
  <c r="D82" i="10"/>
  <c r="E77" i="10"/>
  <c r="D77" i="10"/>
  <c r="E71" i="10"/>
  <c r="D71" i="10"/>
  <c r="E65" i="10"/>
  <c r="E70" i="10"/>
  <c r="D70" i="10"/>
  <c r="E67" i="10"/>
  <c r="D67" i="10"/>
  <c r="E66" i="10"/>
  <c r="D66" i="10"/>
  <c r="E69" i="10"/>
  <c r="D69" i="10"/>
  <c r="E64" i="10"/>
  <c r="D64" i="10"/>
  <c r="E68" i="10"/>
  <c r="D68" i="10"/>
  <c r="E63" i="10"/>
  <c r="D63" i="10"/>
  <c r="E33" i="10"/>
  <c r="D33" i="10"/>
  <c r="E27" i="10"/>
  <c r="D27" i="10"/>
  <c r="E32" i="10"/>
  <c r="D32" i="10"/>
  <c r="E29" i="10"/>
  <c r="D29" i="10"/>
  <c r="E28" i="10"/>
  <c r="D28" i="10"/>
  <c r="E31" i="10"/>
  <c r="D31" i="10"/>
  <c r="E26" i="10"/>
  <c r="D26" i="10"/>
  <c r="E30" i="10"/>
  <c r="D30" i="10"/>
  <c r="E25" i="10"/>
  <c r="D25" i="10"/>
  <c r="E19" i="10"/>
  <c r="D19" i="10"/>
  <c r="E13" i="10"/>
  <c r="D13" i="10"/>
  <c r="E18" i="10"/>
  <c r="D18" i="10"/>
  <c r="E15" i="10"/>
  <c r="D15" i="10"/>
  <c r="E14" i="10"/>
  <c r="D14" i="10"/>
  <c r="E17" i="10"/>
  <c r="D17" i="10"/>
  <c r="E12" i="10"/>
  <c r="D12" i="10"/>
  <c r="E16" i="10"/>
  <c r="D16" i="10"/>
  <c r="E11" i="10"/>
  <c r="D11" i="10"/>
  <c r="AX17" i="9"/>
  <c r="AX16" i="9"/>
  <c r="AX15" i="9"/>
  <c r="AX14" i="9"/>
  <c r="AX13" i="9"/>
  <c r="AX12" i="9"/>
  <c r="AX11" i="9"/>
  <c r="AX10" i="9"/>
  <c r="AW17" i="9"/>
  <c r="AW16" i="9"/>
  <c r="AW15" i="9"/>
  <c r="AW14" i="9"/>
  <c r="AW13" i="9"/>
  <c r="AW12" i="9"/>
  <c r="AW11" i="9"/>
  <c r="AW10" i="9"/>
  <c r="AV17" i="9"/>
  <c r="AV16" i="9"/>
  <c r="AV15" i="9"/>
  <c r="AV14" i="9"/>
  <c r="AV13" i="9"/>
  <c r="AV12" i="9"/>
  <c r="AV11" i="9"/>
  <c r="AV10" i="9"/>
  <c r="AU17" i="9"/>
  <c r="AU16" i="9"/>
  <c r="AU15" i="9"/>
  <c r="AU14" i="9"/>
  <c r="AU13" i="9"/>
  <c r="AU12" i="9"/>
  <c r="AU11" i="9"/>
  <c r="AU10" i="9"/>
  <c r="AU9" i="9"/>
  <c r="AO17" i="9"/>
  <c r="AO16" i="9"/>
  <c r="AO15" i="9"/>
  <c r="AO14" i="9"/>
  <c r="AO13" i="9"/>
  <c r="AO12" i="9"/>
  <c r="AO11" i="9"/>
  <c r="AO10" i="9"/>
  <c r="AN17" i="9"/>
  <c r="AN16" i="9"/>
  <c r="AN15" i="9"/>
  <c r="AN14" i="9"/>
  <c r="AN13" i="9"/>
  <c r="AN12" i="9"/>
  <c r="AN11" i="9"/>
  <c r="AN10" i="9"/>
  <c r="AN9" i="9"/>
  <c r="AM17" i="9"/>
  <c r="AM16" i="9"/>
  <c r="AM15" i="9"/>
  <c r="AM14" i="9"/>
  <c r="AM13" i="9"/>
  <c r="AM12" i="9"/>
  <c r="AM11" i="9"/>
  <c r="AM10" i="9"/>
  <c r="AM9" i="9"/>
  <c r="AL17" i="9"/>
  <c r="AL15" i="9"/>
  <c r="AL13" i="9"/>
  <c r="AL12" i="9"/>
  <c r="AL11" i="9"/>
  <c r="AL10" i="9"/>
  <c r="AL9" i="9"/>
  <c r="AL16" i="9"/>
  <c r="AL14" i="9"/>
  <c r="N31" i="9"/>
  <c r="N30" i="9"/>
  <c r="N29" i="9"/>
  <c r="N28" i="9"/>
  <c r="N27" i="9"/>
  <c r="N26" i="9"/>
  <c r="N25" i="9"/>
  <c r="N24" i="9"/>
  <c r="M31" i="9"/>
  <c r="M30" i="9"/>
  <c r="M29" i="9"/>
  <c r="M28" i="9"/>
  <c r="M27" i="9"/>
  <c r="M26" i="9"/>
  <c r="M25" i="9"/>
  <c r="M24" i="9"/>
  <c r="L31" i="9"/>
  <c r="L30" i="9"/>
  <c r="L29" i="9"/>
  <c r="L28" i="9"/>
  <c r="L27" i="9"/>
  <c r="L26" i="9"/>
  <c r="L25" i="9"/>
  <c r="L24" i="9"/>
  <c r="K31" i="9"/>
  <c r="K30" i="9"/>
  <c r="K29" i="9"/>
  <c r="K28" i="9"/>
  <c r="K27" i="9"/>
  <c r="K26" i="9"/>
  <c r="K25" i="9"/>
  <c r="K24" i="9"/>
  <c r="E31" i="9"/>
  <c r="E30" i="9"/>
  <c r="E29" i="9"/>
  <c r="E28" i="9"/>
  <c r="E27" i="9"/>
  <c r="E26" i="9"/>
  <c r="E25" i="9"/>
  <c r="E24" i="9"/>
  <c r="D31" i="9"/>
  <c r="D30" i="9"/>
  <c r="D29" i="9"/>
  <c r="D28" i="9"/>
  <c r="D27" i="9"/>
  <c r="D26" i="9"/>
  <c r="D25" i="9"/>
  <c r="D24" i="9"/>
  <c r="C31" i="9"/>
  <c r="C30" i="9"/>
  <c r="C29" i="9"/>
  <c r="C28" i="9"/>
  <c r="C27" i="9"/>
  <c r="C26" i="9"/>
  <c r="C25" i="9"/>
  <c r="C24" i="9"/>
  <c r="B27" i="9"/>
  <c r="B31" i="9"/>
  <c r="B30" i="9"/>
  <c r="B29" i="9"/>
  <c r="B28" i="9"/>
  <c r="B26" i="9"/>
  <c r="B25" i="9"/>
  <c r="B24" i="9"/>
  <c r="O27" i="10" l="1"/>
  <c r="O13" i="10"/>
  <c r="P15" i="10"/>
  <c r="P13" i="10"/>
  <c r="O29" i="10"/>
  <c r="J17" i="10"/>
  <c r="L16" i="10"/>
  <c r="H57" i="10"/>
  <c r="H56" i="10"/>
  <c r="H55" i="10"/>
  <c r="H54" i="10"/>
  <c r="H53" i="10"/>
  <c r="H52" i="10"/>
  <c r="H51" i="10"/>
  <c r="H50" i="10"/>
  <c r="AX9" i="9"/>
  <c r="AW9" i="9"/>
  <c r="AV9" i="9"/>
  <c r="N23" i="9"/>
  <c r="M23" i="9"/>
  <c r="L23" i="9"/>
  <c r="K23" i="9"/>
  <c r="E23" i="9"/>
  <c r="D23" i="9"/>
  <c r="C23" i="9"/>
  <c r="AO9" i="9"/>
  <c r="P108" i="10"/>
  <c r="O108" i="10"/>
  <c r="P107" i="10"/>
  <c r="O107" i="10"/>
  <c r="P106" i="10"/>
  <c r="O106" i="10"/>
  <c r="P105" i="10"/>
  <c r="O105" i="10"/>
  <c r="K106" i="10"/>
  <c r="K111" i="10"/>
  <c r="K108" i="10"/>
  <c r="K109" i="10"/>
  <c r="K112" i="10"/>
  <c r="K107" i="10"/>
  <c r="K113" i="10"/>
  <c r="K110" i="10"/>
  <c r="I111" i="10"/>
  <c r="I108" i="10"/>
  <c r="I109" i="10"/>
  <c r="I112" i="10"/>
  <c r="I113" i="10"/>
  <c r="I110" i="10"/>
  <c r="H106" i="10"/>
  <c r="H111" i="10"/>
  <c r="H108" i="10"/>
  <c r="H109" i="10"/>
  <c r="H112" i="10"/>
  <c r="H107" i="10"/>
  <c r="J107" i="10" s="1"/>
  <c r="H113" i="10"/>
  <c r="H110" i="10"/>
  <c r="O91" i="10"/>
  <c r="P94" i="10"/>
  <c r="O94" i="10"/>
  <c r="P92" i="10"/>
  <c r="O92" i="10"/>
  <c r="P91" i="10"/>
  <c r="K92" i="10"/>
  <c r="K97" i="10"/>
  <c r="K94" i="10"/>
  <c r="K95" i="10"/>
  <c r="K98" i="10"/>
  <c r="K93" i="10"/>
  <c r="K99" i="10"/>
  <c r="K96" i="10"/>
  <c r="I92" i="10"/>
  <c r="I97" i="10"/>
  <c r="I94" i="10"/>
  <c r="I95" i="10"/>
  <c r="I98" i="10"/>
  <c r="I93" i="10"/>
  <c r="I99" i="10"/>
  <c r="I96" i="10"/>
  <c r="H92" i="10"/>
  <c r="J92" i="10" s="1"/>
  <c r="H97" i="10"/>
  <c r="H94" i="10"/>
  <c r="H95" i="10"/>
  <c r="H98" i="10"/>
  <c r="H93" i="10"/>
  <c r="H99" i="10"/>
  <c r="H96" i="10"/>
  <c r="O77" i="10"/>
  <c r="P80" i="10"/>
  <c r="O80" i="10"/>
  <c r="P78" i="10"/>
  <c r="O78" i="10"/>
  <c r="P77" i="10"/>
  <c r="K26" i="10"/>
  <c r="K30" i="10"/>
  <c r="L30" i="10" s="1"/>
  <c r="I32" i="10"/>
  <c r="I31" i="10"/>
  <c r="J31" i="10" s="1"/>
  <c r="I30" i="10"/>
  <c r="K69" i="10"/>
  <c r="I70" i="10"/>
  <c r="I71" i="10"/>
  <c r="H69" i="10"/>
  <c r="H68" i="10"/>
  <c r="K78" i="10"/>
  <c r="K83" i="10"/>
  <c r="K80" i="10"/>
  <c r="K81" i="10"/>
  <c r="K84" i="10"/>
  <c r="K79" i="10"/>
  <c r="K85" i="10"/>
  <c r="K82" i="10"/>
  <c r="I78" i="10"/>
  <c r="I83" i="10"/>
  <c r="I80" i="10"/>
  <c r="I81" i="10"/>
  <c r="I84" i="10"/>
  <c r="I79" i="10"/>
  <c r="I85" i="10"/>
  <c r="H85" i="10"/>
  <c r="H79" i="10"/>
  <c r="H84" i="10"/>
  <c r="H81" i="10"/>
  <c r="H80" i="10"/>
  <c r="H83" i="10"/>
  <c r="H78" i="10"/>
  <c r="H82" i="10"/>
  <c r="P66" i="10"/>
  <c r="O66" i="10"/>
  <c r="P64" i="10"/>
  <c r="O64" i="10"/>
  <c r="P63" i="10"/>
  <c r="O63" i="10"/>
  <c r="K64" i="10"/>
  <c r="K66" i="10"/>
  <c r="K67" i="10"/>
  <c r="K70" i="10"/>
  <c r="K65" i="10"/>
  <c r="K71" i="10"/>
  <c r="K68" i="10"/>
  <c r="H70" i="10"/>
  <c r="H71" i="10"/>
  <c r="P43" i="10"/>
  <c r="O43" i="10"/>
  <c r="P41" i="10"/>
  <c r="O41" i="10"/>
  <c r="P40" i="10"/>
  <c r="I50" i="10"/>
  <c r="I51" i="10"/>
  <c r="I52" i="10"/>
  <c r="I53" i="10"/>
  <c r="I54" i="10"/>
  <c r="I55" i="10"/>
  <c r="I56" i="10"/>
  <c r="I57" i="10"/>
  <c r="P28" i="10"/>
  <c r="P26" i="10"/>
  <c r="P25" i="10"/>
  <c r="K31" i="10"/>
  <c r="K28" i="10"/>
  <c r="K29" i="10"/>
  <c r="K32" i="10"/>
  <c r="K27" i="10"/>
  <c r="K33" i="10"/>
  <c r="I29" i="10"/>
  <c r="I33" i="10"/>
  <c r="J26" i="10"/>
  <c r="K18" i="10"/>
  <c r="K17" i="10"/>
  <c r="K14" i="10"/>
  <c r="K13" i="10"/>
  <c r="K19" i="10"/>
  <c r="K15" i="10"/>
  <c r="J98" i="10" l="1"/>
  <c r="J97" i="10"/>
  <c r="J113" i="10"/>
  <c r="O109" i="10"/>
  <c r="L110" i="10"/>
  <c r="L82" i="10"/>
  <c r="L112" i="10"/>
  <c r="J112" i="10"/>
  <c r="J83" i="10"/>
  <c r="L109" i="10"/>
  <c r="L108" i="10"/>
  <c r="L68" i="10"/>
  <c r="L111" i="10"/>
  <c r="J111" i="10"/>
  <c r="J106" i="10"/>
  <c r="J69" i="10"/>
  <c r="L96" i="10"/>
  <c r="J99" i="10"/>
  <c r="J93" i="10"/>
  <c r="P109" i="10"/>
  <c r="P95" i="10"/>
  <c r="O93" i="10"/>
  <c r="P93" i="10"/>
  <c r="O95" i="10"/>
  <c r="J68" i="10"/>
  <c r="P79" i="10"/>
  <c r="J64" i="10"/>
  <c r="O81" i="10"/>
  <c r="P81" i="10"/>
  <c r="O79" i="10"/>
  <c r="L69" i="10"/>
  <c r="P67" i="10"/>
  <c r="P65" i="10"/>
  <c r="J50" i="10"/>
  <c r="O65" i="10"/>
  <c r="O67" i="10"/>
  <c r="J51" i="10"/>
  <c r="J52" i="10"/>
  <c r="J56" i="10"/>
  <c r="O42" i="10"/>
  <c r="P42" i="10"/>
  <c r="P27" i="10"/>
  <c r="J49" i="10"/>
  <c r="J53" i="10"/>
  <c r="J54" i="10"/>
  <c r="J55" i="10"/>
  <c r="O44" i="10"/>
  <c r="J57" i="10"/>
  <c r="P44" i="10"/>
  <c r="O15" i="10"/>
  <c r="P29" i="10"/>
  <c r="J19" i="10"/>
  <c r="L98" i="10"/>
  <c r="J110" i="10"/>
  <c r="L28" i="10"/>
  <c r="L97" i="10"/>
  <c r="L71" i="10"/>
  <c r="L14" i="10"/>
  <c r="J33" i="10"/>
  <c r="L81" i="10"/>
  <c r="L113" i="10"/>
  <c r="J85" i="10"/>
  <c r="L66" i="10"/>
  <c r="J82" i="10"/>
  <c r="L95" i="10"/>
  <c r="J32" i="10"/>
  <c r="L19" i="10"/>
  <c r="L83" i="10"/>
  <c r="L31" i="10"/>
  <c r="L85" i="10"/>
  <c r="L70" i="10"/>
  <c r="J65" i="10"/>
  <c r="L17" i="10"/>
  <c r="L15" i="10"/>
  <c r="L80" i="10"/>
  <c r="J16" i="10"/>
  <c r="L32" i="10"/>
  <c r="L84" i="10"/>
  <c r="L29" i="10"/>
  <c r="J78" i="10"/>
  <c r="J96" i="10"/>
  <c r="L99" i="10"/>
  <c r="L33" i="10"/>
  <c r="L94" i="10"/>
  <c r="J13" i="10"/>
  <c r="J30" i="10"/>
  <c r="J70" i="10"/>
  <c r="J79" i="10"/>
  <c r="L67" i="10"/>
  <c r="J18" i="10"/>
  <c r="L18" i="10"/>
  <c r="J27" i="10"/>
  <c r="J84" i="10"/>
  <c r="J71" i="10"/>
  <c r="AF17" i="9" l="1"/>
  <c r="AF16" i="9"/>
  <c r="AF15" i="9"/>
  <c r="AF14" i="9"/>
  <c r="AF13" i="9"/>
  <c r="AF12" i="9"/>
  <c r="AF11" i="9"/>
  <c r="AF10" i="9"/>
  <c r="AF9" i="9"/>
  <c r="AE17" i="9"/>
  <c r="AE16" i="9"/>
  <c r="AE15" i="9"/>
  <c r="AE14" i="9"/>
  <c r="AE13" i="9"/>
  <c r="AE12" i="9"/>
  <c r="AE11" i="9"/>
  <c r="AE10" i="9"/>
  <c r="AE9" i="9"/>
  <c r="AD17" i="9"/>
  <c r="AD16" i="9"/>
  <c r="AD15" i="9"/>
  <c r="AD14" i="9"/>
  <c r="AD13" i="9"/>
  <c r="AD12" i="9"/>
  <c r="AD11" i="9"/>
  <c r="AD10" i="9"/>
  <c r="AD9" i="9"/>
  <c r="AC17" i="9"/>
  <c r="AC16" i="9"/>
  <c r="AC15" i="9"/>
  <c r="AC14" i="9"/>
  <c r="AC13" i="9"/>
  <c r="AC12" i="9"/>
  <c r="AC11" i="9"/>
  <c r="AC10" i="9"/>
  <c r="AC9" i="9"/>
  <c r="W17" i="9" l="1"/>
  <c r="W16" i="9"/>
  <c r="W15" i="9"/>
  <c r="W14" i="9"/>
  <c r="W13" i="9"/>
  <c r="W12" i="9"/>
  <c r="W11" i="9"/>
  <c r="W10" i="9"/>
  <c r="W9" i="9"/>
  <c r="V17" i="9"/>
  <c r="V16" i="9"/>
  <c r="V15" i="9"/>
  <c r="V14" i="9"/>
  <c r="V13" i="9"/>
  <c r="V12" i="9"/>
  <c r="V11" i="9"/>
  <c r="V10" i="9"/>
  <c r="V9" i="9"/>
  <c r="U17" i="9"/>
  <c r="U16" i="9"/>
  <c r="U15" i="9"/>
  <c r="U14" i="9"/>
  <c r="U13" i="9"/>
  <c r="U12" i="9"/>
  <c r="U11" i="9"/>
  <c r="U10" i="9"/>
  <c r="U9" i="9"/>
  <c r="T17" i="9"/>
  <c r="T16" i="9"/>
  <c r="T15" i="9"/>
  <c r="T14" i="9"/>
  <c r="T13" i="9"/>
  <c r="T12" i="9"/>
  <c r="T11" i="9"/>
  <c r="T10" i="9"/>
  <c r="T9" i="9"/>
  <c r="N9" i="9"/>
  <c r="N17" i="9"/>
  <c r="N16" i="9"/>
  <c r="N15" i="9"/>
  <c r="N14" i="9"/>
  <c r="N13" i="9"/>
  <c r="N12" i="9"/>
  <c r="N11" i="9"/>
  <c r="N10" i="9"/>
  <c r="M17" i="9"/>
  <c r="M16" i="9"/>
  <c r="M15" i="9"/>
  <c r="M14" i="9"/>
  <c r="M13" i="9"/>
  <c r="M12" i="9"/>
  <c r="M11" i="9"/>
  <c r="M10" i="9"/>
  <c r="M9" i="9"/>
  <c r="L17" i="9"/>
  <c r="L16" i="9"/>
  <c r="L15" i="9"/>
  <c r="L14" i="9"/>
  <c r="L13" i="9"/>
  <c r="L12" i="9"/>
  <c r="L11" i="9"/>
  <c r="L10" i="9"/>
  <c r="L9" i="9"/>
  <c r="K17" i="9"/>
  <c r="K16" i="9"/>
  <c r="K15" i="9"/>
  <c r="K14" i="9"/>
  <c r="K13" i="9"/>
  <c r="K12" i="9"/>
  <c r="K11" i="9"/>
  <c r="K10" i="9"/>
  <c r="K9" i="9"/>
  <c r="E17" i="9"/>
  <c r="E16" i="9"/>
  <c r="E15" i="9"/>
  <c r="E14" i="9"/>
  <c r="E13" i="9"/>
  <c r="E12" i="9"/>
  <c r="E11" i="9"/>
  <c r="E10" i="9"/>
  <c r="E9" i="9"/>
  <c r="D17" i="9"/>
  <c r="D16" i="9"/>
  <c r="D15" i="9"/>
  <c r="D14" i="9"/>
  <c r="D13" i="9"/>
  <c r="D12" i="9"/>
  <c r="D11" i="9"/>
  <c r="D10" i="9"/>
  <c r="D9" i="9"/>
  <c r="C17" i="9"/>
  <c r="C16" i="9"/>
  <c r="C15" i="9"/>
  <c r="C14" i="9"/>
  <c r="C13" i="9"/>
  <c r="C12" i="9"/>
  <c r="C11" i="9"/>
  <c r="C10" i="9"/>
  <c r="C9" i="9"/>
  <c r="B17" i="9"/>
  <c r="B16" i="9"/>
  <c r="B15" i="9"/>
  <c r="B14" i="9"/>
  <c r="B13" i="9"/>
  <c r="B12" i="9"/>
  <c r="B11" i="9"/>
  <c r="B10" i="9"/>
  <c r="B9"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Christhel Andrade Diaz</author>
  </authors>
  <commentList>
    <comment ref="AF8" authorId="0" shapeId="0" xr:uid="{D49B2B9B-DC05-467D-B64A-CE4B450644E9}">
      <text>
        <r>
          <rPr>
            <b/>
            <sz val="9"/>
            <color indexed="81"/>
            <rFont val="Tahoma"/>
            <family val="2"/>
          </rPr>
          <t>Christhel Andrade Diaz:</t>
        </r>
        <r>
          <rPr>
            <sz val="9"/>
            <color indexed="81"/>
            <rFont val="Tahoma"/>
            <family val="2"/>
          </rPr>
          <t xml:space="preserve">
Different than zero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Christhel Andrade Diaz</author>
  </authors>
  <commentList>
    <comment ref="B20" authorId="0" shapeId="0" xr:uid="{5541779F-1A5C-4F76-94EF-205B844EF89B}">
      <text>
        <r>
          <rPr>
            <b/>
            <sz val="9"/>
            <color indexed="81"/>
            <rFont val="Tahoma"/>
            <family val="2"/>
          </rPr>
          <t>Christhel Andrade Diaz:</t>
        </r>
        <r>
          <rPr>
            <sz val="9"/>
            <color indexed="81"/>
            <rFont val="Tahoma"/>
            <family val="2"/>
          </rPr>
          <t xml:space="preserve">
in % or in net value?</t>
        </r>
      </text>
    </comment>
  </commentList>
</comments>
</file>

<file path=xl/sharedStrings.xml><?xml version="1.0" encoding="utf-8"?>
<sst xmlns="http://schemas.openxmlformats.org/spreadsheetml/2006/main" count="1408" uniqueCount="637">
  <si>
    <t>SOC change 0%:</t>
  </si>
  <si>
    <t>9.8% of all PCUs areas</t>
  </si>
  <si>
    <t>Per PCU by fixed ranges (as shown in maps) 11784 PCU</t>
  </si>
  <si>
    <t>To compare the scenarios, Biochar 1 and 2, and Gaschar share the same ranges (0-530, in sets of 106) . Hydrochar, Digestate and Molasses share the same ranges (-24 - 24, in sets of 8)</t>
  </si>
  <si>
    <t>100 % Export</t>
  </si>
  <si>
    <t>75% Export</t>
  </si>
  <si>
    <t>50% Export</t>
  </si>
  <si>
    <t>50tC limited to return</t>
  </si>
  <si>
    <t>Bioeconomy scenarios</t>
  </si>
  <si>
    <t>PYROLYSIS 1</t>
  </si>
  <si>
    <t>PYROLYSIS 2</t>
  </si>
  <si>
    <t>GASIFICATION</t>
  </si>
  <si>
    <t>HYDROTHERMAL LIQUEFACTION</t>
  </si>
  <si>
    <t>ANAEROBIC DIGESTION</t>
  </si>
  <si>
    <t>LIGNOCELLULOSIC ETHANOL</t>
  </si>
  <si>
    <t>Cc + Cr Combinations</t>
  </si>
  <si>
    <t>Cranges (%)</t>
  </si>
  <si>
    <t>Area afected (%)</t>
  </si>
  <si>
    <t>HH</t>
  </si>
  <si>
    <t>0%-0%</t>
  </si>
  <si>
    <t>0% - 0%</t>
  </si>
  <si>
    <t>-8% - 0%</t>
  </si>
  <si>
    <t>0%-106%</t>
  </si>
  <si>
    <t>0% - 8%</t>
  </si>
  <si>
    <t>106%-212%</t>
  </si>
  <si>
    <t>8% - 16%</t>
  </si>
  <si>
    <t>212%-318%</t>
  </si>
  <si>
    <t>16% - 24%</t>
  </si>
  <si>
    <t>318%-424%</t>
  </si>
  <si>
    <t>424%-530%</t>
  </si>
  <si>
    <t>HM</t>
  </si>
  <si>
    <t>-16 - %-8%</t>
  </si>
  <si>
    <t>HL</t>
  </si>
  <si>
    <t>-24% - -16%</t>
  </si>
  <si>
    <t>MH</t>
  </si>
  <si>
    <t>MM                    Standard conditions</t>
  </si>
  <si>
    <t>-8% - -1%</t>
  </si>
  <si>
    <t>-1% - 0%</t>
  </si>
  <si>
    <t>ML</t>
  </si>
  <si>
    <t>LH</t>
  </si>
  <si>
    <t>LM</t>
  </si>
  <si>
    <t>LL</t>
  </si>
  <si>
    <t>Export rate: 100 %; Byproducts return: 100%</t>
  </si>
  <si>
    <t>PYROLYSIS  2</t>
  </si>
  <si>
    <t>Total national SOC change (MtC)</t>
  </si>
  <si>
    <t>σ</t>
  </si>
  <si>
    <t>Min</t>
  </si>
  <si>
    <t>Max</t>
  </si>
  <si>
    <t>Average national SOC change (%)</t>
  </si>
  <si>
    <t xml:space="preserve">Min </t>
  </si>
  <si>
    <t>MM</t>
  </si>
  <si>
    <t>Export rate: 100 %; Byproducts return: 50 tC ha 100 y</t>
  </si>
  <si>
    <t>SI= %Change in output/%change in input</t>
  </si>
  <si>
    <t>Output is SOC change</t>
  </si>
  <si>
    <t>SI is calculated for comparisson of parameters in minimum and maximum vs mean value of each parameter Cc and Cr</t>
  </si>
  <si>
    <t>Input Parameters</t>
  </si>
  <si>
    <t>Outputs</t>
  </si>
  <si>
    <t xml:space="preserve">Sensitivity </t>
  </si>
  <si>
    <t>Cc</t>
  </si>
  <si>
    <t>Cr</t>
  </si>
  <si>
    <t>Change in Output %</t>
  </si>
  <si>
    <t>Change in Cc %</t>
  </si>
  <si>
    <t>SI Cc</t>
  </si>
  <si>
    <t>Change in Cr %</t>
  </si>
  <si>
    <t>SI Cr</t>
  </si>
  <si>
    <t>Range (SA)/ Uncertainty?</t>
  </si>
  <si>
    <t>34-54</t>
  </si>
  <si>
    <t>90-99</t>
  </si>
  <si>
    <t>548.94 - 1008.76</t>
  </si>
  <si>
    <t>74.94 - 137.21</t>
  </si>
  <si>
    <t>-28.93 - 30.12</t>
  </si>
  <si>
    <t>Range (SA)</t>
  </si>
  <si>
    <t>60-89</t>
  </si>
  <si>
    <t>338.75 - 911.22</t>
  </si>
  <si>
    <t>46.09 - 123.91</t>
  </si>
  <si>
    <t>-45.04 - 47.74</t>
  </si>
  <si>
    <t>Pyro 2 vs Pyro 1</t>
  </si>
  <si>
    <t>MM 1</t>
  </si>
  <si>
    <t>HM 1</t>
  </si>
  <si>
    <t>LM 1</t>
  </si>
  <si>
    <t>MH 1</t>
  </si>
  <si>
    <t xml:space="preserve">ML </t>
  </si>
  <si>
    <t>MM 2</t>
  </si>
  <si>
    <t>60-99</t>
  </si>
  <si>
    <t>338.75-1008.76</t>
  </si>
  <si>
    <t>46.09 - 137.21</t>
  </si>
  <si>
    <t>-38.49 - -9.70</t>
  </si>
  <si>
    <t>14-25</t>
  </si>
  <si>
    <t>-40.20 - 36.12</t>
  </si>
  <si>
    <t>HTL</t>
  </si>
  <si>
    <t>12-45</t>
  </si>
  <si>
    <t>80-96</t>
  </si>
  <si>
    <t>-38.43 - 60.06</t>
  </si>
  <si>
    <t>-4.86 - 7.60</t>
  </si>
  <si>
    <t>-532.30 - 576.52</t>
  </si>
  <si>
    <t>30 - 40</t>
  </si>
  <si>
    <t>58 - 77</t>
  </si>
  <si>
    <t>-15.57 - 23.71</t>
  </si>
  <si>
    <t>-1.97 - 3.00</t>
  </si>
  <si>
    <t>-3218.69 - 1940.46</t>
  </si>
  <si>
    <t>18-30</t>
  </si>
  <si>
    <t>28 - 60</t>
  </si>
  <si>
    <t>-51.80 - -13.81</t>
  </si>
  <si>
    <t>-6.55 - -1.74</t>
  </si>
  <si>
    <t>-60.51 - 48.40</t>
  </si>
  <si>
    <t>100% Export rate</t>
  </si>
  <si>
    <t>75% Export rate</t>
  </si>
  <si>
    <t>50% Export rate</t>
  </si>
  <si>
    <t>50tC applied</t>
  </si>
  <si>
    <t>PYROCHAR 1</t>
  </si>
  <si>
    <t>PYROCHAR  2</t>
  </si>
  <si>
    <t>GASCHAR</t>
  </si>
  <si>
    <t>HYDROCHAR</t>
  </si>
  <si>
    <t>DIGESTATE</t>
  </si>
  <si>
    <t>MOLASSES</t>
  </si>
  <si>
    <t>0% - 49.99%</t>
  </si>
  <si>
    <t>0% - 44.94%</t>
  </si>
  <si>
    <t>0% - 22.72%</t>
  </si>
  <si>
    <t>0% - 2.48%</t>
  </si>
  <si>
    <t>-0.08% - -0.07%</t>
  </si>
  <si>
    <t>-6.02% - -3.63%</t>
  </si>
  <si>
    <t>0% - 19.27%</t>
  </si>
  <si>
    <t>0% - 17.39%</t>
  </si>
  <si>
    <t>49.99% - 115.92%</t>
  </si>
  <si>
    <t>44.94% - 104.63%</t>
  </si>
  <si>
    <t>22.72% - 51.51%</t>
  </si>
  <si>
    <t>2.48% - 5.57%</t>
  </si>
  <si>
    <t>-0.07% - -0.06%</t>
  </si>
  <si>
    <t>-3.63% - -2.52%</t>
  </si>
  <si>
    <t>19.27% - 44.98%</t>
  </si>
  <si>
    <t>17.39% - 40.48%</t>
  </si>
  <si>
    <t>115.92% - 172.06%</t>
  </si>
  <si>
    <t>104.63% - 155.32%</t>
  </si>
  <si>
    <t>51.51% - 75.56%</t>
  </si>
  <si>
    <t>5.57% - 8.18%</t>
  </si>
  <si>
    <t>-0.06% - 0%</t>
  </si>
  <si>
    <t>-2.52% - -1.69%</t>
  </si>
  <si>
    <t>44.98% - 65.36%</t>
  </si>
  <si>
    <t>40.48% - 58.79%</t>
  </si>
  <si>
    <t>172.06% - 245.25%</t>
  </si>
  <si>
    <t>155.32% - 221.99%</t>
  </si>
  <si>
    <t>75.56% - 108.57%</t>
  </si>
  <si>
    <t>8.18% - 10.77%</t>
  </si>
  <si>
    <t>0% - 1.88%</t>
  </si>
  <si>
    <t>-1.69% - -0.84%</t>
  </si>
  <si>
    <t>65.36% - 80.89%</t>
  </si>
  <si>
    <t>58.79% - 72.65%</t>
  </si>
  <si>
    <t>245.25% - 354.17%</t>
  </si>
  <si>
    <t>221.99% - 320.49%</t>
  </si>
  <si>
    <t>108.57% - 157.73%</t>
  </si>
  <si>
    <t>10.77% - 14.17%</t>
  </si>
  <si>
    <t>1.88% - 4.18%</t>
  </si>
  <si>
    <t>-0.84% - 0%</t>
  </si>
  <si>
    <t>80.89% - 99.99%</t>
  </si>
  <si>
    <t>72.65% - 89.73%</t>
  </si>
  <si>
    <t>354.17% - 527.77%</t>
  </si>
  <si>
    <t>320.49% - 475.45%</t>
  </si>
  <si>
    <t>157.73% - 235.7%</t>
  </si>
  <si>
    <t>14.17% - 22.6%</t>
  </si>
  <si>
    <t>4.18% - 9.16%</t>
  </si>
  <si>
    <t>99.99% - 146.02%</t>
  </si>
  <si>
    <t>89.73% - 131.61%</t>
  </si>
  <si>
    <t>0% - 47.98%</t>
  </si>
  <si>
    <t>0% - 38.09%</t>
  </si>
  <si>
    <t>0% - 21.67%</t>
  </si>
  <si>
    <t>0% - 1.75%</t>
  </si>
  <si>
    <t>-1.04% - -0.59%</t>
  </si>
  <si>
    <t>-11.13% - -5.98%</t>
  </si>
  <si>
    <t>0% - 18.42%</t>
  </si>
  <si>
    <t>0% - 14.52%</t>
  </si>
  <si>
    <t>47.98% - 111.15%</t>
  </si>
  <si>
    <t>38.09% - 88.46%</t>
  </si>
  <si>
    <t>21.67% - 49.12%</t>
  </si>
  <si>
    <t>1.75% - 3.96%</t>
  </si>
  <si>
    <t>-0.59% - -0.27%</t>
  </si>
  <si>
    <t>-5.98% - -4.21%</t>
  </si>
  <si>
    <t>18.42% - 43.04%</t>
  </si>
  <si>
    <t>14.52% - 33.79%</t>
  </si>
  <si>
    <t>111.15% - 164.72%</t>
  </si>
  <si>
    <t>88.46% - 131.25%</t>
  </si>
  <si>
    <t>49.12% - 72.09%</t>
  </si>
  <si>
    <t>3.96% - 5.87%</t>
  </si>
  <si>
    <t>-0.27% - 0%</t>
  </si>
  <si>
    <t>-4.21% - -2.77%</t>
  </si>
  <si>
    <t>43.04% - 62.5%</t>
  </si>
  <si>
    <t>33.79% - 49.07%</t>
  </si>
  <si>
    <t>164.72% - 235.11%</t>
  </si>
  <si>
    <t>131.25% - 187.29%</t>
  </si>
  <si>
    <t>72.09% - 103.55%</t>
  </si>
  <si>
    <t>5.87% - 7.78%</t>
  </si>
  <si>
    <t>0% - 1.07%</t>
  </si>
  <si>
    <t>-2.77% - -1.33%</t>
  </si>
  <si>
    <t>62.5% - 77.3%</t>
  </si>
  <si>
    <t>49.07% - 60.57%</t>
  </si>
  <si>
    <t>235.11% - 339.23%</t>
  </si>
  <si>
    <t>187.29% - 269.75%</t>
  </si>
  <si>
    <t>103.55% - 150.74%</t>
  </si>
  <si>
    <t>7.78% - 10.25%</t>
  </si>
  <si>
    <t>1.07% - 2.39%</t>
  </si>
  <si>
    <t>-1.33% - -0.01%</t>
  </si>
  <si>
    <t>77.3% - 95.6%</t>
  </si>
  <si>
    <t>60.57% - 74.57%</t>
  </si>
  <si>
    <t>339.23% - 505.8%</t>
  </si>
  <si>
    <t>269.75% - 398.63%</t>
  </si>
  <si>
    <t>150.74% - 225.53%</t>
  </si>
  <si>
    <t>10.25% - 15.95%</t>
  </si>
  <si>
    <t>2.39% - 5.53%</t>
  </si>
  <si>
    <t>-0.01% - 0%</t>
  </si>
  <si>
    <t>95.6% - 139.78%</t>
  </si>
  <si>
    <t>74.57% - 110.74%</t>
  </si>
  <si>
    <t>0% - 45.42%</t>
  </si>
  <si>
    <t>0% - 25.64%</t>
  </si>
  <si>
    <t>0% - 20.36%</t>
  </si>
  <si>
    <t>0% - 1.69%</t>
  </si>
  <si>
    <t>-3.1% - -1.41%</t>
  </si>
  <si>
    <t>-16.92% - -9.31%</t>
  </si>
  <si>
    <t>0% - 17.38%</t>
  </si>
  <si>
    <t>0% - 10.59%</t>
  </si>
  <si>
    <t>45.42% - 105.07%</t>
  </si>
  <si>
    <t>25.64% - 59.86%</t>
  </si>
  <si>
    <t>20.36% - 46.15%</t>
  </si>
  <si>
    <t>1.69% - 3.78%</t>
  </si>
  <si>
    <t>-1.41% - -0.5%</t>
  </si>
  <si>
    <t>-9.31% - -6.58%</t>
  </si>
  <si>
    <t>17.38% - 40.49%</t>
  </si>
  <si>
    <t>10.59% - 24.56%</t>
  </si>
  <si>
    <t>105.07% - 155.6%</t>
  </si>
  <si>
    <t>59.86% - 87.65%</t>
  </si>
  <si>
    <t>46.15% - 67.75%</t>
  </si>
  <si>
    <t>3.78% - 5.5%</t>
  </si>
  <si>
    <t>-0.5% - 0%</t>
  </si>
  <si>
    <t>-6.58% - -4.35%</t>
  </si>
  <si>
    <t>40.49% - 58.8%</t>
  </si>
  <si>
    <t>24.56% - 35.6%</t>
  </si>
  <si>
    <t>155.6% - 222.34%</t>
  </si>
  <si>
    <t>87.65% - 115.18%</t>
  </si>
  <si>
    <t>67.75% - 97.74%</t>
  </si>
  <si>
    <t>5.5% - 7.18%</t>
  </si>
  <si>
    <t>0% - 0.26%</t>
  </si>
  <si>
    <t>-4.35% - -2.11%</t>
  </si>
  <si>
    <t>58.8% - 72.8%</t>
  </si>
  <si>
    <t>35.6% - 43.9%</t>
  </si>
  <si>
    <t>222.34% - 321.52%</t>
  </si>
  <si>
    <t>115.18% - 168.82%</t>
  </si>
  <si>
    <t>97.74% - 142.35%</t>
  </si>
  <si>
    <t>7.18% - 9.37%</t>
  </si>
  <si>
    <t>0.26% - 0.6%</t>
  </si>
  <si>
    <t>-2.11% - -0.01%</t>
  </si>
  <si>
    <t>72.8% - 90.13%</t>
  </si>
  <si>
    <t>43.9% - 53.87%</t>
  </si>
  <si>
    <t>321.52% - 478.33%</t>
  </si>
  <si>
    <t>168.82% - 291.1%</t>
  </si>
  <si>
    <t>142.35% - 212.81%</t>
  </si>
  <si>
    <t>9.37% - 14.42%</t>
  </si>
  <si>
    <t>0.6% - 1.51%</t>
  </si>
  <si>
    <t>90.13% - 131.99%</t>
  </si>
  <si>
    <t>53.87% - 81.53%</t>
  </si>
  <si>
    <t>0% - 40.5%</t>
  </si>
  <si>
    <t>0% - 36.45%</t>
  </si>
  <si>
    <t>0% - 17.88%</t>
  </si>
  <si>
    <t>-0.21% - -0.15%</t>
  </si>
  <si>
    <t>-1.96% - -1.13%</t>
  </si>
  <si>
    <t>-10.11% - -5.41%</t>
  </si>
  <si>
    <t>0% - 16.05%</t>
  </si>
  <si>
    <t>0% - 14.45%</t>
  </si>
  <si>
    <t>40.5% - 93.53%</t>
  </si>
  <si>
    <t>36.45% - 84.23%</t>
  </si>
  <si>
    <t>17.88% - 40.18%</t>
  </si>
  <si>
    <t>-0.15% - -0.06%</t>
  </si>
  <si>
    <t>-1.13% - -0.52%</t>
  </si>
  <si>
    <t>-5.41% - -3.8%</t>
  </si>
  <si>
    <t>16.05% - 38.91%</t>
  </si>
  <si>
    <t>14.45% - 34.95%</t>
  </si>
  <si>
    <t>93.53% - 138.45%</t>
  </si>
  <si>
    <t>84.23% - 124.75%</t>
  </si>
  <si>
    <t>40.18% - 58.74%</t>
  </si>
  <si>
    <t>-0.52% - 0%</t>
  </si>
  <si>
    <t>-3.8% - -2.51%</t>
  </si>
  <si>
    <t>38.91% - 59.32%</t>
  </si>
  <si>
    <t>34.95% - 53.17%</t>
  </si>
  <si>
    <t>138.45% - 197.89%</t>
  </si>
  <si>
    <t>124.75% - 178.33%</t>
  </si>
  <si>
    <t>58.74% - 84.82%</t>
  </si>
  <si>
    <t>0% - 1.64%</t>
  </si>
  <si>
    <t>0% - 0.69%</t>
  </si>
  <si>
    <t>-2.51% - -1.21%</t>
  </si>
  <si>
    <t>59.32% - 76.17%</t>
  </si>
  <si>
    <t>53.17% - 68.18%</t>
  </si>
  <si>
    <t>197.89% - 286.52%</t>
  </si>
  <si>
    <t>178.33% - 258.08%</t>
  </si>
  <si>
    <t>84.82% - 123.94%</t>
  </si>
  <si>
    <t>1.6% - 3.66%</t>
  </si>
  <si>
    <t>0.69% - 1.55%</t>
  </si>
  <si>
    <t>-1.21% - -0.01%</t>
  </si>
  <si>
    <t>76.17% - 95.41%</t>
  </si>
  <si>
    <t>68.18% - 85.33%</t>
  </si>
  <si>
    <t>286.52% - 427.06%</t>
  </si>
  <si>
    <t>258.08% - 384.42%</t>
  </si>
  <si>
    <t>123.94% - 185.34%</t>
  </si>
  <si>
    <t>3.66% - 8.11%</t>
  </si>
  <si>
    <t>1.55% - 3.73%</t>
  </si>
  <si>
    <t>95.41% - 146.02%</t>
  </si>
  <si>
    <t>85.33% - 131.61%</t>
  </si>
  <si>
    <t>0% - 38.83%</t>
  </si>
  <si>
    <t>0% - 30.49%</t>
  </si>
  <si>
    <t>0% - 17.02%</t>
  </si>
  <si>
    <t>-1.78% - -0.98%</t>
  </si>
  <si>
    <t>-3.49% - -1.26%</t>
  </si>
  <si>
    <t>-14.19% - -7.75%</t>
  </si>
  <si>
    <t>0% - 15.31%</t>
  </si>
  <si>
    <t>0% - 12.39%</t>
  </si>
  <si>
    <t>38.83% - 89.55%</t>
  </si>
  <si>
    <t>30.49% - 70.79%</t>
  </si>
  <si>
    <t>17.02% - 38.2%</t>
  </si>
  <si>
    <t>-0.98% - -0.44%</t>
  </si>
  <si>
    <t>-1.26% - -0.37%</t>
  </si>
  <si>
    <t>-7.75% - -5.47%</t>
  </si>
  <si>
    <t>15.31% - 37.1%</t>
  </si>
  <si>
    <t>12.39% - 29.81%</t>
  </si>
  <si>
    <t>89.55% - 132.55%</t>
  </si>
  <si>
    <t>70.79% - 105.09%</t>
  </si>
  <si>
    <t>38.2% - 55.94%</t>
  </si>
  <si>
    <t>-0.44% - 0%</t>
  </si>
  <si>
    <t>-0.37% - 0%</t>
  </si>
  <si>
    <t>-5.47% - -3.61%</t>
  </si>
  <si>
    <t>37.1% - 56.6%</t>
  </si>
  <si>
    <t>29.81% - 45%</t>
  </si>
  <si>
    <t>132.55% - 189.65%</t>
  </si>
  <si>
    <t>105.09% - 149.8%</t>
  </si>
  <si>
    <t>55.94% - 80.82%</t>
  </si>
  <si>
    <t>0% - 0.76%</t>
  </si>
  <si>
    <t>0% - 0.11%</t>
  </si>
  <si>
    <t>-3.61% - -1.75%</t>
  </si>
  <si>
    <t>-0.02% - 0%</t>
  </si>
  <si>
    <t>56.6% - 72.66%</t>
  </si>
  <si>
    <t>45% - 57.25%</t>
  </si>
  <si>
    <t>189.65% - 274.47%</t>
  </si>
  <si>
    <t>149.8% - 216.08%</t>
  </si>
  <si>
    <t>80.82% - 117.95%</t>
  </si>
  <si>
    <t>0.76% - 1.69%</t>
  </si>
  <si>
    <t>0.11% - 0.28%</t>
  </si>
  <si>
    <t>-1.75% - -0.01%</t>
  </si>
  <si>
    <t>72.66% - 91.12%</t>
  </si>
  <si>
    <t>57.25% - 71.42%</t>
  </si>
  <si>
    <t>274.47% - 409.15%</t>
  </si>
  <si>
    <t>216.08% - 321.83%</t>
  </si>
  <si>
    <t>117.95% - 177.2%</t>
  </si>
  <si>
    <t>1.69% - 4.06%</t>
  </si>
  <si>
    <t>0.28% - 0.74%</t>
  </si>
  <si>
    <t>91.12% - 139.78%</t>
  </si>
  <si>
    <t>71.42% - 110.74%</t>
  </si>
  <si>
    <t>0% - 36.83%</t>
  </si>
  <si>
    <t>0% - 22.68%</t>
  </si>
  <si>
    <t>0% - 15.6%</t>
  </si>
  <si>
    <t>-2.26% - -1.28</t>
  </si>
  <si>
    <t>-5.19% - -2.88%</t>
  </si>
  <si>
    <t>-18.83% - -10.42%</t>
  </si>
  <si>
    <t>0% - 19.1%</t>
  </si>
  <si>
    <t>0% - 9.03%</t>
  </si>
  <si>
    <t>36.83% - 84.75%</t>
  </si>
  <si>
    <t>22.68% - 52.54%</t>
  </si>
  <si>
    <t>15.6% - 35.33%</t>
  </si>
  <si>
    <t>-1.28% - -0.56%</t>
  </si>
  <si>
    <t>-2.88% - -1.93%</t>
  </si>
  <si>
    <t>-10.42% - -7.37%</t>
  </si>
  <si>
    <t>19.1% - 42.2%</t>
  </si>
  <si>
    <t>21.61% - 32.51%</t>
  </si>
  <si>
    <t>84.75% - 125.29%</t>
  </si>
  <si>
    <t>52.54% - 77.78%</t>
  </si>
  <si>
    <t>35.33% - 52.06%</t>
  </si>
  <si>
    <t>-0.56% - 0%</t>
  </si>
  <si>
    <t>-1.93% - -1.27%</t>
  </si>
  <si>
    <t>-7.37% - -4.88%</t>
  </si>
  <si>
    <t>42.2% - 59.01%</t>
  </si>
  <si>
    <t>32.51% - 41.3%</t>
  </si>
  <si>
    <t>125.29% - 179.3%</t>
  </si>
  <si>
    <t>77.78% - 110.43%</t>
  </si>
  <si>
    <t>52.06% - 75.35%</t>
  </si>
  <si>
    <t>0% - 0.56%</t>
  </si>
  <si>
    <t>-1.27% - -0.62%</t>
  </si>
  <si>
    <t>-4.88% - -2.38%</t>
  </si>
  <si>
    <t>59.01% - 72.69%</t>
  </si>
  <si>
    <t>41.3% - 51.33%</t>
  </si>
  <si>
    <t>179.3% - 259.53%</t>
  </si>
  <si>
    <t>110.43% - 158.93%</t>
  </si>
  <si>
    <t>75.35% - 109.46%</t>
  </si>
  <si>
    <t>0.56% - 1.27%</t>
  </si>
  <si>
    <t>-0.62% - 0%</t>
  </si>
  <si>
    <t>-2.38% - -0.02%</t>
  </si>
  <si>
    <t>72.69% - 89.25%</t>
  </si>
  <si>
    <t>51.33% - 81.53%</t>
  </si>
  <si>
    <t>259.53% - 386.77%</t>
  </si>
  <si>
    <t>158.93% - 234.22%</t>
  </si>
  <si>
    <t>109.46% - 167.03%</t>
  </si>
  <si>
    <t>1.27% - 3.12%</t>
  </si>
  <si>
    <t>89.25% - 131.99%</t>
  </si>
  <si>
    <t>9.03% - 21.61%</t>
  </si>
  <si>
    <t>0% - 30.98%</t>
  </si>
  <si>
    <t>0% - 27.86%</t>
  </si>
  <si>
    <t>0% - 10.91%</t>
  </si>
  <si>
    <t>-13.38% - -7.27%</t>
  </si>
  <si>
    <t>-3.15% - -1.45%</t>
  </si>
  <si>
    <t>0% - 20.54%</t>
  </si>
  <si>
    <t>0% - 18.46%</t>
  </si>
  <si>
    <t>30.98% - 71.14%</t>
  </si>
  <si>
    <t>27.86% - 63.96%</t>
  </si>
  <si>
    <t>10.91% - 24.97%</t>
  </si>
  <si>
    <t>-7.27% - -5.13%</t>
  </si>
  <si>
    <t>-1.45% - -0.52%</t>
  </si>
  <si>
    <t>20.54% - 45.8%</t>
  </si>
  <si>
    <t>18.46% - 41.18%</t>
  </si>
  <si>
    <t>71.14% - 105.07%</t>
  </si>
  <si>
    <t>63.96% - 94.46%</t>
  </si>
  <si>
    <t>24.97% - 37.36%</t>
  </si>
  <si>
    <t>-5.13% - -3.39%</t>
  </si>
  <si>
    <t>45.8% - 64.14%</t>
  </si>
  <si>
    <t>41.18% - 57.59%</t>
  </si>
  <si>
    <t>105.07% - 150.57%</t>
  </si>
  <si>
    <t>94.46% - 135.35%</t>
  </si>
  <si>
    <t>37.36% - 55.36%</t>
  </si>
  <si>
    <t>-3.39% - -1.64%</t>
  </si>
  <si>
    <t>0% - 0.24%</t>
  </si>
  <si>
    <t>64.14% - 79.27%</t>
  </si>
  <si>
    <t>57.59% - 71.09%</t>
  </si>
  <si>
    <t>150.57% - 217.78%</t>
  </si>
  <si>
    <t>135.35% - 195.8%</t>
  </si>
  <si>
    <t>55.36% - 82.11%</t>
  </si>
  <si>
    <t>-1.64% - -0.01%</t>
  </si>
  <si>
    <t>0.24% - 0.56%</t>
  </si>
  <si>
    <t>79.27% - 97.83%</t>
  </si>
  <si>
    <t>71.09% - 87.57%</t>
  </si>
  <si>
    <t>217.78% - 326.34%</t>
  </si>
  <si>
    <t>195.8% - 293.4%</t>
  </si>
  <si>
    <t>82.11% - 124.91%</t>
  </si>
  <si>
    <t>0.56% - 1.41%</t>
  </si>
  <si>
    <t>97.83% - 144.96%</t>
  </si>
  <si>
    <t>87.57% - 130.22%</t>
  </si>
  <si>
    <t>0% - 29.61%</t>
  </si>
  <si>
    <t>0% - 23.42%</t>
  </si>
  <si>
    <t>0% - 10.28%</t>
  </si>
  <si>
    <t>-15.15% - -8.31%</t>
  </si>
  <si>
    <t>-4.54% - -2.27%</t>
  </si>
  <si>
    <t>-17.26% - -9.51%</t>
  </si>
  <si>
    <t>0% - 19.64%</t>
  </si>
  <si>
    <t>0% - 14.96%</t>
  </si>
  <si>
    <t>29.61% - 67.92%</t>
  </si>
  <si>
    <t>23.42% - 53.81%</t>
  </si>
  <si>
    <t>10.28% - 23.57%</t>
  </si>
  <si>
    <t>-8.31% - -5.86%</t>
  </si>
  <si>
    <t>-2.27% - -1.4%</t>
  </si>
  <si>
    <t>-9.51% - -6.72%</t>
  </si>
  <si>
    <t>19.64% - 43.76%</t>
  </si>
  <si>
    <t>14.96% - 33.48%</t>
  </si>
  <si>
    <t>67.92% - 100.34%</t>
  </si>
  <si>
    <t>53.81% - 79.43%</t>
  </si>
  <si>
    <t>23.57% - 35.38%</t>
  </si>
  <si>
    <t>-5.86% - -3.87%</t>
  </si>
  <si>
    <t>-1.4% - -0.85%</t>
  </si>
  <si>
    <t>-6.72% - -4.44%</t>
  </si>
  <si>
    <t>43.76% - 61.3%</t>
  </si>
  <si>
    <t>33.48% - 47.21%</t>
  </si>
  <si>
    <t>100.34% - 143.95%</t>
  </si>
  <si>
    <t>79.43% - 113.56%</t>
  </si>
  <si>
    <t>35.38% - 52.58%</t>
  </si>
  <si>
    <t>-3.87% - -1.87%</t>
  </si>
  <si>
    <t>-0.85% - -0.39%</t>
  </si>
  <si>
    <t>-4.44% - -2.15%</t>
  </si>
  <si>
    <t>61.3% - 75.77%</t>
  </si>
  <si>
    <t>47.21% - 58.54%</t>
  </si>
  <si>
    <t>143.95% - 208.34%</t>
  </si>
  <si>
    <t>113.56% - 164.48%</t>
  </si>
  <si>
    <t>52.58% - 78.3%</t>
  </si>
  <si>
    <t>-1.87% - -0.01%</t>
  </si>
  <si>
    <t>-0.39% - 0%</t>
  </si>
  <si>
    <t>-2.15% - -0.02%</t>
  </si>
  <si>
    <t>75.77% - 93.45%</t>
  </si>
  <si>
    <t>58.54% - 72.27%</t>
  </si>
  <si>
    <t>208.34% - 312.51%</t>
  </si>
  <si>
    <t>164.48% - 245.03%</t>
  </si>
  <si>
    <t>78.3% - 119.22%</t>
  </si>
  <si>
    <t>93.45% - 138.74%</t>
  </si>
  <si>
    <t>72.27% - 108.64%</t>
  </si>
  <si>
    <t>0% - 27.94%</t>
  </si>
  <si>
    <t>0% - 16.88%</t>
  </si>
  <si>
    <t>0% - 8.91%</t>
  </si>
  <si>
    <t>-15.56% - -8.53%</t>
  </si>
  <si>
    <t>-6.7% - -3.99%</t>
  </si>
  <si>
    <t>-20.74% - -11.5%</t>
  </si>
  <si>
    <t>0% - 10.81%</t>
  </si>
  <si>
    <t>27.94% - 64.05%</t>
  </si>
  <si>
    <t>16.88% - 39.07%</t>
  </si>
  <si>
    <t>8.91% - 20.59%</t>
  </si>
  <si>
    <t>-8.53% - -6.02%</t>
  </si>
  <si>
    <t>-3.99% - -2.82%</t>
  </si>
  <si>
    <t>-11.5% - -8.15%</t>
  </si>
  <si>
    <t>18.42% - 41.06%</t>
  </si>
  <si>
    <t>10.81% - 24.06%</t>
  </si>
  <si>
    <t>64.05% - 94.63%</t>
  </si>
  <si>
    <t>39.07% - 57.92%</t>
  </si>
  <si>
    <t>20.59% - 30.77%</t>
  </si>
  <si>
    <t>-6.02% - -3.98%</t>
  </si>
  <si>
    <t>-2.82% - -1.91%</t>
  </si>
  <si>
    <t>-8.15% - -5.42%</t>
  </si>
  <si>
    <t>41.06% - 57.55%</t>
  </si>
  <si>
    <t>24.06% - 33.76%</t>
  </si>
  <si>
    <t>94.63% - 135.91%</t>
  </si>
  <si>
    <t>57.92% - 82.57%</t>
  </si>
  <si>
    <t>30.77% - 43.18%</t>
  </si>
  <si>
    <t>-3.98% - -1.93%</t>
  </si>
  <si>
    <t>-1.91% - -0.95%</t>
  </si>
  <si>
    <t>-5.42% - -2.66%</t>
  </si>
  <si>
    <t>57.55% - 71.24%</t>
  </si>
  <si>
    <t>33.76% - 41.83%</t>
  </si>
  <si>
    <t>135.91% - 196.63%</t>
  </si>
  <si>
    <t>82.57% - 119.19%</t>
  </si>
  <si>
    <t>43.18% - 65.99%</t>
  </si>
  <si>
    <t>-1.93% - -0.01%</t>
  </si>
  <si>
    <t>-0.95% - 0%</t>
  </si>
  <si>
    <t>-2.66% - -0.02%</t>
  </si>
  <si>
    <t>71.24% - 88.02%</t>
  </si>
  <si>
    <t>41.83% - 51.47%</t>
  </si>
  <si>
    <t>196.63% - 295.21%</t>
  </si>
  <si>
    <t>119.19% - 177.33%</t>
  </si>
  <si>
    <t>65.99% - 112.1%</t>
  </si>
  <si>
    <t>88.02% - 130.97%</t>
  </si>
  <si>
    <t>51.47% - 78.42%</t>
  </si>
  <si>
    <t>-0.22% - 0%</t>
  </si>
  <si>
    <t>-2.62% - -0.95%</t>
  </si>
  <si>
    <t>-0.95% - -0.28%</t>
  </si>
  <si>
    <t>-0.28% - 0%</t>
  </si>
  <si>
    <t>0% - 0.08%</t>
  </si>
  <si>
    <t>0.08% - 0.21%</t>
  </si>
  <si>
    <t>0.21% - 0.56%</t>
  </si>
  <si>
    <t>-1.74% - -0.63%</t>
  </si>
  <si>
    <t>-0.63% - -0.19%</t>
  </si>
  <si>
    <t>-0.19% - 0%</t>
  </si>
  <si>
    <t>0% - 0.05%</t>
  </si>
  <si>
    <t>0.05% - 0.14%</t>
  </si>
  <si>
    <t>0.14% - 0.37%</t>
  </si>
  <si>
    <t>-1.35% - -0.74%</t>
  </si>
  <si>
    <t>-0.74% - -0.33%</t>
  </si>
  <si>
    <t>-0.33% - 0%</t>
  </si>
  <si>
    <t>0% - 0.57%</t>
  </si>
  <si>
    <t>0.57% - 1.28%</t>
  </si>
  <si>
    <t>1.28% - 3.04%</t>
  </si>
  <si>
    <t>-0.9% - -0.49%</t>
  </si>
  <si>
    <t>-0.49% - -0.22%</t>
  </si>
  <si>
    <t>0% - 0.38%</t>
  </si>
  <si>
    <t>0.38% - 0.85%</t>
  </si>
  <si>
    <t>0.85% - 2.03%</t>
  </si>
  <si>
    <t>-10.65% - -5.81%</t>
  </si>
  <si>
    <t>-5.81% - -4.1%</t>
  </si>
  <si>
    <t>-4.1% - -2.71%</t>
  </si>
  <si>
    <t>-2.71% - -1.31%</t>
  </si>
  <si>
    <t>-1.31% - -0.01%</t>
  </si>
  <si>
    <t>-7.1% - -3.87%</t>
  </si>
  <si>
    <t>-3.87% - -2.73%</t>
  </si>
  <si>
    <t>-2.73% - -1.8%</t>
  </si>
  <si>
    <t>-1.8% - -0.87%</t>
  </si>
  <si>
    <t>-0.87% - -0.01%</t>
  </si>
  <si>
    <t>0% - 12.5%</t>
  </si>
  <si>
    <t>12.5% - 29.5%</t>
  </si>
  <si>
    <t>29.5% - 44.16%</t>
  </si>
  <si>
    <t>44.16% - 58.33%</t>
  </si>
  <si>
    <t>58.33% - 78.59%</t>
  </si>
  <si>
    <t>78.59% - 120.33%</t>
  </si>
  <si>
    <t>0% - 12.33%</t>
  </si>
  <si>
    <t>12.33% - 28.95%</t>
  </si>
  <si>
    <t>28.95% - 42.8%</t>
  </si>
  <si>
    <t>42.8% - 55.86%</t>
  </si>
  <si>
    <t>55.86% - 74.82%</t>
  </si>
  <si>
    <t>74.82% - 113.39%</t>
  </si>
  <si>
    <t>0% - 13.22%</t>
  </si>
  <si>
    <t>13.22% - 31.17%</t>
  </si>
  <si>
    <t>31.17% - 46.54%</t>
  </si>
  <si>
    <t>46.54% - 61.31%</t>
  </si>
  <si>
    <t>61.31% - 82.52%</t>
  </si>
  <si>
    <t>82.52% - 125.88%</t>
  </si>
  <si>
    <t>0% - 9.4%</t>
  </si>
  <si>
    <t>21.8% - 32.54%</t>
  </si>
  <si>
    <t>32.54% - 44.87%</t>
  </si>
  <si>
    <t>44.87% - 68.13%</t>
  </si>
  <si>
    <t>68.13% - 116.15%</t>
  </si>
  <si>
    <t>9.4% - 21.8%</t>
  </si>
  <si>
    <t>0% - 8.7%</t>
  </si>
  <si>
    <t>20.23% - 30.29%</t>
  </si>
  <si>
    <t>30.29% - 41.95%</t>
  </si>
  <si>
    <t>41.95% - 63.9%</t>
  </si>
  <si>
    <t>63.9% - 109.24%</t>
  </si>
  <si>
    <t>8.7% - 20.23%</t>
  </si>
  <si>
    <t>0% - 9.99%</t>
  </si>
  <si>
    <t>23.12% - 34.42%</t>
  </si>
  <si>
    <t>34.42% - 47.35%</t>
  </si>
  <si>
    <t>47.35% - 71.56%</t>
  </si>
  <si>
    <t>71.56% - 121.68%</t>
  </si>
  <si>
    <t>9.99% - 23.12%</t>
  </si>
  <si>
    <t>0% - 14.9%</t>
  </si>
  <si>
    <t>14.9% - 34.56%</t>
  </si>
  <si>
    <t>34.56% - 50.63%</t>
  </si>
  <si>
    <t>50.63% - 64.61%</t>
  </si>
  <si>
    <t>64.61% - 81.77%</t>
  </si>
  <si>
    <t>81.77% - 133.49%</t>
  </si>
  <si>
    <t>0% - 14.26%</t>
  </si>
  <si>
    <t>14.26% - 33.1%</t>
  </si>
  <si>
    <t>33.1% - 48.29%</t>
  </si>
  <si>
    <t>48.29% - 61.33%</t>
  </si>
  <si>
    <t>61.33% - 77.5%</t>
  </si>
  <si>
    <t>77.5% - 125.91%</t>
  </si>
  <si>
    <t>0% - 15.79%</t>
  </si>
  <si>
    <t>15.79% - 36.69%</t>
  </si>
  <si>
    <t>36.69% - 53.57%</t>
  </si>
  <si>
    <t>53.57% - 68.06%</t>
  </si>
  <si>
    <t>68.06% - 85.96%</t>
  </si>
  <si>
    <t>85.96% - 139.56%</t>
  </si>
  <si>
    <t>SUPPLEMENTARY INFORMATION 2</t>
  </si>
  <si>
    <t>186.87 - 431.27</t>
  </si>
  <si>
    <t>25.91-59.07</t>
  </si>
  <si>
    <t>Table S2.1</t>
  </si>
  <si>
    <t>Table S2.2</t>
  </si>
  <si>
    <t>Table S2.4</t>
  </si>
  <si>
    <t>Table S2.3</t>
  </si>
  <si>
    <t>Results</t>
  </si>
  <si>
    <t>SOC change (%) per areas affected (%) at PCU scale. Breaks fixed after considering the max and min values.  This sheet allows to compare the tecnologies at the same range of breaks grouped as high recalcitrant or low reclacitrant byproducts. (Values as shown in FigS4-8)</t>
  </si>
  <si>
    <t xml:space="preserve">Sensitivity Analysis: Combination of 3 levels for 2 factors. </t>
  </si>
  <si>
    <t>SOC change (Bioeconomy vs BAU)  at year 2120 for the whole cropland surface modeled. Total SOC change in MtC (total sum of SOC change per PCU). Average SOC change percent for all the cropland surface modeled (SOC change % per PCU). Includes all the Cc and Cr combinations, the exporting rates decrease, and limited application.</t>
  </si>
  <si>
    <t xml:space="preserve">SOC change (%) per areas affected (%) at PCU scale (11784). Breaks obtained from Natural Jenks to have the best distribution.  This sheet allows to observe the complete range of SOC change for each technology per PCU with the real max and min values. </t>
  </si>
  <si>
    <t>The bioeconomy conundrum of crop residues: which harvest strategy to maintain long-term soil organic carbon stocks?</t>
  </si>
  <si>
    <r>
      <t>Christhel Andrade</t>
    </r>
    <r>
      <rPr>
        <vertAlign val="superscript"/>
        <sz val="11"/>
        <color theme="1"/>
        <rFont val="Calibri"/>
        <family val="2"/>
        <scheme val="minor"/>
      </rPr>
      <t>1,2</t>
    </r>
    <r>
      <rPr>
        <sz val="11"/>
        <color theme="1"/>
        <rFont val="Calibri"/>
        <family val="2"/>
        <scheme val="minor"/>
      </rPr>
      <t>, Hugues Clivot</t>
    </r>
    <r>
      <rPr>
        <vertAlign val="superscript"/>
        <sz val="11"/>
        <color theme="1"/>
        <rFont val="Calibri"/>
        <family val="2"/>
        <scheme val="minor"/>
      </rPr>
      <t>3</t>
    </r>
    <r>
      <rPr>
        <sz val="11"/>
        <color theme="1"/>
        <rFont val="Calibri"/>
        <family val="2"/>
        <scheme val="minor"/>
      </rPr>
      <t>, Ariane Albers</t>
    </r>
    <r>
      <rPr>
        <vertAlign val="superscript"/>
        <sz val="11"/>
        <color theme="1"/>
        <rFont val="Calibri"/>
        <family val="2"/>
        <scheme val="minor"/>
      </rPr>
      <t>1</t>
    </r>
    <r>
      <rPr>
        <sz val="11"/>
        <color theme="1"/>
        <rFont val="Calibri"/>
        <family val="2"/>
        <scheme val="minor"/>
      </rPr>
      <t>, Ezequiel Zamora-Ledezma</t>
    </r>
    <r>
      <rPr>
        <vertAlign val="superscript"/>
        <sz val="11"/>
        <color theme="1"/>
        <rFont val="Calibri"/>
        <family val="2"/>
        <scheme val="minor"/>
      </rPr>
      <t>4</t>
    </r>
    <r>
      <rPr>
        <sz val="11"/>
        <color theme="1"/>
        <rFont val="Calibri"/>
        <family val="2"/>
        <scheme val="minor"/>
      </rPr>
      <t>, Lorie Hamelin</t>
    </r>
    <r>
      <rPr>
        <vertAlign val="superscript"/>
        <sz val="11"/>
        <color theme="1"/>
        <rFont val="Calibri"/>
        <family val="2"/>
        <scheme val="minor"/>
      </rPr>
      <t>1</t>
    </r>
  </si>
  <si>
    <r>
      <t>1</t>
    </r>
    <r>
      <rPr>
        <sz val="11"/>
        <color theme="1"/>
        <rFont val="Calibri"/>
        <family val="2"/>
        <scheme val="minor"/>
      </rPr>
      <t xml:space="preserve"> Toulouse Biotechnology Institute (TBI), INSA, INRAE UMR792, and CNRS UMR5504, Federal University of Toulouse, 135 Avenue de Rangueil, F-31077, Toulouse, France</t>
    </r>
  </si>
  <si>
    <r>
      <t xml:space="preserve">2 </t>
    </r>
    <r>
      <rPr>
        <sz val="11"/>
        <color theme="1"/>
        <rFont val="Calibri"/>
        <family val="2"/>
        <scheme val="minor"/>
      </rPr>
      <t>Department of Chemical, Biotechnological and Food Processes, Faculty of Mathematical, Physics and Chemistry Sciences. Universidad Técnica de Manabí (UTM), Portoviejo, Ecuador.</t>
    </r>
  </si>
  <si>
    <r>
      <t>3</t>
    </r>
    <r>
      <rPr>
        <sz val="11"/>
        <color theme="1"/>
        <rFont val="Calibri"/>
        <family val="2"/>
        <scheme val="minor"/>
      </rPr>
      <t xml:space="preserve"> Université de Reims Champagne Ardenne, INRAE, FARE, UMR A 614, 51097 Reims, France </t>
    </r>
  </si>
  <si>
    <r>
      <t>4</t>
    </r>
    <r>
      <rPr>
        <sz val="11"/>
        <color theme="1"/>
        <rFont val="Calibri"/>
        <family val="2"/>
        <scheme val="minor"/>
      </rPr>
      <t xml:space="preserve"> Faculty of Agriculture Engineering. Universidad Técnica de Manabí (UTM), Portoviejo, Ecuador.</t>
    </r>
  </si>
  <si>
    <t>Export rate: 75 %; Byproducts return: 100% Cc: M, Cr: M</t>
  </si>
  <si>
    <t>Export rate: 50 %; Byproducts return: 100% Cc: M, Cr: M</t>
  </si>
  <si>
    <t xml:space="preserve">Cc= Carbon conversion </t>
  </si>
  <si>
    <t>Cr= Carbon recalcitrance</t>
  </si>
  <si>
    <t>Input is parameter value (Cc or Cr)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</si>
</sst>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
    <numFmt numFmtId="165" formatCode="0.000"/>
    <numFmt numFmtId="166" formatCode="0.0%"/>
    <numFmt numFmtId="167" formatCode="0.0000000"/>
    <numFmt numFmtId="168" formatCode="0.00000000"/>
  </numFmts>
  <fonts count="11"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sz val="11"/>
      <name val="Calibri"/>
      <family val="2"/>
      <scheme val="minor"/>
    </font>
    <font>
      <vertAlign val="superscript"/>
      <sz val="11"/>
      <color theme="1"/>
      <name val="Calibri"/>
      <family val="2"/>
      <scheme val="minor"/>
    </font>
    <font>
      <u/>
      <sz val="11"/>
      <color theme="10"/>
      <name val="Calibri"/>
      <family val="2"/>
      <scheme val="minor"/>
    </font>
    <font>
      <b/>
      <i/>
      <sz val="11"/>
      <color theme="1"/>
      <name val="Calibri"/>
      <family val="2"/>
      <scheme val="minor"/>
    </font>
    <font>
      <i/>
      <sz val="11"/>
      <color theme="1"/>
      <name val="Calibri"/>
      <family val="2"/>
      <scheme val="minor"/>
    </font>
  </fonts>
  <fills count="20">
    <fill>
      <patternFill patternType="none"/>
    </fill>
    <fill>
      <patternFill patternType="gray125"/>
    </fill>
    <fill>
      <patternFill patternType="solid">
        <fgColor theme="2"/>
        <bgColor indexed="64"/>
      </patternFill>
    </fill>
    <fill>
      <patternFill patternType="solid">
        <fgColor theme="6"/>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FF00"/>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2" tint="-0.499984740745262"/>
        <bgColor indexed="64"/>
      </patternFill>
    </fill>
    <fill>
      <patternFill patternType="solid">
        <fgColor theme="5"/>
        <bgColor indexed="64"/>
      </patternFill>
    </fill>
    <fill>
      <patternFill patternType="solid">
        <fgColor theme="9" tint="0.39997558519241921"/>
        <bgColor indexed="64"/>
      </patternFill>
    </fill>
    <fill>
      <patternFill patternType="solid">
        <fgColor theme="9"/>
        <bgColor indexed="64"/>
      </patternFill>
    </fill>
    <fill>
      <patternFill patternType="solid">
        <fgColor theme="9" tint="-0.249977111117893"/>
        <bgColor indexed="64"/>
      </patternFill>
    </fill>
    <fill>
      <patternFill patternType="solid">
        <fgColor theme="9" tint="-0.499984740745262"/>
        <bgColor indexed="64"/>
      </patternFill>
    </fill>
    <fill>
      <patternFill patternType="solid">
        <fgColor rgb="FFFFFF99"/>
        <bgColor indexed="64"/>
      </patternFill>
    </fill>
    <fill>
      <patternFill patternType="solid">
        <fgColor theme="5" tint="0.39997558519241921"/>
        <bgColor indexed="64"/>
      </patternFill>
    </fill>
    <fill>
      <patternFill patternType="solid">
        <fgColor theme="5" tint="-0.499984740745262"/>
        <bgColor indexed="64"/>
      </patternFill>
    </fill>
    <fill>
      <patternFill patternType="solid">
        <fgColor theme="2" tint="-0.249977111117893"/>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double">
        <color indexed="64"/>
      </bottom>
      <diagonal/>
    </border>
    <border>
      <left style="thin">
        <color indexed="64"/>
      </left>
      <right/>
      <top/>
      <bottom style="double">
        <color indexed="64"/>
      </bottom>
      <diagonal/>
    </border>
    <border>
      <left style="thin">
        <color indexed="64"/>
      </left>
      <right/>
      <top style="double">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252">
    <xf numFmtId="0" fontId="0" fillId="0" borderId="0" xfId="0"/>
    <xf numFmtId="0" fontId="0" fillId="0" borderId="0" xfId="0" applyAlignment="1">
      <alignment horizontal="left" vertical="center"/>
    </xf>
    <xf numFmtId="0" fontId="0" fillId="0" borderId="0" xfId="0" applyAlignment="1">
      <alignment horizontal="left" vertical="center" wrapText="1"/>
    </xf>
    <xf numFmtId="10" fontId="0" fillId="8" borderId="0" xfId="1" applyNumberFormat="1" applyFont="1" applyFill="1"/>
    <xf numFmtId="0" fontId="3" fillId="0" borderId="0" xfId="0" applyFont="1"/>
    <xf numFmtId="0" fontId="2" fillId="0" borderId="0" xfId="0" applyFont="1"/>
    <xf numFmtId="0" fontId="2" fillId="3" borderId="0" xfId="0" applyFont="1" applyFill="1"/>
    <xf numFmtId="9" fontId="0" fillId="0" borderId="0" xfId="1" applyFont="1" applyFill="1"/>
    <xf numFmtId="0" fontId="0" fillId="0" borderId="0" xfId="0" applyAlignment="1">
      <alignment vertical="center"/>
    </xf>
    <xf numFmtId="10" fontId="0" fillId="0" borderId="0" xfId="1" applyNumberFormat="1" applyFont="1" applyFill="1"/>
    <xf numFmtId="9" fontId="0" fillId="8" borderId="0" xfId="1" applyFont="1" applyFill="1"/>
    <xf numFmtId="166" fontId="0" fillId="8" borderId="0" xfId="1" applyNumberFormat="1" applyFont="1" applyFill="1"/>
    <xf numFmtId="166" fontId="0" fillId="0" borderId="0" xfId="1" applyNumberFormat="1" applyFont="1" applyFill="1"/>
    <xf numFmtId="2" fontId="0" fillId="0" borderId="0" xfId="1" applyNumberFormat="1" applyFont="1" applyFill="1"/>
    <xf numFmtId="2" fontId="0" fillId="0" borderId="0" xfId="1" applyNumberFormat="1" applyFont="1"/>
    <xf numFmtId="49" fontId="0" fillId="0" borderId="0" xfId="1" applyNumberFormat="1" applyFont="1"/>
    <xf numFmtId="9" fontId="0" fillId="2" borderId="0" xfId="1" applyFont="1" applyFill="1"/>
    <xf numFmtId="9" fontId="0" fillId="0" borderId="0" xfId="1" applyFont="1"/>
    <xf numFmtId="49" fontId="0" fillId="0" borderId="0" xfId="1" applyNumberFormat="1" applyFont="1" applyFill="1"/>
    <xf numFmtId="0" fontId="3" fillId="8" borderId="0" xfId="0" applyFont="1" applyFill="1"/>
    <xf numFmtId="2" fontId="0" fillId="8" borderId="0" xfId="1" applyNumberFormat="1" applyFont="1" applyFill="1"/>
    <xf numFmtId="167" fontId="0" fillId="8" borderId="0" xfId="1" applyNumberFormat="1" applyFont="1" applyFill="1"/>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0" fontId="8" fillId="0" borderId="0" xfId="2" applyAlignment="1">
      <alignment horizontal="left" vertical="center"/>
    </xf>
    <xf numFmtId="0" fontId="0" fillId="0" borderId="0" xfId="0" applyFont="1" applyAlignment="1">
      <alignment vertical="center"/>
    </xf>
    <xf numFmtId="0" fontId="0" fillId="0" borderId="0" xfId="0" applyFont="1" applyFill="1" applyAlignment="1">
      <alignment horizontal="left" vertical="center"/>
    </xf>
    <xf numFmtId="0" fontId="0" fillId="0" borderId="0" xfId="0" applyFont="1"/>
    <xf numFmtId="0" fontId="0" fillId="0" borderId="0" xfId="0" applyFont="1" applyAlignment="1">
      <alignment horizontal="left" vertical="center"/>
    </xf>
    <xf numFmtId="0" fontId="0" fillId="0" borderId="0" xfId="0" applyFont="1" applyFill="1" applyAlignment="1">
      <alignment horizontal="left"/>
    </xf>
    <xf numFmtId="0" fontId="9" fillId="0" borderId="0" xfId="0" applyFont="1" applyAlignment="1">
      <alignment vertical="center"/>
    </xf>
    <xf numFmtId="0" fontId="0" fillId="0" borderId="0" xfId="0" applyFont="1" applyAlignment="1">
      <alignment horizontal="center"/>
    </xf>
    <xf numFmtId="0" fontId="9" fillId="0" borderId="0" xfId="0" applyFont="1" applyFill="1" applyAlignment="1">
      <alignment horizontal="center"/>
    </xf>
    <xf numFmtId="0" fontId="10" fillId="0" borderId="0" xfId="0" applyFont="1"/>
    <xf numFmtId="0" fontId="2" fillId="3" borderId="0" xfId="0" applyFont="1" applyFill="1" applyAlignment="1">
      <alignment horizontal="center" vertical="center"/>
    </xf>
    <xf numFmtId="0" fontId="2" fillId="3" borderId="0" xfId="0" applyFont="1" applyFill="1" applyAlignment="1">
      <alignment horizontal="center" vertical="center" wrapText="1"/>
    </xf>
    <xf numFmtId="0" fontId="2" fillId="3" borderId="0" xfId="0" applyFont="1" applyFill="1" applyAlignment="1">
      <alignment horizontal="center" vertical="center"/>
    </xf>
    <xf numFmtId="0" fontId="0" fillId="0" borderId="0" xfId="0" applyFont="1" applyAlignment="1">
      <alignment horizontal="center" vertical="center"/>
    </xf>
    <xf numFmtId="0" fontId="2" fillId="3" borderId="0" xfId="0" applyFont="1" applyFill="1" applyAlignment="1">
      <alignment horizontal="center" vertical="center" wrapText="1"/>
    </xf>
    <xf numFmtId="0" fontId="0" fillId="3" borderId="0" xfId="0" applyFont="1" applyFill="1"/>
    <xf numFmtId="0" fontId="2" fillId="8" borderId="0" xfId="0" applyFont="1" applyFill="1" applyAlignment="1">
      <alignment horizontal="center" vertical="center"/>
    </xf>
    <xf numFmtId="0" fontId="0" fillId="8" borderId="0" xfId="0" applyFont="1" applyFill="1" applyAlignment="1">
      <alignment vertical="center"/>
    </xf>
    <xf numFmtId="2" fontId="0" fillId="8" borderId="0" xfId="0" applyNumberFormat="1" applyFont="1" applyFill="1"/>
    <xf numFmtId="0" fontId="0" fillId="8" borderId="0" xfId="0" applyFont="1" applyFill="1"/>
    <xf numFmtId="2" fontId="0" fillId="0" borderId="0" xfId="0" applyNumberFormat="1" applyFont="1"/>
    <xf numFmtId="165" fontId="0" fillId="8" borderId="0" xfId="0" applyNumberFormat="1" applyFont="1" applyFill="1"/>
    <xf numFmtId="0" fontId="0" fillId="3" borderId="0" xfId="0" applyFont="1" applyFill="1" applyAlignment="1">
      <alignment horizontal="center" vertical="center"/>
    </xf>
    <xf numFmtId="10" fontId="0" fillId="0" borderId="0" xfId="0" applyNumberFormat="1" applyFont="1"/>
    <xf numFmtId="49" fontId="2" fillId="0" borderId="0" xfId="0" applyNumberFormat="1" applyFont="1" applyAlignment="1">
      <alignment horizontal="center" vertical="center"/>
    </xf>
    <xf numFmtId="49" fontId="0" fillId="0" borderId="0" xfId="0" applyNumberFormat="1" applyFont="1"/>
    <xf numFmtId="49" fontId="0" fillId="0" borderId="0" xfId="0" applyNumberFormat="1" applyFont="1" applyAlignment="1">
      <alignment horizontal="center"/>
    </xf>
    <xf numFmtId="0" fontId="2" fillId="19" borderId="0" xfId="0" applyFont="1" applyFill="1" applyAlignment="1">
      <alignment horizontal="center" vertical="center" wrapText="1"/>
    </xf>
    <xf numFmtId="0" fontId="2" fillId="19" borderId="0" xfId="0" applyFont="1" applyFill="1" applyAlignment="1">
      <alignment horizontal="center" vertical="center"/>
    </xf>
    <xf numFmtId="10" fontId="0" fillId="8" borderId="0" xfId="0" applyNumberFormat="1" applyFont="1" applyFill="1"/>
    <xf numFmtId="0" fontId="2" fillId="2" borderId="0" xfId="0" applyFont="1" applyFill="1" applyAlignment="1">
      <alignment horizontal="center" vertical="center"/>
    </xf>
    <xf numFmtId="0" fontId="0" fillId="2" borderId="0" xfId="0" applyFont="1" applyFill="1" applyAlignment="1">
      <alignment vertical="center"/>
    </xf>
    <xf numFmtId="0" fontId="0" fillId="2" borderId="0" xfId="0" applyFont="1" applyFill="1"/>
    <xf numFmtId="0" fontId="2" fillId="10" borderId="0" xfId="0" applyFont="1" applyFill="1" applyAlignment="1">
      <alignment horizontal="center" vertical="center"/>
    </xf>
    <xf numFmtId="0" fontId="2" fillId="10" borderId="0" xfId="0" applyFont="1" applyFill="1" applyAlignment="1">
      <alignment horizontal="center" vertical="center" wrapText="1"/>
    </xf>
    <xf numFmtId="0" fontId="2" fillId="10" borderId="0" xfId="0" applyFont="1" applyFill="1" applyAlignment="1">
      <alignment horizontal="center" vertical="center"/>
    </xf>
    <xf numFmtId="0" fontId="2" fillId="10" borderId="0" xfId="0" applyFont="1" applyFill="1" applyAlignment="1">
      <alignment horizontal="center" vertical="center" wrapText="1"/>
    </xf>
    <xf numFmtId="0" fontId="0" fillId="10" borderId="0" xfId="0" applyFont="1" applyFill="1" applyAlignment="1">
      <alignment horizontal="center" vertical="center"/>
    </xf>
    <xf numFmtId="0" fontId="6" fillId="8" borderId="0" xfId="0" applyFont="1" applyFill="1" applyAlignment="1">
      <alignment horizontal="center" vertical="center"/>
    </xf>
    <xf numFmtId="0" fontId="3" fillId="8" borderId="0" xfId="0" applyFont="1" applyFill="1" applyAlignment="1">
      <alignment vertical="center"/>
    </xf>
    <xf numFmtId="2" fontId="3" fillId="8" borderId="0" xfId="0" applyNumberFormat="1" applyFont="1" applyFill="1"/>
    <xf numFmtId="10" fontId="3" fillId="8" borderId="0" xfId="1" applyNumberFormat="1" applyFont="1" applyFill="1"/>
    <xf numFmtId="0" fontId="2" fillId="4" borderId="0" xfId="0" applyFont="1" applyFill="1" applyAlignment="1">
      <alignment horizontal="center" vertical="center" wrapText="1"/>
    </xf>
    <xf numFmtId="0" fontId="2" fillId="4" borderId="0" xfId="0" applyFont="1" applyFill="1" applyAlignment="1">
      <alignment horizontal="center" vertic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0" fontId="0" fillId="4" borderId="0" xfId="0" applyFont="1" applyFill="1" applyAlignment="1">
      <alignment horizontal="center" vertical="center"/>
    </xf>
    <xf numFmtId="11" fontId="0" fillId="8" borderId="0" xfId="0" applyNumberFormat="1" applyFont="1" applyFill="1"/>
    <xf numFmtId="11" fontId="0" fillId="0" borderId="0" xfId="0" applyNumberFormat="1" applyFont="1"/>
    <xf numFmtId="168" fontId="0" fillId="8" borderId="0" xfId="0" applyNumberFormat="1" applyFont="1" applyFill="1"/>
    <xf numFmtId="0" fontId="2" fillId="5" borderId="0" xfId="0" applyFont="1" applyFill="1" applyAlignment="1">
      <alignment horizontal="center" vertical="center"/>
    </xf>
    <xf numFmtId="0" fontId="2" fillId="5" borderId="0" xfId="0" applyFont="1" applyFill="1" applyAlignment="1">
      <alignment horizontal="center" vertical="center" wrapText="1"/>
    </xf>
    <xf numFmtId="0" fontId="2" fillId="5" borderId="0" xfId="0" applyFont="1" applyFill="1" applyAlignment="1">
      <alignment horizontal="center" vertical="center"/>
    </xf>
    <xf numFmtId="0" fontId="2" fillId="5" borderId="0" xfId="0" applyFont="1" applyFill="1" applyAlignment="1">
      <alignment horizontal="center" vertical="center" wrapText="1"/>
    </xf>
    <xf numFmtId="0" fontId="0" fillId="5" borderId="0" xfId="0" applyFont="1" applyFill="1" applyAlignment="1">
      <alignment horizontal="center" vertical="center"/>
    </xf>
    <xf numFmtId="0" fontId="2" fillId="6" borderId="0" xfId="0" applyFont="1" applyFill="1" applyAlignment="1">
      <alignment horizontal="center" vertical="center"/>
    </xf>
    <xf numFmtId="0" fontId="2" fillId="6" borderId="0" xfId="0" applyFont="1" applyFill="1" applyAlignment="1">
      <alignment horizontal="center" vertical="center" wrapText="1"/>
    </xf>
    <xf numFmtId="0" fontId="2" fillId="6" borderId="0" xfId="0" applyFont="1" applyFill="1" applyAlignment="1">
      <alignment horizontal="center" vertical="center"/>
    </xf>
    <xf numFmtId="0" fontId="2" fillId="6" borderId="0" xfId="0" applyFont="1" applyFill="1" applyAlignment="1">
      <alignment horizontal="center" vertical="center" wrapText="1"/>
    </xf>
    <xf numFmtId="0" fontId="0" fillId="6" borderId="0" xfId="0" applyFont="1" applyFill="1" applyAlignment="1">
      <alignment horizontal="center" vertical="center"/>
    </xf>
    <xf numFmtId="0" fontId="0" fillId="0" borderId="4" xfId="0" applyFont="1" applyBorder="1"/>
    <xf numFmtId="0" fontId="10" fillId="0" borderId="14" xfId="0" applyFont="1" applyBorder="1" applyAlignment="1">
      <alignment horizontal="center"/>
    </xf>
    <xf numFmtId="0" fontId="10" fillId="0" borderId="15" xfId="0" applyFont="1" applyBorder="1" applyAlignment="1">
      <alignment horizontal="center"/>
    </xf>
    <xf numFmtId="0" fontId="10" fillId="0" borderId="16" xfId="0" applyFont="1" applyBorder="1" applyAlignment="1">
      <alignment horizontal="center"/>
    </xf>
    <xf numFmtId="0" fontId="0" fillId="0" borderId="14" xfId="0" applyFont="1" applyBorder="1" applyAlignment="1">
      <alignment horizont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4" xfId="0" applyFont="1" applyBorder="1" applyAlignment="1">
      <alignment horizontal="center"/>
    </xf>
    <xf numFmtId="0" fontId="0" fillId="0" borderId="11" xfId="0" applyFont="1" applyBorder="1" applyAlignment="1">
      <alignment horizontal="center"/>
    </xf>
    <xf numFmtId="0" fontId="0" fillId="0" borderId="0" xfId="0" applyFont="1" applyBorder="1" applyAlignment="1">
      <alignment horizontal="center"/>
    </xf>
    <xf numFmtId="0" fontId="0" fillId="0" borderId="13" xfId="0" applyFont="1" applyBorder="1" applyAlignment="1">
      <alignment horizontal="center"/>
    </xf>
    <xf numFmtId="0" fontId="2" fillId="0" borderId="6" xfId="0" applyFont="1" applyBorder="1" applyAlignment="1">
      <alignment horizontal="center" vertical="center" wrapText="1"/>
    </xf>
    <xf numFmtId="0" fontId="2" fillId="2" borderId="7" xfId="0" applyFont="1" applyFill="1" applyBorder="1" applyAlignment="1">
      <alignment horizontal="center" vertical="center"/>
    </xf>
    <xf numFmtId="0" fontId="2" fillId="2" borderId="9"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9"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9"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9" xfId="0" applyFont="1" applyFill="1" applyBorder="1" applyAlignment="1">
      <alignment horizontal="center" vertical="center"/>
    </xf>
    <xf numFmtId="0" fontId="2" fillId="6" borderId="7" xfId="0" applyFont="1" applyFill="1" applyBorder="1" applyAlignment="1">
      <alignment horizontal="center" vertical="center"/>
    </xf>
    <xf numFmtId="0" fontId="2" fillId="6" borderId="9" xfId="0" applyFont="1" applyFill="1" applyBorder="1" applyAlignment="1">
      <alignment horizontal="center" vertical="center"/>
    </xf>
    <xf numFmtId="0" fontId="0" fillId="0" borderId="8" xfId="0" applyFont="1" applyBorder="1" applyAlignment="1">
      <alignment horizontal="center"/>
    </xf>
    <xf numFmtId="0" fontId="2" fillId="2" borderId="8" xfId="0" applyFont="1" applyFill="1" applyBorder="1" applyAlignment="1">
      <alignment horizontal="center" vertical="center"/>
    </xf>
    <xf numFmtId="0" fontId="2" fillId="0" borderId="5" xfId="0" applyFont="1" applyBorder="1" applyAlignment="1">
      <alignment horizontal="center" vertical="center"/>
    </xf>
    <xf numFmtId="0" fontId="2" fillId="2" borderId="10" xfId="0" applyFont="1" applyFill="1" applyBorder="1" applyAlignment="1">
      <alignment horizontal="center"/>
    </xf>
    <xf numFmtId="0" fontId="2" fillId="2" borderId="11" xfId="0" applyFont="1" applyFill="1" applyBorder="1" applyAlignment="1">
      <alignment horizontal="center"/>
    </xf>
    <xf numFmtId="0" fontId="2" fillId="3" borderId="10" xfId="0" applyFont="1" applyFill="1" applyBorder="1" applyAlignment="1">
      <alignment horizontal="center"/>
    </xf>
    <xf numFmtId="0" fontId="2" fillId="3" borderId="11"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5" borderId="10" xfId="0" applyFont="1" applyFill="1" applyBorder="1" applyAlignment="1">
      <alignment horizontal="center"/>
    </xf>
    <xf numFmtId="0" fontId="2" fillId="5" borderId="11" xfId="0" applyFont="1" applyFill="1" applyBorder="1" applyAlignment="1">
      <alignment horizontal="center"/>
    </xf>
    <xf numFmtId="0" fontId="2" fillId="6" borderId="10" xfId="0" applyFont="1" applyFill="1" applyBorder="1" applyAlignment="1">
      <alignment horizontal="center"/>
    </xf>
    <xf numFmtId="0" fontId="2" fillId="6" borderId="11" xfId="0" applyFont="1" applyFill="1" applyBorder="1" applyAlignment="1">
      <alignment horizontal="center"/>
    </xf>
    <xf numFmtId="0" fontId="0" fillId="0" borderId="4" xfId="0" applyFont="1" applyBorder="1" applyAlignment="1">
      <alignment horizontal="center"/>
    </xf>
    <xf numFmtId="0" fontId="2" fillId="6" borderId="4" xfId="0" applyFont="1" applyFill="1" applyBorder="1" applyAlignment="1">
      <alignment horizontal="center"/>
    </xf>
    <xf numFmtId="0" fontId="2" fillId="2" borderId="4" xfId="0" applyFont="1" applyFill="1" applyBorder="1" applyAlignment="1">
      <alignment horizontal="center"/>
    </xf>
    <xf numFmtId="0" fontId="2" fillId="0" borderId="7" xfId="0" applyFont="1" applyBorder="1" applyAlignment="1">
      <alignment horizontal="center" vertical="center"/>
    </xf>
    <xf numFmtId="0" fontId="0" fillId="16" borderId="12" xfId="0" applyFont="1" applyFill="1" applyBorder="1"/>
    <xf numFmtId="2" fontId="0" fillId="0" borderId="13" xfId="0" applyNumberFormat="1" applyFont="1" applyBorder="1"/>
    <xf numFmtId="49" fontId="0" fillId="17" borderId="7" xfId="0" applyNumberFormat="1" applyFont="1" applyFill="1" applyBorder="1"/>
    <xf numFmtId="49" fontId="0" fillId="17" borderId="12" xfId="0" applyNumberFormat="1" applyFont="1" applyFill="1" applyBorder="1"/>
    <xf numFmtId="0" fontId="0" fillId="8" borderId="12" xfId="0" applyFont="1" applyFill="1" applyBorder="1"/>
    <xf numFmtId="0" fontId="0" fillId="8" borderId="13" xfId="0" applyFont="1" applyFill="1" applyBorder="1"/>
    <xf numFmtId="49" fontId="0" fillId="8" borderId="12" xfId="0" applyNumberFormat="1" applyFont="1" applyFill="1" applyBorder="1"/>
    <xf numFmtId="49" fontId="0" fillId="8" borderId="0" xfId="0" applyNumberFormat="1" applyFont="1" applyFill="1"/>
    <xf numFmtId="2" fontId="0" fillId="0" borderId="9" xfId="0" applyNumberFormat="1" applyFont="1" applyBorder="1"/>
    <xf numFmtId="0" fontId="2" fillId="0" borderId="12" xfId="0" applyFont="1" applyBorder="1" applyAlignment="1">
      <alignment horizontal="center" vertical="center"/>
    </xf>
    <xf numFmtId="0" fontId="0" fillId="5" borderId="12" xfId="0" applyFont="1" applyFill="1" applyBorder="1"/>
    <xf numFmtId="49" fontId="0" fillId="16" borderId="12" xfId="0" applyNumberFormat="1" applyFont="1" applyFill="1" applyBorder="1"/>
    <xf numFmtId="0" fontId="0" fillId="12" borderId="12" xfId="0" applyFont="1" applyFill="1" applyBorder="1"/>
    <xf numFmtId="49" fontId="0" fillId="5" borderId="12" xfId="0" applyNumberFormat="1" applyFont="1" applyFill="1" applyBorder="1"/>
    <xf numFmtId="0" fontId="0" fillId="0" borderId="12" xfId="0" applyFont="1" applyBorder="1"/>
    <xf numFmtId="0" fontId="0" fillId="13" borderId="12" xfId="0" applyFont="1" applyFill="1" applyBorder="1"/>
    <xf numFmtId="49" fontId="0" fillId="12" borderId="12" xfId="0" applyNumberFormat="1" applyFont="1" applyFill="1" applyBorder="1"/>
    <xf numFmtId="0" fontId="0" fillId="14" borderId="12" xfId="0" applyFont="1" applyFill="1" applyBorder="1"/>
    <xf numFmtId="0" fontId="2" fillId="0" borderId="10" xfId="0" applyFont="1" applyBorder="1" applyAlignment="1">
      <alignment horizontal="center" vertical="center"/>
    </xf>
    <xf numFmtId="0" fontId="0" fillId="15" borderId="10" xfId="0" applyFont="1" applyFill="1" applyBorder="1"/>
    <xf numFmtId="0" fontId="0" fillId="0" borderId="10" xfId="0" applyFont="1" applyBorder="1"/>
    <xf numFmtId="2" fontId="0" fillId="0" borderId="11" xfId="0" applyNumberFormat="1" applyFont="1" applyBorder="1"/>
    <xf numFmtId="0" fontId="0" fillId="8" borderId="10" xfId="0" applyFont="1" applyFill="1" applyBorder="1"/>
    <xf numFmtId="0" fontId="0" fillId="8" borderId="11" xfId="0" applyFont="1" applyFill="1" applyBorder="1"/>
    <xf numFmtId="0" fontId="0" fillId="8" borderId="4" xfId="0" applyFont="1" applyFill="1" applyBorder="1"/>
    <xf numFmtId="0" fontId="0" fillId="16" borderId="7" xfId="0" applyFont="1" applyFill="1" applyBorder="1"/>
    <xf numFmtId="49" fontId="0" fillId="11" borderId="7" xfId="0" applyNumberFormat="1" applyFont="1" applyFill="1" applyBorder="1"/>
    <xf numFmtId="0" fontId="0" fillId="0" borderId="8" xfId="0" applyFont="1" applyBorder="1"/>
    <xf numFmtId="0" fontId="0" fillId="8" borderId="7" xfId="0" applyFont="1" applyFill="1" applyBorder="1"/>
    <xf numFmtId="0" fontId="0" fillId="8" borderId="9" xfId="0" applyFont="1" applyFill="1" applyBorder="1"/>
    <xf numFmtId="49" fontId="0" fillId="8" borderId="7" xfId="0" applyNumberFormat="1" applyFont="1" applyFill="1" applyBorder="1"/>
    <xf numFmtId="49" fontId="0" fillId="8" borderId="8" xfId="0" applyNumberFormat="1" applyFont="1" applyFill="1" applyBorder="1"/>
    <xf numFmtId="0" fontId="0" fillId="0" borderId="13" xfId="0" applyFont="1" applyBorder="1"/>
    <xf numFmtId="0" fontId="0" fillId="0" borderId="11" xfId="0" applyFont="1" applyBorder="1"/>
    <xf numFmtId="49" fontId="0" fillId="18" borderId="7" xfId="0" applyNumberFormat="1" applyFont="1" applyFill="1" applyBorder="1"/>
    <xf numFmtId="49" fontId="0" fillId="11" borderId="12" xfId="0" applyNumberFormat="1" applyFont="1" applyFill="1" applyBorder="1"/>
    <xf numFmtId="0" fontId="2" fillId="7" borderId="7" xfId="0" applyFont="1" applyFill="1" applyBorder="1" applyAlignment="1">
      <alignment horizontal="center" vertical="center" wrapText="1"/>
    </xf>
    <xf numFmtId="2" fontId="0" fillId="0" borderId="9" xfId="0" applyNumberFormat="1" applyFont="1" applyFill="1" applyBorder="1"/>
    <xf numFmtId="49" fontId="0" fillId="11" borderId="8" xfId="0" applyNumberFormat="1" applyFont="1" applyFill="1" applyBorder="1"/>
    <xf numFmtId="0" fontId="2" fillId="7" borderId="12" xfId="0" applyFont="1" applyFill="1" applyBorder="1" applyAlignment="1">
      <alignment horizontal="center" vertical="center" wrapText="1"/>
    </xf>
    <xf numFmtId="2" fontId="0" fillId="0" borderId="13" xfId="0" applyNumberFormat="1" applyFont="1" applyFill="1" applyBorder="1"/>
    <xf numFmtId="49" fontId="0" fillId="17" borderId="0" xfId="0" applyNumberFormat="1" applyFont="1" applyFill="1"/>
    <xf numFmtId="49" fontId="0" fillId="16" borderId="0" xfId="0" applyNumberFormat="1" applyFont="1" applyFill="1"/>
    <xf numFmtId="49" fontId="0" fillId="0" borderId="12" xfId="0" applyNumberFormat="1" applyFont="1" applyBorder="1"/>
    <xf numFmtId="49" fontId="0" fillId="0" borderId="12" xfId="0" applyNumberFormat="1" applyFont="1" applyFill="1" applyBorder="1"/>
    <xf numFmtId="0" fontId="2" fillId="7" borderId="10" xfId="0" applyFont="1" applyFill="1" applyBorder="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center"/>
    </xf>
    <xf numFmtId="0" fontId="2" fillId="9" borderId="0" xfId="0" applyFont="1" applyFill="1" applyAlignment="1">
      <alignment horizontal="center" vertical="center"/>
    </xf>
    <xf numFmtId="0" fontId="2" fillId="9" borderId="0" xfId="0" applyFont="1" applyFill="1" applyAlignment="1">
      <alignment horizontal="center" vertical="center" wrapText="1"/>
    </xf>
    <xf numFmtId="0" fontId="0" fillId="0" borderId="0" xfId="0" applyFont="1" applyFill="1"/>
    <xf numFmtId="2" fontId="0" fillId="0" borderId="0" xfId="0" applyNumberFormat="1" applyFont="1" applyFill="1"/>
    <xf numFmtId="10" fontId="0" fillId="0" borderId="0" xfId="1" applyNumberFormat="1" applyFont="1"/>
    <xf numFmtId="164" fontId="0" fillId="0" borderId="0" xfId="0" applyNumberFormat="1" applyFont="1"/>
    <xf numFmtId="2" fontId="0" fillId="0" borderId="0" xfId="0" applyNumberFormat="1" applyFont="1" applyAlignment="1">
      <alignment vertical="center"/>
    </xf>
    <xf numFmtId="11" fontId="0" fillId="0" borderId="0" xfId="0" applyNumberFormat="1" applyFont="1" applyAlignment="1">
      <alignment vertical="center"/>
    </xf>
    <xf numFmtId="10" fontId="0" fillId="0" borderId="0" xfId="1" applyNumberFormat="1" applyFont="1" applyAlignment="1">
      <alignment vertical="center"/>
    </xf>
    <xf numFmtId="0" fontId="2" fillId="4" borderId="0" xfId="0" applyFont="1" applyFill="1" applyAlignment="1">
      <alignment vertical="center" wrapText="1"/>
    </xf>
    <xf numFmtId="11" fontId="0" fillId="4" borderId="0" xfId="0" applyNumberFormat="1" applyFont="1" applyFill="1" applyAlignment="1">
      <alignment vertical="center"/>
    </xf>
    <xf numFmtId="0" fontId="0" fillId="4" borderId="0" xfId="0" applyFont="1" applyFill="1" applyAlignment="1">
      <alignment vertical="center"/>
    </xf>
    <xf numFmtId="0" fontId="2" fillId="5" borderId="0" xfId="0" applyFont="1" applyFill="1" applyAlignment="1">
      <alignment vertical="center" wrapText="1"/>
    </xf>
    <xf numFmtId="0" fontId="0" fillId="5" borderId="0" xfId="0" applyFont="1" applyFill="1" applyAlignment="1">
      <alignment vertical="center"/>
    </xf>
    <xf numFmtId="0" fontId="2" fillId="6" borderId="0" xfId="0" applyFont="1" applyFill="1" applyAlignment="1">
      <alignment vertical="center" wrapText="1"/>
    </xf>
    <xf numFmtId="0" fontId="2" fillId="6" borderId="0" xfId="0" applyFont="1" applyFill="1" applyAlignment="1">
      <alignment vertical="center"/>
    </xf>
    <xf numFmtId="0" fontId="9" fillId="0" borderId="0" xfId="0" applyFont="1"/>
    <xf numFmtId="0" fontId="2" fillId="0" borderId="0" xfId="0" applyFont="1" applyAlignment="1">
      <alignment horizontal="center" vertical="center" wrapText="1"/>
    </xf>
    <xf numFmtId="2" fontId="0" fillId="0" borderId="0" xfId="1" applyNumberFormat="1" applyFont="1" applyFill="1" applyBorder="1"/>
    <xf numFmtId="165" fontId="0" fillId="0" borderId="0" xfId="1" applyNumberFormat="1" applyFont="1" applyFill="1" applyBorder="1"/>
    <xf numFmtId="9" fontId="0" fillId="0" borderId="0" xfId="1" applyFont="1" applyAlignment="1">
      <alignment horizont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2" fillId="0" borderId="1" xfId="0" applyFont="1" applyBorder="1" applyAlignment="1">
      <alignment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13" xfId="0" applyFont="1" applyFill="1" applyBorder="1" applyAlignment="1">
      <alignment horizontal="center" vertical="center"/>
    </xf>
    <xf numFmtId="0" fontId="2" fillId="5" borderId="12" xfId="0" applyFont="1" applyFill="1" applyBorder="1" applyAlignment="1">
      <alignment horizontal="center" vertical="center"/>
    </xf>
    <xf numFmtId="0" fontId="2" fillId="5" borderId="13" xfId="0" applyFont="1" applyFill="1" applyBorder="1" applyAlignment="1">
      <alignment horizontal="center" vertical="center"/>
    </xf>
    <xf numFmtId="0" fontId="2" fillId="6" borderId="12" xfId="0" applyFont="1" applyFill="1" applyBorder="1" applyAlignment="1">
      <alignment horizontal="center" vertical="center"/>
    </xf>
    <xf numFmtId="0" fontId="2" fillId="6" borderId="13" xfId="0" applyFont="1" applyFill="1" applyBorder="1" applyAlignment="1">
      <alignment horizontal="center" vertical="center"/>
    </xf>
    <xf numFmtId="0" fontId="0" fillId="0" borderId="2" xfId="0" applyFont="1" applyBorder="1"/>
    <xf numFmtId="0" fontId="2" fillId="0" borderId="3" xfId="0" applyFont="1" applyBorder="1" applyAlignment="1">
      <alignment vertical="center"/>
    </xf>
    <xf numFmtId="9" fontId="2" fillId="2" borderId="12" xfId="1" applyFont="1" applyFill="1" applyBorder="1" applyAlignment="1">
      <alignment horizontal="center"/>
    </xf>
    <xf numFmtId="0" fontId="2" fillId="2" borderId="13" xfId="0" applyFont="1" applyFill="1" applyBorder="1"/>
    <xf numFmtId="0" fontId="2" fillId="2" borderId="12" xfId="0" applyFont="1" applyFill="1" applyBorder="1" applyAlignment="1">
      <alignment horizontal="center" vertical="center"/>
    </xf>
    <xf numFmtId="0" fontId="2" fillId="3" borderId="12" xfId="0" applyFont="1" applyFill="1" applyBorder="1" applyAlignment="1">
      <alignment horizontal="center"/>
    </xf>
    <xf numFmtId="0" fontId="2" fillId="3" borderId="13" xfId="0" applyFont="1" applyFill="1" applyBorder="1"/>
    <xf numFmtId="0" fontId="2" fillId="4" borderId="12" xfId="0" applyFont="1" applyFill="1" applyBorder="1" applyAlignment="1">
      <alignment horizontal="center" vertical="center"/>
    </xf>
    <xf numFmtId="0" fontId="2" fillId="4" borderId="13" xfId="0" applyFont="1" applyFill="1" applyBorder="1"/>
    <xf numFmtId="0" fontId="2" fillId="5" borderId="12" xfId="0" applyFont="1" applyFill="1" applyBorder="1" applyAlignment="1">
      <alignment horizontal="center" vertical="center"/>
    </xf>
    <xf numFmtId="0" fontId="2" fillId="5" borderId="13" xfId="0" applyFont="1" applyFill="1" applyBorder="1"/>
    <xf numFmtId="0" fontId="2" fillId="6" borderId="12" xfId="0" applyFont="1" applyFill="1" applyBorder="1" applyAlignment="1">
      <alignment horizontal="center" vertical="center"/>
    </xf>
    <xf numFmtId="0" fontId="2" fillId="6" borderId="13" xfId="0" applyFont="1" applyFill="1" applyBorder="1"/>
    <xf numFmtId="0" fontId="2" fillId="4" borderId="12" xfId="0" applyFont="1" applyFill="1" applyBorder="1"/>
    <xf numFmtId="0" fontId="2" fillId="5" borderId="12" xfId="0" applyFont="1" applyFill="1" applyBorder="1"/>
    <xf numFmtId="0" fontId="2" fillId="6" borderId="12" xfId="0" applyFont="1" applyFill="1" applyBorder="1"/>
    <xf numFmtId="0" fontId="0" fillId="0" borderId="0" xfId="0" applyFont="1" applyBorder="1"/>
    <xf numFmtId="0" fontId="2" fillId="2" borderId="10" xfId="0" applyFont="1" applyFill="1" applyBorder="1" applyAlignment="1">
      <alignment horizontal="center" vertical="center"/>
    </xf>
    <xf numFmtId="0" fontId="2" fillId="2" borderId="11" xfId="0" applyFont="1" applyFill="1" applyBorder="1"/>
    <xf numFmtId="0" fontId="0" fillId="0" borderId="7" xfId="0" applyFont="1" applyFill="1" applyBorder="1" applyAlignment="1">
      <alignment horizontal="center" vertical="center"/>
    </xf>
    <xf numFmtId="49" fontId="0" fillId="0" borderId="7" xfId="0" applyNumberFormat="1" applyFont="1" applyFill="1" applyBorder="1" applyAlignment="1">
      <alignment horizontal="center" vertical="center"/>
    </xf>
    <xf numFmtId="0" fontId="0" fillId="0" borderId="7" xfId="0" applyFont="1" applyBorder="1"/>
    <xf numFmtId="0" fontId="0" fillId="0" borderId="9" xfId="0" applyFont="1" applyBorder="1"/>
    <xf numFmtId="49" fontId="0" fillId="0" borderId="7" xfId="0" applyNumberFormat="1" applyFont="1" applyBorder="1"/>
    <xf numFmtId="0" fontId="0" fillId="0" borderId="12" xfId="0" applyFont="1" applyFill="1" applyBorder="1" applyAlignment="1">
      <alignment horizontal="center" vertical="center"/>
    </xf>
    <xf numFmtId="49" fontId="0" fillId="0" borderId="12" xfId="0" applyNumberFormat="1" applyFont="1" applyFill="1" applyBorder="1" applyAlignment="1">
      <alignment horizontal="center" vertical="center"/>
    </xf>
    <xf numFmtId="0" fontId="0" fillId="0" borderId="10" xfId="0" applyFont="1" applyFill="1" applyBorder="1" applyAlignment="1">
      <alignment horizontal="center" vertical="center"/>
    </xf>
    <xf numFmtId="2" fontId="0" fillId="0" borderId="11" xfId="0" applyNumberFormat="1" applyFont="1" applyFill="1" applyBorder="1"/>
    <xf numFmtId="49" fontId="0" fillId="0" borderId="10" xfId="0" applyNumberFormat="1" applyFont="1" applyFill="1" applyBorder="1" applyAlignment="1">
      <alignment horizontal="center" vertical="center"/>
    </xf>
    <xf numFmtId="49" fontId="0" fillId="0" borderId="10" xfId="0" applyNumberFormat="1" applyFont="1" applyBorder="1"/>
    <xf numFmtId="0" fontId="2" fillId="7" borderId="7" xfId="0" applyFont="1" applyFill="1" applyBorder="1" applyAlignment="1">
      <alignment horizontal="center" vertical="center"/>
    </xf>
    <xf numFmtId="2" fontId="0" fillId="0" borderId="7" xfId="0" applyNumberFormat="1" applyFont="1" applyBorder="1"/>
    <xf numFmtId="2" fontId="0" fillId="0" borderId="8" xfId="0" applyNumberFormat="1" applyFont="1" applyBorder="1"/>
    <xf numFmtId="0" fontId="2" fillId="7" borderId="12" xfId="0" applyFont="1" applyFill="1" applyBorder="1" applyAlignment="1">
      <alignment horizontal="center" vertical="center"/>
    </xf>
    <xf numFmtId="2" fontId="0" fillId="0" borderId="12" xfId="0" applyNumberFormat="1" applyFont="1" applyBorder="1"/>
    <xf numFmtId="2" fontId="0" fillId="0" borderId="0" xfId="0" applyNumberFormat="1" applyFont="1" applyBorder="1"/>
    <xf numFmtId="0" fontId="2" fillId="7" borderId="10" xfId="0" applyFont="1" applyFill="1" applyBorder="1" applyAlignment="1">
      <alignment horizontal="center" vertical="center"/>
    </xf>
    <xf numFmtId="2" fontId="0" fillId="0" borderId="10" xfId="0" applyNumberFormat="1" applyFont="1" applyBorder="1"/>
    <xf numFmtId="2" fontId="0" fillId="0" borderId="4" xfId="0" applyNumberFormat="1" applyFont="1" applyBorder="1"/>
    <xf numFmtId="49" fontId="0" fillId="0" borderId="0" xfId="0" applyNumberFormat="1" applyFont="1" applyAlignment="1">
      <alignment horizontal="center" vertical="center"/>
    </xf>
  </cellXfs>
  <cellStyles count="3">
    <cellStyle name="Lien hypertexte" xfId="2" builtinId="8"/>
    <cellStyle name="Normal" xfId="0" builtinId="0"/>
    <cellStyle name="Pourcentage" xfId="1" builtinId="5"/>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6D45E-2711-4EE6-B008-CAAD96457085}">
  <dimension ref="A1:B15"/>
  <sheetViews>
    <sheetView tabSelected="1" workbookViewId="0">
      <selection activeCell="B19" sqref="B19"/>
    </sheetView>
  </sheetViews>
  <sheetFormatPr baseColWidth="10" defaultColWidth="11.44140625" defaultRowHeight="14.4" x14ac:dyDescent="0.3"/>
  <cols>
    <col min="1" max="1" width="9.5546875" bestFit="1" customWidth="1"/>
    <col min="2" max="2" width="245.5546875" customWidth="1"/>
  </cols>
  <sheetData>
    <row r="1" spans="1:2" s="8" customFormat="1" x14ac:dyDescent="0.3">
      <c r="A1" s="24" t="s">
        <v>626</v>
      </c>
      <c r="B1" s="24"/>
    </row>
    <row r="2" spans="1:2" s="8" customFormat="1" x14ac:dyDescent="0.3">
      <c r="A2" s="24" t="s">
        <v>614</v>
      </c>
      <c r="B2" s="24"/>
    </row>
    <row r="3" spans="1:2" s="8" customFormat="1" x14ac:dyDescent="0.3">
      <c r="A3" s="22"/>
      <c r="B3" s="22"/>
    </row>
    <row r="4" spans="1:2" s="8" customFormat="1" ht="16.2" x14ac:dyDescent="0.3">
      <c r="A4" s="24" t="s">
        <v>627</v>
      </c>
      <c r="B4" s="24"/>
    </row>
    <row r="5" spans="1:2" s="8" customFormat="1" x14ac:dyDescent="0.3">
      <c r="A5" s="26" t="s">
        <v>628</v>
      </c>
      <c r="B5" s="26"/>
    </row>
    <row r="6" spans="1:2" s="8" customFormat="1" x14ac:dyDescent="0.3">
      <c r="A6" s="26" t="s">
        <v>629</v>
      </c>
      <c r="B6" s="26"/>
    </row>
    <row r="7" spans="1:2" s="8" customFormat="1" x14ac:dyDescent="0.3">
      <c r="A7" s="26" t="s">
        <v>630</v>
      </c>
      <c r="B7" s="26"/>
    </row>
    <row r="8" spans="1:2" s="8" customFormat="1" x14ac:dyDescent="0.3">
      <c r="A8" s="26" t="s">
        <v>631</v>
      </c>
      <c r="B8" s="26"/>
    </row>
    <row r="10" spans="1:2" x14ac:dyDescent="0.3">
      <c r="A10" s="25" t="s">
        <v>621</v>
      </c>
      <c r="B10" s="25"/>
    </row>
    <row r="11" spans="1:2" x14ac:dyDescent="0.3">
      <c r="A11" s="27" t="s">
        <v>617</v>
      </c>
      <c r="B11" s="2" t="s">
        <v>622</v>
      </c>
    </row>
    <row r="12" spans="1:2" ht="28.8" x14ac:dyDescent="0.3">
      <c r="A12" s="27" t="s">
        <v>618</v>
      </c>
      <c r="B12" s="2" t="s">
        <v>624</v>
      </c>
    </row>
    <row r="13" spans="1:2" x14ac:dyDescent="0.3">
      <c r="A13" s="27" t="s">
        <v>620</v>
      </c>
      <c r="B13" t="s">
        <v>623</v>
      </c>
    </row>
    <row r="14" spans="1:2" x14ac:dyDescent="0.3">
      <c r="A14" s="27" t="s">
        <v>619</v>
      </c>
      <c r="B14" s="2" t="s">
        <v>625</v>
      </c>
    </row>
    <row r="15" spans="1:2" x14ac:dyDescent="0.3">
      <c r="A15" s="1"/>
      <c r="B15" s="2"/>
    </row>
  </sheetData>
  <mergeCells count="8">
    <mergeCell ref="A1:B1"/>
    <mergeCell ref="A10:B10"/>
    <mergeCell ref="A2:B2"/>
    <mergeCell ref="A4:B4"/>
    <mergeCell ref="A5:B5"/>
    <mergeCell ref="A6:B6"/>
    <mergeCell ref="A7:B7"/>
    <mergeCell ref="A8:B8"/>
  </mergeCells>
  <hyperlinks>
    <hyperlink ref="A11" location="'Table S2.1'!A1" display="Table S2.1" xr:uid="{287CA48F-DB94-411E-AFE5-68FEF8131247}"/>
    <hyperlink ref="A12" location="'Table S2.2'!A1" display="Table S2.2" xr:uid="{816E17FD-87C2-443C-A0CD-606963F3066E}"/>
    <hyperlink ref="A13" location="'Table S2. 3'!A1" display="Table S2.3" xr:uid="{8409325E-8E0F-47D2-AD08-C8BC759C0B85}"/>
    <hyperlink ref="A14" location="'Table S2.4'!A1" display="Table S2.4" xr:uid="{475B3887-8D4E-49BF-B1E9-B6356CACC6EC}"/>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F7D8B-7042-4F90-844C-2634DA021272}">
  <sheetPr>
    <tabColor rgb="FF00B050"/>
  </sheetPr>
  <dimension ref="A1:AH72"/>
  <sheetViews>
    <sheetView zoomScaleNormal="100" workbookViewId="0">
      <pane xSplit="1" ySplit="7" topLeftCell="B11" activePane="bottomRight" state="frozen"/>
      <selection pane="topRight" activeCell="B1" sqref="B1"/>
      <selection pane="bottomLeft" activeCell="A8" sqref="A8"/>
      <selection pane="bottomRight" activeCell="V1" sqref="V1:V1048576"/>
    </sheetView>
  </sheetViews>
  <sheetFormatPr baseColWidth="10" defaultColWidth="12.44140625" defaultRowHeight="14.4" x14ac:dyDescent="0.3"/>
  <cols>
    <col min="1" max="1" width="18.21875" style="30" customWidth="1"/>
    <col min="2" max="2" width="14.109375" style="30" customWidth="1"/>
    <col min="3" max="3" width="14.88671875" style="30" bestFit="1" customWidth="1"/>
    <col min="4" max="4" width="13.77734375" style="30" customWidth="1"/>
    <col min="5" max="5" width="14.88671875" style="30" bestFit="1" customWidth="1"/>
    <col min="6" max="6" width="10.88671875" style="30" bestFit="1" customWidth="1"/>
    <col min="7" max="7" width="14.88671875" style="30" bestFit="1" customWidth="1"/>
    <col min="8" max="8" width="12.33203125" style="30" customWidth="1"/>
    <col min="9" max="9" width="15.44140625" style="30" customWidth="1"/>
    <col min="10" max="10" width="10.88671875" style="30" bestFit="1" customWidth="1"/>
    <col min="11" max="11" width="14.88671875" style="30" bestFit="1" customWidth="1"/>
    <col min="12" max="12" width="10.88671875" style="30" bestFit="1" customWidth="1"/>
    <col min="13" max="13" width="14.88671875" style="30" bestFit="1" customWidth="1"/>
    <col min="14" max="14" width="4.21875" style="30" customWidth="1"/>
    <col min="15" max="15" width="12.88671875" style="30" customWidth="1"/>
    <col min="16" max="16" width="14.88671875" style="30" bestFit="1" customWidth="1"/>
    <col min="17" max="17" width="10.88671875" style="30" bestFit="1" customWidth="1"/>
    <col min="18" max="18" width="14.88671875" style="30" bestFit="1" customWidth="1"/>
    <col min="19" max="19" width="10.88671875" style="30" bestFit="1" customWidth="1"/>
    <col min="20" max="20" width="14.88671875" style="30" bestFit="1" customWidth="1"/>
    <col min="21" max="21" width="3.6640625" style="30" customWidth="1"/>
    <col min="22" max="22" width="12.109375" style="30" customWidth="1"/>
    <col min="23" max="23" width="14.88671875" style="30" bestFit="1" customWidth="1"/>
    <col min="24" max="24" width="10.88671875" style="30" bestFit="1" customWidth="1"/>
    <col min="25" max="25" width="14.88671875" style="30" bestFit="1" customWidth="1"/>
    <col min="26" max="26" width="10.88671875" style="30" bestFit="1" customWidth="1"/>
    <col min="27" max="27" width="14.88671875" style="30" bestFit="1" customWidth="1"/>
    <col min="28" max="28" width="3.44140625" style="30" customWidth="1"/>
    <col min="29" max="29" width="10.88671875" style="30" bestFit="1" customWidth="1"/>
    <col min="30" max="30" width="14.88671875" style="30" bestFit="1" customWidth="1"/>
    <col min="31" max="31" width="10.88671875" style="30" bestFit="1" customWidth="1"/>
    <col min="32" max="32" width="14.88671875" style="30" bestFit="1" customWidth="1"/>
    <col min="33" max="33" width="10.88671875" style="30" bestFit="1" customWidth="1"/>
    <col min="34" max="34" width="14.88671875" style="30" bestFit="1" customWidth="1"/>
    <col min="35" max="16384" width="12.44140625" style="30"/>
  </cols>
  <sheetData>
    <row r="1" spans="1:34" s="30" customFormat="1" x14ac:dyDescent="0.3">
      <c r="A1" s="28" t="s">
        <v>0</v>
      </c>
      <c r="B1" s="30" t="s">
        <v>1</v>
      </c>
    </row>
    <row r="3" spans="1:34" s="30" customFormat="1" x14ac:dyDescent="0.3">
      <c r="A3" s="33" t="s">
        <v>2</v>
      </c>
    </row>
    <row r="4" spans="1:34" s="30" customFormat="1" ht="15" thickBot="1" x14ac:dyDescent="0.35">
      <c r="A4" s="36" t="s">
        <v>3</v>
      </c>
      <c r="V4" s="87"/>
      <c r="W4" s="87"/>
      <c r="X4" s="87"/>
      <c r="Y4" s="87"/>
      <c r="Z4" s="87"/>
      <c r="AA4" s="87"/>
      <c r="AC4" s="87"/>
      <c r="AD4" s="87"/>
      <c r="AE4" s="87"/>
      <c r="AF4" s="87"/>
      <c r="AG4" s="87"/>
      <c r="AH4" s="87"/>
    </row>
    <row r="5" spans="1:34" s="30" customFormat="1" ht="15.6" customHeight="1" thickTop="1" thickBot="1" x14ac:dyDescent="0.35">
      <c r="A5" s="88" t="s">
        <v>4</v>
      </c>
      <c r="B5" s="89"/>
      <c r="C5" s="89"/>
      <c r="D5" s="89"/>
      <c r="E5" s="89"/>
      <c r="F5" s="89"/>
      <c r="G5" s="89"/>
      <c r="H5" s="89"/>
      <c r="I5" s="89"/>
      <c r="J5" s="89"/>
      <c r="K5" s="89"/>
      <c r="L5" s="89"/>
      <c r="M5" s="90"/>
      <c r="O5" s="91" t="s">
        <v>5</v>
      </c>
      <c r="P5" s="92"/>
      <c r="Q5" s="92"/>
      <c r="R5" s="92"/>
      <c r="S5" s="92"/>
      <c r="T5" s="93"/>
      <c r="V5" s="94" t="s">
        <v>6</v>
      </c>
      <c r="W5" s="95"/>
      <c r="X5" s="95"/>
      <c r="Y5" s="95"/>
      <c r="Z5" s="95"/>
      <c r="AA5" s="96"/>
      <c r="AC5" s="94" t="s">
        <v>7</v>
      </c>
      <c r="AD5" s="95"/>
      <c r="AE5" s="95"/>
      <c r="AF5" s="95"/>
      <c r="AG5" s="97"/>
      <c r="AH5" s="98"/>
    </row>
    <row r="6" spans="1:34" s="34" customFormat="1" ht="29.4" thickTop="1" x14ac:dyDescent="0.3">
      <c r="A6" s="99" t="s">
        <v>8</v>
      </c>
      <c r="B6" s="100" t="s">
        <v>9</v>
      </c>
      <c r="C6" s="101"/>
      <c r="D6" s="100" t="s">
        <v>10</v>
      </c>
      <c r="E6" s="101"/>
      <c r="F6" s="102" t="s">
        <v>11</v>
      </c>
      <c r="G6" s="103"/>
      <c r="H6" s="104" t="s">
        <v>12</v>
      </c>
      <c r="I6" s="105"/>
      <c r="J6" s="106" t="s">
        <v>13</v>
      </c>
      <c r="K6" s="107"/>
      <c r="L6" s="108" t="s">
        <v>14</v>
      </c>
      <c r="M6" s="109"/>
      <c r="N6" s="110"/>
      <c r="O6" s="104" t="s">
        <v>12</v>
      </c>
      <c r="P6" s="105"/>
      <c r="Q6" s="106" t="s">
        <v>13</v>
      </c>
      <c r="R6" s="107"/>
      <c r="S6" s="108" t="s">
        <v>14</v>
      </c>
      <c r="T6" s="109"/>
      <c r="V6" s="104" t="s">
        <v>12</v>
      </c>
      <c r="W6" s="105"/>
      <c r="X6" s="106" t="s">
        <v>13</v>
      </c>
      <c r="Y6" s="107"/>
      <c r="Z6" s="108" t="s">
        <v>14</v>
      </c>
      <c r="AA6" s="109"/>
      <c r="AC6" s="100" t="s">
        <v>9</v>
      </c>
      <c r="AD6" s="101"/>
      <c r="AE6" s="100" t="s">
        <v>10</v>
      </c>
      <c r="AF6" s="111"/>
      <c r="AG6" s="100" t="s">
        <v>111</v>
      </c>
      <c r="AH6" s="101"/>
    </row>
    <row r="7" spans="1:34" s="34" customFormat="1" ht="15" thickBot="1" x14ac:dyDescent="0.35">
      <c r="A7" s="112" t="s">
        <v>15</v>
      </c>
      <c r="B7" s="113" t="s">
        <v>16</v>
      </c>
      <c r="C7" s="114" t="s">
        <v>17</v>
      </c>
      <c r="D7" s="113" t="s">
        <v>16</v>
      </c>
      <c r="E7" s="114" t="s">
        <v>17</v>
      </c>
      <c r="F7" s="115" t="s">
        <v>16</v>
      </c>
      <c r="G7" s="116" t="s">
        <v>17</v>
      </c>
      <c r="H7" s="117" t="s">
        <v>16</v>
      </c>
      <c r="I7" s="118" t="s">
        <v>17</v>
      </c>
      <c r="J7" s="119" t="s">
        <v>16</v>
      </c>
      <c r="K7" s="120" t="s">
        <v>17</v>
      </c>
      <c r="L7" s="121" t="s">
        <v>16</v>
      </c>
      <c r="M7" s="122" t="s">
        <v>17</v>
      </c>
      <c r="N7" s="123"/>
      <c r="O7" s="117" t="s">
        <v>16</v>
      </c>
      <c r="P7" s="118" t="s">
        <v>17</v>
      </c>
      <c r="Q7" s="119" t="s">
        <v>16</v>
      </c>
      <c r="R7" s="120" t="s">
        <v>17</v>
      </c>
      <c r="S7" s="124" t="s">
        <v>16</v>
      </c>
      <c r="T7" s="122" t="s">
        <v>17</v>
      </c>
      <c r="V7" s="117" t="s">
        <v>16</v>
      </c>
      <c r="W7" s="118" t="s">
        <v>17</v>
      </c>
      <c r="X7" s="119" t="s">
        <v>16</v>
      </c>
      <c r="Y7" s="120" t="s">
        <v>17</v>
      </c>
      <c r="Z7" s="124" t="s">
        <v>16</v>
      </c>
      <c r="AA7" s="122" t="s">
        <v>17</v>
      </c>
      <c r="AC7" s="113" t="s">
        <v>16</v>
      </c>
      <c r="AD7" s="114" t="s">
        <v>17</v>
      </c>
      <c r="AE7" s="113" t="s">
        <v>16</v>
      </c>
      <c r="AF7" s="125" t="s">
        <v>17</v>
      </c>
      <c r="AG7" s="113" t="s">
        <v>16</v>
      </c>
      <c r="AH7" s="114" t="s">
        <v>17</v>
      </c>
    </row>
    <row r="8" spans="1:34" s="30" customFormat="1" ht="15" thickTop="1" x14ac:dyDescent="0.3">
      <c r="A8" s="126" t="s">
        <v>18</v>
      </c>
      <c r="B8" s="127" t="s">
        <v>19</v>
      </c>
      <c r="C8" s="47">
        <v>9.7633606678930107</v>
      </c>
      <c r="D8" s="127" t="s">
        <v>19</v>
      </c>
      <c r="E8" s="47">
        <v>9.7633606678930107</v>
      </c>
      <c r="F8" s="127" t="s">
        <v>19</v>
      </c>
      <c r="G8" s="47">
        <v>9.7633606678930107</v>
      </c>
      <c r="H8" s="127" t="s">
        <v>20</v>
      </c>
      <c r="I8" s="128">
        <v>9.7633606678930107</v>
      </c>
      <c r="J8" s="129" t="s">
        <v>21</v>
      </c>
      <c r="K8" s="47">
        <v>0.20928570624200801</v>
      </c>
      <c r="L8" s="130" t="s">
        <v>21</v>
      </c>
      <c r="M8" s="128">
        <v>90.236639332106904</v>
      </c>
      <c r="O8" s="131"/>
      <c r="P8" s="132"/>
      <c r="Q8" s="133"/>
      <c r="R8" s="132"/>
      <c r="S8" s="134"/>
      <c r="T8" s="132"/>
      <c r="V8" s="131"/>
      <c r="W8" s="132"/>
      <c r="X8" s="133"/>
      <c r="Y8" s="132"/>
      <c r="Z8" s="134"/>
      <c r="AA8" s="132"/>
      <c r="AC8" s="127" t="s">
        <v>19</v>
      </c>
      <c r="AD8" s="128">
        <v>9.7633606678930107</v>
      </c>
      <c r="AE8" s="127" t="s">
        <v>19</v>
      </c>
      <c r="AF8" s="135">
        <v>9.7633606678930107</v>
      </c>
      <c r="AG8" s="127" t="s">
        <v>19</v>
      </c>
      <c r="AH8" s="135">
        <v>9.7633606678930107</v>
      </c>
    </row>
    <row r="9" spans="1:34" s="30" customFormat="1" x14ac:dyDescent="0.3">
      <c r="A9" s="136"/>
      <c r="B9" s="137" t="s">
        <v>22</v>
      </c>
      <c r="C9" s="47">
        <v>24.406472336270699</v>
      </c>
      <c r="D9" s="137" t="s">
        <v>22</v>
      </c>
      <c r="E9" s="47">
        <v>25.542586146896902</v>
      </c>
      <c r="F9" s="137" t="s">
        <v>22</v>
      </c>
      <c r="G9" s="47">
        <v>84.284826373520502</v>
      </c>
      <c r="H9" s="137" t="s">
        <v>23</v>
      </c>
      <c r="I9" s="47">
        <v>44.300481521029702</v>
      </c>
      <c r="J9" s="138" t="s">
        <v>20</v>
      </c>
      <c r="K9" s="47">
        <v>9.7633606678930107</v>
      </c>
      <c r="L9" s="127" t="s">
        <v>20</v>
      </c>
      <c r="M9" s="128">
        <v>9.7633606678930107</v>
      </c>
      <c r="O9" s="131"/>
      <c r="P9" s="132"/>
      <c r="Q9" s="133"/>
      <c r="R9" s="132"/>
      <c r="S9" s="46"/>
      <c r="T9" s="132"/>
      <c r="V9" s="131"/>
      <c r="W9" s="132"/>
      <c r="X9" s="133"/>
      <c r="Y9" s="132"/>
      <c r="Z9" s="46"/>
      <c r="AA9" s="132"/>
      <c r="AC9" s="137" t="s">
        <v>22</v>
      </c>
      <c r="AD9" s="128">
        <v>87.378670967368095</v>
      </c>
      <c r="AE9" s="137" t="s">
        <v>22</v>
      </c>
      <c r="AF9" s="128">
        <v>89.237148273011897</v>
      </c>
      <c r="AG9" s="137" t="s">
        <v>22</v>
      </c>
      <c r="AH9" s="128">
        <v>89.268807124776103</v>
      </c>
    </row>
    <row r="10" spans="1:34" s="30" customFormat="1" x14ac:dyDescent="0.3">
      <c r="A10" s="136"/>
      <c r="B10" s="139" t="s">
        <v>24</v>
      </c>
      <c r="C10" s="47">
        <v>52.622213055181298</v>
      </c>
      <c r="D10" s="139" t="s">
        <v>24</v>
      </c>
      <c r="E10" s="47">
        <v>54.069475806331099</v>
      </c>
      <c r="F10" s="139" t="s">
        <v>24</v>
      </c>
      <c r="G10" s="47">
        <v>5.7027186368148097</v>
      </c>
      <c r="H10" s="139" t="s">
        <v>25</v>
      </c>
      <c r="I10" s="47">
        <v>41.112467389453599</v>
      </c>
      <c r="J10" s="140" t="s">
        <v>23</v>
      </c>
      <c r="K10" s="47">
        <v>89.717945158332</v>
      </c>
      <c r="L10" s="141"/>
      <c r="M10" s="128"/>
      <c r="O10" s="131"/>
      <c r="P10" s="132"/>
      <c r="Q10" s="133"/>
      <c r="R10" s="132"/>
      <c r="S10" s="46"/>
      <c r="T10" s="132"/>
      <c r="V10" s="131"/>
      <c r="W10" s="132"/>
      <c r="X10" s="133"/>
      <c r="Y10" s="132"/>
      <c r="Z10" s="46"/>
      <c r="AA10" s="132"/>
      <c r="AC10" s="139" t="s">
        <v>24</v>
      </c>
      <c r="AD10" s="128">
        <v>2.8579683647388401</v>
      </c>
      <c r="AE10" s="139" t="s">
        <v>24</v>
      </c>
      <c r="AF10" s="128">
        <v>0.99949105909503899</v>
      </c>
      <c r="AG10" s="139" t="s">
        <v>24</v>
      </c>
      <c r="AH10" s="128">
        <v>0.96783220733081599</v>
      </c>
    </row>
    <row r="11" spans="1:34" s="30" customFormat="1" x14ac:dyDescent="0.3">
      <c r="A11" s="136"/>
      <c r="B11" s="142" t="s">
        <v>26</v>
      </c>
      <c r="C11" s="47">
        <v>10.694494257953</v>
      </c>
      <c r="D11" s="142" t="s">
        <v>26</v>
      </c>
      <c r="E11" s="47">
        <v>9.1389754445010301</v>
      </c>
      <c r="F11" s="142" t="s">
        <v>26</v>
      </c>
      <c r="G11" s="47">
        <v>0.24909432177166299</v>
      </c>
      <c r="H11" s="142" t="s">
        <v>27</v>
      </c>
      <c r="I11" s="47">
        <v>4.8236904216235903</v>
      </c>
      <c r="J11" s="143" t="s">
        <v>25</v>
      </c>
      <c r="K11" s="47">
        <v>0.30940846753298201</v>
      </c>
      <c r="L11" s="141"/>
      <c r="M11" s="128"/>
      <c r="O11" s="131"/>
      <c r="P11" s="132"/>
      <c r="Q11" s="133"/>
      <c r="R11" s="132"/>
      <c r="S11" s="46"/>
      <c r="T11" s="132"/>
      <c r="V11" s="131"/>
      <c r="W11" s="132"/>
      <c r="X11" s="133"/>
      <c r="Y11" s="132"/>
      <c r="Z11" s="46"/>
      <c r="AA11" s="132"/>
      <c r="AC11" s="141"/>
      <c r="AD11" s="128"/>
      <c r="AE11" s="141"/>
      <c r="AF11" s="128"/>
      <c r="AH11" s="128"/>
    </row>
    <row r="12" spans="1:34" s="30" customFormat="1" x14ac:dyDescent="0.3">
      <c r="A12" s="136"/>
      <c r="B12" s="144" t="s">
        <v>28</v>
      </c>
      <c r="C12" s="47">
        <v>1.9011308370562801</v>
      </c>
      <c r="D12" s="144" t="s">
        <v>28</v>
      </c>
      <c r="E12" s="47">
        <v>1.2258094944873601</v>
      </c>
      <c r="F12" s="141"/>
      <c r="G12" s="128"/>
      <c r="H12" s="141"/>
      <c r="I12" s="128"/>
      <c r="J12" s="141"/>
      <c r="K12" s="128"/>
      <c r="L12" s="141"/>
      <c r="M12" s="128"/>
      <c r="O12" s="131"/>
      <c r="P12" s="132"/>
      <c r="Q12" s="131"/>
      <c r="R12" s="132"/>
      <c r="S12" s="46"/>
      <c r="T12" s="132"/>
      <c r="V12" s="131"/>
      <c r="W12" s="132"/>
      <c r="X12" s="131"/>
      <c r="Y12" s="132"/>
      <c r="Z12" s="46"/>
      <c r="AA12" s="132"/>
      <c r="AC12" s="141"/>
      <c r="AD12" s="128"/>
      <c r="AE12" s="141"/>
      <c r="AF12" s="128"/>
      <c r="AH12" s="128"/>
    </row>
    <row r="13" spans="1:34" s="30" customFormat="1" ht="15" thickBot="1" x14ac:dyDescent="0.35">
      <c r="A13" s="145"/>
      <c r="B13" s="146" t="s">
        <v>29</v>
      </c>
      <c r="C13" s="47">
        <v>0.61232884564554901</v>
      </c>
      <c r="D13" s="146" t="s">
        <v>29</v>
      </c>
      <c r="E13" s="47">
        <v>0.259792439890565</v>
      </c>
      <c r="F13" s="147"/>
      <c r="G13" s="148"/>
      <c r="H13" s="147"/>
      <c r="I13" s="148"/>
      <c r="J13" s="147"/>
      <c r="K13" s="148"/>
      <c r="L13" s="147"/>
      <c r="M13" s="148"/>
      <c r="N13" s="87"/>
      <c r="O13" s="149"/>
      <c r="P13" s="150"/>
      <c r="Q13" s="149"/>
      <c r="R13" s="150"/>
      <c r="S13" s="151"/>
      <c r="T13" s="150"/>
      <c r="V13" s="149"/>
      <c r="W13" s="150"/>
      <c r="X13" s="149"/>
      <c r="Y13" s="150"/>
      <c r="Z13" s="151"/>
      <c r="AA13" s="150"/>
      <c r="AC13" s="147"/>
      <c r="AD13" s="148"/>
      <c r="AE13" s="147"/>
      <c r="AF13" s="148"/>
      <c r="AH13" s="148"/>
    </row>
    <row r="14" spans="1:34" s="30" customFormat="1" ht="15" thickTop="1" x14ac:dyDescent="0.3">
      <c r="A14" s="126" t="s">
        <v>30</v>
      </c>
      <c r="B14" s="152" t="s">
        <v>19</v>
      </c>
      <c r="C14" s="47">
        <v>9.7633606678930107</v>
      </c>
      <c r="D14" s="152" t="s">
        <v>19</v>
      </c>
      <c r="E14" s="47">
        <v>9.7633606678930107</v>
      </c>
      <c r="F14" s="152" t="s">
        <v>19</v>
      </c>
      <c r="G14" s="47">
        <v>9.7633606678930107</v>
      </c>
      <c r="H14" s="152" t="s">
        <v>20</v>
      </c>
      <c r="I14" s="135">
        <v>9.7633606678930107</v>
      </c>
      <c r="J14" s="129" t="s">
        <v>21</v>
      </c>
      <c r="K14" s="47">
        <v>1.7678839856447499</v>
      </c>
      <c r="L14" s="153" t="s">
        <v>31</v>
      </c>
      <c r="M14" s="135">
        <v>2.3636160903658898</v>
      </c>
      <c r="N14" s="154"/>
      <c r="O14" s="155"/>
      <c r="P14" s="156"/>
      <c r="Q14" s="157"/>
      <c r="R14" s="156"/>
      <c r="S14" s="158"/>
      <c r="T14" s="156"/>
      <c r="V14" s="155"/>
      <c r="W14" s="156"/>
      <c r="X14" s="157"/>
      <c r="Y14" s="156"/>
      <c r="Z14" s="158"/>
      <c r="AA14" s="156"/>
      <c r="AC14" s="152" t="s">
        <v>19</v>
      </c>
      <c r="AD14" s="135">
        <v>9.7633606678930107</v>
      </c>
      <c r="AE14" s="152" t="s">
        <v>19</v>
      </c>
      <c r="AF14" s="135">
        <v>9.7633606678930107</v>
      </c>
      <c r="AG14" s="152" t="s">
        <v>19</v>
      </c>
      <c r="AH14" s="128">
        <v>9.7633606678930107</v>
      </c>
    </row>
    <row r="15" spans="1:34" s="30" customFormat="1" x14ac:dyDescent="0.3">
      <c r="A15" s="136"/>
      <c r="B15" s="137" t="s">
        <v>22</v>
      </c>
      <c r="C15" s="47">
        <v>25.589056848518599</v>
      </c>
      <c r="D15" s="137" t="s">
        <v>22</v>
      </c>
      <c r="E15" s="47">
        <v>37.958149296527097</v>
      </c>
      <c r="F15" s="137" t="s">
        <v>22</v>
      </c>
      <c r="G15" s="47">
        <v>85.066583486992698</v>
      </c>
      <c r="H15" s="137" t="s">
        <v>23</v>
      </c>
      <c r="I15" s="47">
        <v>65.601058773201302</v>
      </c>
      <c r="J15" s="138" t="s">
        <v>20</v>
      </c>
      <c r="K15" s="47">
        <v>9.7633606678930107</v>
      </c>
      <c r="L15" s="130" t="s">
        <v>21</v>
      </c>
      <c r="M15" s="128">
        <v>87.873023241741095</v>
      </c>
      <c r="O15" s="131"/>
      <c r="P15" s="132"/>
      <c r="Q15" s="133"/>
      <c r="R15" s="132"/>
      <c r="S15" s="134"/>
      <c r="T15" s="132"/>
      <c r="V15" s="131"/>
      <c r="W15" s="132"/>
      <c r="X15" s="133"/>
      <c r="Y15" s="132"/>
      <c r="Z15" s="134"/>
      <c r="AA15" s="132"/>
      <c r="AC15" s="137" t="s">
        <v>22</v>
      </c>
      <c r="AD15" s="128">
        <v>88.315286938341103</v>
      </c>
      <c r="AE15" s="137" t="s">
        <v>22</v>
      </c>
      <c r="AF15" s="128">
        <v>90.208085934680796</v>
      </c>
      <c r="AG15" s="137" t="s">
        <v>22</v>
      </c>
      <c r="AH15" s="128">
        <v>89.540814135102394</v>
      </c>
    </row>
    <row r="16" spans="1:34" s="30" customFormat="1" x14ac:dyDescent="0.3">
      <c r="A16" s="136"/>
      <c r="B16" s="139" t="s">
        <v>24</v>
      </c>
      <c r="C16" s="47">
        <v>54.0510018721913</v>
      </c>
      <c r="D16" s="139" t="s">
        <v>24</v>
      </c>
      <c r="E16" s="47">
        <v>48.077806331693502</v>
      </c>
      <c r="F16" s="139" t="s">
        <v>24</v>
      </c>
      <c r="G16" s="47">
        <v>4.9619806766743402</v>
      </c>
      <c r="H16" s="139" t="s">
        <v>25</v>
      </c>
      <c r="I16" s="47">
        <v>24.635580558905499</v>
      </c>
      <c r="J16" s="140" t="s">
        <v>23</v>
      </c>
      <c r="K16" s="47">
        <v>88.468755346462203</v>
      </c>
      <c r="L16" s="138" t="s">
        <v>20</v>
      </c>
      <c r="M16" s="128">
        <v>9.7633606678930107</v>
      </c>
      <c r="O16" s="131"/>
      <c r="P16" s="132"/>
      <c r="Q16" s="133"/>
      <c r="R16" s="132"/>
      <c r="S16" s="134"/>
      <c r="T16" s="132"/>
      <c r="V16" s="131"/>
      <c r="W16" s="132"/>
      <c r="X16" s="133"/>
      <c r="Y16" s="132"/>
      <c r="Z16" s="134"/>
      <c r="AA16" s="132"/>
      <c r="AC16" s="139" t="s">
        <v>24</v>
      </c>
      <c r="AD16" s="128">
        <v>1.9213523937658601</v>
      </c>
      <c r="AE16" s="141"/>
      <c r="AF16" s="128">
        <v>2.85533974261848E-2</v>
      </c>
      <c r="AG16" s="139" t="s">
        <v>24</v>
      </c>
      <c r="AH16" s="128">
        <v>0.69582519700459</v>
      </c>
    </row>
    <row r="17" spans="1:34" s="30" customFormat="1" x14ac:dyDescent="0.3">
      <c r="A17" s="136"/>
      <c r="B17" s="142" t="s">
        <v>26</v>
      </c>
      <c r="C17" s="47">
        <v>8.6564309900731207</v>
      </c>
      <c r="D17" s="142" t="s">
        <v>26</v>
      </c>
      <c r="E17" s="47">
        <v>3.5529263238295998</v>
      </c>
      <c r="F17" s="142" t="s">
        <v>26</v>
      </c>
      <c r="G17" s="47">
        <v>0.20807516843988599</v>
      </c>
      <c r="H17" s="141"/>
      <c r="I17" s="128"/>
      <c r="J17" s="141"/>
      <c r="K17" s="128"/>
      <c r="L17" s="141"/>
      <c r="M17" s="128"/>
      <c r="O17" s="131"/>
      <c r="P17" s="132"/>
      <c r="Q17" s="131"/>
      <c r="R17" s="132"/>
      <c r="S17" s="46"/>
      <c r="T17" s="132"/>
      <c r="V17" s="131"/>
      <c r="W17" s="132"/>
      <c r="X17" s="131"/>
      <c r="Y17" s="132"/>
      <c r="Z17" s="46"/>
      <c r="AA17" s="132"/>
      <c r="AC17" s="141"/>
      <c r="AD17" s="128"/>
      <c r="AE17" s="141"/>
      <c r="AF17" s="128"/>
      <c r="AH17" s="159"/>
    </row>
    <row r="18" spans="1:34" s="30" customFormat="1" x14ac:dyDescent="0.3">
      <c r="A18" s="136"/>
      <c r="B18" s="144" t="s">
        <v>28</v>
      </c>
      <c r="C18" s="47">
        <v>1.45894053106294</v>
      </c>
      <c r="D18" s="144" t="s">
        <v>28</v>
      </c>
      <c r="E18" s="47">
        <v>0.64775738005662897</v>
      </c>
      <c r="F18" s="141"/>
      <c r="G18" s="128"/>
      <c r="H18" s="141"/>
      <c r="I18" s="128"/>
      <c r="J18" s="141"/>
      <c r="K18" s="128"/>
      <c r="L18" s="141"/>
      <c r="M18" s="128"/>
      <c r="O18" s="131"/>
      <c r="P18" s="132"/>
      <c r="Q18" s="131"/>
      <c r="R18" s="132"/>
      <c r="S18" s="46"/>
      <c r="T18" s="132"/>
      <c r="V18" s="131"/>
      <c r="W18" s="132"/>
      <c r="X18" s="131"/>
      <c r="Y18" s="132"/>
      <c r="Z18" s="46"/>
      <c r="AA18" s="132"/>
      <c r="AC18" s="141"/>
      <c r="AD18" s="128"/>
      <c r="AE18" s="141"/>
      <c r="AF18" s="128"/>
      <c r="AH18" s="159"/>
    </row>
    <row r="19" spans="1:34" s="30" customFormat="1" ht="15" thickBot="1" x14ac:dyDescent="0.35">
      <c r="A19" s="145"/>
      <c r="B19" s="146" t="s">
        <v>29</v>
      </c>
      <c r="C19" s="47">
        <v>0.48120909026094</v>
      </c>
      <c r="D19" s="147"/>
      <c r="E19" s="148"/>
      <c r="F19" s="147"/>
      <c r="G19" s="148"/>
      <c r="H19" s="147"/>
      <c r="I19" s="148"/>
      <c r="J19" s="147"/>
      <c r="K19" s="148"/>
      <c r="L19" s="147"/>
      <c r="M19" s="148"/>
      <c r="N19" s="87"/>
      <c r="O19" s="149"/>
      <c r="P19" s="150"/>
      <c r="Q19" s="149"/>
      <c r="R19" s="150"/>
      <c r="S19" s="151"/>
      <c r="T19" s="150"/>
      <c r="V19" s="149"/>
      <c r="W19" s="150"/>
      <c r="X19" s="149"/>
      <c r="Y19" s="150"/>
      <c r="Z19" s="151"/>
      <c r="AA19" s="150"/>
      <c r="AC19" s="147"/>
      <c r="AD19" s="148"/>
      <c r="AE19" s="147"/>
      <c r="AF19" s="148"/>
      <c r="AG19" s="147"/>
      <c r="AH19" s="160"/>
    </row>
    <row r="20" spans="1:34" s="30" customFormat="1" ht="15" thickTop="1" x14ac:dyDescent="0.3">
      <c r="A20" s="126" t="s">
        <v>32</v>
      </c>
      <c r="B20" s="152" t="s">
        <v>19</v>
      </c>
      <c r="C20" s="47">
        <v>9.7633606678930107</v>
      </c>
      <c r="D20" s="152" t="s">
        <v>19</v>
      </c>
      <c r="E20" s="47">
        <v>9.7633606678930107</v>
      </c>
      <c r="F20" s="152" t="s">
        <v>19</v>
      </c>
      <c r="G20" s="47">
        <v>9.7633606678930107</v>
      </c>
      <c r="H20" s="152" t="s">
        <v>20</v>
      </c>
      <c r="I20" s="135">
        <v>9.7633606678930107</v>
      </c>
      <c r="J20" s="129" t="s">
        <v>21</v>
      </c>
      <c r="K20" s="47">
        <v>23.2659994330612</v>
      </c>
      <c r="L20" s="161" t="s">
        <v>33</v>
      </c>
      <c r="M20" s="128">
        <v>0.216072536952753</v>
      </c>
      <c r="N20" s="154"/>
      <c r="O20" s="155"/>
      <c r="P20" s="156"/>
      <c r="Q20" s="157"/>
      <c r="R20" s="156"/>
      <c r="S20" s="158"/>
      <c r="T20" s="156"/>
      <c r="V20" s="155"/>
      <c r="W20" s="156"/>
      <c r="X20" s="157"/>
      <c r="Y20" s="156"/>
      <c r="Z20" s="158"/>
      <c r="AA20" s="156"/>
      <c r="AC20" s="152" t="s">
        <v>19</v>
      </c>
      <c r="AD20" s="128">
        <v>9.7633606678930107</v>
      </c>
      <c r="AE20" s="152" t="s">
        <v>19</v>
      </c>
      <c r="AF20" s="128">
        <v>9.7633606678930107</v>
      </c>
      <c r="AG20" s="152" t="s">
        <v>19</v>
      </c>
      <c r="AH20" s="128">
        <v>9.7633606678930107</v>
      </c>
    </row>
    <row r="21" spans="1:34" s="30" customFormat="1" x14ac:dyDescent="0.3">
      <c r="A21" s="136"/>
      <c r="B21" s="137" t="s">
        <v>22</v>
      </c>
      <c r="C21" s="47">
        <v>27.7385129559752</v>
      </c>
      <c r="D21" s="137" t="s">
        <v>22</v>
      </c>
      <c r="E21" s="47">
        <v>67.219524394134694</v>
      </c>
      <c r="F21" s="137" t="s">
        <v>22</v>
      </c>
      <c r="G21" s="47">
        <v>85.827730557785699</v>
      </c>
      <c r="H21" s="137" t="s">
        <v>23</v>
      </c>
      <c r="I21" s="47">
        <v>71.718042843322806</v>
      </c>
      <c r="J21" s="138" t="s">
        <v>20</v>
      </c>
      <c r="K21" s="47">
        <v>9.7633606678930107</v>
      </c>
      <c r="L21" s="162" t="s">
        <v>31</v>
      </c>
      <c r="M21" s="128">
        <v>22.568901925524798</v>
      </c>
      <c r="O21" s="131"/>
      <c r="P21" s="132"/>
      <c r="Q21" s="133"/>
      <c r="R21" s="132"/>
      <c r="S21" s="134"/>
      <c r="T21" s="132"/>
      <c r="V21" s="131"/>
      <c r="W21" s="132"/>
      <c r="X21" s="133"/>
      <c r="Y21" s="132"/>
      <c r="Z21" s="134"/>
      <c r="AA21" s="132"/>
      <c r="AC21" s="137" t="s">
        <v>22</v>
      </c>
      <c r="AD21" s="128">
        <v>89.168176454243905</v>
      </c>
      <c r="AE21" s="137" t="s">
        <v>22</v>
      </c>
      <c r="AF21" s="128">
        <v>90.236639332106904</v>
      </c>
      <c r="AG21" s="137" t="s">
        <v>22</v>
      </c>
      <c r="AH21" s="128">
        <v>90.040410058984506</v>
      </c>
    </row>
    <row r="22" spans="1:34" s="30" customFormat="1" x14ac:dyDescent="0.3">
      <c r="A22" s="136"/>
      <c r="B22" s="139" t="s">
        <v>24</v>
      </c>
      <c r="C22" s="47">
        <v>55.172778010348999</v>
      </c>
      <c r="D22" s="139" t="s">
        <v>24</v>
      </c>
      <c r="E22" s="47">
        <v>22.038914294729</v>
      </c>
      <c r="F22" s="139" t="s">
        <v>24</v>
      </c>
      <c r="G22" s="47">
        <v>4.3902051335114001</v>
      </c>
      <c r="H22" s="139" t="s">
        <v>25</v>
      </c>
      <c r="I22" s="47">
        <v>18.518596488784102</v>
      </c>
      <c r="J22" s="140" t="s">
        <v>23</v>
      </c>
      <c r="K22" s="47">
        <v>66.970639899045693</v>
      </c>
      <c r="L22" s="130" t="s">
        <v>21</v>
      </c>
      <c r="M22" s="128">
        <v>67.451664869629397</v>
      </c>
      <c r="O22" s="131"/>
      <c r="P22" s="132"/>
      <c r="Q22" s="133"/>
      <c r="R22" s="132"/>
      <c r="S22" s="134"/>
      <c r="T22" s="132"/>
      <c r="V22" s="131"/>
      <c r="W22" s="132"/>
      <c r="X22" s="133"/>
      <c r="Y22" s="132"/>
      <c r="Z22" s="134"/>
      <c r="AA22" s="132"/>
      <c r="AC22" s="139" t="s">
        <v>24</v>
      </c>
      <c r="AD22" s="128">
        <v>1.0684628778630301</v>
      </c>
      <c r="AE22" s="141"/>
      <c r="AF22" s="128"/>
      <c r="AG22" s="139" t="s">
        <v>24</v>
      </c>
      <c r="AH22" s="128">
        <v>0.19622927312240501</v>
      </c>
    </row>
    <row r="23" spans="1:34" s="30" customFormat="1" x14ac:dyDescent="0.3">
      <c r="A23" s="136"/>
      <c r="B23" s="142" t="s">
        <v>26</v>
      </c>
      <c r="C23" s="47">
        <v>5.8127596784289697</v>
      </c>
      <c r="D23" s="142" t="s">
        <v>26</v>
      </c>
      <c r="E23" s="47">
        <v>0.97820064324315104</v>
      </c>
      <c r="F23" s="142" t="s">
        <v>26</v>
      </c>
      <c r="G23" s="47">
        <v>1.87036408098268E-2</v>
      </c>
      <c r="H23" s="141"/>
      <c r="I23" s="128"/>
      <c r="K23" s="47"/>
      <c r="L23" s="138" t="s">
        <v>20</v>
      </c>
      <c r="M23" s="128">
        <v>9.7633606678930107</v>
      </c>
      <c r="O23" s="131"/>
      <c r="P23" s="132"/>
      <c r="Q23" s="131"/>
      <c r="R23" s="132"/>
      <c r="S23" s="134"/>
      <c r="T23" s="132"/>
      <c r="V23" s="131"/>
      <c r="W23" s="132"/>
      <c r="X23" s="131"/>
      <c r="Y23" s="132"/>
      <c r="Z23" s="134"/>
      <c r="AA23" s="132"/>
      <c r="AC23" s="141"/>
      <c r="AD23" s="128"/>
      <c r="AE23" s="141"/>
      <c r="AF23" s="128"/>
      <c r="AH23" s="159"/>
    </row>
    <row r="24" spans="1:34" s="30" customFormat="1" x14ac:dyDescent="0.3">
      <c r="A24" s="136"/>
      <c r="B24" s="144" t="s">
        <v>28</v>
      </c>
      <c r="C24" s="47">
        <v>1.2230245259144701</v>
      </c>
      <c r="D24" s="141"/>
      <c r="E24" s="128"/>
      <c r="F24" s="141"/>
      <c r="G24" s="128"/>
      <c r="H24" s="141"/>
      <c r="I24" s="128"/>
      <c r="J24" s="141"/>
      <c r="K24" s="128"/>
      <c r="L24" s="141"/>
      <c r="M24" s="128"/>
      <c r="O24" s="131"/>
      <c r="P24" s="132"/>
      <c r="Q24" s="131"/>
      <c r="R24" s="132"/>
      <c r="S24" s="46"/>
      <c r="T24" s="132"/>
      <c r="V24" s="131"/>
      <c r="W24" s="132"/>
      <c r="X24" s="131"/>
      <c r="Y24" s="132"/>
      <c r="Z24" s="46"/>
      <c r="AA24" s="132"/>
      <c r="AC24" s="141"/>
      <c r="AD24" s="128"/>
      <c r="AE24" s="141"/>
      <c r="AF24" s="128"/>
      <c r="AH24" s="159"/>
    </row>
    <row r="25" spans="1:34" s="30" customFormat="1" ht="15" thickBot="1" x14ac:dyDescent="0.35">
      <c r="A25" s="145"/>
      <c r="B25" s="146" t="s">
        <v>29</v>
      </c>
      <c r="C25" s="47">
        <v>0.28956416143927299</v>
      </c>
      <c r="D25" s="147"/>
      <c r="E25" s="148"/>
      <c r="F25" s="147"/>
      <c r="G25" s="148"/>
      <c r="H25" s="147"/>
      <c r="I25" s="148"/>
      <c r="J25" s="147"/>
      <c r="K25" s="148"/>
      <c r="L25" s="147"/>
      <c r="M25" s="148"/>
      <c r="N25" s="87"/>
      <c r="O25" s="149"/>
      <c r="P25" s="150"/>
      <c r="Q25" s="149"/>
      <c r="R25" s="150"/>
      <c r="S25" s="151"/>
      <c r="T25" s="150"/>
      <c r="V25" s="149"/>
      <c r="W25" s="150"/>
      <c r="X25" s="149"/>
      <c r="Y25" s="150"/>
      <c r="Z25" s="151"/>
      <c r="AA25" s="150"/>
      <c r="AC25" s="147"/>
      <c r="AD25" s="148"/>
      <c r="AE25" s="147"/>
      <c r="AF25" s="148"/>
      <c r="AG25" s="147"/>
      <c r="AH25" s="160"/>
    </row>
    <row r="26" spans="1:34" s="30" customFormat="1" ht="15" thickTop="1" x14ac:dyDescent="0.3">
      <c r="A26" s="126" t="s">
        <v>34</v>
      </c>
      <c r="B26" s="152" t="s">
        <v>19</v>
      </c>
      <c r="C26" s="47">
        <v>9.7633606678930107</v>
      </c>
      <c r="D26" s="152" t="s">
        <v>19</v>
      </c>
      <c r="E26" s="47">
        <v>9.7633606678930107</v>
      </c>
      <c r="F26" s="152" t="s">
        <v>19</v>
      </c>
      <c r="G26" s="47">
        <v>9.7633606678930107</v>
      </c>
      <c r="H26" s="129" t="s">
        <v>21</v>
      </c>
      <c r="I26" s="135">
        <v>0.21091247498271001</v>
      </c>
      <c r="J26" s="129" t="s">
        <v>21</v>
      </c>
      <c r="K26" s="47">
        <v>2.9975496706379201</v>
      </c>
      <c r="L26" s="153" t="s">
        <v>31</v>
      </c>
      <c r="M26" s="128">
        <v>1.2200518681905099</v>
      </c>
      <c r="N26" s="154"/>
      <c r="O26" s="157"/>
      <c r="P26" s="156"/>
      <c r="Q26" s="157"/>
      <c r="R26" s="156"/>
      <c r="S26" s="158"/>
      <c r="T26" s="156"/>
      <c r="V26" s="157"/>
      <c r="W26" s="156"/>
      <c r="X26" s="157"/>
      <c r="Y26" s="156"/>
      <c r="Z26" s="158"/>
      <c r="AA26" s="156"/>
      <c r="AC26" s="152" t="s">
        <v>19</v>
      </c>
      <c r="AD26" s="128">
        <v>9.7633606678930107</v>
      </c>
      <c r="AE26" s="152" t="s">
        <v>19</v>
      </c>
      <c r="AF26" s="128">
        <v>9.7633606678930107</v>
      </c>
      <c r="AG26" s="152" t="s">
        <v>19</v>
      </c>
      <c r="AH26" s="135">
        <v>9.7633606678930107</v>
      </c>
    </row>
    <row r="27" spans="1:34" s="30" customFormat="1" x14ac:dyDescent="0.3">
      <c r="A27" s="136"/>
      <c r="B27" s="137" t="s">
        <v>22</v>
      </c>
      <c r="C27" s="47">
        <v>34.269495448778699</v>
      </c>
      <c r="D27" s="137" t="s">
        <v>22</v>
      </c>
      <c r="E27" s="47">
        <v>43.182507418861398</v>
      </c>
      <c r="F27" s="137" t="s">
        <v>22</v>
      </c>
      <c r="G27" s="47">
        <v>87.417989609987103</v>
      </c>
      <c r="H27" s="138" t="s">
        <v>20</v>
      </c>
      <c r="I27" s="128">
        <v>9.7633606678930107</v>
      </c>
      <c r="J27" s="138" t="s">
        <v>20</v>
      </c>
      <c r="K27" s="47">
        <v>9.7633606678930107</v>
      </c>
      <c r="L27" s="130" t="s">
        <v>21</v>
      </c>
      <c r="M27" s="128">
        <v>89.016587463916395</v>
      </c>
      <c r="O27" s="133"/>
      <c r="P27" s="132"/>
      <c r="Q27" s="133"/>
      <c r="R27" s="132"/>
      <c r="S27" s="134"/>
      <c r="T27" s="132"/>
      <c r="V27" s="133"/>
      <c r="W27" s="132"/>
      <c r="X27" s="133"/>
      <c r="Y27" s="132"/>
      <c r="Z27" s="134"/>
      <c r="AA27" s="132"/>
      <c r="AC27" s="137" t="s">
        <v>22</v>
      </c>
      <c r="AD27" s="128">
        <v>88.005948968888703</v>
      </c>
      <c r="AE27" s="137" t="s">
        <v>22</v>
      </c>
      <c r="AF27" s="128">
        <v>89.518579449082196</v>
      </c>
      <c r="AG27" s="137" t="s">
        <v>22</v>
      </c>
      <c r="AH27" s="128">
        <v>89.586676032302194</v>
      </c>
    </row>
    <row r="28" spans="1:34" s="30" customFormat="1" x14ac:dyDescent="0.3">
      <c r="A28" s="136"/>
      <c r="B28" s="139" t="s">
        <v>24</v>
      </c>
      <c r="C28" s="47">
        <v>51.104577801082499</v>
      </c>
      <c r="D28" s="139" t="s">
        <v>24</v>
      </c>
      <c r="E28" s="47">
        <v>43.391090281428099</v>
      </c>
      <c r="F28" s="139" t="s">
        <v>24</v>
      </c>
      <c r="G28" s="47">
        <v>2.8186497221198299</v>
      </c>
      <c r="H28" s="140" t="s">
        <v>23</v>
      </c>
      <c r="I28" s="128">
        <v>90.011603555053995</v>
      </c>
      <c r="J28" s="140" t="s">
        <v>23</v>
      </c>
      <c r="K28" s="128">
        <v>87.239089661468995</v>
      </c>
      <c r="L28" s="138" t="s">
        <v>20</v>
      </c>
      <c r="M28" s="128">
        <v>9.7633606678930107</v>
      </c>
      <c r="O28" s="133"/>
      <c r="P28" s="132"/>
      <c r="Q28" s="133"/>
      <c r="R28" s="132"/>
      <c r="S28" s="134"/>
      <c r="T28" s="132"/>
      <c r="V28" s="133"/>
      <c r="W28" s="132"/>
      <c r="X28" s="133"/>
      <c r="Y28" s="132"/>
      <c r="Z28" s="134"/>
      <c r="AA28" s="132"/>
      <c r="AC28" s="139" t="s">
        <v>24</v>
      </c>
      <c r="AD28" s="128">
        <v>2.23069036321822</v>
      </c>
      <c r="AE28" s="139" t="s">
        <v>24</v>
      </c>
      <c r="AF28" s="128">
        <v>0.71805988302474399</v>
      </c>
      <c r="AG28" s="139" t="s">
        <v>24</v>
      </c>
      <c r="AH28" s="128">
        <v>0.64996329980476497</v>
      </c>
    </row>
    <row r="29" spans="1:34" s="30" customFormat="1" x14ac:dyDescent="0.3">
      <c r="A29" s="136"/>
      <c r="B29" s="142" t="s">
        <v>26</v>
      </c>
      <c r="C29" s="47">
        <v>3.9985393409533598</v>
      </c>
      <c r="D29" s="142" t="s">
        <v>26</v>
      </c>
      <c r="E29" s="47">
        <v>3.1428493168622902</v>
      </c>
      <c r="F29" s="141"/>
      <c r="G29" s="128"/>
      <c r="H29" s="143" t="s">
        <v>25</v>
      </c>
      <c r="I29" s="128">
        <v>1.4123302070239801E-2</v>
      </c>
      <c r="J29" s="141"/>
      <c r="K29" s="128"/>
      <c r="L29" s="141"/>
      <c r="M29" s="128"/>
      <c r="O29" s="133"/>
      <c r="P29" s="132"/>
      <c r="Q29" s="131"/>
      <c r="R29" s="132"/>
      <c r="S29" s="46"/>
      <c r="T29" s="132"/>
      <c r="V29" s="133"/>
      <c r="W29" s="132"/>
      <c r="X29" s="131"/>
      <c r="Y29" s="132"/>
      <c r="Z29" s="46"/>
      <c r="AA29" s="132"/>
      <c r="AC29" s="141"/>
      <c r="AD29" s="128"/>
      <c r="AE29" s="141"/>
      <c r="AF29" s="128"/>
      <c r="AH29" s="159"/>
    </row>
    <row r="30" spans="1:34" s="30" customFormat="1" x14ac:dyDescent="0.3">
      <c r="A30" s="136"/>
      <c r="B30" s="144" t="s">
        <v>28</v>
      </c>
      <c r="C30" s="47">
        <v>0.84532310048243697</v>
      </c>
      <c r="D30" s="144" t="s">
        <v>28</v>
      </c>
      <c r="E30" s="47">
        <v>0.52019231495505902</v>
      </c>
      <c r="F30" s="141"/>
      <c r="G30" s="128"/>
      <c r="H30" s="141"/>
      <c r="I30" s="128"/>
      <c r="J30" s="141"/>
      <c r="K30" s="128"/>
      <c r="L30" s="141"/>
      <c r="M30" s="128"/>
      <c r="O30" s="131"/>
      <c r="P30" s="132"/>
      <c r="Q30" s="131"/>
      <c r="R30" s="132"/>
      <c r="S30" s="46"/>
      <c r="T30" s="132"/>
      <c r="V30" s="131"/>
      <c r="W30" s="132"/>
      <c r="X30" s="131"/>
      <c r="Y30" s="132"/>
      <c r="Z30" s="46"/>
      <c r="AA30" s="132"/>
      <c r="AC30" s="141"/>
      <c r="AD30" s="128"/>
      <c r="AE30" s="141"/>
      <c r="AF30" s="128"/>
      <c r="AH30" s="159"/>
    </row>
    <row r="31" spans="1:34" s="30" customFormat="1" ht="15" thickBot="1" x14ac:dyDescent="0.35">
      <c r="A31" s="145"/>
      <c r="B31" s="146" t="s">
        <v>29</v>
      </c>
      <c r="C31" s="47">
        <v>1.87036408098268E-2</v>
      </c>
      <c r="D31" s="147"/>
      <c r="E31" s="148"/>
      <c r="F31" s="147"/>
      <c r="G31" s="148"/>
      <c r="H31" s="147"/>
      <c r="I31" s="148"/>
      <c r="J31" s="147"/>
      <c r="K31" s="148"/>
      <c r="L31" s="147"/>
      <c r="M31" s="148"/>
      <c r="N31" s="87"/>
      <c r="O31" s="131"/>
      <c r="P31" s="150"/>
      <c r="Q31" s="149"/>
      <c r="R31" s="150"/>
      <c r="S31" s="151"/>
      <c r="T31" s="150"/>
      <c r="V31" s="131"/>
      <c r="W31" s="150"/>
      <c r="X31" s="149"/>
      <c r="Y31" s="150"/>
      <c r="Z31" s="151"/>
      <c r="AA31" s="150"/>
      <c r="AC31" s="147"/>
      <c r="AD31" s="148"/>
      <c r="AE31" s="147"/>
      <c r="AF31" s="148"/>
      <c r="AG31" s="147"/>
      <c r="AH31" s="160"/>
    </row>
    <row r="32" spans="1:34" s="30" customFormat="1" ht="15" thickTop="1" x14ac:dyDescent="0.3">
      <c r="A32" s="163" t="s">
        <v>35</v>
      </c>
      <c r="B32" s="152" t="s">
        <v>19</v>
      </c>
      <c r="C32" s="47">
        <v>9.7633606678930107</v>
      </c>
      <c r="D32" s="152" t="s">
        <v>19</v>
      </c>
      <c r="E32" s="47">
        <v>9.7633606678930107</v>
      </c>
      <c r="F32" s="152" t="s">
        <v>19</v>
      </c>
      <c r="G32" s="47">
        <v>9.7633606678930107</v>
      </c>
      <c r="H32" s="129" t="s">
        <v>21</v>
      </c>
      <c r="I32" s="47">
        <v>2.7860840807952498</v>
      </c>
      <c r="J32" s="129" t="s">
        <v>21</v>
      </c>
      <c r="K32" s="135">
        <v>40.225719033750401</v>
      </c>
      <c r="L32" s="153" t="s">
        <v>31</v>
      </c>
      <c r="M32" s="128">
        <v>11.621903016533601</v>
      </c>
      <c r="N32" s="154"/>
      <c r="O32" s="129" t="s">
        <v>21</v>
      </c>
      <c r="P32" s="47">
        <v>2.7860840807952498</v>
      </c>
      <c r="Q32" s="129" t="s">
        <v>21</v>
      </c>
      <c r="R32" s="164">
        <v>40.225719033750437</v>
      </c>
      <c r="S32" s="165" t="s">
        <v>31</v>
      </c>
      <c r="T32" s="128">
        <v>1.7618577006392799</v>
      </c>
      <c r="V32" s="129" t="s">
        <v>21</v>
      </c>
      <c r="W32" s="47">
        <v>2.7860840807952498</v>
      </c>
      <c r="X32" s="129" t="s">
        <v>21</v>
      </c>
      <c r="Y32" s="135">
        <v>40.225719033750387</v>
      </c>
      <c r="Z32" s="129" t="s">
        <v>21</v>
      </c>
      <c r="AA32" s="135">
        <v>90.236639332106904</v>
      </c>
      <c r="AC32" s="152" t="s">
        <v>19</v>
      </c>
      <c r="AD32" s="135">
        <v>9.7633606678930107</v>
      </c>
      <c r="AE32" s="152" t="s">
        <v>19</v>
      </c>
      <c r="AF32" s="135">
        <v>9.7633606678930107</v>
      </c>
      <c r="AG32" s="152" t="s">
        <v>19</v>
      </c>
      <c r="AH32" s="128">
        <v>9.7633606678930107</v>
      </c>
    </row>
    <row r="33" spans="1:34" s="30" customFormat="1" x14ac:dyDescent="0.3">
      <c r="A33" s="166"/>
      <c r="B33" s="137" t="s">
        <v>22</v>
      </c>
      <c r="C33" s="47">
        <v>37.843251945353799</v>
      </c>
      <c r="D33" s="137" t="s">
        <v>22</v>
      </c>
      <c r="E33" s="47">
        <v>60.983173603062802</v>
      </c>
      <c r="F33" s="137" t="s">
        <v>22</v>
      </c>
      <c r="G33" s="47">
        <v>87.932840079980096</v>
      </c>
      <c r="H33" s="138" t="s">
        <v>20</v>
      </c>
      <c r="I33" s="128">
        <v>9.7633606678930107</v>
      </c>
      <c r="J33" s="138" t="s">
        <v>20</v>
      </c>
      <c r="K33" s="128">
        <v>9.7633606678930107</v>
      </c>
      <c r="L33" s="130" t="s">
        <v>21</v>
      </c>
      <c r="M33" s="128">
        <v>78.614736315573296</v>
      </c>
      <c r="O33" s="138" t="s">
        <v>20</v>
      </c>
      <c r="P33" s="128">
        <v>9.7633606678930107</v>
      </c>
      <c r="Q33" s="138" t="s">
        <v>20</v>
      </c>
      <c r="R33" s="167">
        <v>9.7633606678930107</v>
      </c>
      <c r="S33" s="168" t="s">
        <v>21</v>
      </c>
      <c r="T33" s="128">
        <v>88.474781631467593</v>
      </c>
      <c r="V33" s="138" t="s">
        <v>20</v>
      </c>
      <c r="W33" s="128">
        <v>9.7633606678930107</v>
      </c>
      <c r="X33" s="138" t="s">
        <v>20</v>
      </c>
      <c r="Y33" s="128">
        <v>9.7633606678930107</v>
      </c>
      <c r="Z33" s="138" t="s">
        <v>20</v>
      </c>
      <c r="AA33" s="128">
        <v>9.7633606678930107</v>
      </c>
      <c r="AC33" s="137" t="s">
        <v>22</v>
      </c>
      <c r="AD33" s="128">
        <v>88.627087515058506</v>
      </c>
      <c r="AE33" s="137" t="s">
        <v>22</v>
      </c>
      <c r="AF33" s="128">
        <v>90.212420319703796</v>
      </c>
      <c r="AG33" s="137" t="s">
        <v>22</v>
      </c>
      <c r="AH33" s="128">
        <v>89.772852552691305</v>
      </c>
    </row>
    <row r="34" spans="1:34" s="30" customFormat="1" x14ac:dyDescent="0.3">
      <c r="A34" s="166"/>
      <c r="B34" s="139" t="s">
        <v>24</v>
      </c>
      <c r="C34" s="47">
        <v>48.075211418740899</v>
      </c>
      <c r="D34" s="139" t="s">
        <v>24</v>
      </c>
      <c r="E34" s="47">
        <v>27.658622843455401</v>
      </c>
      <c r="F34" s="139" t="s">
        <v>24</v>
      </c>
      <c r="G34" s="47">
        <v>2.30379925212684</v>
      </c>
      <c r="H34" s="140" t="s">
        <v>23</v>
      </c>
      <c r="I34" s="47">
        <v>87.450555251311698</v>
      </c>
      <c r="J34" s="140" t="s">
        <v>23</v>
      </c>
      <c r="K34" s="128">
        <v>50.010920298356503</v>
      </c>
      <c r="L34" s="138" t="s">
        <v>20</v>
      </c>
      <c r="M34" s="128">
        <v>9.7633606678930107</v>
      </c>
      <c r="O34" s="140" t="s">
        <v>23</v>
      </c>
      <c r="P34" s="47">
        <v>87.450555251311698</v>
      </c>
      <c r="Q34" s="140" t="s">
        <v>23</v>
      </c>
      <c r="R34" s="128">
        <v>50.010920298356503</v>
      </c>
      <c r="S34" s="169" t="s">
        <v>20</v>
      </c>
      <c r="T34" s="128">
        <v>9.7633606678930107</v>
      </c>
      <c r="V34" s="140" t="s">
        <v>23</v>
      </c>
      <c r="W34" s="47">
        <v>87.450555251311698</v>
      </c>
      <c r="X34" s="140" t="s">
        <v>23</v>
      </c>
      <c r="Y34" s="128">
        <v>50.010920298356503</v>
      </c>
      <c r="Z34" s="52"/>
      <c r="AA34" s="159"/>
      <c r="AC34" s="139" t="s">
        <v>24</v>
      </c>
      <c r="AD34" s="128">
        <v>1.60955181704846</v>
      </c>
      <c r="AE34" s="139" t="s">
        <v>24</v>
      </c>
      <c r="AF34" s="128">
        <v>2.4219012403188699E-2</v>
      </c>
      <c r="AG34" s="139" t="s">
        <v>24</v>
      </c>
      <c r="AH34" s="128">
        <v>0.46378677941561802</v>
      </c>
    </row>
    <row r="35" spans="1:34" s="30" customFormat="1" x14ac:dyDescent="0.3">
      <c r="A35" s="166"/>
      <c r="B35" s="142" t="s">
        <v>26</v>
      </c>
      <c r="C35" s="47">
        <v>3.5810276241956802</v>
      </c>
      <c r="D35" s="142" t="s">
        <v>26</v>
      </c>
      <c r="E35" s="47">
        <v>1.57526928185729</v>
      </c>
      <c r="F35" s="141"/>
      <c r="G35" s="128"/>
      <c r="H35" s="141"/>
      <c r="I35" s="128"/>
      <c r="J35" s="141"/>
      <c r="K35" s="128"/>
      <c r="L35" s="170"/>
      <c r="M35" s="128"/>
      <c r="O35" s="171"/>
      <c r="P35" s="128"/>
      <c r="Q35" s="141"/>
      <c r="R35" s="128"/>
      <c r="T35" s="159"/>
      <c r="V35" s="171"/>
      <c r="W35" s="128"/>
      <c r="X35" s="141"/>
      <c r="Y35" s="159"/>
      <c r="Z35" s="52"/>
      <c r="AA35" s="159"/>
      <c r="AC35" s="141"/>
      <c r="AD35" s="128"/>
      <c r="AE35" s="141"/>
      <c r="AF35" s="128"/>
      <c r="AH35" s="159"/>
    </row>
    <row r="36" spans="1:34" s="30" customFormat="1" x14ac:dyDescent="0.3">
      <c r="A36" s="166"/>
      <c r="B36" s="144" t="s">
        <v>28</v>
      </c>
      <c r="C36" s="47">
        <v>0.73714834381657302</v>
      </c>
      <c r="D36" s="144" t="s">
        <v>28</v>
      </c>
      <c r="E36" s="47">
        <v>1.9573603731435199E-2</v>
      </c>
      <c r="F36" s="141"/>
      <c r="G36" s="128"/>
      <c r="H36" s="141"/>
      <c r="I36" s="128"/>
      <c r="J36" s="141"/>
      <c r="K36" s="128"/>
      <c r="L36" s="170"/>
      <c r="M36" s="128"/>
      <c r="O36" s="141"/>
      <c r="P36" s="128"/>
      <c r="Q36" s="141"/>
      <c r="R36" s="159"/>
      <c r="T36" s="159"/>
      <c r="V36" s="141"/>
      <c r="W36" s="128"/>
      <c r="X36" s="141"/>
      <c r="Y36" s="128"/>
      <c r="Z36" s="52"/>
      <c r="AA36" s="159"/>
      <c r="AC36" s="141"/>
      <c r="AD36" s="128"/>
      <c r="AE36" s="141"/>
      <c r="AF36" s="128"/>
      <c r="AH36" s="159"/>
    </row>
    <row r="37" spans="1:34" s="30" customFormat="1" ht="15" thickBot="1" x14ac:dyDescent="0.35">
      <c r="A37" s="172"/>
      <c r="B37" s="147"/>
      <c r="C37" s="148"/>
      <c r="D37" s="147"/>
      <c r="E37" s="148"/>
      <c r="F37" s="147"/>
      <c r="G37" s="148"/>
      <c r="H37" s="147"/>
      <c r="I37" s="148"/>
      <c r="J37" s="147"/>
      <c r="K37" s="148"/>
      <c r="L37" s="147"/>
      <c r="M37" s="148"/>
      <c r="N37" s="87"/>
      <c r="O37" s="147"/>
      <c r="P37" s="160"/>
      <c r="Q37" s="147"/>
      <c r="R37" s="160"/>
      <c r="S37" s="87"/>
      <c r="T37" s="160"/>
      <c r="V37" s="147"/>
      <c r="W37" s="160"/>
      <c r="X37" s="147"/>
      <c r="Y37" s="160"/>
      <c r="Z37" s="87"/>
      <c r="AA37" s="160"/>
      <c r="AC37" s="147"/>
      <c r="AD37" s="148"/>
      <c r="AE37" s="147"/>
      <c r="AF37" s="148"/>
      <c r="AG37" s="147"/>
      <c r="AH37" s="160"/>
    </row>
    <row r="38" spans="1:34" s="30" customFormat="1" ht="15" thickTop="1" x14ac:dyDescent="0.3">
      <c r="A38" s="126" t="s">
        <v>38</v>
      </c>
      <c r="B38" s="152" t="s">
        <v>19</v>
      </c>
      <c r="C38" s="47">
        <v>9.7633606678930107</v>
      </c>
      <c r="D38" s="152" t="s">
        <v>19</v>
      </c>
      <c r="E38" s="47">
        <v>9.7633606678930107</v>
      </c>
      <c r="F38" s="152" t="s">
        <v>19</v>
      </c>
      <c r="G38" s="47">
        <v>9.7633606678930107</v>
      </c>
      <c r="H38" s="129" t="s">
        <v>21</v>
      </c>
      <c r="I38" s="47">
        <v>3.59953766969539</v>
      </c>
      <c r="J38" s="129" t="s">
        <v>21</v>
      </c>
      <c r="K38" s="135">
        <v>90.236639332106904</v>
      </c>
      <c r="L38" s="161" t="s">
        <v>33</v>
      </c>
      <c r="M38" s="128">
        <v>0.82627943657858105</v>
      </c>
      <c r="N38" s="154"/>
      <c r="O38" s="133"/>
      <c r="P38" s="132"/>
      <c r="Q38" s="157"/>
      <c r="R38" s="156"/>
      <c r="S38" s="158"/>
      <c r="T38" s="156"/>
      <c r="V38" s="133"/>
      <c r="W38" s="132"/>
      <c r="X38" s="157"/>
      <c r="Y38" s="156"/>
      <c r="Z38" s="158"/>
      <c r="AA38" s="156"/>
      <c r="AC38" s="152" t="s">
        <v>19</v>
      </c>
      <c r="AD38" s="128">
        <v>9.7633606678930107</v>
      </c>
      <c r="AE38" s="152" t="s">
        <v>19</v>
      </c>
      <c r="AF38" s="128">
        <v>9.7633606678930107</v>
      </c>
      <c r="AG38" s="152" t="s">
        <v>19</v>
      </c>
      <c r="AH38" s="128">
        <v>9.7633606680000007</v>
      </c>
    </row>
    <row r="39" spans="1:34" s="30" customFormat="1" x14ac:dyDescent="0.3">
      <c r="A39" s="136"/>
      <c r="B39" s="137" t="s">
        <v>22</v>
      </c>
      <c r="C39" s="47">
        <v>43.296383744404501</v>
      </c>
      <c r="D39" s="137" t="s">
        <v>22</v>
      </c>
      <c r="E39" s="47">
        <v>82.821080660943494</v>
      </c>
      <c r="F39" s="137" t="s">
        <v>22</v>
      </c>
      <c r="G39" s="47">
        <v>88.4559360384754</v>
      </c>
      <c r="H39" s="138" t="s">
        <v>20</v>
      </c>
      <c r="I39" s="128">
        <v>9.7633606678930107</v>
      </c>
      <c r="J39" s="127" t="s">
        <v>20</v>
      </c>
      <c r="K39" s="128">
        <v>9.7633606678930107</v>
      </c>
      <c r="L39" s="162" t="s">
        <v>31</v>
      </c>
      <c r="M39" s="128">
        <v>28.813994131642701</v>
      </c>
      <c r="O39" s="133"/>
      <c r="P39" s="132"/>
      <c r="Q39" s="131"/>
      <c r="R39" s="132"/>
      <c r="S39" s="134"/>
      <c r="T39" s="132"/>
      <c r="V39" s="133"/>
      <c r="W39" s="132"/>
      <c r="X39" s="131"/>
      <c r="Y39" s="132"/>
      <c r="Z39" s="134"/>
      <c r="AA39" s="132"/>
      <c r="AC39" s="137" t="s">
        <v>22</v>
      </c>
      <c r="AD39" s="128">
        <v>89.465124724609197</v>
      </c>
      <c r="AE39" s="137" t="s">
        <v>22</v>
      </c>
      <c r="AF39" s="128">
        <v>90.236639332106904</v>
      </c>
      <c r="AG39" s="137" t="s">
        <v>22</v>
      </c>
      <c r="AH39" s="128">
        <v>90.15934627</v>
      </c>
    </row>
    <row r="40" spans="1:34" s="30" customFormat="1" x14ac:dyDescent="0.3">
      <c r="A40" s="136"/>
      <c r="B40" s="139" t="s">
        <v>24</v>
      </c>
      <c r="C40" s="47">
        <v>43.244790184996702</v>
      </c>
      <c r="D40" s="139" t="s">
        <v>24</v>
      </c>
      <c r="E40" s="47">
        <v>7.1747007640718703</v>
      </c>
      <c r="F40" s="139" t="s">
        <v>24</v>
      </c>
      <c r="G40" s="47">
        <v>1.7807032936315299</v>
      </c>
      <c r="H40" s="140" t="s">
        <v>23</v>
      </c>
      <c r="I40" s="47">
        <v>86.637101662411595</v>
      </c>
      <c r="J40" s="141"/>
      <c r="K40" s="128"/>
      <c r="L40" s="130" t="s">
        <v>21</v>
      </c>
      <c r="M40" s="128">
        <v>60.596365763885601</v>
      </c>
      <c r="O40" s="133"/>
      <c r="P40" s="132"/>
      <c r="Q40" s="131"/>
      <c r="R40" s="132"/>
      <c r="S40" s="134"/>
      <c r="T40" s="132"/>
      <c r="V40" s="133"/>
      <c r="W40" s="132"/>
      <c r="X40" s="131"/>
      <c r="Y40" s="132"/>
      <c r="Z40" s="134"/>
      <c r="AA40" s="132"/>
      <c r="AC40" s="139" t="s">
        <v>24</v>
      </c>
      <c r="AD40" s="128">
        <v>0.77151460749772505</v>
      </c>
      <c r="AE40" s="141"/>
      <c r="AF40" s="128"/>
      <c r="AG40" s="139" t="s">
        <v>24</v>
      </c>
      <c r="AH40" s="128">
        <v>7.7293065999999994E-2</v>
      </c>
    </row>
    <row r="41" spans="1:34" s="30" customFormat="1" x14ac:dyDescent="0.3">
      <c r="A41" s="136"/>
      <c r="B41" s="142" t="s">
        <v>26</v>
      </c>
      <c r="C41" s="47">
        <v>3.1706618898409098</v>
      </c>
      <c r="D41" s="142" t="s">
        <v>26</v>
      </c>
      <c r="E41" s="47">
        <v>0.24085790709153601</v>
      </c>
      <c r="F41" s="141"/>
      <c r="G41" s="128"/>
      <c r="H41" s="141"/>
      <c r="I41" s="128"/>
      <c r="J41" s="141"/>
      <c r="K41" s="128"/>
      <c r="L41" s="138" t="s">
        <v>20</v>
      </c>
      <c r="M41" s="128">
        <v>9.7633606678930107</v>
      </c>
      <c r="O41" s="131"/>
      <c r="P41" s="132"/>
      <c r="Q41" s="131"/>
      <c r="R41" s="132"/>
      <c r="S41" s="134"/>
      <c r="T41" s="132"/>
      <c r="V41" s="131"/>
      <c r="W41" s="132"/>
      <c r="X41" s="131"/>
      <c r="Y41" s="132"/>
      <c r="Z41" s="134"/>
      <c r="AA41" s="132"/>
      <c r="AC41" s="141"/>
      <c r="AD41" s="128"/>
      <c r="AE41" s="141"/>
      <c r="AF41" s="128"/>
      <c r="AH41" s="159"/>
    </row>
    <row r="42" spans="1:34" s="30" customFormat="1" x14ac:dyDescent="0.3">
      <c r="A42" s="136"/>
      <c r="B42" s="144" t="s">
        <v>28</v>
      </c>
      <c r="C42" s="47">
        <v>0.52480351286473803</v>
      </c>
      <c r="D42" s="141"/>
      <c r="E42" s="128"/>
      <c r="F42" s="141"/>
      <c r="G42" s="128"/>
      <c r="H42" s="141"/>
      <c r="I42" s="128"/>
      <c r="J42" s="141"/>
      <c r="K42" s="128"/>
      <c r="L42" s="141"/>
      <c r="M42" s="128"/>
      <c r="O42" s="131"/>
      <c r="P42" s="132"/>
      <c r="Q42" s="131"/>
      <c r="R42" s="132"/>
      <c r="S42" s="46"/>
      <c r="T42" s="132"/>
      <c r="V42" s="131"/>
      <c r="W42" s="132"/>
      <c r="X42" s="131"/>
      <c r="Y42" s="132"/>
      <c r="Z42" s="46"/>
      <c r="AA42" s="132"/>
      <c r="AC42" s="141"/>
      <c r="AD42" s="128"/>
      <c r="AE42" s="141"/>
      <c r="AF42" s="128"/>
      <c r="AH42" s="159"/>
    </row>
    <row r="43" spans="1:34" s="30" customFormat="1" ht="15" thickBot="1" x14ac:dyDescent="0.35">
      <c r="A43" s="145"/>
      <c r="B43" s="147"/>
      <c r="C43" s="148"/>
      <c r="D43" s="147"/>
      <c r="E43" s="148"/>
      <c r="F43" s="147"/>
      <c r="G43" s="148"/>
      <c r="H43" s="147"/>
      <c r="I43" s="148"/>
      <c r="J43" s="147"/>
      <c r="K43" s="148"/>
      <c r="L43" s="147"/>
      <c r="M43" s="148"/>
      <c r="N43" s="87"/>
      <c r="O43" s="149"/>
      <c r="P43" s="150"/>
      <c r="Q43" s="149"/>
      <c r="R43" s="150"/>
      <c r="S43" s="151"/>
      <c r="T43" s="150"/>
      <c r="V43" s="149"/>
      <c r="W43" s="150"/>
      <c r="X43" s="149"/>
      <c r="Y43" s="150"/>
      <c r="Z43" s="151"/>
      <c r="AA43" s="150"/>
      <c r="AC43" s="147"/>
      <c r="AD43" s="148"/>
      <c r="AE43" s="147"/>
      <c r="AF43" s="148"/>
      <c r="AG43" s="147"/>
      <c r="AH43" s="160"/>
    </row>
    <row r="44" spans="1:34" s="30" customFormat="1" ht="15" thickTop="1" x14ac:dyDescent="0.3">
      <c r="A44" s="126" t="s">
        <v>39</v>
      </c>
      <c r="B44" s="152" t="s">
        <v>19</v>
      </c>
      <c r="C44" s="47">
        <v>9.7633606678930107</v>
      </c>
      <c r="D44" s="152" t="s">
        <v>19</v>
      </c>
      <c r="E44" s="47">
        <v>9.7633606678930107</v>
      </c>
      <c r="F44" s="152" t="s">
        <v>19</v>
      </c>
      <c r="G44" s="47">
        <v>9.7633606678930107</v>
      </c>
      <c r="H44" s="153" t="s">
        <v>31</v>
      </c>
      <c r="I44" s="47">
        <v>8.9473541329992603</v>
      </c>
      <c r="J44" s="129" t="s">
        <v>36</v>
      </c>
      <c r="K44" s="47">
        <v>25.5024349244019</v>
      </c>
      <c r="L44" s="153" t="s">
        <v>31</v>
      </c>
      <c r="M44" s="128">
        <v>11.621903016533601</v>
      </c>
      <c r="N44" s="154"/>
      <c r="O44" s="157"/>
      <c r="P44" s="156"/>
      <c r="Q44" s="157"/>
      <c r="R44" s="156"/>
      <c r="S44" s="158"/>
      <c r="T44" s="156"/>
      <c r="V44" s="157"/>
      <c r="W44" s="156"/>
      <c r="X44" s="157"/>
      <c r="Y44" s="156"/>
      <c r="Z44" s="158"/>
      <c r="AA44" s="156"/>
      <c r="AC44" s="152" t="s">
        <v>19</v>
      </c>
      <c r="AD44" s="128">
        <v>9.7633606678930107</v>
      </c>
      <c r="AE44" s="152" t="s">
        <v>19</v>
      </c>
      <c r="AF44" s="128">
        <v>9.7633606678930107</v>
      </c>
      <c r="AG44" s="152" t="s">
        <v>19</v>
      </c>
      <c r="AH44" s="47">
        <v>9.7633606678930107</v>
      </c>
    </row>
    <row r="45" spans="1:34" s="30" customFormat="1" x14ac:dyDescent="0.3">
      <c r="A45" s="136"/>
      <c r="B45" s="137" t="s">
        <v>22</v>
      </c>
      <c r="C45" s="47">
        <v>62.051657322902798</v>
      </c>
      <c r="D45" s="137" t="s">
        <v>22</v>
      </c>
      <c r="E45" s="47">
        <v>71.3139510220293</v>
      </c>
      <c r="F45" s="137" t="s">
        <v>22</v>
      </c>
      <c r="G45" s="47">
        <v>89.812655527736894</v>
      </c>
      <c r="H45" s="130" t="s">
        <v>21</v>
      </c>
      <c r="I45" s="47">
        <v>81.289285199107695</v>
      </c>
      <c r="J45" s="138" t="s">
        <v>37</v>
      </c>
      <c r="K45" s="47">
        <v>9.7633606678930107</v>
      </c>
      <c r="L45" s="130" t="s">
        <v>21</v>
      </c>
      <c r="M45" s="128">
        <v>78.614736315573296</v>
      </c>
      <c r="O45" s="133"/>
      <c r="P45" s="132"/>
      <c r="Q45" s="133"/>
      <c r="R45" s="132"/>
      <c r="S45" s="134"/>
      <c r="T45" s="132"/>
      <c r="V45" s="133"/>
      <c r="W45" s="132"/>
      <c r="X45" s="133"/>
      <c r="Y45" s="132"/>
      <c r="Z45" s="134"/>
      <c r="AA45" s="132"/>
      <c r="AC45" s="137" t="s">
        <v>22</v>
      </c>
      <c r="AD45" s="128">
        <v>88.457360208794199</v>
      </c>
      <c r="AE45" s="137" t="s">
        <v>22</v>
      </c>
      <c r="AF45" s="128">
        <v>89.673130163586606</v>
      </c>
      <c r="AG45" s="137" t="s">
        <v>22</v>
      </c>
      <c r="AH45" s="47">
        <v>89.834113543624497</v>
      </c>
    </row>
    <row r="46" spans="1:34" s="30" customFormat="1" x14ac:dyDescent="0.3">
      <c r="A46" s="136"/>
      <c r="B46" s="139" t="s">
        <v>24</v>
      </c>
      <c r="C46" s="47">
        <v>26.5058870700102</v>
      </c>
      <c r="D46" s="139" t="s">
        <v>24</v>
      </c>
      <c r="E46" s="47">
        <v>17.927528366159699</v>
      </c>
      <c r="F46" s="139" t="s">
        <v>24</v>
      </c>
      <c r="G46" s="47">
        <v>0.42398380437003302</v>
      </c>
      <c r="H46" s="138" t="s">
        <v>20</v>
      </c>
      <c r="I46" s="128">
        <v>9.7633606678930107</v>
      </c>
      <c r="J46" s="140" t="s">
        <v>23</v>
      </c>
      <c r="K46" s="47">
        <v>64.734204407704993</v>
      </c>
      <c r="L46" s="138" t="s">
        <v>20</v>
      </c>
      <c r="M46" s="128">
        <v>9.7633606678930107</v>
      </c>
      <c r="O46" s="133"/>
      <c r="P46" s="132"/>
      <c r="Q46" s="133"/>
      <c r="R46" s="132"/>
      <c r="S46" s="134"/>
      <c r="T46" s="132"/>
      <c r="V46" s="133"/>
      <c r="W46" s="132"/>
      <c r="X46" s="133"/>
      <c r="Y46" s="132"/>
      <c r="Z46" s="134"/>
      <c r="AA46" s="132"/>
      <c r="AC46" s="139" t="s">
        <v>24</v>
      </c>
      <c r="AD46" s="128">
        <v>1.7792791233127301</v>
      </c>
      <c r="AE46" s="139" t="s">
        <v>24</v>
      </c>
      <c r="AF46" s="128">
        <v>0.56350916852032396</v>
      </c>
      <c r="AG46" s="139" t="s">
        <v>24</v>
      </c>
      <c r="AH46" s="47">
        <v>0.40252578848243598</v>
      </c>
    </row>
    <row r="47" spans="1:34" s="30" customFormat="1" x14ac:dyDescent="0.3">
      <c r="A47" s="136"/>
      <c r="B47" s="142" t="s">
        <v>26</v>
      </c>
      <c r="C47" s="47">
        <v>1.61686192527589</v>
      </c>
      <c r="D47" s="142" t="s">
        <v>26</v>
      </c>
      <c r="E47" s="47">
        <v>0.99515994391787999</v>
      </c>
      <c r="F47" s="141"/>
      <c r="G47" s="128"/>
      <c r="H47" s="141"/>
      <c r="I47" s="128"/>
      <c r="J47" s="141"/>
      <c r="K47" s="128"/>
      <c r="L47" s="141"/>
      <c r="M47" s="128"/>
      <c r="O47" s="131"/>
      <c r="P47" s="132"/>
      <c r="Q47" s="131"/>
      <c r="R47" s="132"/>
      <c r="S47" s="46"/>
      <c r="T47" s="132"/>
      <c r="V47" s="131"/>
      <c r="W47" s="132"/>
      <c r="X47" s="131"/>
      <c r="Y47" s="132"/>
      <c r="Z47" s="46"/>
      <c r="AA47" s="132"/>
      <c r="AC47" s="141"/>
      <c r="AD47" s="128"/>
      <c r="AE47" s="141"/>
      <c r="AF47" s="128"/>
      <c r="AH47" s="159"/>
    </row>
    <row r="48" spans="1:34" s="30" customFormat="1" x14ac:dyDescent="0.3">
      <c r="A48" s="136"/>
      <c r="B48" s="144" t="s">
        <v>28</v>
      </c>
      <c r="C48" s="47">
        <v>6.2233013917993997E-2</v>
      </c>
      <c r="D48" s="141"/>
      <c r="E48" s="128"/>
      <c r="F48" s="141"/>
      <c r="G48" s="128"/>
      <c r="H48" s="141"/>
      <c r="I48" s="128"/>
      <c r="J48" s="141"/>
      <c r="K48" s="128"/>
      <c r="L48" s="141"/>
      <c r="M48" s="128"/>
      <c r="O48" s="131"/>
      <c r="P48" s="132"/>
      <c r="Q48" s="131"/>
      <c r="R48" s="132"/>
      <c r="S48" s="46"/>
      <c r="T48" s="132"/>
      <c r="V48" s="131"/>
      <c r="W48" s="132"/>
      <c r="X48" s="131"/>
      <c r="Y48" s="132"/>
      <c r="Z48" s="46"/>
      <c r="AA48" s="132"/>
      <c r="AC48" s="141"/>
      <c r="AD48" s="128"/>
      <c r="AE48" s="141"/>
      <c r="AF48" s="128"/>
      <c r="AH48" s="159"/>
    </row>
    <row r="49" spans="1:34" s="30" customFormat="1" ht="15" thickBot="1" x14ac:dyDescent="0.35">
      <c r="A49" s="145"/>
      <c r="B49" s="147"/>
      <c r="C49" s="148"/>
      <c r="D49" s="147"/>
      <c r="E49" s="148"/>
      <c r="F49" s="147"/>
      <c r="G49" s="148"/>
      <c r="H49" s="147"/>
      <c r="I49" s="148"/>
      <c r="J49" s="147"/>
      <c r="K49" s="148"/>
      <c r="L49" s="147"/>
      <c r="M49" s="148"/>
      <c r="N49" s="87"/>
      <c r="O49" s="149"/>
      <c r="P49" s="150"/>
      <c r="Q49" s="149"/>
      <c r="R49" s="150"/>
      <c r="S49" s="151"/>
      <c r="T49" s="150"/>
      <c r="V49" s="149"/>
      <c r="W49" s="150"/>
      <c r="X49" s="149"/>
      <c r="Y49" s="150"/>
      <c r="Z49" s="151"/>
      <c r="AA49" s="150"/>
      <c r="AC49" s="147"/>
      <c r="AD49" s="148"/>
      <c r="AE49" s="147"/>
      <c r="AF49" s="148"/>
      <c r="AG49" s="147"/>
      <c r="AH49" s="160"/>
    </row>
    <row r="50" spans="1:34" s="30" customFormat="1" ht="15" thickTop="1" x14ac:dyDescent="0.3">
      <c r="A50" s="126" t="s">
        <v>40</v>
      </c>
      <c r="B50" s="152" t="s">
        <v>19</v>
      </c>
      <c r="C50" s="47">
        <v>9.7633606678930107</v>
      </c>
      <c r="D50" s="152" t="s">
        <v>19</v>
      </c>
      <c r="E50" s="47">
        <v>9.7633606678930107</v>
      </c>
      <c r="F50" s="152" t="s">
        <v>19</v>
      </c>
      <c r="G50" s="47">
        <v>9.7633606678930107</v>
      </c>
      <c r="H50" s="153" t="s">
        <v>31</v>
      </c>
      <c r="I50" s="47">
        <v>15.703270283485701</v>
      </c>
      <c r="J50" s="129" t="s">
        <v>21</v>
      </c>
      <c r="K50" s="135">
        <v>90.236639332106904</v>
      </c>
      <c r="L50" s="161" t="s">
        <v>33</v>
      </c>
      <c r="M50" s="128">
        <v>0.30211078471973402</v>
      </c>
      <c r="N50" s="154"/>
      <c r="O50" s="157"/>
      <c r="P50" s="156"/>
      <c r="Q50" s="157"/>
      <c r="R50" s="156"/>
      <c r="S50" s="158"/>
      <c r="T50" s="156"/>
      <c r="V50" s="157"/>
      <c r="W50" s="156"/>
      <c r="X50" s="157"/>
      <c r="Y50" s="156"/>
      <c r="Z50" s="158"/>
      <c r="AA50" s="156"/>
      <c r="AC50" s="152" t="s">
        <v>19</v>
      </c>
      <c r="AD50" s="128">
        <v>9.7633606678930107</v>
      </c>
      <c r="AE50" s="152" t="s">
        <v>19</v>
      </c>
      <c r="AF50" s="128">
        <v>9.7633606678930107</v>
      </c>
      <c r="AG50" s="152" t="s">
        <v>19</v>
      </c>
      <c r="AH50" s="135">
        <v>9.7633606678930107</v>
      </c>
    </row>
    <row r="51" spans="1:34" s="30" customFormat="1" x14ac:dyDescent="0.3">
      <c r="A51" s="136"/>
      <c r="B51" s="137" t="s">
        <v>22</v>
      </c>
      <c r="C51" s="47">
        <v>66.314976364071597</v>
      </c>
      <c r="D51" s="137" t="s">
        <v>22</v>
      </c>
      <c r="E51" s="47">
        <v>82.279603304945695</v>
      </c>
      <c r="F51" s="137" t="s">
        <v>22</v>
      </c>
      <c r="G51" s="47">
        <v>89.948609729755702</v>
      </c>
      <c r="H51" s="130" t="s">
        <v>21</v>
      </c>
      <c r="I51" s="47">
        <v>74.533369048621196</v>
      </c>
      <c r="J51" s="127" t="s">
        <v>20</v>
      </c>
      <c r="K51" s="128">
        <v>9.7633606678930107</v>
      </c>
      <c r="L51" s="162" t="s">
        <v>31</v>
      </c>
      <c r="M51" s="128">
        <v>23.813962292677498</v>
      </c>
      <c r="O51" s="133"/>
      <c r="P51" s="132"/>
      <c r="Q51" s="131"/>
      <c r="R51" s="132"/>
      <c r="S51" s="134"/>
      <c r="T51" s="132"/>
      <c r="V51" s="133"/>
      <c r="W51" s="132"/>
      <c r="X51" s="131"/>
      <c r="Y51" s="132"/>
      <c r="Z51" s="134"/>
      <c r="AA51" s="132"/>
      <c r="AC51" s="137" t="s">
        <v>22</v>
      </c>
      <c r="AD51" s="128">
        <v>88.915059077646006</v>
      </c>
      <c r="AE51" s="137" t="s">
        <v>22</v>
      </c>
      <c r="AF51" s="128">
        <v>90.218651113129795</v>
      </c>
      <c r="AG51" s="137" t="s">
        <v>22</v>
      </c>
      <c r="AH51" s="128">
        <v>89.9705703618217</v>
      </c>
    </row>
    <row r="52" spans="1:34" s="30" customFormat="1" x14ac:dyDescent="0.3">
      <c r="A52" s="136"/>
      <c r="B52" s="139" t="s">
        <v>24</v>
      </c>
      <c r="C52" s="47">
        <v>22.5331521778166</v>
      </c>
      <c r="D52" s="139" t="s">
        <v>24</v>
      </c>
      <c r="E52" s="47">
        <v>7.6010332373973801</v>
      </c>
      <c r="F52" s="139" t="s">
        <v>24</v>
      </c>
      <c r="G52" s="47">
        <v>0.28802960235118902</v>
      </c>
      <c r="H52" s="138" t="s">
        <v>20</v>
      </c>
      <c r="I52" s="128">
        <v>9.7633606678930107</v>
      </c>
      <c r="J52" s="141"/>
      <c r="K52" s="128"/>
      <c r="L52" s="130" t="s">
        <v>21</v>
      </c>
      <c r="M52" s="128">
        <v>66.120566254709701</v>
      </c>
      <c r="O52" s="133"/>
      <c r="P52" s="132"/>
      <c r="Q52" s="131"/>
      <c r="R52" s="132"/>
      <c r="S52" s="134"/>
      <c r="T52" s="132"/>
      <c r="V52" s="133"/>
      <c r="W52" s="132"/>
      <c r="X52" s="131"/>
      <c r="Y52" s="132"/>
      <c r="Z52" s="134"/>
      <c r="AA52" s="132"/>
      <c r="AC52" s="139" t="s">
        <v>24</v>
      </c>
      <c r="AD52" s="128">
        <v>1.3215802544608899</v>
      </c>
      <c r="AE52" s="139" t="s">
        <v>24</v>
      </c>
      <c r="AF52" s="128">
        <v>1.7988218977114102E-2</v>
      </c>
      <c r="AG52" s="139" t="s">
        <v>24</v>
      </c>
      <c r="AH52" s="128">
        <v>0.26606897028529197</v>
      </c>
    </row>
    <row r="53" spans="1:34" s="30" customFormat="1" x14ac:dyDescent="0.3">
      <c r="A53" s="136"/>
      <c r="B53" s="142" t="s">
        <v>26</v>
      </c>
      <c r="C53" s="47">
        <v>1.38851079021867</v>
      </c>
      <c r="D53" s="142" t="s">
        <v>26</v>
      </c>
      <c r="E53" s="47">
        <v>0.35600278976387401</v>
      </c>
      <c r="F53" s="141"/>
      <c r="G53" s="128"/>
      <c r="H53" s="141"/>
      <c r="I53" s="128"/>
      <c r="J53" s="141"/>
      <c r="K53" s="128"/>
      <c r="L53" s="138" t="s">
        <v>20</v>
      </c>
      <c r="M53" s="128">
        <v>9.7633606678930107</v>
      </c>
      <c r="O53" s="131"/>
      <c r="P53" s="132"/>
      <c r="Q53" s="131"/>
      <c r="R53" s="132"/>
      <c r="S53" s="134"/>
      <c r="T53" s="132"/>
      <c r="V53" s="131"/>
      <c r="W53" s="132"/>
      <c r="X53" s="131"/>
      <c r="Y53" s="132"/>
      <c r="Z53" s="134"/>
      <c r="AA53" s="132"/>
      <c r="AC53" s="141"/>
      <c r="AD53" s="128"/>
      <c r="AE53" s="141"/>
      <c r="AF53" s="128"/>
      <c r="AH53" s="159"/>
    </row>
    <row r="54" spans="1:34" s="30" customFormat="1" x14ac:dyDescent="0.3">
      <c r="A54" s="136"/>
      <c r="B54" s="141"/>
      <c r="C54" s="128"/>
      <c r="D54" s="141"/>
      <c r="E54" s="128"/>
      <c r="F54" s="141"/>
      <c r="G54" s="128"/>
      <c r="H54" s="141"/>
      <c r="I54" s="128"/>
      <c r="J54" s="141"/>
      <c r="K54" s="128"/>
      <c r="L54" s="141"/>
      <c r="M54" s="128"/>
      <c r="O54" s="131"/>
      <c r="P54" s="132"/>
      <c r="Q54" s="131"/>
      <c r="R54" s="132"/>
      <c r="S54" s="46"/>
      <c r="T54" s="132"/>
      <c r="V54" s="131"/>
      <c r="W54" s="132"/>
      <c r="X54" s="131"/>
      <c r="Y54" s="132"/>
      <c r="Z54" s="46"/>
      <c r="AA54" s="132"/>
      <c r="AC54" s="141"/>
      <c r="AD54" s="128"/>
      <c r="AE54" s="141"/>
      <c r="AF54" s="128"/>
      <c r="AH54" s="159"/>
    </row>
    <row r="55" spans="1:34" s="30" customFormat="1" ht="15" thickBot="1" x14ac:dyDescent="0.35">
      <c r="A55" s="145"/>
      <c r="B55" s="147"/>
      <c r="C55" s="148"/>
      <c r="D55" s="147"/>
      <c r="E55" s="148"/>
      <c r="F55" s="147"/>
      <c r="G55" s="148"/>
      <c r="H55" s="147"/>
      <c r="I55" s="148"/>
      <c r="J55" s="147"/>
      <c r="K55" s="148"/>
      <c r="L55" s="147"/>
      <c r="M55" s="148"/>
      <c r="N55" s="87"/>
      <c r="O55" s="149"/>
      <c r="P55" s="150"/>
      <c r="Q55" s="149"/>
      <c r="R55" s="150"/>
      <c r="S55" s="151"/>
      <c r="T55" s="150"/>
      <c r="V55" s="149"/>
      <c r="W55" s="150"/>
      <c r="X55" s="149"/>
      <c r="Y55" s="150"/>
      <c r="Z55" s="151"/>
      <c r="AA55" s="150"/>
      <c r="AC55" s="147"/>
      <c r="AD55" s="148"/>
      <c r="AE55" s="147"/>
      <c r="AF55" s="148"/>
      <c r="AG55" s="147"/>
      <c r="AH55" s="160"/>
    </row>
    <row r="56" spans="1:34" s="30" customFormat="1" ht="15" thickTop="1" x14ac:dyDescent="0.3">
      <c r="A56" s="126" t="s">
        <v>41</v>
      </c>
      <c r="B56" s="152" t="s">
        <v>19</v>
      </c>
      <c r="C56" s="47">
        <v>9.7633606678930107</v>
      </c>
      <c r="D56" s="152" t="s">
        <v>19</v>
      </c>
      <c r="E56" s="47">
        <v>9.7633606678930107</v>
      </c>
      <c r="F56" s="152" t="s">
        <v>19</v>
      </c>
      <c r="G56" s="47">
        <v>9.7633606678930107</v>
      </c>
      <c r="H56" s="153" t="s">
        <v>31</v>
      </c>
      <c r="I56" s="47">
        <v>17.469002996680899</v>
      </c>
      <c r="J56" s="129" t="s">
        <v>21</v>
      </c>
      <c r="K56" s="135">
        <v>90.236639332106904</v>
      </c>
      <c r="L56" s="161" t="s">
        <v>33</v>
      </c>
      <c r="M56" s="128">
        <v>1.46661083324591</v>
      </c>
      <c r="N56" s="154"/>
      <c r="O56" s="157"/>
      <c r="P56" s="156"/>
      <c r="Q56" s="157"/>
      <c r="R56" s="156"/>
      <c r="S56" s="158"/>
      <c r="T56" s="156"/>
      <c r="V56" s="157"/>
      <c r="W56" s="156"/>
      <c r="X56" s="157"/>
      <c r="Y56" s="156"/>
      <c r="Z56" s="158"/>
      <c r="AA56" s="156"/>
      <c r="AC56" s="152" t="s">
        <v>19</v>
      </c>
      <c r="AD56" s="128">
        <v>9.7633606678930107</v>
      </c>
      <c r="AE56" s="152" t="s">
        <v>19</v>
      </c>
      <c r="AF56" s="128">
        <v>9.7633606678930107</v>
      </c>
      <c r="AG56" s="152" t="s">
        <v>19</v>
      </c>
      <c r="AH56" s="128">
        <v>9.7633606678930107</v>
      </c>
    </row>
    <row r="57" spans="1:34" s="30" customFormat="1" x14ac:dyDescent="0.3">
      <c r="A57" s="136"/>
      <c r="B57" s="137" t="s">
        <v>22</v>
      </c>
      <c r="C57" s="47">
        <v>71.245457254722695</v>
      </c>
      <c r="D57" s="137" t="s">
        <v>22</v>
      </c>
      <c r="E57" s="47">
        <v>87.661117321439804</v>
      </c>
      <c r="F57" s="137" t="s">
        <v>22</v>
      </c>
      <c r="G57" s="47">
        <v>90.065181879699594</v>
      </c>
      <c r="H57" s="130" t="s">
        <v>21</v>
      </c>
      <c r="I57" s="47">
        <v>72.767636335426005</v>
      </c>
      <c r="J57" s="127" t="s">
        <v>20</v>
      </c>
      <c r="K57" s="128">
        <v>9.7633606678930107</v>
      </c>
      <c r="L57" s="162" t="s">
        <v>31</v>
      </c>
      <c r="M57" s="128">
        <v>33.903278945629602</v>
      </c>
      <c r="O57" s="133"/>
      <c r="P57" s="132"/>
      <c r="Q57" s="131"/>
      <c r="R57" s="132"/>
      <c r="S57" s="134"/>
      <c r="T57" s="132"/>
      <c r="V57" s="133"/>
      <c r="W57" s="132"/>
      <c r="X57" s="131"/>
      <c r="Y57" s="132"/>
      <c r="Z57" s="134"/>
      <c r="AA57" s="132"/>
      <c r="AC57" s="137" t="s">
        <v>22</v>
      </c>
      <c r="AD57" s="128">
        <v>89.639419238320897</v>
      </c>
      <c r="AE57" s="137" t="s">
        <v>22</v>
      </c>
      <c r="AF57" s="128">
        <v>90.236639332106904</v>
      </c>
      <c r="AG57" s="137" t="s">
        <v>22</v>
      </c>
      <c r="AH57" s="128">
        <v>90.213563989158501</v>
      </c>
    </row>
    <row r="58" spans="1:34" s="30" customFormat="1" x14ac:dyDescent="0.3">
      <c r="A58" s="136"/>
      <c r="B58" s="139" t="s">
        <v>24</v>
      </c>
      <c r="C58" s="47">
        <v>17.9611792080082</v>
      </c>
      <c r="D58" s="139" t="s">
        <v>24</v>
      </c>
      <c r="E58" s="47">
        <v>2.5755220106671</v>
      </c>
      <c r="F58" s="139" t="s">
        <v>24</v>
      </c>
      <c r="G58" s="47">
        <v>0.17145745240731</v>
      </c>
      <c r="H58" s="138" t="s">
        <v>20</v>
      </c>
      <c r="I58" s="128">
        <v>9.7633606678930107</v>
      </c>
      <c r="J58" s="141"/>
      <c r="K58" s="128"/>
      <c r="L58" s="130" t="s">
        <v>21</v>
      </c>
      <c r="M58" s="128">
        <v>54.866749553231401</v>
      </c>
      <c r="O58" s="133"/>
      <c r="P58" s="132"/>
      <c r="Q58" s="131"/>
      <c r="R58" s="132"/>
      <c r="S58" s="134"/>
      <c r="T58" s="132"/>
      <c r="V58" s="133"/>
      <c r="W58" s="132"/>
      <c r="X58" s="131"/>
      <c r="Y58" s="132"/>
      <c r="Z58" s="134"/>
      <c r="AA58" s="132"/>
      <c r="AC58" s="139" t="s">
        <v>24</v>
      </c>
      <c r="AD58" s="128">
        <v>0.59722009378602703</v>
      </c>
      <c r="AE58" s="141"/>
      <c r="AF58" s="159"/>
      <c r="AG58" s="139" t="s">
        <v>24</v>
      </c>
      <c r="AH58" s="128">
        <v>2.30753429484436E-2</v>
      </c>
    </row>
    <row r="59" spans="1:34" s="30" customFormat="1" x14ac:dyDescent="0.3">
      <c r="A59" s="136"/>
      <c r="B59" s="142" t="s">
        <v>26</v>
      </c>
      <c r="C59" s="47">
        <v>1.0300028693759899</v>
      </c>
      <c r="D59" s="141"/>
      <c r="E59" s="159"/>
      <c r="F59" s="141"/>
      <c r="G59" s="159"/>
      <c r="H59" s="141"/>
      <c r="I59" s="128"/>
      <c r="J59" s="141"/>
      <c r="K59" s="159"/>
      <c r="L59" s="138" t="s">
        <v>20</v>
      </c>
      <c r="M59" s="128">
        <v>9.7633606678930107</v>
      </c>
      <c r="O59" s="131"/>
      <c r="P59" s="132"/>
      <c r="Q59" s="131"/>
      <c r="R59" s="132"/>
      <c r="S59" s="134"/>
      <c r="T59" s="132"/>
      <c r="V59" s="131"/>
      <c r="W59" s="132"/>
      <c r="X59" s="131"/>
      <c r="Y59" s="132"/>
      <c r="Z59" s="134"/>
      <c r="AA59" s="132"/>
      <c r="AC59" s="141"/>
      <c r="AD59" s="159"/>
      <c r="AE59" s="141"/>
      <c r="AF59" s="159"/>
      <c r="AH59" s="159"/>
    </row>
    <row r="60" spans="1:34" s="30" customFormat="1" x14ac:dyDescent="0.3">
      <c r="A60" s="136"/>
      <c r="B60" s="141"/>
      <c r="C60" s="159"/>
      <c r="D60" s="141"/>
      <c r="E60" s="159"/>
      <c r="F60" s="141"/>
      <c r="G60" s="159"/>
      <c r="H60" s="141"/>
      <c r="I60" s="159"/>
      <c r="J60" s="141"/>
      <c r="K60" s="159"/>
      <c r="L60" s="141"/>
      <c r="M60" s="128"/>
      <c r="O60" s="131"/>
      <c r="P60" s="132"/>
      <c r="Q60" s="131"/>
      <c r="R60" s="132"/>
      <c r="S60" s="46"/>
      <c r="T60" s="132"/>
      <c r="V60" s="131"/>
      <c r="W60" s="132"/>
      <c r="X60" s="131"/>
      <c r="Y60" s="132"/>
      <c r="Z60" s="46"/>
      <c r="AA60" s="132"/>
      <c r="AC60" s="141"/>
      <c r="AD60" s="159"/>
      <c r="AE60" s="141"/>
      <c r="AF60" s="159"/>
      <c r="AH60" s="159"/>
    </row>
    <row r="61" spans="1:34" s="30" customFormat="1" ht="15" thickBot="1" x14ac:dyDescent="0.35">
      <c r="A61" s="145"/>
      <c r="B61" s="147"/>
      <c r="C61" s="160"/>
      <c r="D61" s="147"/>
      <c r="E61" s="160"/>
      <c r="F61" s="147"/>
      <c r="G61" s="160"/>
      <c r="H61" s="147"/>
      <c r="I61" s="160"/>
      <c r="J61" s="147"/>
      <c r="K61" s="160"/>
      <c r="L61" s="147"/>
      <c r="M61" s="148"/>
      <c r="N61" s="87"/>
      <c r="O61" s="149"/>
      <c r="P61" s="150"/>
      <c r="Q61" s="149"/>
      <c r="R61" s="150"/>
      <c r="S61" s="151"/>
      <c r="T61" s="150"/>
      <c r="V61" s="149"/>
      <c r="W61" s="150"/>
      <c r="X61" s="149"/>
      <c r="Y61" s="150"/>
      <c r="Z61" s="151"/>
      <c r="AA61" s="150"/>
      <c r="AC61" s="147"/>
      <c r="AD61" s="160"/>
      <c r="AE61" s="147"/>
      <c r="AF61" s="160"/>
      <c r="AG61" s="147"/>
      <c r="AH61" s="160"/>
    </row>
    <row r="62" spans="1:34" s="30" customFormat="1" ht="15" thickTop="1" x14ac:dyDescent="0.3">
      <c r="AH62" s="47"/>
    </row>
    <row r="63" spans="1:34" s="30" customFormat="1" x14ac:dyDescent="0.3">
      <c r="AH63" s="47"/>
    </row>
    <row r="64" spans="1:34" s="30" customFormat="1" x14ac:dyDescent="0.3">
      <c r="AH64" s="47"/>
    </row>
    <row r="65" spans="34:34" s="30" customFormat="1" x14ac:dyDescent="0.3">
      <c r="AH65" s="47"/>
    </row>
    <row r="66" spans="34:34" s="30" customFormat="1" x14ac:dyDescent="0.3">
      <c r="AH66" s="47"/>
    </row>
    <row r="67" spans="34:34" s="30" customFormat="1" x14ac:dyDescent="0.3">
      <c r="AH67" s="47"/>
    </row>
    <row r="68" spans="34:34" s="30" customFormat="1" x14ac:dyDescent="0.3">
      <c r="AH68" s="47"/>
    </row>
    <row r="69" spans="34:34" s="30" customFormat="1" x14ac:dyDescent="0.3">
      <c r="AH69" s="47"/>
    </row>
    <row r="70" spans="34:34" s="30" customFormat="1" x14ac:dyDescent="0.3">
      <c r="AH70" s="47"/>
    </row>
    <row r="71" spans="34:34" s="30" customFormat="1" x14ac:dyDescent="0.3">
      <c r="AH71" s="47"/>
    </row>
    <row r="72" spans="34:34" s="30" customFormat="1" x14ac:dyDescent="0.3">
      <c r="AH72" s="47"/>
    </row>
  </sheetData>
  <mergeCells count="28">
    <mergeCell ref="A56:A61"/>
    <mergeCell ref="B6:C6"/>
    <mergeCell ref="D6:E6"/>
    <mergeCell ref="F6:G6"/>
    <mergeCell ref="H6:I6"/>
    <mergeCell ref="A20:A25"/>
    <mergeCell ref="A26:A31"/>
    <mergeCell ref="A32:A37"/>
    <mergeCell ref="A38:A43"/>
    <mergeCell ref="A44:A49"/>
    <mergeCell ref="A50:A55"/>
    <mergeCell ref="A8:A13"/>
    <mergeCell ref="A14:A19"/>
    <mergeCell ref="AG6:AH6"/>
    <mergeCell ref="AC6:AD6"/>
    <mergeCell ref="AE6:AF6"/>
    <mergeCell ref="A5:M5"/>
    <mergeCell ref="O5:T5"/>
    <mergeCell ref="X6:Y6"/>
    <mergeCell ref="Z6:AA6"/>
    <mergeCell ref="L6:M6"/>
    <mergeCell ref="J6:K6"/>
    <mergeCell ref="O6:P6"/>
    <mergeCell ref="Q6:R6"/>
    <mergeCell ref="S6:T6"/>
    <mergeCell ref="V6:W6"/>
    <mergeCell ref="V5:AA5"/>
    <mergeCell ref="AC5:AH5"/>
  </mergeCells>
  <conditionalFormatting sqref="K8:K11">
    <cfRule type="dataBar" priority="55">
      <dataBar>
        <cfvo type="min"/>
        <cfvo type="max"/>
        <color rgb="FF63C384"/>
      </dataBar>
      <extLst>
        <ext xmlns:x14="http://schemas.microsoft.com/office/spreadsheetml/2009/9/main" uri="{B025F937-C7B1-47D3-B67F-A62EFF666E3E}">
          <x14:id>{41A54BF9-57B2-4756-91FF-D75D0E81337D}</x14:id>
        </ext>
      </extLst>
    </cfRule>
  </conditionalFormatting>
  <conditionalFormatting sqref="K14:K16">
    <cfRule type="dataBar" priority="54">
      <dataBar>
        <cfvo type="min"/>
        <cfvo type="max"/>
        <color rgb="FF63C384"/>
      </dataBar>
      <extLst>
        <ext xmlns:x14="http://schemas.microsoft.com/office/spreadsheetml/2009/9/main" uri="{B025F937-C7B1-47D3-B67F-A62EFF666E3E}">
          <x14:id>{78F62F79-095A-478A-AAAA-01E572F862F8}</x14:id>
        </ext>
      </extLst>
    </cfRule>
  </conditionalFormatting>
  <conditionalFormatting sqref="C1:C1048576">
    <cfRule type="dataBar" priority="52">
      <dataBar>
        <cfvo type="min"/>
        <cfvo type="max"/>
        <color rgb="FF638EC6"/>
      </dataBar>
      <extLst>
        <ext xmlns:x14="http://schemas.microsoft.com/office/spreadsheetml/2009/9/main" uri="{B025F937-C7B1-47D3-B67F-A62EFF666E3E}">
          <x14:id>{398A378F-C9A3-420F-81E2-126294DCF749}</x14:id>
        </ext>
      </extLst>
    </cfRule>
  </conditionalFormatting>
  <conditionalFormatting sqref="E1:E1048576">
    <cfRule type="dataBar" priority="51">
      <dataBar>
        <cfvo type="min"/>
        <cfvo type="max"/>
        <color rgb="FF638EC6"/>
      </dataBar>
      <extLst>
        <ext xmlns:x14="http://schemas.microsoft.com/office/spreadsheetml/2009/9/main" uri="{B025F937-C7B1-47D3-B67F-A62EFF666E3E}">
          <x14:id>{59E5EA00-3585-480E-A110-286A50A0C9B2}</x14:id>
        </ext>
      </extLst>
    </cfRule>
  </conditionalFormatting>
  <conditionalFormatting sqref="G1:G1048576">
    <cfRule type="dataBar" priority="46">
      <dataBar>
        <cfvo type="min"/>
        <cfvo type="max"/>
        <color theme="6"/>
      </dataBar>
      <extLst>
        <ext xmlns:x14="http://schemas.microsoft.com/office/spreadsheetml/2009/9/main" uri="{B025F937-C7B1-47D3-B67F-A62EFF666E3E}">
          <x14:id>{6E3A3024-0C14-473C-8AF3-BB6FF3DD645B}</x14:id>
        </ext>
      </extLst>
    </cfRule>
    <cfRule type="dataBar" priority="47">
      <dataBar>
        <cfvo type="min"/>
        <cfvo type="max"/>
        <color theme="2" tint="-9.9978637043366805E-2"/>
      </dataBar>
      <extLst>
        <ext xmlns:x14="http://schemas.microsoft.com/office/spreadsheetml/2009/9/main" uri="{B025F937-C7B1-47D3-B67F-A62EFF666E3E}">
          <x14:id>{CC6A20BD-E064-4B67-A2B0-8D6AAE31F210}</x14:id>
        </ext>
      </extLst>
    </cfRule>
    <cfRule type="dataBar" priority="50">
      <dataBar>
        <cfvo type="min"/>
        <cfvo type="max"/>
        <color rgb="FFFF555A"/>
      </dataBar>
      <extLst>
        <ext xmlns:x14="http://schemas.microsoft.com/office/spreadsheetml/2009/9/main" uri="{B025F937-C7B1-47D3-B67F-A62EFF666E3E}">
          <x14:id>{F3DCA670-A726-47C1-A4EB-8DFE86A96D8E}</x14:id>
        </ext>
      </extLst>
    </cfRule>
  </conditionalFormatting>
  <conditionalFormatting sqref="I1:I1048576">
    <cfRule type="dataBar" priority="49">
      <dataBar>
        <cfvo type="min"/>
        <cfvo type="max"/>
        <color rgb="FF008AEF"/>
      </dataBar>
      <extLst>
        <ext xmlns:x14="http://schemas.microsoft.com/office/spreadsheetml/2009/9/main" uri="{B025F937-C7B1-47D3-B67F-A62EFF666E3E}">
          <x14:id>{518FC4CE-07D4-48E5-A615-379E8D2E5353}</x14:id>
        </ext>
      </extLst>
    </cfRule>
  </conditionalFormatting>
  <conditionalFormatting sqref="M1:M1048576">
    <cfRule type="dataBar" priority="48">
      <dataBar>
        <cfvo type="min"/>
        <cfvo type="max"/>
        <color rgb="FFFFB628"/>
      </dataBar>
      <extLst>
        <ext xmlns:x14="http://schemas.microsoft.com/office/spreadsheetml/2009/9/main" uri="{B025F937-C7B1-47D3-B67F-A62EFF666E3E}">
          <x14:id>{1FE7C82F-4578-4D2D-B8E7-7077A72060C6}</x14:id>
        </ext>
      </extLst>
    </cfRule>
  </conditionalFormatting>
  <conditionalFormatting sqref="P35">
    <cfRule type="dataBar" priority="45">
      <dataBar>
        <cfvo type="min"/>
        <cfvo type="max"/>
        <color rgb="FF008AEF"/>
      </dataBar>
      <extLst>
        <ext xmlns:x14="http://schemas.microsoft.com/office/spreadsheetml/2009/9/main" uri="{B025F937-C7B1-47D3-B67F-A62EFF666E3E}">
          <x14:id>{78F0494C-FBD0-4FE6-B3B9-F21D561C1AE8}</x14:id>
        </ext>
      </extLst>
    </cfRule>
  </conditionalFormatting>
  <conditionalFormatting sqref="R32:R33">
    <cfRule type="dataBar" priority="44">
      <dataBar>
        <cfvo type="min"/>
        <cfvo type="max"/>
        <color rgb="FF63C384"/>
      </dataBar>
      <extLst>
        <ext xmlns:x14="http://schemas.microsoft.com/office/spreadsheetml/2009/9/main" uri="{B025F937-C7B1-47D3-B67F-A62EFF666E3E}">
          <x14:id>{8B144F8F-F86D-4EF8-9D09-11DC9B4B3C74}</x14:id>
        </ext>
      </extLst>
    </cfRule>
  </conditionalFormatting>
  <conditionalFormatting sqref="Y32:Y34">
    <cfRule type="dataBar" priority="42">
      <dataBar>
        <cfvo type="min"/>
        <cfvo type="max"/>
        <color rgb="FF63C384"/>
      </dataBar>
      <extLst>
        <ext xmlns:x14="http://schemas.microsoft.com/office/spreadsheetml/2009/9/main" uri="{B025F937-C7B1-47D3-B67F-A62EFF666E3E}">
          <x14:id>{1EAA8383-F791-48A6-88B1-586C8634BBCB}</x14:id>
        </ext>
      </extLst>
    </cfRule>
  </conditionalFormatting>
  <conditionalFormatting sqref="AD7:AD61">
    <cfRule type="dataBar" priority="40">
      <dataBar>
        <cfvo type="min"/>
        <cfvo type="max"/>
        <color rgb="FF638EC6"/>
      </dataBar>
      <extLst>
        <ext xmlns:x14="http://schemas.microsoft.com/office/spreadsheetml/2009/9/main" uri="{B025F937-C7B1-47D3-B67F-A62EFF666E3E}">
          <x14:id>{262D052E-C649-454B-8651-3BA6F0FA1E6F}</x14:id>
        </ext>
      </extLst>
    </cfRule>
  </conditionalFormatting>
  <conditionalFormatting sqref="AF7:AF61">
    <cfRule type="dataBar" priority="39">
      <dataBar>
        <cfvo type="min"/>
        <cfvo type="max"/>
        <color rgb="FF638EC6"/>
      </dataBar>
      <extLst>
        <ext xmlns:x14="http://schemas.microsoft.com/office/spreadsheetml/2009/9/main" uri="{B025F937-C7B1-47D3-B67F-A62EFF666E3E}">
          <x14:id>{CDD7B727-A463-44FB-AFB5-14CA8CC7A160}</x14:id>
        </ext>
      </extLst>
    </cfRule>
  </conditionalFormatting>
  <conditionalFormatting sqref="K24:K1048576 K1:K22">
    <cfRule type="dataBar" priority="56">
      <dataBar>
        <cfvo type="min"/>
        <cfvo type="max"/>
        <color rgb="FF63C384"/>
      </dataBar>
      <extLst>
        <ext xmlns:x14="http://schemas.microsoft.com/office/spreadsheetml/2009/9/main" uri="{B025F937-C7B1-47D3-B67F-A62EFF666E3E}">
          <x14:id>{73274CD7-44EB-4609-B4C2-196FCD36B476}</x14:id>
        </ext>
      </extLst>
    </cfRule>
  </conditionalFormatting>
  <conditionalFormatting sqref="P6">
    <cfRule type="dataBar" priority="38">
      <dataBar>
        <cfvo type="min"/>
        <cfvo type="max"/>
        <color rgb="FF008AEF"/>
      </dataBar>
      <extLst>
        <ext xmlns:x14="http://schemas.microsoft.com/office/spreadsheetml/2009/9/main" uri="{B025F937-C7B1-47D3-B67F-A62EFF666E3E}">
          <x14:id>{B5E171A9-C1EC-494E-B27E-91A147CBB70C}</x14:id>
        </ext>
      </extLst>
    </cfRule>
  </conditionalFormatting>
  <conditionalFormatting sqref="R6">
    <cfRule type="dataBar" priority="37">
      <dataBar>
        <cfvo type="min"/>
        <cfvo type="max"/>
        <color rgb="FF63C384"/>
      </dataBar>
      <extLst>
        <ext xmlns:x14="http://schemas.microsoft.com/office/spreadsheetml/2009/9/main" uri="{B025F937-C7B1-47D3-B67F-A62EFF666E3E}">
          <x14:id>{0B99FC4D-2E4D-473E-9665-1C32C5DF382E}</x14:id>
        </ext>
      </extLst>
    </cfRule>
  </conditionalFormatting>
  <conditionalFormatting sqref="Y6">
    <cfRule type="dataBar" priority="36">
      <dataBar>
        <cfvo type="min"/>
        <cfvo type="max"/>
        <color rgb="FF63C384"/>
      </dataBar>
      <extLst>
        <ext xmlns:x14="http://schemas.microsoft.com/office/spreadsheetml/2009/9/main" uri="{B025F937-C7B1-47D3-B67F-A62EFF666E3E}">
          <x14:id>{4F96E7A0-63D8-47DD-B65F-9801B1A907B2}</x14:id>
        </ext>
      </extLst>
    </cfRule>
  </conditionalFormatting>
  <conditionalFormatting sqref="T6">
    <cfRule type="dataBar" priority="35">
      <dataBar>
        <cfvo type="min"/>
        <cfvo type="max"/>
        <color rgb="FFFFB628"/>
      </dataBar>
      <extLst>
        <ext xmlns:x14="http://schemas.microsoft.com/office/spreadsheetml/2009/9/main" uri="{B025F937-C7B1-47D3-B67F-A62EFF666E3E}">
          <x14:id>{408C6265-F217-4854-BBAC-17EF3138C38C}</x14:id>
        </ext>
      </extLst>
    </cfRule>
  </conditionalFormatting>
  <conditionalFormatting sqref="AA6">
    <cfRule type="dataBar" priority="34">
      <dataBar>
        <cfvo type="min"/>
        <cfvo type="max"/>
        <color rgb="FFFFB628"/>
      </dataBar>
      <extLst>
        <ext xmlns:x14="http://schemas.microsoft.com/office/spreadsheetml/2009/9/main" uri="{B025F937-C7B1-47D3-B67F-A62EFF666E3E}">
          <x14:id>{A8820483-D0FA-4BF3-9EEC-20A0A7A90555}</x14:id>
        </ext>
      </extLst>
    </cfRule>
  </conditionalFormatting>
  <conditionalFormatting sqref="AD6">
    <cfRule type="dataBar" priority="33">
      <dataBar>
        <cfvo type="min"/>
        <cfvo type="max"/>
        <color rgb="FF638EC6"/>
      </dataBar>
      <extLst>
        <ext xmlns:x14="http://schemas.microsoft.com/office/spreadsheetml/2009/9/main" uri="{B025F937-C7B1-47D3-B67F-A62EFF666E3E}">
          <x14:id>{970E864C-82DF-41D9-9A1B-77482716C1B9}</x14:id>
        </ext>
      </extLst>
    </cfRule>
  </conditionalFormatting>
  <conditionalFormatting sqref="AF6">
    <cfRule type="dataBar" priority="32">
      <dataBar>
        <cfvo type="min"/>
        <cfvo type="max"/>
        <color rgb="FF638EC6"/>
      </dataBar>
      <extLst>
        <ext xmlns:x14="http://schemas.microsoft.com/office/spreadsheetml/2009/9/main" uri="{B025F937-C7B1-47D3-B67F-A62EFF666E3E}">
          <x14:id>{542832E6-7658-4ECF-A2F1-8057ED30446C}</x14:id>
        </ext>
      </extLst>
    </cfRule>
  </conditionalFormatting>
  <conditionalFormatting sqref="R32:R33 R35">
    <cfRule type="dataBar" priority="31">
      <dataBar>
        <cfvo type="min"/>
        <cfvo type="max"/>
        <color rgb="FF63C384"/>
      </dataBar>
      <extLst>
        <ext xmlns:x14="http://schemas.microsoft.com/office/spreadsheetml/2009/9/main" uri="{B025F937-C7B1-47D3-B67F-A62EFF666E3E}">
          <x14:id>{2F3ED6DE-C650-47E7-84CE-157621CF9F62}</x14:id>
        </ext>
      </extLst>
    </cfRule>
  </conditionalFormatting>
  <conditionalFormatting sqref="P32:P34">
    <cfRule type="dataBar" priority="25">
      <dataBar>
        <cfvo type="min"/>
        <cfvo type="max"/>
        <color rgb="FF008AEF"/>
      </dataBar>
      <extLst>
        <ext xmlns:x14="http://schemas.microsoft.com/office/spreadsheetml/2009/9/main" uri="{B025F937-C7B1-47D3-B67F-A62EFF666E3E}">
          <x14:id>{1D46782D-2876-4E5F-96D3-0A2FF3F2DAD7}</x14:id>
        </ext>
      </extLst>
    </cfRule>
  </conditionalFormatting>
  <conditionalFormatting sqref="W35">
    <cfRule type="dataBar" priority="29">
      <dataBar>
        <cfvo type="min"/>
        <cfvo type="max"/>
        <color rgb="FF008AEF"/>
      </dataBar>
      <extLst>
        <ext xmlns:x14="http://schemas.microsoft.com/office/spreadsheetml/2009/9/main" uri="{B025F937-C7B1-47D3-B67F-A62EFF666E3E}">
          <x14:id>{7DE0637D-042C-482C-B318-61E257338B83}</x14:id>
        </ext>
      </extLst>
    </cfRule>
  </conditionalFormatting>
  <conditionalFormatting sqref="W6">
    <cfRule type="dataBar" priority="28">
      <dataBar>
        <cfvo type="min"/>
        <cfvo type="max"/>
        <color rgb="FF008AEF"/>
      </dataBar>
      <extLst>
        <ext xmlns:x14="http://schemas.microsoft.com/office/spreadsheetml/2009/9/main" uri="{B025F937-C7B1-47D3-B67F-A62EFF666E3E}">
          <x14:id>{90125392-D1BF-4959-B91B-F3190A68CBDD}</x14:id>
        </ext>
      </extLst>
    </cfRule>
  </conditionalFormatting>
  <conditionalFormatting sqref="W32:W34">
    <cfRule type="dataBar" priority="27">
      <dataBar>
        <cfvo type="min"/>
        <cfvo type="max"/>
        <color rgb="FF008AEF"/>
      </dataBar>
      <extLst>
        <ext xmlns:x14="http://schemas.microsoft.com/office/spreadsheetml/2009/9/main" uri="{B025F937-C7B1-47D3-B67F-A62EFF666E3E}">
          <x14:id>{19102332-F5F1-4A43-85BE-89A4D3C88E67}</x14:id>
        </ext>
      </extLst>
    </cfRule>
  </conditionalFormatting>
  <conditionalFormatting sqref="T32:T34">
    <cfRule type="dataBar" priority="64">
      <dataBar>
        <cfvo type="min"/>
        <cfvo type="max"/>
        <color rgb="FFFFB628"/>
      </dataBar>
      <extLst>
        <ext xmlns:x14="http://schemas.microsoft.com/office/spreadsheetml/2009/9/main" uri="{B025F937-C7B1-47D3-B67F-A62EFF666E3E}">
          <x14:id>{1AF7764E-FF58-409D-8495-4D29B019AA97}</x14:id>
        </ext>
      </extLst>
    </cfRule>
  </conditionalFormatting>
  <conditionalFormatting sqref="R34">
    <cfRule type="dataBar" priority="26">
      <dataBar>
        <cfvo type="min"/>
        <cfvo type="max"/>
        <color rgb="FF63C384"/>
      </dataBar>
      <extLst>
        <ext xmlns:x14="http://schemas.microsoft.com/office/spreadsheetml/2009/9/main" uri="{B025F937-C7B1-47D3-B67F-A62EFF666E3E}">
          <x14:id>{261816B7-FC83-4E74-9B8E-FD565E3CDBF8}</x14:id>
        </ext>
      </extLst>
    </cfRule>
  </conditionalFormatting>
  <conditionalFormatting sqref="AA32:AA33">
    <cfRule type="dataBar" priority="23">
      <dataBar>
        <cfvo type="min"/>
        <cfvo type="max"/>
        <color rgb="FFFFB628"/>
      </dataBar>
      <extLst>
        <ext xmlns:x14="http://schemas.microsoft.com/office/spreadsheetml/2009/9/main" uri="{B025F937-C7B1-47D3-B67F-A62EFF666E3E}">
          <x14:id>{CA9F0E8E-2F80-4233-B1BA-E05C69A101FF}</x14:id>
        </ext>
      </extLst>
    </cfRule>
  </conditionalFormatting>
  <conditionalFormatting sqref="AH8:AH16 AH62:AH72 AH56:AH58 AH50:AH52 AH44:AH46 AH38:AH40 AH32:AH34 AH26:AH28 AH20:AH22">
    <cfRule type="dataBar" priority="20">
      <dataBar>
        <cfvo type="min"/>
        <cfvo type="max"/>
        <color rgb="FF638EC6"/>
      </dataBar>
      <extLst>
        <ext xmlns:x14="http://schemas.microsoft.com/office/spreadsheetml/2009/9/main" uri="{B025F937-C7B1-47D3-B67F-A62EFF666E3E}">
          <x14:id>{37C31DE4-93B8-4507-84C7-99244C769137}</x14:id>
        </ext>
      </extLst>
    </cfRule>
  </conditionalFormatting>
  <conditionalFormatting sqref="AH59:AH61">
    <cfRule type="dataBar" priority="11">
      <dataBar>
        <cfvo type="min"/>
        <cfvo type="max"/>
        <color rgb="FF638EC6"/>
      </dataBar>
      <extLst>
        <ext xmlns:x14="http://schemas.microsoft.com/office/spreadsheetml/2009/9/main" uri="{B025F937-C7B1-47D3-B67F-A62EFF666E3E}">
          <x14:id>{0487D71F-AC33-4B9F-8B36-86D096FE82BD}</x14:id>
        </ext>
      </extLst>
    </cfRule>
  </conditionalFormatting>
  <conditionalFormatting sqref="AH17:AH19">
    <cfRule type="dataBar" priority="10">
      <dataBar>
        <cfvo type="min"/>
        <cfvo type="max"/>
        <color rgb="FF638EC6"/>
      </dataBar>
      <extLst>
        <ext xmlns:x14="http://schemas.microsoft.com/office/spreadsheetml/2009/9/main" uri="{B025F937-C7B1-47D3-B67F-A62EFF666E3E}">
          <x14:id>{AE5B1CF7-750B-403E-9953-EB1B96D58F37}</x14:id>
        </ext>
      </extLst>
    </cfRule>
  </conditionalFormatting>
  <conditionalFormatting sqref="AH23:AH25">
    <cfRule type="dataBar" priority="9">
      <dataBar>
        <cfvo type="min"/>
        <cfvo type="max"/>
        <color rgb="FF638EC6"/>
      </dataBar>
      <extLst>
        <ext xmlns:x14="http://schemas.microsoft.com/office/spreadsheetml/2009/9/main" uri="{B025F937-C7B1-47D3-B67F-A62EFF666E3E}">
          <x14:id>{4C2E9C95-10AC-4DF6-ACE3-C459A689C36E}</x14:id>
        </ext>
      </extLst>
    </cfRule>
  </conditionalFormatting>
  <conditionalFormatting sqref="AH29:AH31">
    <cfRule type="dataBar" priority="8">
      <dataBar>
        <cfvo type="min"/>
        <cfvo type="max"/>
        <color rgb="FF638EC6"/>
      </dataBar>
      <extLst>
        <ext xmlns:x14="http://schemas.microsoft.com/office/spreadsheetml/2009/9/main" uri="{B025F937-C7B1-47D3-B67F-A62EFF666E3E}">
          <x14:id>{4E768184-A34E-4DF7-94E8-BE644D95BC88}</x14:id>
        </ext>
      </extLst>
    </cfRule>
  </conditionalFormatting>
  <conditionalFormatting sqref="AH35:AH37">
    <cfRule type="dataBar" priority="7">
      <dataBar>
        <cfvo type="min"/>
        <cfvo type="max"/>
        <color rgb="FF638EC6"/>
      </dataBar>
      <extLst>
        <ext xmlns:x14="http://schemas.microsoft.com/office/spreadsheetml/2009/9/main" uri="{B025F937-C7B1-47D3-B67F-A62EFF666E3E}">
          <x14:id>{52D6833D-6E55-4565-8AA9-4A075DFE94BD}</x14:id>
        </ext>
      </extLst>
    </cfRule>
  </conditionalFormatting>
  <conditionalFormatting sqref="AH41:AH43">
    <cfRule type="dataBar" priority="6">
      <dataBar>
        <cfvo type="min"/>
        <cfvo type="max"/>
        <color rgb="FF638EC6"/>
      </dataBar>
      <extLst>
        <ext xmlns:x14="http://schemas.microsoft.com/office/spreadsheetml/2009/9/main" uri="{B025F937-C7B1-47D3-B67F-A62EFF666E3E}">
          <x14:id>{9148B9B2-7305-405D-A16D-5F3E2BA480A7}</x14:id>
        </ext>
      </extLst>
    </cfRule>
  </conditionalFormatting>
  <conditionalFormatting sqref="AH47:AH49">
    <cfRule type="dataBar" priority="5">
      <dataBar>
        <cfvo type="min"/>
        <cfvo type="max"/>
        <color rgb="FF638EC6"/>
      </dataBar>
      <extLst>
        <ext xmlns:x14="http://schemas.microsoft.com/office/spreadsheetml/2009/9/main" uri="{B025F937-C7B1-47D3-B67F-A62EFF666E3E}">
          <x14:id>{91758B0C-A277-4B7F-A332-5566830DD51F}</x14:id>
        </ext>
      </extLst>
    </cfRule>
  </conditionalFormatting>
  <conditionalFormatting sqref="AH53:AH55">
    <cfRule type="dataBar" priority="4">
      <dataBar>
        <cfvo type="min"/>
        <cfvo type="max"/>
        <color rgb="FF638EC6"/>
      </dataBar>
      <extLst>
        <ext xmlns:x14="http://schemas.microsoft.com/office/spreadsheetml/2009/9/main" uri="{B025F937-C7B1-47D3-B67F-A62EFF666E3E}">
          <x14:id>{A95B72E9-9D62-4A02-95F2-588CF4516771}</x14:id>
        </ext>
      </extLst>
    </cfRule>
  </conditionalFormatting>
  <conditionalFormatting sqref="AH7">
    <cfRule type="dataBar" priority="2">
      <dataBar>
        <cfvo type="min"/>
        <cfvo type="max"/>
        <color rgb="FF638EC6"/>
      </dataBar>
      <extLst>
        <ext xmlns:x14="http://schemas.microsoft.com/office/spreadsheetml/2009/9/main" uri="{B025F937-C7B1-47D3-B67F-A62EFF666E3E}">
          <x14:id>{8828303F-8A88-47BC-810A-4064D06F1C12}</x14:id>
        </ext>
      </extLst>
    </cfRule>
  </conditionalFormatting>
  <conditionalFormatting sqref="AH6">
    <cfRule type="dataBar" priority="1">
      <dataBar>
        <cfvo type="min"/>
        <cfvo type="max"/>
        <color rgb="FF638EC6"/>
      </dataBar>
      <extLst>
        <ext xmlns:x14="http://schemas.microsoft.com/office/spreadsheetml/2009/9/main" uri="{B025F937-C7B1-47D3-B67F-A62EFF666E3E}">
          <x14:id>{784E4241-58C3-4F22-8EB5-CAFDFE554E99}</x14:id>
        </ext>
      </extLst>
    </cfRule>
  </conditionalFormatting>
  <pageMargins left="0.7" right="0.7" top="0.75" bottom="0.75" header="0.3" footer="0.3"/>
  <pageSetup paperSize="9" orientation="landscape" r:id="rId1"/>
  <extLst>
    <ext xmlns:x14="http://schemas.microsoft.com/office/spreadsheetml/2009/9/main" uri="{78C0D931-6437-407d-A8EE-F0AAD7539E65}">
      <x14:conditionalFormattings>
        <x14:conditionalFormatting xmlns:xm="http://schemas.microsoft.com/office/excel/2006/main">
          <x14:cfRule type="dataBar" id="{41A54BF9-57B2-4756-91FF-D75D0E81337D}">
            <x14:dataBar minLength="0" maxLength="100" border="1" negativeBarBorderColorSameAsPositive="0">
              <x14:cfvo type="autoMin"/>
              <x14:cfvo type="autoMax"/>
              <x14:borderColor rgb="FF63C384"/>
              <x14:negativeFillColor rgb="FFFF0000"/>
              <x14:negativeBorderColor rgb="FFFF0000"/>
              <x14:axisColor rgb="FF000000"/>
            </x14:dataBar>
          </x14:cfRule>
          <xm:sqref>K8:K11</xm:sqref>
        </x14:conditionalFormatting>
        <x14:conditionalFormatting xmlns:xm="http://schemas.microsoft.com/office/excel/2006/main">
          <x14:cfRule type="dataBar" id="{78F62F79-095A-478A-AAAA-01E572F862F8}">
            <x14:dataBar minLength="0" maxLength="100" border="1" negativeBarBorderColorSameAsPositive="0">
              <x14:cfvo type="autoMin"/>
              <x14:cfvo type="autoMax"/>
              <x14:borderColor rgb="FF63C384"/>
              <x14:negativeFillColor rgb="FFFF0000"/>
              <x14:negativeBorderColor rgb="FFFF0000"/>
              <x14:axisColor rgb="FF000000"/>
            </x14:dataBar>
          </x14:cfRule>
          <xm:sqref>K14:K16</xm:sqref>
        </x14:conditionalFormatting>
        <x14:conditionalFormatting xmlns:xm="http://schemas.microsoft.com/office/excel/2006/main">
          <x14:cfRule type="dataBar" id="{398A378F-C9A3-420F-81E2-126294DCF749}">
            <x14:dataBar minLength="0" maxLength="100" border="1" negativeBarBorderColorSameAsPositive="0">
              <x14:cfvo type="autoMin"/>
              <x14:cfvo type="autoMax"/>
              <x14:borderColor rgb="FF638EC6"/>
              <x14:negativeFillColor rgb="FFFF0000"/>
              <x14:negativeBorderColor rgb="FFFF0000"/>
              <x14:axisColor rgb="FF000000"/>
            </x14:dataBar>
          </x14:cfRule>
          <xm:sqref>C1:C1048576</xm:sqref>
        </x14:conditionalFormatting>
        <x14:conditionalFormatting xmlns:xm="http://schemas.microsoft.com/office/excel/2006/main">
          <x14:cfRule type="dataBar" id="{59E5EA00-3585-480E-A110-286A50A0C9B2}">
            <x14:dataBar minLength="0" maxLength="100" border="1" negativeBarBorderColorSameAsPositive="0">
              <x14:cfvo type="autoMin"/>
              <x14:cfvo type="autoMax"/>
              <x14:borderColor rgb="FF638EC6"/>
              <x14:negativeFillColor rgb="FFFF0000"/>
              <x14:negativeBorderColor rgb="FFFF0000"/>
              <x14:axisColor rgb="FF000000"/>
            </x14:dataBar>
          </x14:cfRule>
          <xm:sqref>E1:E1048576</xm:sqref>
        </x14:conditionalFormatting>
        <x14:conditionalFormatting xmlns:xm="http://schemas.microsoft.com/office/excel/2006/main">
          <x14:cfRule type="dataBar" id="{6E3A3024-0C14-473C-8AF3-BB6FF3DD645B}">
            <x14:dataBar minLength="0" maxLength="100">
              <x14:cfvo type="autoMin"/>
              <x14:cfvo type="autoMax"/>
              <x14:negativeFillColor rgb="FFFF0000"/>
              <x14:axisColor rgb="FF000000"/>
            </x14:dataBar>
          </x14:cfRule>
          <x14:cfRule type="dataBar" id="{CC6A20BD-E064-4B67-A2B0-8D6AAE31F210}">
            <x14:dataBar minLength="0" maxLength="100" gradient="0">
              <x14:cfvo type="autoMin"/>
              <x14:cfvo type="autoMax"/>
              <x14:negativeFillColor rgb="FFFF0000"/>
              <x14:axisColor rgb="FF000000"/>
            </x14:dataBar>
          </x14:cfRule>
          <x14:cfRule type="dataBar" id="{F3DCA670-A726-47C1-A4EB-8DFE86A96D8E}">
            <x14:dataBar minLength="0" maxLength="100" border="1" negativeBarBorderColorSameAsPositive="0">
              <x14:cfvo type="autoMin"/>
              <x14:cfvo type="autoMax"/>
              <x14:borderColor rgb="FFFF555A"/>
              <x14:negativeFillColor rgb="FFFF0000"/>
              <x14:negativeBorderColor rgb="FFFF0000"/>
              <x14:axisColor rgb="FF000000"/>
            </x14:dataBar>
          </x14:cfRule>
          <xm:sqref>G1:G1048576</xm:sqref>
        </x14:conditionalFormatting>
        <x14:conditionalFormatting xmlns:xm="http://schemas.microsoft.com/office/excel/2006/main">
          <x14:cfRule type="dataBar" id="{518FC4CE-07D4-48E5-A615-379E8D2E5353}">
            <x14:dataBar minLength="0" maxLength="100" border="1" negativeBarBorderColorSameAsPositive="0">
              <x14:cfvo type="autoMin"/>
              <x14:cfvo type="autoMax"/>
              <x14:borderColor rgb="FF008AEF"/>
              <x14:negativeFillColor rgb="FFFF0000"/>
              <x14:negativeBorderColor rgb="FFFF0000"/>
              <x14:axisColor rgb="FF000000"/>
            </x14:dataBar>
          </x14:cfRule>
          <xm:sqref>I1:I1048576</xm:sqref>
        </x14:conditionalFormatting>
        <x14:conditionalFormatting xmlns:xm="http://schemas.microsoft.com/office/excel/2006/main">
          <x14:cfRule type="dataBar" id="{1FE7C82F-4578-4D2D-B8E7-7077A72060C6}">
            <x14:dataBar minLength="0" maxLength="100" border="1" negativeBarBorderColorSameAsPositive="0">
              <x14:cfvo type="autoMin"/>
              <x14:cfvo type="autoMax"/>
              <x14:borderColor rgb="FFFFB628"/>
              <x14:negativeFillColor rgb="FFFF0000"/>
              <x14:negativeBorderColor rgb="FFFF0000"/>
              <x14:axisColor rgb="FF000000"/>
            </x14:dataBar>
          </x14:cfRule>
          <xm:sqref>M1:M1048576</xm:sqref>
        </x14:conditionalFormatting>
        <x14:conditionalFormatting xmlns:xm="http://schemas.microsoft.com/office/excel/2006/main">
          <x14:cfRule type="dataBar" id="{78F0494C-FBD0-4FE6-B3B9-F21D561C1AE8}">
            <x14:dataBar minLength="0" maxLength="100" border="1" negativeBarBorderColorSameAsPositive="0">
              <x14:cfvo type="autoMin"/>
              <x14:cfvo type="autoMax"/>
              <x14:borderColor rgb="FF008AEF"/>
              <x14:negativeFillColor rgb="FFFF0000"/>
              <x14:negativeBorderColor rgb="FFFF0000"/>
              <x14:axisColor rgb="FF000000"/>
            </x14:dataBar>
          </x14:cfRule>
          <xm:sqref>P35</xm:sqref>
        </x14:conditionalFormatting>
        <x14:conditionalFormatting xmlns:xm="http://schemas.microsoft.com/office/excel/2006/main">
          <x14:cfRule type="dataBar" id="{8B144F8F-F86D-4EF8-9D09-11DC9B4B3C74}">
            <x14:dataBar minLength="0" maxLength="100" border="1" negativeBarBorderColorSameAsPositive="0">
              <x14:cfvo type="autoMin"/>
              <x14:cfvo type="autoMax"/>
              <x14:borderColor rgb="FF63C384"/>
              <x14:negativeFillColor rgb="FFFF0000"/>
              <x14:negativeBorderColor rgb="FFFF0000"/>
              <x14:axisColor rgb="FF000000"/>
            </x14:dataBar>
          </x14:cfRule>
          <xm:sqref>R32:R33</xm:sqref>
        </x14:conditionalFormatting>
        <x14:conditionalFormatting xmlns:xm="http://schemas.microsoft.com/office/excel/2006/main">
          <x14:cfRule type="dataBar" id="{1EAA8383-F791-48A6-88B1-586C8634BBCB}">
            <x14:dataBar minLength="0" maxLength="100" border="1" negativeBarBorderColorSameAsPositive="0">
              <x14:cfvo type="autoMin"/>
              <x14:cfvo type="autoMax"/>
              <x14:borderColor rgb="FF63C384"/>
              <x14:negativeFillColor rgb="FFFF0000"/>
              <x14:negativeBorderColor rgb="FFFF0000"/>
              <x14:axisColor rgb="FF000000"/>
            </x14:dataBar>
          </x14:cfRule>
          <xm:sqref>Y32:Y34</xm:sqref>
        </x14:conditionalFormatting>
        <x14:conditionalFormatting xmlns:xm="http://schemas.microsoft.com/office/excel/2006/main">
          <x14:cfRule type="dataBar" id="{262D052E-C649-454B-8651-3BA6F0FA1E6F}">
            <x14:dataBar minLength="0" maxLength="100" border="1" negativeBarBorderColorSameAsPositive="0">
              <x14:cfvo type="autoMin"/>
              <x14:cfvo type="autoMax"/>
              <x14:borderColor rgb="FF638EC6"/>
              <x14:negativeFillColor rgb="FFFF0000"/>
              <x14:negativeBorderColor rgb="FFFF0000"/>
              <x14:axisColor rgb="FF000000"/>
            </x14:dataBar>
          </x14:cfRule>
          <xm:sqref>AD7:AD61</xm:sqref>
        </x14:conditionalFormatting>
        <x14:conditionalFormatting xmlns:xm="http://schemas.microsoft.com/office/excel/2006/main">
          <x14:cfRule type="dataBar" id="{CDD7B727-A463-44FB-AFB5-14CA8CC7A160}">
            <x14:dataBar minLength="0" maxLength="100" border="1" negativeBarBorderColorSameAsPositive="0">
              <x14:cfvo type="autoMin"/>
              <x14:cfvo type="autoMax"/>
              <x14:borderColor rgb="FF638EC6"/>
              <x14:negativeFillColor rgb="FFFF0000"/>
              <x14:negativeBorderColor rgb="FFFF0000"/>
              <x14:axisColor rgb="FF000000"/>
            </x14:dataBar>
          </x14:cfRule>
          <xm:sqref>AF7:AF61</xm:sqref>
        </x14:conditionalFormatting>
        <x14:conditionalFormatting xmlns:xm="http://schemas.microsoft.com/office/excel/2006/main">
          <x14:cfRule type="dataBar" id="{73274CD7-44EB-4609-B4C2-196FCD36B476}">
            <x14:dataBar minLength="0" maxLength="100" border="1" negativeBarBorderColorSameAsPositive="0">
              <x14:cfvo type="autoMin"/>
              <x14:cfvo type="autoMax"/>
              <x14:borderColor rgb="FF63C384"/>
              <x14:negativeFillColor rgb="FFFF0000"/>
              <x14:negativeBorderColor rgb="FFFF0000"/>
              <x14:axisColor rgb="FF000000"/>
            </x14:dataBar>
          </x14:cfRule>
          <xm:sqref>K24:K1048576 K1:K22</xm:sqref>
        </x14:conditionalFormatting>
        <x14:conditionalFormatting xmlns:xm="http://schemas.microsoft.com/office/excel/2006/main">
          <x14:cfRule type="dataBar" id="{B5E171A9-C1EC-494E-B27E-91A147CBB70C}">
            <x14:dataBar minLength="0" maxLength="100" border="1" negativeBarBorderColorSameAsPositive="0">
              <x14:cfvo type="autoMin"/>
              <x14:cfvo type="autoMax"/>
              <x14:borderColor rgb="FF008AEF"/>
              <x14:negativeFillColor rgb="FFFF0000"/>
              <x14:negativeBorderColor rgb="FFFF0000"/>
              <x14:axisColor rgb="FF000000"/>
            </x14:dataBar>
          </x14:cfRule>
          <xm:sqref>P6</xm:sqref>
        </x14:conditionalFormatting>
        <x14:conditionalFormatting xmlns:xm="http://schemas.microsoft.com/office/excel/2006/main">
          <x14:cfRule type="dataBar" id="{0B99FC4D-2E4D-473E-9665-1C32C5DF382E}">
            <x14:dataBar minLength="0" maxLength="100" border="1" negativeBarBorderColorSameAsPositive="0">
              <x14:cfvo type="autoMin"/>
              <x14:cfvo type="autoMax"/>
              <x14:borderColor rgb="FF63C384"/>
              <x14:negativeFillColor rgb="FFFF0000"/>
              <x14:negativeBorderColor rgb="FFFF0000"/>
              <x14:axisColor rgb="FF000000"/>
            </x14:dataBar>
          </x14:cfRule>
          <xm:sqref>R6</xm:sqref>
        </x14:conditionalFormatting>
        <x14:conditionalFormatting xmlns:xm="http://schemas.microsoft.com/office/excel/2006/main">
          <x14:cfRule type="dataBar" id="{4F96E7A0-63D8-47DD-B65F-9801B1A907B2}">
            <x14:dataBar minLength="0" maxLength="100" border="1" negativeBarBorderColorSameAsPositive="0">
              <x14:cfvo type="autoMin"/>
              <x14:cfvo type="autoMax"/>
              <x14:borderColor rgb="FF63C384"/>
              <x14:negativeFillColor rgb="FFFF0000"/>
              <x14:negativeBorderColor rgb="FFFF0000"/>
              <x14:axisColor rgb="FF000000"/>
            </x14:dataBar>
          </x14:cfRule>
          <xm:sqref>Y6</xm:sqref>
        </x14:conditionalFormatting>
        <x14:conditionalFormatting xmlns:xm="http://schemas.microsoft.com/office/excel/2006/main">
          <x14:cfRule type="dataBar" id="{408C6265-F217-4854-BBAC-17EF3138C38C}">
            <x14:dataBar minLength="0" maxLength="100" border="1" negativeBarBorderColorSameAsPositive="0">
              <x14:cfvo type="autoMin"/>
              <x14:cfvo type="autoMax"/>
              <x14:borderColor rgb="FFFFB628"/>
              <x14:negativeFillColor rgb="FFFF0000"/>
              <x14:negativeBorderColor rgb="FFFF0000"/>
              <x14:axisColor rgb="FF000000"/>
            </x14:dataBar>
          </x14:cfRule>
          <xm:sqref>T6</xm:sqref>
        </x14:conditionalFormatting>
        <x14:conditionalFormatting xmlns:xm="http://schemas.microsoft.com/office/excel/2006/main">
          <x14:cfRule type="dataBar" id="{A8820483-D0FA-4BF3-9EEC-20A0A7A90555}">
            <x14:dataBar minLength="0" maxLength="100" border="1" negativeBarBorderColorSameAsPositive="0">
              <x14:cfvo type="autoMin"/>
              <x14:cfvo type="autoMax"/>
              <x14:borderColor rgb="FFFFB628"/>
              <x14:negativeFillColor rgb="FFFF0000"/>
              <x14:negativeBorderColor rgb="FFFF0000"/>
              <x14:axisColor rgb="FF000000"/>
            </x14:dataBar>
          </x14:cfRule>
          <xm:sqref>AA6</xm:sqref>
        </x14:conditionalFormatting>
        <x14:conditionalFormatting xmlns:xm="http://schemas.microsoft.com/office/excel/2006/main">
          <x14:cfRule type="dataBar" id="{970E864C-82DF-41D9-9A1B-77482716C1B9}">
            <x14:dataBar minLength="0" maxLength="100" border="1" negativeBarBorderColorSameAsPositive="0">
              <x14:cfvo type="autoMin"/>
              <x14:cfvo type="autoMax"/>
              <x14:borderColor rgb="FF638EC6"/>
              <x14:negativeFillColor rgb="FFFF0000"/>
              <x14:negativeBorderColor rgb="FFFF0000"/>
              <x14:axisColor rgb="FF000000"/>
            </x14:dataBar>
          </x14:cfRule>
          <xm:sqref>AD6</xm:sqref>
        </x14:conditionalFormatting>
        <x14:conditionalFormatting xmlns:xm="http://schemas.microsoft.com/office/excel/2006/main">
          <x14:cfRule type="dataBar" id="{542832E6-7658-4ECF-A2F1-8057ED30446C}">
            <x14:dataBar minLength="0" maxLength="100" border="1" negativeBarBorderColorSameAsPositive="0">
              <x14:cfvo type="autoMin"/>
              <x14:cfvo type="autoMax"/>
              <x14:borderColor rgb="FF638EC6"/>
              <x14:negativeFillColor rgb="FFFF0000"/>
              <x14:negativeBorderColor rgb="FFFF0000"/>
              <x14:axisColor rgb="FF000000"/>
            </x14:dataBar>
          </x14:cfRule>
          <xm:sqref>AF6</xm:sqref>
        </x14:conditionalFormatting>
        <x14:conditionalFormatting xmlns:xm="http://schemas.microsoft.com/office/excel/2006/main">
          <x14:cfRule type="dataBar" id="{2F3ED6DE-C650-47E7-84CE-157621CF9F62}">
            <x14:dataBar minLength="0" maxLength="100" border="1" negativeBarBorderColorSameAsPositive="0">
              <x14:cfvo type="autoMin"/>
              <x14:cfvo type="autoMax"/>
              <x14:borderColor rgb="FF63C384"/>
              <x14:negativeFillColor rgb="FFFF0000"/>
              <x14:negativeBorderColor rgb="FFFF0000"/>
              <x14:axisColor rgb="FF000000"/>
            </x14:dataBar>
          </x14:cfRule>
          <xm:sqref>R32:R33 R35</xm:sqref>
        </x14:conditionalFormatting>
        <x14:conditionalFormatting xmlns:xm="http://schemas.microsoft.com/office/excel/2006/main">
          <x14:cfRule type="dataBar" id="{1D46782D-2876-4E5F-96D3-0A2FF3F2DAD7}">
            <x14:dataBar minLength="0" maxLength="100" border="1" negativeBarBorderColorSameAsPositive="0">
              <x14:cfvo type="autoMin"/>
              <x14:cfvo type="autoMax"/>
              <x14:borderColor rgb="FF008AEF"/>
              <x14:negativeFillColor rgb="FFFF0000"/>
              <x14:negativeBorderColor rgb="FFFF0000"/>
              <x14:axisColor rgb="FF000000"/>
            </x14:dataBar>
          </x14:cfRule>
          <xm:sqref>P32:P34</xm:sqref>
        </x14:conditionalFormatting>
        <x14:conditionalFormatting xmlns:xm="http://schemas.microsoft.com/office/excel/2006/main">
          <x14:cfRule type="dataBar" id="{7DE0637D-042C-482C-B318-61E257338B83}">
            <x14:dataBar minLength="0" maxLength="100" border="1" negativeBarBorderColorSameAsPositive="0">
              <x14:cfvo type="autoMin"/>
              <x14:cfvo type="autoMax"/>
              <x14:borderColor rgb="FF008AEF"/>
              <x14:negativeFillColor rgb="FFFF0000"/>
              <x14:negativeBorderColor rgb="FFFF0000"/>
              <x14:axisColor rgb="FF000000"/>
            </x14:dataBar>
          </x14:cfRule>
          <xm:sqref>W35</xm:sqref>
        </x14:conditionalFormatting>
        <x14:conditionalFormatting xmlns:xm="http://schemas.microsoft.com/office/excel/2006/main">
          <x14:cfRule type="dataBar" id="{90125392-D1BF-4959-B91B-F3190A68CBDD}">
            <x14:dataBar minLength="0" maxLength="100" border="1" negativeBarBorderColorSameAsPositive="0">
              <x14:cfvo type="autoMin"/>
              <x14:cfvo type="autoMax"/>
              <x14:borderColor rgb="FF008AEF"/>
              <x14:negativeFillColor rgb="FFFF0000"/>
              <x14:negativeBorderColor rgb="FFFF0000"/>
              <x14:axisColor rgb="FF000000"/>
            </x14:dataBar>
          </x14:cfRule>
          <xm:sqref>W6</xm:sqref>
        </x14:conditionalFormatting>
        <x14:conditionalFormatting xmlns:xm="http://schemas.microsoft.com/office/excel/2006/main">
          <x14:cfRule type="dataBar" id="{19102332-F5F1-4A43-85BE-89A4D3C88E67}">
            <x14:dataBar minLength="0" maxLength="100" border="1" negativeBarBorderColorSameAsPositive="0">
              <x14:cfvo type="autoMin"/>
              <x14:cfvo type="autoMax"/>
              <x14:borderColor rgb="FF008AEF"/>
              <x14:negativeFillColor rgb="FFFF0000"/>
              <x14:negativeBorderColor rgb="FFFF0000"/>
              <x14:axisColor rgb="FF000000"/>
            </x14:dataBar>
          </x14:cfRule>
          <xm:sqref>W32:W34</xm:sqref>
        </x14:conditionalFormatting>
        <x14:conditionalFormatting xmlns:xm="http://schemas.microsoft.com/office/excel/2006/main">
          <x14:cfRule type="dataBar" id="{1AF7764E-FF58-409D-8495-4D29B019AA97}">
            <x14:dataBar minLength="0" maxLength="100" border="1" negativeBarBorderColorSameAsPositive="0">
              <x14:cfvo type="autoMin"/>
              <x14:cfvo type="autoMax"/>
              <x14:borderColor rgb="FFFFB628"/>
              <x14:negativeFillColor rgb="FFFF0000"/>
              <x14:negativeBorderColor rgb="FFFF0000"/>
              <x14:axisColor rgb="FF000000"/>
            </x14:dataBar>
          </x14:cfRule>
          <xm:sqref>T32:T34</xm:sqref>
        </x14:conditionalFormatting>
        <x14:conditionalFormatting xmlns:xm="http://schemas.microsoft.com/office/excel/2006/main">
          <x14:cfRule type="dataBar" id="{261816B7-FC83-4E74-9B8E-FD565E3CDBF8}">
            <x14:dataBar minLength="0" maxLength="100" border="1" negativeBarBorderColorSameAsPositive="0">
              <x14:cfvo type="autoMin"/>
              <x14:cfvo type="autoMax"/>
              <x14:borderColor rgb="FF63C384"/>
              <x14:negativeFillColor rgb="FFFF0000"/>
              <x14:negativeBorderColor rgb="FFFF0000"/>
              <x14:axisColor rgb="FF000000"/>
            </x14:dataBar>
          </x14:cfRule>
          <xm:sqref>R34</xm:sqref>
        </x14:conditionalFormatting>
        <x14:conditionalFormatting xmlns:xm="http://schemas.microsoft.com/office/excel/2006/main">
          <x14:cfRule type="dataBar" id="{CA9F0E8E-2F80-4233-B1BA-E05C69A101FF}">
            <x14:dataBar minLength="0" maxLength="100" border="1" negativeBarBorderColorSameAsPositive="0">
              <x14:cfvo type="autoMin"/>
              <x14:cfvo type="autoMax"/>
              <x14:borderColor rgb="FFFFB628"/>
              <x14:negativeFillColor rgb="FFFF0000"/>
              <x14:negativeBorderColor rgb="FFFF0000"/>
              <x14:axisColor rgb="FF000000"/>
            </x14:dataBar>
          </x14:cfRule>
          <xm:sqref>AA32:AA33</xm:sqref>
        </x14:conditionalFormatting>
        <x14:conditionalFormatting xmlns:xm="http://schemas.microsoft.com/office/excel/2006/main">
          <x14:cfRule type="dataBar" id="{37C31DE4-93B8-4507-84C7-99244C769137}">
            <x14:dataBar minLength="0" maxLength="100" border="1" negativeBarBorderColorSameAsPositive="0">
              <x14:cfvo type="autoMin"/>
              <x14:cfvo type="autoMax"/>
              <x14:borderColor rgb="FF638EC6"/>
              <x14:negativeFillColor rgb="FFFF0000"/>
              <x14:negativeBorderColor rgb="FFFF0000"/>
              <x14:axisColor rgb="FF000000"/>
            </x14:dataBar>
          </x14:cfRule>
          <xm:sqref>AH8:AH16 AH62:AH72 AH56:AH58 AH50:AH52 AH44:AH46 AH38:AH40 AH32:AH34 AH26:AH28 AH20:AH22</xm:sqref>
        </x14:conditionalFormatting>
        <x14:conditionalFormatting xmlns:xm="http://schemas.microsoft.com/office/excel/2006/main">
          <x14:cfRule type="dataBar" id="{0487D71F-AC33-4B9F-8B36-86D096FE82BD}">
            <x14:dataBar minLength="0" maxLength="100" border="1" negativeBarBorderColorSameAsPositive="0">
              <x14:cfvo type="autoMin"/>
              <x14:cfvo type="autoMax"/>
              <x14:borderColor rgb="FF638EC6"/>
              <x14:negativeFillColor rgb="FFFF0000"/>
              <x14:negativeBorderColor rgb="FFFF0000"/>
              <x14:axisColor rgb="FF000000"/>
            </x14:dataBar>
          </x14:cfRule>
          <xm:sqref>AH59:AH61</xm:sqref>
        </x14:conditionalFormatting>
        <x14:conditionalFormatting xmlns:xm="http://schemas.microsoft.com/office/excel/2006/main">
          <x14:cfRule type="dataBar" id="{AE5B1CF7-750B-403E-9953-EB1B96D58F37}">
            <x14:dataBar minLength="0" maxLength="100" border="1" negativeBarBorderColorSameAsPositive="0">
              <x14:cfvo type="autoMin"/>
              <x14:cfvo type="autoMax"/>
              <x14:borderColor rgb="FF638EC6"/>
              <x14:negativeFillColor rgb="FFFF0000"/>
              <x14:negativeBorderColor rgb="FFFF0000"/>
              <x14:axisColor rgb="FF000000"/>
            </x14:dataBar>
          </x14:cfRule>
          <xm:sqref>AH17:AH19</xm:sqref>
        </x14:conditionalFormatting>
        <x14:conditionalFormatting xmlns:xm="http://schemas.microsoft.com/office/excel/2006/main">
          <x14:cfRule type="dataBar" id="{4C2E9C95-10AC-4DF6-ACE3-C459A689C36E}">
            <x14:dataBar minLength="0" maxLength="100" border="1" negativeBarBorderColorSameAsPositive="0">
              <x14:cfvo type="autoMin"/>
              <x14:cfvo type="autoMax"/>
              <x14:borderColor rgb="FF638EC6"/>
              <x14:negativeFillColor rgb="FFFF0000"/>
              <x14:negativeBorderColor rgb="FFFF0000"/>
              <x14:axisColor rgb="FF000000"/>
            </x14:dataBar>
          </x14:cfRule>
          <xm:sqref>AH23:AH25</xm:sqref>
        </x14:conditionalFormatting>
        <x14:conditionalFormatting xmlns:xm="http://schemas.microsoft.com/office/excel/2006/main">
          <x14:cfRule type="dataBar" id="{4E768184-A34E-4DF7-94E8-BE644D95BC88}">
            <x14:dataBar minLength="0" maxLength="100" border="1" negativeBarBorderColorSameAsPositive="0">
              <x14:cfvo type="autoMin"/>
              <x14:cfvo type="autoMax"/>
              <x14:borderColor rgb="FF638EC6"/>
              <x14:negativeFillColor rgb="FFFF0000"/>
              <x14:negativeBorderColor rgb="FFFF0000"/>
              <x14:axisColor rgb="FF000000"/>
            </x14:dataBar>
          </x14:cfRule>
          <xm:sqref>AH29:AH31</xm:sqref>
        </x14:conditionalFormatting>
        <x14:conditionalFormatting xmlns:xm="http://schemas.microsoft.com/office/excel/2006/main">
          <x14:cfRule type="dataBar" id="{52D6833D-6E55-4565-8AA9-4A075DFE94BD}">
            <x14:dataBar minLength="0" maxLength="100" border="1" negativeBarBorderColorSameAsPositive="0">
              <x14:cfvo type="autoMin"/>
              <x14:cfvo type="autoMax"/>
              <x14:borderColor rgb="FF638EC6"/>
              <x14:negativeFillColor rgb="FFFF0000"/>
              <x14:negativeBorderColor rgb="FFFF0000"/>
              <x14:axisColor rgb="FF000000"/>
            </x14:dataBar>
          </x14:cfRule>
          <xm:sqref>AH35:AH37</xm:sqref>
        </x14:conditionalFormatting>
        <x14:conditionalFormatting xmlns:xm="http://schemas.microsoft.com/office/excel/2006/main">
          <x14:cfRule type="dataBar" id="{9148B9B2-7305-405D-A16D-5F3E2BA480A7}">
            <x14:dataBar minLength="0" maxLength="100" border="1" negativeBarBorderColorSameAsPositive="0">
              <x14:cfvo type="autoMin"/>
              <x14:cfvo type="autoMax"/>
              <x14:borderColor rgb="FF638EC6"/>
              <x14:negativeFillColor rgb="FFFF0000"/>
              <x14:negativeBorderColor rgb="FFFF0000"/>
              <x14:axisColor rgb="FF000000"/>
            </x14:dataBar>
          </x14:cfRule>
          <xm:sqref>AH41:AH43</xm:sqref>
        </x14:conditionalFormatting>
        <x14:conditionalFormatting xmlns:xm="http://schemas.microsoft.com/office/excel/2006/main">
          <x14:cfRule type="dataBar" id="{91758B0C-A277-4B7F-A332-5566830DD51F}">
            <x14:dataBar minLength="0" maxLength="100" border="1" negativeBarBorderColorSameAsPositive="0">
              <x14:cfvo type="autoMin"/>
              <x14:cfvo type="autoMax"/>
              <x14:borderColor rgb="FF638EC6"/>
              <x14:negativeFillColor rgb="FFFF0000"/>
              <x14:negativeBorderColor rgb="FFFF0000"/>
              <x14:axisColor rgb="FF000000"/>
            </x14:dataBar>
          </x14:cfRule>
          <xm:sqref>AH47:AH49</xm:sqref>
        </x14:conditionalFormatting>
        <x14:conditionalFormatting xmlns:xm="http://schemas.microsoft.com/office/excel/2006/main">
          <x14:cfRule type="dataBar" id="{A95B72E9-9D62-4A02-95F2-588CF4516771}">
            <x14:dataBar minLength="0" maxLength="100" border="1" negativeBarBorderColorSameAsPositive="0">
              <x14:cfvo type="autoMin"/>
              <x14:cfvo type="autoMax"/>
              <x14:borderColor rgb="FF638EC6"/>
              <x14:negativeFillColor rgb="FFFF0000"/>
              <x14:negativeBorderColor rgb="FFFF0000"/>
              <x14:axisColor rgb="FF000000"/>
            </x14:dataBar>
          </x14:cfRule>
          <xm:sqref>AH53:AH55</xm:sqref>
        </x14:conditionalFormatting>
        <x14:conditionalFormatting xmlns:xm="http://schemas.microsoft.com/office/excel/2006/main">
          <x14:cfRule type="dataBar" id="{8828303F-8A88-47BC-810A-4064D06F1C12}">
            <x14:dataBar minLength="0" maxLength="100" border="1" negativeBarBorderColorSameAsPositive="0">
              <x14:cfvo type="autoMin"/>
              <x14:cfvo type="autoMax"/>
              <x14:borderColor rgb="FF638EC6"/>
              <x14:negativeFillColor rgb="FFFF0000"/>
              <x14:negativeBorderColor rgb="FFFF0000"/>
              <x14:axisColor rgb="FF000000"/>
            </x14:dataBar>
          </x14:cfRule>
          <xm:sqref>AH7</xm:sqref>
        </x14:conditionalFormatting>
        <x14:conditionalFormatting xmlns:xm="http://schemas.microsoft.com/office/excel/2006/main">
          <x14:cfRule type="dataBar" id="{784E4241-58C3-4F22-8EB5-CAFDFE554E99}">
            <x14:dataBar minLength="0" maxLength="100" border="1" negativeBarBorderColorSameAsPositive="0">
              <x14:cfvo type="autoMin"/>
              <x14:cfvo type="autoMax"/>
              <x14:borderColor rgb="FF638EC6"/>
              <x14:negativeFillColor rgb="FFFF0000"/>
              <x14:negativeBorderColor rgb="FFFF0000"/>
              <x14:axisColor rgb="FF000000"/>
            </x14:dataBar>
          </x14:cfRule>
          <xm:sqref>AH6</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BC3E4-28C3-4932-8279-48DB8B3A2B5D}">
  <sheetPr>
    <tabColor rgb="FFFF0000"/>
  </sheetPr>
  <dimension ref="A1:BB44"/>
  <sheetViews>
    <sheetView zoomScaleNormal="100" workbookViewId="0">
      <pane xSplit="1" ySplit="8" topLeftCell="B9" activePane="bottomRight" state="frozen"/>
      <selection pane="topRight" activeCell="B1" sqref="B1"/>
      <selection pane="bottomLeft" activeCell="A8" sqref="A8"/>
      <selection pane="bottomRight" activeCell="A28" sqref="A28"/>
    </sheetView>
  </sheetViews>
  <sheetFormatPr baseColWidth="10" defaultColWidth="11.5546875" defaultRowHeight="14.4" x14ac:dyDescent="0.3"/>
  <cols>
    <col min="1" max="1" width="18.33203125" style="40" customWidth="1"/>
    <col min="2" max="2" width="17" style="30" customWidth="1"/>
    <col min="3" max="3" width="6.5546875" style="30" customWidth="1"/>
    <col min="4" max="4" width="8" style="30" customWidth="1"/>
    <col min="5" max="5" width="6.5546875" style="30" customWidth="1"/>
    <col min="6" max="6" width="15.109375" style="30" customWidth="1"/>
    <col min="7" max="8" width="7.33203125" style="30" customWidth="1"/>
    <col min="9" max="9" width="8" style="30" bestFit="1" customWidth="1"/>
    <col min="10" max="10" width="2.5546875" style="30" customWidth="1"/>
    <col min="11" max="11" width="16.109375" style="30" customWidth="1"/>
    <col min="12" max="12" width="6.5546875" style="30" customWidth="1"/>
    <col min="13" max="13" width="8" style="30" customWidth="1"/>
    <col min="14" max="14" width="6.5546875" style="30" customWidth="1"/>
    <col min="15" max="15" width="15.33203125" style="30" customWidth="1"/>
    <col min="16" max="17" width="7.5546875" style="30" customWidth="1"/>
    <col min="18" max="18" width="8" style="30" bestFit="1" customWidth="1"/>
    <col min="19" max="19" width="2.44140625" style="30" customWidth="1"/>
    <col min="20" max="20" width="16.109375" style="30" customWidth="1"/>
    <col min="21" max="21" width="6.5546875" style="30" customWidth="1"/>
    <col min="22" max="22" width="8" style="30" customWidth="1"/>
    <col min="23" max="23" width="6.5546875" style="30" customWidth="1"/>
    <col min="24" max="24" width="15.77734375" style="30" customWidth="1"/>
    <col min="25" max="26" width="7.5546875" style="30" customWidth="1"/>
    <col min="27" max="27" width="8" style="30" bestFit="1" customWidth="1"/>
    <col min="28" max="28" width="2" style="30" customWidth="1"/>
    <col min="29" max="29" width="17.44140625" style="30" customWidth="1"/>
    <col min="30" max="30" width="8.21875" style="30" bestFit="1" customWidth="1"/>
    <col min="31" max="32" width="8.88671875" style="30" bestFit="1" customWidth="1"/>
    <col min="33" max="33" width="15.5546875" style="30" customWidth="1"/>
    <col min="34" max="36" width="7.5546875" style="30" customWidth="1"/>
    <col min="37" max="37" width="1.6640625" style="30" customWidth="1"/>
    <col min="38" max="38" width="19.109375" style="30" customWidth="1"/>
    <col min="39" max="39" width="8.21875" style="30" bestFit="1" customWidth="1"/>
    <col min="40" max="41" width="8.88671875" style="30" bestFit="1" customWidth="1"/>
    <col min="42" max="42" width="16.33203125" style="30" customWidth="1"/>
    <col min="43" max="45" width="7.5546875" style="30" customWidth="1"/>
    <col min="46" max="46" width="1.6640625" style="30" customWidth="1"/>
    <col min="47" max="47" width="16.5546875" style="30" customWidth="1"/>
    <col min="48" max="48" width="8.21875" style="30" bestFit="1" customWidth="1"/>
    <col min="49" max="49" width="8" style="30" customWidth="1"/>
    <col min="50" max="50" width="12.6640625" style="30" bestFit="1" customWidth="1"/>
    <col min="51" max="51" width="16.6640625" style="30" customWidth="1"/>
    <col min="52" max="54" width="7.5546875" style="30" customWidth="1"/>
    <col min="55" max="16384" width="11.5546875" style="30"/>
  </cols>
  <sheetData>
    <row r="1" spans="1:54" x14ac:dyDescent="0.3">
      <c r="A1" s="40" t="s">
        <v>0</v>
      </c>
    </row>
    <row r="3" spans="1:54" x14ac:dyDescent="0.3">
      <c r="A3" s="173" t="s">
        <v>2</v>
      </c>
    </row>
    <row r="4" spans="1:54" x14ac:dyDescent="0.3">
      <c r="A4" s="174" t="s">
        <v>3</v>
      </c>
    </row>
    <row r="5" spans="1:54" x14ac:dyDescent="0.3">
      <c r="A5" s="174"/>
    </row>
    <row r="6" spans="1:54" x14ac:dyDescent="0.3">
      <c r="A6" s="175" t="s">
        <v>42</v>
      </c>
      <c r="B6" s="175"/>
      <c r="C6" s="175"/>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5"/>
      <c r="AY6" s="175"/>
      <c r="AZ6" s="175"/>
      <c r="BA6" s="176"/>
      <c r="BB6" s="176"/>
    </row>
    <row r="7" spans="1:54" s="40" customFormat="1" x14ac:dyDescent="0.3">
      <c r="A7" s="22" t="s">
        <v>8</v>
      </c>
      <c r="B7" s="177" t="s">
        <v>9</v>
      </c>
      <c r="C7" s="177"/>
      <c r="D7" s="177"/>
      <c r="E7" s="177"/>
      <c r="F7" s="177"/>
      <c r="G7" s="177"/>
      <c r="H7" s="177"/>
      <c r="I7" s="177"/>
      <c r="K7" s="177" t="s">
        <v>43</v>
      </c>
      <c r="L7" s="177"/>
      <c r="M7" s="177"/>
      <c r="N7" s="177"/>
      <c r="O7" s="177"/>
      <c r="P7" s="177"/>
      <c r="Q7" s="177"/>
      <c r="R7" s="177"/>
      <c r="T7" s="62" t="s">
        <v>11</v>
      </c>
      <c r="U7" s="62"/>
      <c r="V7" s="62"/>
      <c r="W7" s="62"/>
      <c r="X7" s="62"/>
      <c r="Y7" s="62"/>
      <c r="Z7" s="62"/>
      <c r="AA7" s="62"/>
      <c r="AC7" s="70" t="s">
        <v>12</v>
      </c>
      <c r="AD7" s="70"/>
      <c r="AE7" s="70"/>
      <c r="AF7" s="70"/>
      <c r="AG7" s="70"/>
      <c r="AH7" s="70"/>
      <c r="AI7" s="70"/>
      <c r="AJ7" s="70"/>
      <c r="AK7" s="22"/>
      <c r="AL7" s="79" t="s">
        <v>13</v>
      </c>
      <c r="AM7" s="79"/>
      <c r="AN7" s="79"/>
      <c r="AO7" s="79"/>
      <c r="AP7" s="79"/>
      <c r="AQ7" s="79"/>
      <c r="AR7" s="79"/>
      <c r="AS7" s="79"/>
      <c r="AU7" s="84" t="s">
        <v>14</v>
      </c>
      <c r="AV7" s="84"/>
      <c r="AW7" s="84"/>
      <c r="AX7" s="84"/>
      <c r="AY7" s="84"/>
      <c r="AZ7" s="84"/>
      <c r="BA7" s="84"/>
      <c r="BB7" s="84"/>
    </row>
    <row r="8" spans="1:54" s="40" customFormat="1" ht="27" customHeight="1" x14ac:dyDescent="0.3">
      <c r="A8" s="22" t="s">
        <v>15</v>
      </c>
      <c r="B8" s="178" t="s">
        <v>44</v>
      </c>
      <c r="C8" s="178" t="s">
        <v>45</v>
      </c>
      <c r="D8" s="178" t="s">
        <v>46</v>
      </c>
      <c r="E8" s="178" t="s">
        <v>47</v>
      </c>
      <c r="F8" s="178" t="s">
        <v>48</v>
      </c>
      <c r="G8" s="178" t="s">
        <v>45</v>
      </c>
      <c r="H8" s="178" t="s">
        <v>46</v>
      </c>
      <c r="I8" s="178" t="s">
        <v>47</v>
      </c>
      <c r="K8" s="178" t="s">
        <v>44</v>
      </c>
      <c r="L8" s="178" t="s">
        <v>45</v>
      </c>
      <c r="M8" s="178" t="s">
        <v>46</v>
      </c>
      <c r="N8" s="178" t="s">
        <v>47</v>
      </c>
      <c r="O8" s="178" t="s">
        <v>48</v>
      </c>
      <c r="P8" s="178" t="s">
        <v>45</v>
      </c>
      <c r="Q8" s="178" t="s">
        <v>46</v>
      </c>
      <c r="R8" s="178" t="s">
        <v>47</v>
      </c>
      <c r="S8" s="22"/>
      <c r="T8" s="63" t="s">
        <v>44</v>
      </c>
      <c r="U8" s="64" t="s">
        <v>45</v>
      </c>
      <c r="V8" s="64" t="s">
        <v>46</v>
      </c>
      <c r="W8" s="64" t="s">
        <v>47</v>
      </c>
      <c r="X8" s="63" t="s">
        <v>48</v>
      </c>
      <c r="Y8" s="63" t="s">
        <v>45</v>
      </c>
      <c r="Z8" s="63" t="s">
        <v>46</v>
      </c>
      <c r="AA8" s="63" t="s">
        <v>47</v>
      </c>
      <c r="AC8" s="71" t="s">
        <v>44</v>
      </c>
      <c r="AD8" s="73" t="s">
        <v>45</v>
      </c>
      <c r="AE8" s="73" t="s">
        <v>46</v>
      </c>
      <c r="AF8" s="73" t="s">
        <v>47</v>
      </c>
      <c r="AG8" s="71" t="s">
        <v>48</v>
      </c>
      <c r="AH8" s="71" t="s">
        <v>45</v>
      </c>
      <c r="AI8" s="73" t="s">
        <v>46</v>
      </c>
      <c r="AJ8" s="73" t="s">
        <v>47</v>
      </c>
      <c r="AK8" s="22"/>
      <c r="AL8" s="80" t="s">
        <v>44</v>
      </c>
      <c r="AM8" s="81" t="s">
        <v>45</v>
      </c>
      <c r="AN8" s="81" t="s">
        <v>46</v>
      </c>
      <c r="AO8" s="81" t="s">
        <v>47</v>
      </c>
      <c r="AP8" s="80" t="s">
        <v>48</v>
      </c>
      <c r="AQ8" s="80" t="s">
        <v>45</v>
      </c>
      <c r="AR8" s="81" t="s">
        <v>46</v>
      </c>
      <c r="AS8" s="81" t="s">
        <v>47</v>
      </c>
      <c r="AU8" s="85" t="s">
        <v>44</v>
      </c>
      <c r="AV8" s="82" t="s">
        <v>45</v>
      </c>
      <c r="AW8" s="82" t="s">
        <v>49</v>
      </c>
      <c r="AX8" s="82" t="s">
        <v>47</v>
      </c>
      <c r="AY8" s="85" t="s">
        <v>48</v>
      </c>
      <c r="AZ8" s="85" t="s">
        <v>45</v>
      </c>
      <c r="BA8" s="85" t="s">
        <v>46</v>
      </c>
      <c r="BB8" s="85" t="s">
        <v>47</v>
      </c>
    </row>
    <row r="9" spans="1:54" x14ac:dyDescent="0.3">
      <c r="A9" s="43" t="s">
        <v>50</v>
      </c>
      <c r="B9" s="45">
        <f>774221557.02752/1000000</f>
        <v>774.22155702751991</v>
      </c>
      <c r="C9" s="45">
        <f>78229.3455132638/1000000</f>
        <v>7.8229345513263798E-2</v>
      </c>
      <c r="D9" s="134">
        <f>24.9053757442856/1000000</f>
        <v>2.49053757442856E-5</v>
      </c>
      <c r="E9" s="45">
        <f>523034.78159182/1000000</f>
        <v>0.52303478159182004</v>
      </c>
      <c r="F9" s="3">
        <v>1.0545038135050078</v>
      </c>
      <c r="G9" s="3">
        <v>0.69340524013415428</v>
      </c>
      <c r="H9" s="3">
        <v>1.3781025226057E-3</v>
      </c>
      <c r="I9" s="3">
        <v>4.0915287679758796</v>
      </c>
      <c r="J9" s="179"/>
      <c r="K9" s="45">
        <f>616737663.415865/1000000</f>
        <v>616.73766341586497</v>
      </c>
      <c r="L9" s="45">
        <f>62330.2208438072/1000000</f>
        <v>6.2330220843807196E-2</v>
      </c>
      <c r="M9" s="74">
        <f>20.5137914021428/1000000</f>
        <v>2.0513791402142799E-5</v>
      </c>
      <c r="N9" s="45">
        <f>417878.82214282/1000000</f>
        <v>0.41787882214282002</v>
      </c>
      <c r="O9" s="3">
        <v>0.8386937445178162</v>
      </c>
      <c r="P9" s="3">
        <v>0.54845930607295301</v>
      </c>
      <c r="Q9" s="3">
        <v>1.13510062926822E-3</v>
      </c>
      <c r="R9" s="3">
        <v>3.21834557976032</v>
      </c>
      <c r="S9" s="46"/>
      <c r="T9" s="45">
        <f>315607340.26617/1000000</f>
        <v>315.60734026617001</v>
      </c>
      <c r="U9" s="45">
        <f>31871.9068408324/1000000</f>
        <v>3.1871906840832395E-2</v>
      </c>
      <c r="V9" s="74">
        <f>8.62102054392855/1000000</f>
        <v>8.6210205439285503E-6</v>
      </c>
      <c r="W9" s="45">
        <f>208390.97246472/1000000</f>
        <v>0.20839097246471999</v>
      </c>
      <c r="X9" s="3">
        <v>0.43339917182190402</v>
      </c>
      <c r="Y9" s="3">
        <v>0.29340647944222792</v>
      </c>
      <c r="Z9" s="3">
        <v>4.7703155660076498E-4</v>
      </c>
      <c r="AA9" s="3">
        <v>1.77204323277162</v>
      </c>
      <c r="AB9" s="179"/>
      <c r="AC9" s="45">
        <f>8852782.92857051/1000000</f>
        <v>8.8527829285705106</v>
      </c>
      <c r="AD9" s="74">
        <f>1062.88393801496/1000000</f>
        <v>1.0628839380149599E-3</v>
      </c>
      <c r="AE9" s="74">
        <f>-4424.23116224/1000000</f>
        <v>-4.4242311622399999E-3</v>
      </c>
      <c r="AF9" s="45">
        <f>9317.179974/1000000</f>
        <v>9.3171799740000005E-3</v>
      </c>
      <c r="AG9" s="3">
        <v>1.1238548951099346E-2</v>
      </c>
      <c r="AH9" s="3">
        <v>8.3167561036588105E-3</v>
      </c>
      <c r="AI9" s="3">
        <v>-1.7959030000000001E-2</v>
      </c>
      <c r="AJ9" s="3">
        <v>4.0544660000000003E-2</v>
      </c>
      <c r="AK9" s="179"/>
      <c r="AL9" s="45">
        <f>-791395.957657327/1000000</f>
        <v>-0.79139595765732695</v>
      </c>
      <c r="AM9" s="74">
        <f>425.12947924664/1000000</f>
        <v>4.2512947924664004E-4</v>
      </c>
      <c r="AN9" s="45">
        <f>-8593.98275776/1000000</f>
        <v>-8.5939827577600006E-3</v>
      </c>
      <c r="AO9" s="74">
        <f>1453.49373665/1000000</f>
        <v>1.45349373665E-3</v>
      </c>
      <c r="AP9" s="3">
        <v>-9.6328742833196479E-4</v>
      </c>
      <c r="AQ9" s="3">
        <v>4.210974845928723E-3</v>
      </c>
      <c r="AR9" s="3">
        <v>-3.4885065697516399E-2</v>
      </c>
      <c r="AS9" s="3">
        <v>7.4447485723740598E-3</v>
      </c>
      <c r="AT9" s="180"/>
      <c r="AU9" s="45">
        <f>-34912451.6573259/1000000</f>
        <v>-34.912451657325903</v>
      </c>
      <c r="AV9" s="74">
        <f>3876.10159876409/1000000</f>
        <v>3.8761015987640898E-3</v>
      </c>
      <c r="AW9" s="45">
        <f>-33109.696269/1000000</f>
        <v>-3.3109696268999997E-2</v>
      </c>
      <c r="AX9" s="74">
        <f>-2.48623806714287/1000000</f>
        <v>-2.48623806714287E-6</v>
      </c>
      <c r="AY9" s="3">
        <v>-4.4133317305476746E-2</v>
      </c>
      <c r="AZ9" s="3">
        <v>2.8608535413298754E-2</v>
      </c>
      <c r="BA9" s="3">
        <v>-0.14194388523839799</v>
      </c>
      <c r="BB9" s="3">
        <v>-1.2223853083723999E-4</v>
      </c>
    </row>
    <row r="10" spans="1:54" x14ac:dyDescent="0.3">
      <c r="A10" s="22" t="s">
        <v>18</v>
      </c>
      <c r="B10" s="47">
        <f>1008758428.54644/1000000</f>
        <v>1008.75842854644</v>
      </c>
      <c r="C10" s="47">
        <f>101957.772860989/1000000</f>
        <v>0.101957772860989</v>
      </c>
      <c r="D10" s="52">
        <f>33.2332220239285/1000000</f>
        <v>3.3233222023928497E-5</v>
      </c>
      <c r="E10" s="47">
        <f>683946.74305312/1000000</f>
        <v>0.68394674305311998</v>
      </c>
      <c r="F10" s="181">
        <v>1.3721387653016883</v>
      </c>
      <c r="G10" s="181">
        <v>0.8983426727140521</v>
      </c>
      <c r="H10" s="181">
        <v>1.8389117102960901E-3</v>
      </c>
      <c r="I10" s="181">
        <v>5.2777105799572901</v>
      </c>
      <c r="K10" s="47">
        <f>911219864.587505/1000000</f>
        <v>911.21986458750496</v>
      </c>
      <c r="L10" s="47">
        <f>92103.4297679041/1000000</f>
        <v>9.2103429767904102E-2</v>
      </c>
      <c r="M10" s="75">
        <f>30.2387627174999/1000000</f>
        <v>3.02387627174999E-5</v>
      </c>
      <c r="N10" s="47">
        <f>618154.23189592/1000000</f>
        <v>0.61815423189592</v>
      </c>
      <c r="O10" s="181">
        <v>1.2390542470693422</v>
      </c>
      <c r="P10" s="181">
        <v>0.81026044712185419</v>
      </c>
      <c r="Q10" s="181">
        <v>1.67321768638737E-3</v>
      </c>
      <c r="R10" s="181">
        <v>4.7544518445657804</v>
      </c>
      <c r="T10" s="47">
        <f>431266624.935856/1000000</f>
        <v>431.26662493585599</v>
      </c>
      <c r="U10" s="47">
        <f>43550.8963302859/1000000</f>
        <v>4.3550896330285895E-2</v>
      </c>
      <c r="V10" s="75">
        <f>12.7279737799999/1000000</f>
        <v>1.27279737799999E-5</v>
      </c>
      <c r="W10" s="47">
        <f>287741.20089902/1000000</f>
        <v>0.28774120089902</v>
      </c>
      <c r="X10" s="181">
        <v>0.59003738826638441</v>
      </c>
      <c r="Y10" s="181">
        <v>0.39407389960694156</v>
      </c>
      <c r="Z10" s="181">
        <v>7.0428380418639997E-4</v>
      </c>
      <c r="AA10" s="181">
        <v>2.3570115529049098</v>
      </c>
      <c r="AC10" s="47">
        <f>60063690.1845887/1000000</f>
        <v>60.063690184588701</v>
      </c>
      <c r="AD10" s="47">
        <f>6644.76709951363/1000000</f>
        <v>6.6447670995136293E-3</v>
      </c>
      <c r="AE10" s="75">
        <f>4.90341476142854/1000000</f>
        <v>4.9034147614285402E-6</v>
      </c>
      <c r="AF10" s="47">
        <f>52800.3057295999/1000000</f>
        <v>5.28003057295999E-2</v>
      </c>
      <c r="AG10" s="181">
        <v>7.6030695646021162E-2</v>
      </c>
      <c r="AH10" s="181">
        <v>4.8919458871284224E-2</v>
      </c>
      <c r="AI10" s="181">
        <v>2.4111195720349801E-4</v>
      </c>
      <c r="AJ10" s="181">
        <v>0.22597272867662599</v>
      </c>
      <c r="AL10" s="47">
        <f>23714792.5716105/1000000</f>
        <v>23.714792571610499</v>
      </c>
      <c r="AM10" s="75">
        <f>2651.65050870006/1000000</f>
        <v>2.6516505087000601E-3</v>
      </c>
      <c r="AN10" s="75">
        <f>-187.166966805007/1000000</f>
        <v>-1.8716696680500701E-4</v>
      </c>
      <c r="AO10" s="47">
        <f>21558.624973104/1000000</f>
        <v>2.1558624973104002E-2</v>
      </c>
      <c r="AP10" s="181">
        <v>3.0041991086815385E-2</v>
      </c>
      <c r="AQ10" s="181">
        <v>1.9700438764039888E-2</v>
      </c>
      <c r="AR10" s="181">
        <v>-8.4600596863714699E-4</v>
      </c>
      <c r="AS10" s="181">
        <v>9.1551208224337696E-2</v>
      </c>
      <c r="AT10" s="47"/>
      <c r="AU10" s="47">
        <f>-13806639.3290481/1000000</f>
        <v>-13.806639329048101</v>
      </c>
      <c r="AV10" s="75">
        <f>1579.42187836934/1000000</f>
        <v>1.5794218783693401E-3</v>
      </c>
      <c r="AW10" s="47">
        <f>-14221.5704572399/1000000</f>
        <v>-1.4221570457239902E-2</v>
      </c>
      <c r="AX10" s="75">
        <f>-0.844025361785736/1000000</f>
        <v>-8.440253617857359E-7</v>
      </c>
      <c r="AY10" s="181">
        <v>-1.7430203482596055E-2</v>
      </c>
      <c r="AZ10" s="181">
        <v>1.1932801285797726E-2</v>
      </c>
      <c r="BA10" s="181">
        <v>-6.0184173951030699E-2</v>
      </c>
      <c r="BB10" s="181">
        <v>-4.14921824987376E-5</v>
      </c>
    </row>
    <row r="11" spans="1:54" x14ac:dyDescent="0.3">
      <c r="A11" s="22" t="s">
        <v>30</v>
      </c>
      <c r="B11" s="47">
        <f>965310803.626818/1000000</f>
        <v>965.31080362681791</v>
      </c>
      <c r="C11" s="47">
        <f>97561.7603141594/1000000</f>
        <v>9.7561760314159404E-2</v>
      </c>
      <c r="D11" s="52">
        <f>31.6905124060714/1000000</f>
        <v>3.16905124060714E-5</v>
      </c>
      <c r="E11" s="47">
        <f>654135.84639042/1000000</f>
        <v>0.65413584639041999</v>
      </c>
      <c r="F11" s="181">
        <v>1.313297365479571</v>
      </c>
      <c r="G11" s="181">
        <v>0.86037178296863936</v>
      </c>
      <c r="H11" s="181">
        <v>1.7535481310493599E-3</v>
      </c>
      <c r="I11" s="181">
        <v>5.0579887386364302</v>
      </c>
      <c r="K11" s="47">
        <f>772035102.522495/1000000</f>
        <v>772.03510252249498</v>
      </c>
      <c r="L11" s="47">
        <f>78055.1757984376/1000000</f>
        <v>7.8055175798437598E-2</v>
      </c>
      <c r="M11" s="75">
        <f>26.3007749617856/1000000</f>
        <v>2.6300774961785599E-5</v>
      </c>
      <c r="N11" s="47">
        <f>525079.72367372/1000000</f>
        <v>0.52507972367372002</v>
      </c>
      <c r="O11" s="181">
        <v>1.0484396277937154</v>
      </c>
      <c r="P11" s="181">
        <v>0.6825965150036768</v>
      </c>
      <c r="Q11" s="181">
        <v>1.4553148964089699E-3</v>
      </c>
      <c r="R11" s="181">
        <v>3.9863463525984599</v>
      </c>
      <c r="T11" s="47">
        <f>411151965.408973/1000000</f>
        <v>411.15196540897296</v>
      </c>
      <c r="U11" s="47">
        <f>41518.6719789615/1000000</f>
        <v>4.1518671978961502E-2</v>
      </c>
      <c r="V11" s="75">
        <f>12.0136497439285/1000000</f>
        <v>1.2013649743928501E-5</v>
      </c>
      <c r="W11" s="47">
        <f>273942.74250492/1000000</f>
        <v>0.27394274250492001</v>
      </c>
      <c r="X11" s="181">
        <v>0.56279596635702533</v>
      </c>
      <c r="Y11" s="181">
        <v>0.37654785847072342</v>
      </c>
      <c r="Z11" s="181">
        <v>6.6475772892556995E-4</v>
      </c>
      <c r="AA11" s="181">
        <v>2.2552706138303602</v>
      </c>
      <c r="AC11" s="47">
        <f>42915215.6656521/1000000</f>
        <v>42.915215665652106</v>
      </c>
      <c r="AD11" s="75">
        <f>4756.76282555754/1000000</f>
        <v>4.7567628255575402E-3</v>
      </c>
      <c r="AE11" s="75">
        <f>3.56921406035712/1000000</f>
        <v>3.5692140603571199E-6</v>
      </c>
      <c r="AF11" s="47">
        <f>38057.5039423999/1000000</f>
        <v>3.8057503942399894E-2</v>
      </c>
      <c r="AG11" s="181">
        <v>5.4334407279895837E-2</v>
      </c>
      <c r="AH11" s="181">
        <v>3.5078918044304346E-2</v>
      </c>
      <c r="AI11" s="181">
        <v>1.75496459760625E-4</v>
      </c>
      <c r="AJ11" s="181">
        <v>0.159543224115407</v>
      </c>
      <c r="AL11" s="47">
        <f>13161898.1676579/1000000</f>
        <v>13.161898167657901</v>
      </c>
      <c r="AM11" s="75">
        <f>1512.14264391406/1000000</f>
        <v>1.51214264391406E-3</v>
      </c>
      <c r="AN11" s="75">
        <f>-2561.25803407999/1000000</f>
        <v>-2.56125803407999E-3</v>
      </c>
      <c r="AO11" s="47">
        <f>12866.4520307409/1000000</f>
        <v>1.28664520307409E-2</v>
      </c>
      <c r="AP11" s="181">
        <v>1.6690444424030441E-2</v>
      </c>
      <c r="AQ11" s="181">
        <v>1.1476822260800327E-2</v>
      </c>
      <c r="AR11" s="181">
        <v>-1.03967691471679E-2</v>
      </c>
      <c r="AS11" s="181">
        <v>5.5333319018128602E-2</v>
      </c>
      <c r="AT11" s="47"/>
      <c r="AU11" s="47">
        <f>-26997767.0533197/1000000</f>
        <v>-26.997767053319699</v>
      </c>
      <c r="AV11" s="75">
        <f>3008.83068506743/1000000</f>
        <v>3.00883068506743E-3</v>
      </c>
      <c r="AW11" s="47">
        <f>-25957.962162/1000000</f>
        <v>-2.5957962162000001E-2</v>
      </c>
      <c r="AX11" s="75">
        <f>-1.87021405857144/1000000</f>
        <v>-1.8702140585714401E-6</v>
      </c>
      <c r="AY11" s="181">
        <v>-3.4119649023597466E-2</v>
      </c>
      <c r="AZ11" s="181">
        <v>2.2276057991025139E-2</v>
      </c>
      <c r="BA11" s="181">
        <v>-0.111283471786103</v>
      </c>
      <c r="BB11" s="181">
        <v>-9.1952590598409401E-5</v>
      </c>
    </row>
    <row r="12" spans="1:54" x14ac:dyDescent="0.3">
      <c r="A12" s="22" t="s">
        <v>32</v>
      </c>
      <c r="B12" s="47">
        <f>911001175.142524/1000000</f>
        <v>911.00117514252395</v>
      </c>
      <c r="C12" s="47">
        <f>92066.9291203444/1000000</f>
        <v>9.2066929120344407E-2</v>
      </c>
      <c r="D12" s="52">
        <f>29.7621862528571/1000000</f>
        <v>2.9762186252857098E-5</v>
      </c>
      <c r="E12" s="47">
        <f>616876.02831352/1000000</f>
        <v>0.61687602831352006</v>
      </c>
      <c r="F12" s="181">
        <v>1.2397454797109102</v>
      </c>
      <c r="G12" s="181">
        <v>0.81291159230187271</v>
      </c>
      <c r="H12" s="181">
        <v>1.6468470250939199E-3</v>
      </c>
      <c r="I12" s="181">
        <v>4.7833060766619102</v>
      </c>
      <c r="K12" s="47">
        <f>577176642.20326/1000000</f>
        <v>577.17664220325992</v>
      </c>
      <c r="L12" s="47">
        <f>58399.9346128187/1000000</f>
        <v>5.8399934612818699E-2</v>
      </c>
      <c r="M12" s="75">
        <f>20.7878742499999/1000000</f>
        <v>2.0787874249999898E-5</v>
      </c>
      <c r="N12" s="47">
        <f>394777.655885819/1000000</f>
        <v>0.39477765588581898</v>
      </c>
      <c r="O12" s="181">
        <v>0.78157928545672972</v>
      </c>
      <c r="P12" s="181">
        <v>0.50409829822427543</v>
      </c>
      <c r="Q12" s="181">
        <v>1.15026660258712E-3</v>
      </c>
      <c r="R12" s="181">
        <v>2.91100206310391</v>
      </c>
      <c r="T12" s="47">
        <f>386008646.157326/1000000</f>
        <v>386.00864615732598</v>
      </c>
      <c r="U12" s="47">
        <f>38978.920003522/1000000</f>
        <v>3.8978920003521995E-2</v>
      </c>
      <c r="V12" s="75">
        <f>11.1210150292856/1000000</f>
        <v>1.11210150292856E-5</v>
      </c>
      <c r="W12" s="47">
        <f>256691.38577152/1000000</f>
        <v>0.25669138577152001</v>
      </c>
      <c r="X12" s="181">
        <v>0.52874417589678091</v>
      </c>
      <c r="Y12" s="181">
        <v>0.35464942171851488</v>
      </c>
      <c r="Z12" s="181">
        <v>6.1536509318920601E-4</v>
      </c>
      <c r="AA12" s="181">
        <v>2.1281065018763998</v>
      </c>
      <c r="AC12" s="47">
        <f>38957885.0545304/1000000</f>
        <v>38.957885054530394</v>
      </c>
      <c r="AD12" s="75">
        <f>4321.71712277007/1000000</f>
        <v>4.3217171227700702E-3</v>
      </c>
      <c r="AE12" s="75">
        <f>3.26120205607141/1000000</f>
        <v>3.26120205607141E-6</v>
      </c>
      <c r="AF12" s="47">
        <f>34655.3778303998/1000000</f>
        <v>3.4655377830399799E-2</v>
      </c>
      <c r="AG12" s="181">
        <v>4.9327579034187295E-2</v>
      </c>
      <c r="AH12" s="181">
        <v>3.1893668689369721E-2</v>
      </c>
      <c r="AI12" s="181">
        <v>1.6036560886499601E-4</v>
      </c>
      <c r="AJ12" s="181">
        <v>0.14421301738925901</v>
      </c>
      <c r="AL12" s="47">
        <f>1436442.69154884/1000000</f>
        <v>1.43644269154884</v>
      </c>
      <c r="AM12" s="75">
        <f>445.616877206601/1000000</f>
        <v>4.45616877206601E-4</v>
      </c>
      <c r="AN12" s="47">
        <f>-7630.84804890001/1000000</f>
        <v>-7.6308480489000107E-3</v>
      </c>
      <c r="AO12" s="75">
        <f>3208.58301358717/1000000</f>
        <v>3.2085830135871701E-3</v>
      </c>
      <c r="AP12" s="181">
        <v>1.8553707318651146E-3</v>
      </c>
      <c r="AQ12" s="181">
        <v>4.329140432464333E-3</v>
      </c>
      <c r="AR12" s="181">
        <v>-3.0975467721676801E-2</v>
      </c>
      <c r="AS12" s="181">
        <v>1.5091173118403099E-2</v>
      </c>
      <c r="AT12" s="47"/>
      <c r="AU12" s="47">
        <f>-41947720.3429008/1000000</f>
        <v>-41.947720342900794</v>
      </c>
      <c r="AV12" s="75">
        <f>4649.05537247718/1000000</f>
        <v>4.6490553724771802E-3</v>
      </c>
      <c r="AW12" s="47">
        <f>-39466.551942/1000000</f>
        <v>-3.9466551942000001E-2</v>
      </c>
      <c r="AX12" s="75">
        <f>-3.03360172285717/1000000</f>
        <v>-3.03360172285717E-6</v>
      </c>
      <c r="AY12" s="181">
        <v>-5.3034356592642294E-2</v>
      </c>
      <c r="AZ12" s="181">
        <v>3.4264902665450105E-2</v>
      </c>
      <c r="BA12" s="181">
        <v>-0.16919712233418699</v>
      </c>
      <c r="BB12" s="181">
        <v>-1.4913916789878001E-4</v>
      </c>
    </row>
    <row r="13" spans="1:54" x14ac:dyDescent="0.3">
      <c r="A13" s="22" t="s">
        <v>34</v>
      </c>
      <c r="B13" s="47">
        <f>809623362.668953/1000000</f>
        <v>809.62336266895295</v>
      </c>
      <c r="C13" s="47">
        <f>81810.6488632885/1000000</f>
        <v>8.1810648863288496E-2</v>
      </c>
      <c r="D13" s="52">
        <f>26.162530477857/1000000</f>
        <v>2.6162530477856999E-5</v>
      </c>
      <c r="E13" s="47">
        <f>547325.00136252/1000000</f>
        <v>0.54732500136252005</v>
      </c>
      <c r="F13" s="181">
        <v>1.1024486946092993</v>
      </c>
      <c r="G13" s="181">
        <v>0.72433259137755945</v>
      </c>
      <c r="H13" s="181">
        <v>1.44766534018487E-3</v>
      </c>
      <c r="I13" s="181">
        <v>4.27057956363429</v>
      </c>
      <c r="K13" s="47">
        <f>730147441.238332/1000000</f>
        <v>730.14744123833202</v>
      </c>
      <c r="L13" s="47">
        <f>73780.374708087/1000000</f>
        <v>7.3780374708086988E-2</v>
      </c>
      <c r="M13" s="75">
        <f>23.7223739053571/1000000</f>
        <v>2.37223739053571E-5</v>
      </c>
      <c r="N13" s="47">
        <f>493717.34433312/1000000</f>
        <v>0.49371734433311998</v>
      </c>
      <c r="O13" s="181">
        <v>0.99400938032748054</v>
      </c>
      <c r="P13" s="181">
        <v>0.65254677008824158</v>
      </c>
      <c r="Q13" s="181">
        <v>1.3126428469431601E-3</v>
      </c>
      <c r="R13" s="181">
        <v>3.8442202894628599</v>
      </c>
      <c r="T13" s="47">
        <f>331699076.939664/1000000</f>
        <v>331.699076939664</v>
      </c>
      <c r="U13" s="47">
        <f>33495.6764650944/1000000</f>
        <v>3.3495676465094402E-2</v>
      </c>
      <c r="V13" s="75">
        <f>9.192567138/1000000</f>
        <v>9.192567137999999E-6</v>
      </c>
      <c r="W13" s="47">
        <f>219431.56769462/1000000</f>
        <v>0.21943156769461999</v>
      </c>
      <c r="X13" s="181">
        <v>0.4551923209510218</v>
      </c>
      <c r="Y13" s="181">
        <v>0.30739331280353549</v>
      </c>
      <c r="Z13" s="181">
        <v>5.0900000000000001E-4</v>
      </c>
      <c r="AA13" s="181">
        <v>1.8534238399018801</v>
      </c>
      <c r="AC13" s="47">
        <f>20666176.5173434/1000000</f>
        <v>20.666176517343398</v>
      </c>
      <c r="AD13" s="75">
        <f>2319.85494723691/1000000</f>
        <v>2.3198549472369101E-3</v>
      </c>
      <c r="AE13" s="75">
        <f>-465.191947060013/1000000</f>
        <v>-4.6519194706001298E-4</v>
      </c>
      <c r="AF13" s="47">
        <f>19047.7886439781/1000000</f>
        <v>1.90477886439781E-2</v>
      </c>
      <c r="AG13" s="181">
        <v>2.6184875911739736E-2</v>
      </c>
      <c r="AH13" s="181">
        <v>1.7291162477200479E-2</v>
      </c>
      <c r="AI13" s="181">
        <v>-2.1040476809851198E-3</v>
      </c>
      <c r="AJ13" s="181">
        <v>8.1087986441536294E-2</v>
      </c>
      <c r="AL13" s="47">
        <f>7914750.50889401/1000000</f>
        <v>7.9147505088940102</v>
      </c>
      <c r="AM13" s="75">
        <f>968.444004138181/1000000</f>
        <v>9.6844400413818095E-4</v>
      </c>
      <c r="AN13" s="75">
        <f>-4829.93912322/1000000</f>
        <v>-4.8299391232199994E-3</v>
      </c>
      <c r="AO13" s="47">
        <f>8544.47757893878/1000000</f>
        <v>8.5444775789387806E-3</v>
      </c>
      <c r="AP13" s="181">
        <v>1.0051746592348034E-2</v>
      </c>
      <c r="AQ13" s="181">
        <v>7.6675508601786102E-3</v>
      </c>
      <c r="AR13" s="181">
        <v>-1.96058973328045E-2</v>
      </c>
      <c r="AS13" s="181">
        <v>3.7324510676125397E-2</v>
      </c>
      <c r="AT13" s="47"/>
      <c r="AU13" s="47">
        <f>-24359542.0974656/1000000</f>
        <v>-24.359542097465599</v>
      </c>
      <c r="AV13" s="75">
        <f>2720.667547356/1000000</f>
        <v>2.7206675473559999E-3</v>
      </c>
      <c r="AW13" s="47">
        <f>-23573.947374/1000000</f>
        <v>-2.3573947373999999E-2</v>
      </c>
      <c r="AX13" s="75">
        <f>-1.66519258357143/1000000</f>
        <v>-1.6651925835714301E-6</v>
      </c>
      <c r="AY13" s="181">
        <v>-3.0781757969158541E-2</v>
      </c>
      <c r="AZ13" s="181">
        <v>2.0177595366165972E-2</v>
      </c>
      <c r="BA13" s="181">
        <v>-0.101063333968671</v>
      </c>
      <c r="BB13" s="181">
        <v>-8.18653566679884E-5</v>
      </c>
    </row>
    <row r="14" spans="1:54" x14ac:dyDescent="0.3">
      <c r="A14" s="22" t="s">
        <v>38</v>
      </c>
      <c r="B14" s="47">
        <f>729969228.959545/1000000</f>
        <v>729.96922895954503</v>
      </c>
      <c r="C14" s="47">
        <f>73752.9658345213/1000000</f>
        <v>7.3752965834521289E-2</v>
      </c>
      <c r="D14" s="52">
        <f>23.3342295117856/1000000</f>
        <v>2.3334229511785601E-5</v>
      </c>
      <c r="E14" s="47">
        <f>492675.05107582/1000000</f>
        <v>0.49267505107581999</v>
      </c>
      <c r="F14" s="181">
        <v>0.99457256043917053</v>
      </c>
      <c r="G14" s="181">
        <v>0.65475048649046508</v>
      </c>
      <c r="H14" s="181">
        <v>1.2911654448991899E-3</v>
      </c>
      <c r="I14" s="181">
        <v>3.8677080773894099</v>
      </c>
      <c r="K14" s="47">
        <f>457964041.739167/1000000</f>
        <v>457.96404173916699</v>
      </c>
      <c r="L14" s="47">
        <f>46307.4479569237/1000000</f>
        <v>4.6307447956923702E-2</v>
      </c>
      <c r="M14" s="75">
        <f>16.0216226507142/1000000</f>
        <v>1.6021622650714199E-5</v>
      </c>
      <c r="N14" s="47">
        <f>311705.04278722/1000000</f>
        <v>0.31170504278722</v>
      </c>
      <c r="O14" s="181">
        <v>0.62125197682803301</v>
      </c>
      <c r="P14" s="181">
        <v>0.40287288178336295</v>
      </c>
      <c r="Q14" s="181">
        <v>8.8653304482876299E-4</v>
      </c>
      <c r="R14" s="181">
        <v>2.3421510312462899</v>
      </c>
      <c r="T14" s="47">
        <f>295492665.140402/1000000</f>
        <v>295.49266514040204</v>
      </c>
      <c r="U14" s="47">
        <f>29842.9462713862/1000000</f>
        <v>2.98429462713862E-2</v>
      </c>
      <c r="V14" s="75">
        <f>7.90669650785713/1000000</f>
        <v>7.9066965078571306E-6</v>
      </c>
      <c r="W14" s="47">
        <f>194589.280234719/1000000</f>
        <v>0.194589280234719</v>
      </c>
      <c r="X14" s="181">
        <v>0.40615772980897719</v>
      </c>
      <c r="Y14" s="181">
        <v>0.27593533775612594</v>
      </c>
      <c r="Z14" s="181">
        <v>4.3750548133993398E-4</v>
      </c>
      <c r="AA14" s="181">
        <v>1.67031416369261</v>
      </c>
      <c r="AC14" s="47">
        <f>6126620.85095969/1000000</f>
        <v>6.1266208509596902</v>
      </c>
      <c r="AD14" s="75">
        <f>794.733710769898/1000000</f>
        <v>7.9473371076989807E-4</v>
      </c>
      <c r="AE14" s="47">
        <f>-5603.04312018001/1000000</f>
        <v>-5.6030431201800103E-3</v>
      </c>
      <c r="AF14" s="47">
        <f>7071.69401998908/1000000</f>
        <v>7.0716940199890797E-3</v>
      </c>
      <c r="AG14" s="181">
        <v>7.7894023122006889E-3</v>
      </c>
      <c r="AH14" s="181">
        <v>6.4975353004695429E-3</v>
      </c>
      <c r="AI14" s="181">
        <v>-2.27441144418172E-2</v>
      </c>
      <c r="AJ14" s="181">
        <v>3.11879893747498E-2</v>
      </c>
      <c r="AL14" s="47">
        <f>-10464889.8368537/1000000</f>
        <v>-10.4648898368537</v>
      </c>
      <c r="AM14" s="47">
        <f>73237.7701062938/1000000</f>
        <v>7.3237770106293801E-2</v>
      </c>
      <c r="AN14" s="47">
        <f>-12776.70552372/1000000</f>
        <v>-1.2776705523720001E-2</v>
      </c>
      <c r="AO14" s="75">
        <f>-0.583820670357145/1000000</f>
        <v>-5.8382067035714503E-7</v>
      </c>
      <c r="AP14" s="181">
        <v>-1.3202214789641141E-2</v>
      </c>
      <c r="AQ14" s="181">
        <v>9.4121188816679059E-3</v>
      </c>
      <c r="AR14" s="181">
        <v>-5.1863754461263102E-2</v>
      </c>
      <c r="AS14" s="181">
        <v>-2.8704381534882699E-5</v>
      </c>
      <c r="AT14" s="47"/>
      <c r="AU14" s="47">
        <f>-46872403.7554907/1000000</f>
        <v>-46.872403755490701</v>
      </c>
      <c r="AV14" s="47">
        <f>5190.78852019417/1000000</f>
        <v>5.1907885201941699E-3</v>
      </c>
      <c r="AW14" s="47">
        <f>-43916.5680929999/1000000</f>
        <v>-4.3916568092999902E-2</v>
      </c>
      <c r="AX14" s="75">
        <f>-3.41653285642857/1000000</f>
        <v>-3.4165328564285699E-6</v>
      </c>
      <c r="AY14" s="181">
        <v>-5.9265076773555338E-2</v>
      </c>
      <c r="AZ14" s="181">
        <v>3.8233337976583154E-2</v>
      </c>
      <c r="BA14" s="181">
        <v>-0.18827397092561399</v>
      </c>
      <c r="BB14" s="181">
        <v>-1.67976481402005E-4</v>
      </c>
    </row>
    <row r="15" spans="1:54" x14ac:dyDescent="0.3">
      <c r="A15" s="22" t="s">
        <v>39</v>
      </c>
      <c r="B15" s="47">
        <f>610488226.503974/1000000</f>
        <v>610.48822650397392</v>
      </c>
      <c r="C15" s="47">
        <f>61668.586699718/1000000</f>
        <v>6.1668586699717996E-2</v>
      </c>
      <c r="D15" s="52">
        <f>19.0915596499999/1000000</f>
        <v>1.90915596499999E-5</v>
      </c>
      <c r="E15" s="47">
        <f>410702.50111782/1000000</f>
        <v>0.41070250111781997</v>
      </c>
      <c r="F15" s="181">
        <v>0.83275851617256402</v>
      </c>
      <c r="G15" s="181">
        <v>0.55041607524052638</v>
      </c>
      <c r="H15" s="181">
        <v>1.0564035164247101E-3</v>
      </c>
      <c r="I15" s="181">
        <v>3.26342634246976</v>
      </c>
      <c r="K15" s="47">
        <f>549075052.913851/1000000</f>
        <v>549.07505291385098</v>
      </c>
      <c r="L15" s="47">
        <f>55462.9172579198/1000000</f>
        <v>5.5462917257919797E-2</v>
      </c>
      <c r="M15" s="75">
        <f>17.2061068314285/1000000</f>
        <v>1.7206106831428501E-5</v>
      </c>
      <c r="N15" s="47">
        <f>369276.464380319/1000000</f>
        <v>0.36927646438031902</v>
      </c>
      <c r="O15" s="181">
        <v>0.74896454418918879</v>
      </c>
      <c r="P15" s="181">
        <v>0.49493669202813828</v>
      </c>
      <c r="Q15" s="181">
        <v>9.52074743704895E-4</v>
      </c>
      <c r="R15" s="181">
        <v>2.9339835258168598</v>
      </c>
      <c r="T15" s="47">
        <f>212217997.232225/1000000</f>
        <v>212.217997232225</v>
      </c>
      <c r="U15" s="47">
        <f>21456.9572797073/1000000</f>
        <v>2.1456957279707301E-2</v>
      </c>
      <c r="V15" s="75">
        <f>4.9498972760714/1000000</f>
        <v>4.9498972760714003E-6</v>
      </c>
      <c r="W15" s="47">
        <f>137457.72420226/1000000</f>
        <v>0.13745772420225999</v>
      </c>
      <c r="X15" s="181">
        <v>0.29337822644522465</v>
      </c>
      <c r="Y15" s="181">
        <v>0.20382560088603593</v>
      </c>
      <c r="Z15" s="181">
        <v>2.73895322553334E-4</v>
      </c>
      <c r="AA15" s="181">
        <v>1.2491435304782399</v>
      </c>
      <c r="AC15" s="47">
        <f>-32801866.0720601/1000000</f>
        <v>-32.801866072060101</v>
      </c>
      <c r="AD15" s="75">
        <f>3644.52315559965/1000000</f>
        <v>3.6445231555996501E-3</v>
      </c>
      <c r="AE15" s="47">
        <f>-31202.54649/1000000</f>
        <v>-3.120254649E-2</v>
      </c>
      <c r="AF15" s="75">
        <f>-2.32180554500001/1000000</f>
        <v>-2.3218055450000098E-6</v>
      </c>
      <c r="AG15" s="181">
        <v>-4.1463003907032815E-2</v>
      </c>
      <c r="AH15" s="181">
        <v>2.6915792470360765E-2</v>
      </c>
      <c r="AI15" s="181">
        <v>-0.13376749673403501</v>
      </c>
      <c r="AJ15" s="181">
        <v>-1.1416308805513701E-4</v>
      </c>
      <c r="AL15" s="47">
        <f>1143307.62425524/1000000</f>
        <v>1.14330762425524</v>
      </c>
      <c r="AM15" s="75">
        <f>435.103294280654/1000000</f>
        <v>4.3510329428065399E-4</v>
      </c>
      <c r="AN15" s="47">
        <f>-7757.67441986/1000000</f>
        <v>-7.7576744198600001E-3</v>
      </c>
      <c r="AO15" s="75">
        <f>2967.00299673771/1000000</f>
        <v>2.96700299673771E-3</v>
      </c>
      <c r="AP15" s="181">
        <v>1.4844960857833469E-3</v>
      </c>
      <c r="AQ15" s="181">
        <v>4.2702972633050463E-3</v>
      </c>
      <c r="AR15" s="181">
        <v>-3.1490286800074603E-2</v>
      </c>
      <c r="AS15" s="181">
        <v>1.40853896353146E-2</v>
      </c>
      <c r="AT15" s="47"/>
      <c r="AU15" s="47">
        <f>-34912451.6573259/1000000</f>
        <v>-34.912451657325903</v>
      </c>
      <c r="AV15" s="75">
        <f>3876.10159876409/1000000</f>
        <v>3.8761015987640898E-3</v>
      </c>
      <c r="AW15" s="47">
        <f>-33109.696269/1000000</f>
        <v>-3.3109696268999997E-2</v>
      </c>
      <c r="AX15" s="75">
        <f>-2.48623806714287/1000000</f>
        <v>-2.48623806714287E-6</v>
      </c>
      <c r="AY15" s="181">
        <v>-4.4133317305476746E-2</v>
      </c>
      <c r="AZ15" s="181">
        <v>2.8608535413298754E-2</v>
      </c>
      <c r="BA15" s="181">
        <v>-0.14194388523839799</v>
      </c>
      <c r="BB15" s="181">
        <v>-1.2223853083723999E-4</v>
      </c>
    </row>
    <row r="16" spans="1:54" x14ac:dyDescent="0.3">
      <c r="A16" s="22" t="s">
        <v>40</v>
      </c>
      <c r="B16" s="47">
        <f>583132243.030724/1000000</f>
        <v>583.132243030724</v>
      </c>
      <c r="C16" s="47">
        <f>58902.2809186151/1000000</f>
        <v>5.8902280918615102E-2</v>
      </c>
      <c r="D16" s="52">
        <f>18.1203966260713/1000000</f>
        <v>1.81203966260713E-5</v>
      </c>
      <c r="E16" s="47">
        <f>391932.95823912/1000000</f>
        <v>0.39193295823912</v>
      </c>
      <c r="F16" s="181">
        <v>0.79571010846659396</v>
      </c>
      <c r="G16" s="181">
        <v>0.52653696345249268</v>
      </c>
      <c r="H16" s="181">
        <v>1.00266563160503E-3</v>
      </c>
      <c r="I16" s="181">
        <v>3.1250740058584001</v>
      </c>
      <c r="K16" s="47">
        <f>461440211.722661/1000000</f>
        <v>461.44021172266099</v>
      </c>
      <c r="L16" s="47">
        <f>46611.6997647958/1000000</f>
        <v>4.6611699764795796E-2</v>
      </c>
      <c r="M16" s="75">
        <f>14.7266861042856/1000000</f>
        <v>1.47266861042856E-5</v>
      </c>
      <c r="N16" s="47">
        <f>310674.68677602/1000000</f>
        <v>0.31067468677602</v>
      </c>
      <c r="O16" s="181">
        <v>0.62894791105924519</v>
      </c>
      <c r="P16" s="181">
        <v>0.41444302624487128</v>
      </c>
      <c r="Q16" s="181">
        <v>8.1487962592152296E-4</v>
      </c>
      <c r="R16" s="181">
        <v>2.4503395983791099</v>
      </c>
      <c r="T16" s="47">
        <f>200953795.804082/1000000</f>
        <v>200.95379580408201</v>
      </c>
      <c r="U16" s="47">
        <f>20325.3163917525/1000000</f>
        <v>2.0325316391752501E-2</v>
      </c>
      <c r="V16" s="75">
        <f>4.55000156428568/1000000</f>
        <v>4.5500015642856803E-6</v>
      </c>
      <c r="W16" s="47">
        <f>129729.878453099/1000000</f>
        <v>0.129729878453099</v>
      </c>
      <c r="X16" s="181">
        <v>0.27812302924046134</v>
      </c>
      <c r="Y16" s="181">
        <v>0.19411291960266366</v>
      </c>
      <c r="Z16" s="181">
        <v>2.5176767851176301E-4</v>
      </c>
      <c r="AA16" s="181">
        <v>1.1921748164694399</v>
      </c>
      <c r="AC16" s="47">
        <f>-37374784.478587/1000000</f>
        <v>-37.374784478587003</v>
      </c>
      <c r="AD16" s="75">
        <f>4146.47471355377/1000000</f>
        <v>4.1464747135537697E-3</v>
      </c>
      <c r="AE16" s="47">
        <f>-35334.549216/1000000</f>
        <v>-3.5334549216000002E-2</v>
      </c>
      <c r="AF16" s="75">
        <f>-2.67750312392856/1000000</f>
        <v>-2.6775031239285601E-6</v>
      </c>
      <c r="AG16" s="181">
        <v>-4.7248676323407401E-2</v>
      </c>
      <c r="AH16" s="181">
        <v>3.058611713463304E-2</v>
      </c>
      <c r="AI16" s="181">
        <v>-0.15148230953411099</v>
      </c>
      <c r="AJ16" s="181">
        <v>-1.3165112797695799E-4</v>
      </c>
      <c r="AL16" s="47">
        <f>-6771364.12879664/1000000</f>
        <v>-6.7713641287966402</v>
      </c>
      <c r="AM16" s="75">
        <f>855.031110172999/1000000</f>
        <v>8.55031110172999E-4</v>
      </c>
      <c r="AN16" s="47">
        <f>-11179.78537114/1000000</f>
        <v>-1.117978537114E-2</v>
      </c>
      <c r="AO16" s="75">
        <f>-0.296661706071444/1000000</f>
        <v>-2.9666170607144401E-7</v>
      </c>
      <c r="AP16" s="181">
        <v>-8.5291644693300563E-3</v>
      </c>
      <c r="AQ16" s="181">
        <v>6.8791724739268693E-3</v>
      </c>
      <c r="AR16" s="181">
        <v>-4.5381467260239998E-2</v>
      </c>
      <c r="AS16" s="181">
        <v>-1.64153413983875E-5</v>
      </c>
      <c r="AT16" s="47"/>
      <c r="AU16" s="47">
        <f>-42827123.6286253/1000000</f>
        <v>-42.827123628625301</v>
      </c>
      <c r="AV16" s="75">
        <f>4745.76049193734/1000000</f>
        <v>4.7457604919373397E-3</v>
      </c>
      <c r="AW16" s="47">
        <f>-40261.120119/1000000</f>
        <v>-4.0261120119000002E-2</v>
      </c>
      <c r="AX16" s="75">
        <f>-3.10198279392857/1000000</f>
        <v>-3.1019827939285699E-6</v>
      </c>
      <c r="AY16" s="181">
        <v>-5.4146983244469059E-2</v>
      </c>
      <c r="AZ16" s="181">
        <v>3.4973110672799061E-2</v>
      </c>
      <c r="BA16" s="181">
        <v>-0.17260290743860701</v>
      </c>
      <c r="BB16" s="181">
        <v>-1.7164367874968799E-4</v>
      </c>
    </row>
    <row r="17" spans="1:54" x14ac:dyDescent="0.3">
      <c r="A17" s="22" t="s">
        <v>41</v>
      </c>
      <c r="B17" s="47">
        <f>548937368.689012/1000000</f>
        <v>548.93736868901203</v>
      </c>
      <c r="C17" s="47">
        <f>55444.7461418632/1000000</f>
        <v>5.5444746141863198E-2</v>
      </c>
      <c r="D17" s="52">
        <f>16.9061152271428/1000000</f>
        <v>1.69061152271428E-5</v>
      </c>
      <c r="E17" s="47">
        <f>368474.83239222/1000000</f>
        <v>0.36847483239221995</v>
      </c>
      <c r="F17" s="181">
        <v>0.74939974210629656</v>
      </c>
      <c r="G17" s="181">
        <v>0.49669430844256685</v>
      </c>
      <c r="H17" s="181">
        <v>9.3547514726148497E-4</v>
      </c>
      <c r="I17" s="181">
        <v>2.9521270744153498</v>
      </c>
      <c r="K17" s="47">
        <f>338751492.378969/1000000</f>
        <v>338.75149237896903</v>
      </c>
      <c r="L17" s="47">
        <f>34223.0589058026/1000000</f>
        <v>3.42230589058026E-2</v>
      </c>
      <c r="M17" s="75">
        <f>11.2556503332142/1000000</f>
        <v>1.1255650333214201E-5</v>
      </c>
      <c r="N17" s="47">
        <f>228633.188242719/1000000</f>
        <v>0.22863318824271903</v>
      </c>
      <c r="O17" s="181">
        <v>0.46092471835262644</v>
      </c>
      <c r="P17" s="181">
        <v>0.30180423861211342</v>
      </c>
      <c r="Q17" s="181">
        <v>6.2281494071934603E-4</v>
      </c>
      <c r="R17" s="181">
        <v>1.7732807826060699</v>
      </c>
      <c r="T17" s="47">
        <f>186873525.987322/1000000</f>
        <v>186.87352598732201</v>
      </c>
      <c r="U17" s="47">
        <f>18912.1872150078/1000000</f>
        <v>1.89121872150078E-2</v>
      </c>
      <c r="V17" s="75">
        <f>4.04992246321426/1000000</f>
        <v>4.0499224632142602E-6</v>
      </c>
      <c r="W17" s="47">
        <f>120069.71993633/1000000</f>
        <v>0.12006971993633</v>
      </c>
      <c r="X17" s="181">
        <v>0.25905402088276674</v>
      </c>
      <c r="Y17" s="181">
        <v>0.1819930243650271</v>
      </c>
      <c r="Z17" s="181">
        <v>2.2409653322309899E-4</v>
      </c>
      <c r="AA17" s="181">
        <v>1.12096216264849</v>
      </c>
      <c r="AC17" s="47">
        <f>-38430081.6087757/1000000</f>
        <v>-38.430081608775694</v>
      </c>
      <c r="AD17" s="75">
        <f>4262.40716476197/1000000</f>
        <v>4.2624071647619707E-3</v>
      </c>
      <c r="AE17" s="47">
        <f>-36287.968977/1000000</f>
        <v>-3.6287968976999999E-2</v>
      </c>
      <c r="AF17" s="75">
        <f>-2.75991989500001/1000000</f>
        <v>-2.7599198950000101E-6</v>
      </c>
      <c r="AG17" s="181">
        <v>-4.8583836184784214E-2</v>
      </c>
      <c r="AH17" s="181">
        <v>3.1434428023528853E-2</v>
      </c>
      <c r="AI17" s="181">
        <v>-0.15556980816025001</v>
      </c>
      <c r="AJ17" s="181">
        <v>-1.3569894872116501E-4</v>
      </c>
      <c r="AL17" s="47">
        <f>-15565458.9001102/1000000</f>
        <v>-15.565458900110199</v>
      </c>
      <c r="AM17" s="75">
        <f>1767.47406280225/1000000</f>
        <v>1.7674740628022499E-3</v>
      </c>
      <c r="AN17" s="47">
        <f>-15627.64509/1000000</f>
        <v>-1.562764509E-2</v>
      </c>
      <c r="AO17" s="75">
        <f>0.980787503928596/1000000</f>
        <v>9.8078750392859595E-7</v>
      </c>
      <c r="AP17" s="181">
        <v>-1.9655467054149039E-2</v>
      </c>
      <c r="AQ17" s="181">
        <v>1.327920791018259E-2</v>
      </c>
      <c r="AR17" s="181">
        <v>-6.6997135411956704E-2</v>
      </c>
      <c r="AS17" s="181">
        <v>-5.4270441336917797E-5</v>
      </c>
      <c r="AT17" s="47"/>
      <c r="AU17" s="47">
        <f>-51797096.8881455/1000000</f>
        <v>-51.797096888145497</v>
      </c>
      <c r="AV17" s="47">
        <f>5732.8920505304/1000000</f>
        <v>5.7328920505304E-3</v>
      </c>
      <c r="AW17" s="47">
        <f>-48366.273987/1000000</f>
        <v>-4.8366273987000004E-2</v>
      </c>
      <c r="AX17" s="75">
        <f>-3.79974327178573/1000000</f>
        <v>-3.79974327178573E-6</v>
      </c>
      <c r="AY17" s="181">
        <v>-6.5495809331144531E-2</v>
      </c>
      <c r="AZ17" s="181">
        <v>4.2206770877000956E-2</v>
      </c>
      <c r="BA17" s="181">
        <v>-0.20735081951704001</v>
      </c>
      <c r="BB17" s="181">
        <v>-1.8682995387027501E-4</v>
      </c>
    </row>
    <row r="18" spans="1:54" x14ac:dyDescent="0.3">
      <c r="AM18" s="182"/>
      <c r="AN18" s="182"/>
      <c r="AO18" s="182"/>
    </row>
    <row r="20" spans="1:54" x14ac:dyDescent="0.3">
      <c r="B20" s="175" t="s">
        <v>51</v>
      </c>
      <c r="C20" s="175"/>
      <c r="D20" s="175"/>
      <c r="E20" s="175"/>
      <c r="F20" s="175"/>
      <c r="G20" s="175"/>
      <c r="H20" s="176"/>
      <c r="I20" s="176"/>
      <c r="K20" s="175" t="s">
        <v>51</v>
      </c>
      <c r="L20" s="175"/>
      <c r="M20" s="175"/>
      <c r="N20" s="175"/>
      <c r="O20" s="175"/>
      <c r="P20" s="175"/>
      <c r="Q20" s="175"/>
      <c r="R20" s="175"/>
      <c r="T20" s="175" t="s">
        <v>51</v>
      </c>
      <c r="U20" s="175"/>
      <c r="V20" s="175"/>
      <c r="W20" s="175"/>
      <c r="X20" s="175"/>
      <c r="Y20" s="175"/>
      <c r="Z20" s="175"/>
      <c r="AA20" s="175"/>
      <c r="AC20" s="175" t="s">
        <v>632</v>
      </c>
      <c r="AD20" s="175"/>
      <c r="AE20" s="175"/>
      <c r="AF20" s="175"/>
      <c r="AG20" s="175"/>
      <c r="AH20" s="175"/>
      <c r="AI20" s="175"/>
      <c r="AJ20" s="175"/>
      <c r="AL20" s="175" t="s">
        <v>632</v>
      </c>
      <c r="AM20" s="175"/>
      <c r="AN20" s="175"/>
      <c r="AO20" s="175"/>
      <c r="AP20" s="175"/>
      <c r="AQ20" s="175"/>
      <c r="AR20" s="176"/>
      <c r="AS20" s="176"/>
      <c r="AU20" s="175" t="s">
        <v>632</v>
      </c>
      <c r="AV20" s="175"/>
      <c r="AW20" s="175"/>
      <c r="AX20" s="175"/>
      <c r="AY20" s="175"/>
      <c r="AZ20" s="175"/>
    </row>
    <row r="21" spans="1:54" x14ac:dyDescent="0.3">
      <c r="A21" s="22" t="s">
        <v>8</v>
      </c>
      <c r="B21" s="177" t="s">
        <v>9</v>
      </c>
      <c r="C21" s="177"/>
      <c r="D21" s="177"/>
      <c r="E21" s="177"/>
      <c r="F21" s="177"/>
      <c r="G21" s="177"/>
      <c r="H21" s="177"/>
      <c r="I21" s="177"/>
      <c r="J21" s="40"/>
      <c r="K21" s="177" t="s">
        <v>43</v>
      </c>
      <c r="L21" s="177"/>
      <c r="M21" s="177"/>
      <c r="N21" s="177"/>
      <c r="O21" s="177"/>
      <c r="P21" s="177"/>
      <c r="Q21" s="177"/>
      <c r="R21" s="177"/>
      <c r="S21" s="40"/>
      <c r="T21" s="62" t="s">
        <v>11</v>
      </c>
      <c r="U21" s="62"/>
      <c r="V21" s="62"/>
      <c r="W21" s="62"/>
      <c r="X21" s="62"/>
      <c r="Y21" s="62"/>
      <c r="Z21" s="62"/>
      <c r="AA21" s="62"/>
      <c r="AB21" s="40"/>
      <c r="AC21" s="70" t="s">
        <v>12</v>
      </c>
      <c r="AD21" s="70"/>
      <c r="AE21" s="70"/>
      <c r="AF21" s="70"/>
      <c r="AG21" s="70"/>
      <c r="AH21" s="70"/>
      <c r="AI21" s="70"/>
      <c r="AJ21" s="70"/>
      <c r="AK21" s="22"/>
      <c r="AL21" s="79" t="s">
        <v>13</v>
      </c>
      <c r="AM21" s="79"/>
      <c r="AN21" s="79"/>
      <c r="AO21" s="79"/>
      <c r="AP21" s="79"/>
      <c r="AQ21" s="79"/>
      <c r="AR21" s="79"/>
      <c r="AS21" s="79"/>
      <c r="AU21" s="84" t="s">
        <v>14</v>
      </c>
      <c r="AV21" s="84"/>
      <c r="AW21" s="84"/>
      <c r="AX21" s="84"/>
      <c r="AY21" s="84"/>
      <c r="AZ21" s="84"/>
      <c r="BA21" s="84"/>
      <c r="BB21" s="84"/>
    </row>
    <row r="22" spans="1:54" ht="34.799999999999997" customHeight="1" x14ac:dyDescent="0.3">
      <c r="A22" s="22" t="s">
        <v>15</v>
      </c>
      <c r="B22" s="178" t="s">
        <v>44</v>
      </c>
      <c r="C22" s="178" t="s">
        <v>45</v>
      </c>
      <c r="D22" s="178" t="s">
        <v>46</v>
      </c>
      <c r="E22" s="178" t="s">
        <v>47</v>
      </c>
      <c r="F22" s="178" t="s">
        <v>48</v>
      </c>
      <c r="G22" s="178" t="s">
        <v>45</v>
      </c>
      <c r="H22" s="178" t="s">
        <v>46</v>
      </c>
      <c r="I22" s="178" t="s">
        <v>47</v>
      </c>
      <c r="J22" s="40"/>
      <c r="K22" s="178" t="s">
        <v>44</v>
      </c>
      <c r="L22" s="178" t="s">
        <v>45</v>
      </c>
      <c r="M22" s="178" t="s">
        <v>46</v>
      </c>
      <c r="N22" s="178" t="s">
        <v>47</v>
      </c>
      <c r="O22" s="178" t="s">
        <v>48</v>
      </c>
      <c r="P22" s="178" t="s">
        <v>45</v>
      </c>
      <c r="Q22" s="178" t="s">
        <v>46</v>
      </c>
      <c r="R22" s="178" t="s">
        <v>47</v>
      </c>
      <c r="S22" s="22"/>
      <c r="T22" s="63" t="s">
        <v>44</v>
      </c>
      <c r="U22" s="63" t="s">
        <v>45</v>
      </c>
      <c r="V22" s="63" t="s">
        <v>46</v>
      </c>
      <c r="W22" s="63" t="s">
        <v>47</v>
      </c>
      <c r="X22" s="63" t="s">
        <v>48</v>
      </c>
      <c r="Y22" s="63" t="s">
        <v>45</v>
      </c>
      <c r="Z22" s="63" t="s">
        <v>46</v>
      </c>
      <c r="AA22" s="63" t="s">
        <v>47</v>
      </c>
      <c r="AB22" s="40"/>
      <c r="AC22" s="71" t="s">
        <v>44</v>
      </c>
      <c r="AD22" s="73" t="s">
        <v>45</v>
      </c>
      <c r="AE22" s="73" t="s">
        <v>46</v>
      </c>
      <c r="AF22" s="73" t="s">
        <v>47</v>
      </c>
      <c r="AG22" s="71" t="s">
        <v>48</v>
      </c>
      <c r="AH22" s="71" t="s">
        <v>45</v>
      </c>
      <c r="AI22" s="73" t="s">
        <v>46</v>
      </c>
      <c r="AJ22" s="73" t="s">
        <v>47</v>
      </c>
      <c r="AK22" s="22"/>
      <c r="AL22" s="80" t="s">
        <v>44</v>
      </c>
      <c r="AM22" s="81" t="s">
        <v>45</v>
      </c>
      <c r="AN22" s="81" t="s">
        <v>46</v>
      </c>
      <c r="AO22" s="81" t="s">
        <v>47</v>
      </c>
      <c r="AP22" s="80" t="s">
        <v>48</v>
      </c>
      <c r="AQ22" s="80" t="s">
        <v>45</v>
      </c>
      <c r="AR22" s="81" t="s">
        <v>46</v>
      </c>
      <c r="AS22" s="81" t="s">
        <v>47</v>
      </c>
      <c r="AU22" s="85" t="s">
        <v>44</v>
      </c>
      <c r="AV22" s="82" t="s">
        <v>45</v>
      </c>
      <c r="AW22" s="82" t="s">
        <v>49</v>
      </c>
      <c r="AX22" s="82" t="s">
        <v>47</v>
      </c>
      <c r="AY22" s="85" t="s">
        <v>48</v>
      </c>
      <c r="AZ22" s="85" t="s">
        <v>45</v>
      </c>
      <c r="BA22" s="85" t="s">
        <v>46</v>
      </c>
      <c r="BB22" s="85" t="s">
        <v>47</v>
      </c>
    </row>
    <row r="23" spans="1:54" x14ac:dyDescent="0.3">
      <c r="A23" s="43" t="s">
        <v>50</v>
      </c>
      <c r="B23" s="47">
        <f>441814455.433602/1000000</f>
        <v>441.81445543360195</v>
      </c>
      <c r="C23" s="47">
        <f>42056.0657282069/1000000</f>
        <v>4.2056065728206901E-2</v>
      </c>
      <c r="D23" s="75">
        <f>24.9053757442856/1000000</f>
        <v>2.49053757442856E-5</v>
      </c>
      <c r="E23" s="47">
        <f>247788.605984985/1000000</f>
        <v>0.24778860598498501</v>
      </c>
      <c r="F23" s="181">
        <v>0.58778425318343175</v>
      </c>
      <c r="G23" s="181">
        <v>0.29725601333839113</v>
      </c>
      <c r="H23" s="181">
        <v>1.3781025226057E-3</v>
      </c>
      <c r="I23" s="181">
        <v>1.3978497642039001</v>
      </c>
      <c r="K23" s="47">
        <f>346722146.009762/1000000</f>
        <v>346.72214600976201</v>
      </c>
      <c r="L23" s="47">
        <f>32996.1186027512/1000000</f>
        <v>3.2996118602751201E-2</v>
      </c>
      <c r="M23" s="75">
        <f>20.5137914021428/1000000</f>
        <v>2.0513791402142799E-5</v>
      </c>
      <c r="N23" s="47">
        <f>195582.109078666/1000000</f>
        <v>0.19558210907866599</v>
      </c>
      <c r="O23" s="181">
        <v>0.46074028559027186</v>
      </c>
      <c r="P23" s="181">
        <v>0.23208012505631917</v>
      </c>
      <c r="Q23" s="181">
        <v>1.13510062926822E-3</v>
      </c>
      <c r="R23" s="181">
        <v>1.1074026249469699</v>
      </c>
      <c r="T23" s="47">
        <f>302252747.548129/1000000</f>
        <v>302.25274754812904</v>
      </c>
      <c r="U23" s="47">
        <f>30283.1566506379/1000000</f>
        <v>3.02831566506379E-2</v>
      </c>
      <c r="V23" s="75">
        <f>8.62102054392855/1000000</f>
        <v>8.6210205439285503E-6</v>
      </c>
      <c r="W23" s="47">
        <f>199951.697753049/1000000</f>
        <v>0.199951697753049</v>
      </c>
      <c r="X23" s="181">
        <v>0.40920023189253524</v>
      </c>
      <c r="Y23" s="181">
        <v>0.24782214251065421</v>
      </c>
      <c r="Z23" s="181">
        <v>4.7703155660076498E-4</v>
      </c>
      <c r="AA23" s="181">
        <v>1.2032767019314601</v>
      </c>
      <c r="AC23" s="47">
        <f>6639593.50017994/1000000</f>
        <v>6.6395935001799398</v>
      </c>
      <c r="AD23" s="75">
        <f>797.163581502173/1000000</f>
        <v>7.9716358150217295E-4</v>
      </c>
      <c r="AE23" s="75">
        <f>-3318.23966022001/1000000</f>
        <v>-3.3182396602200103E-3</v>
      </c>
      <c r="AF23" s="47">
        <f>6987.89340833558/1000000</f>
        <v>6.98789340833558E-3</v>
      </c>
      <c r="AG23" s="181">
        <v>8.4289159727050332E-3</v>
      </c>
      <c r="AH23" s="181">
        <v>6.2375729677483852E-3</v>
      </c>
      <c r="AI23" s="181">
        <v>-1.34695416327611E-2</v>
      </c>
      <c r="AJ23" s="181">
        <v>3.0407530022282699E-2</v>
      </c>
      <c r="AL23" s="47">
        <f>-593545.621227528/1000000</f>
        <v>-0.59354562122752796</v>
      </c>
      <c r="AM23" s="75">
        <f>318.84658764163/1000000</f>
        <v>3.1884658764162998E-4</v>
      </c>
      <c r="AN23" s="47">
        <f>-6445.60396424001/1000000</f>
        <v>-6.4456039642400102E-3</v>
      </c>
      <c r="AO23" s="75">
        <f>1089.97741084999/1000000</f>
        <v>1.0899774108499901E-3</v>
      </c>
      <c r="AP23" s="181">
        <v>-7.2246658657265964E-4</v>
      </c>
      <c r="AQ23" s="181">
        <v>3.1582267289256348E-3</v>
      </c>
      <c r="AR23" s="181">
        <v>-2.6164273782100601E-2</v>
      </c>
      <c r="AS23" s="181">
        <v>5.5839122921436104E-3</v>
      </c>
      <c r="AU23" s="47">
        <f>-26184338.8956311/1000000</f>
        <v>-26.1843388956311</v>
      </c>
      <c r="AV23" s="75">
        <f>2907.07590716273/1000000</f>
        <v>2.9070759071627298E-3</v>
      </c>
      <c r="AW23" s="47">
        <f>-24832.3497659999/1000000</f>
        <v>-2.4832349765999902E-2</v>
      </c>
      <c r="AX23" s="30">
        <f>-1.86447804035715/1000000</f>
        <v>-1.86447804035715E-6</v>
      </c>
      <c r="AY23" s="181">
        <v>-3.3099987314464598E-2</v>
      </c>
      <c r="AZ23" s="181">
        <v>2.145640139226334E-2</v>
      </c>
      <c r="BA23" s="181">
        <v>-0.10645721830275499</v>
      </c>
      <c r="BB23" s="181">
        <v>-9.1675868321982899E-5</v>
      </c>
    </row>
    <row r="24" spans="1:54" x14ac:dyDescent="0.3">
      <c r="A24" s="22" t="s">
        <v>18</v>
      </c>
      <c r="B24" s="47">
        <f>484899068.366672/1000000</f>
        <v>484.899068366672</v>
      </c>
      <c r="C24" s="47">
        <f>45616.6944674256/1000000</f>
        <v>4.5616694467425604E-2</v>
      </c>
      <c r="D24" s="75">
        <f>33.2332220239285/1000000</f>
        <v>3.3233222023928497E-5</v>
      </c>
      <c r="E24" s="47">
        <f>261157.42231637/1000000</f>
        <v>0.26115742231637001</v>
      </c>
      <c r="F24" s="181">
        <v>0.6422342855708949</v>
      </c>
      <c r="G24" s="181">
        <v>0.31201671308345558</v>
      </c>
      <c r="H24" s="181">
        <v>1.8389117102960901E-3</v>
      </c>
      <c r="I24" s="181">
        <v>1.4602296828604899</v>
      </c>
      <c r="K24" s="47">
        <f>434926296.58731/1000000</f>
        <v>434.92629658730999</v>
      </c>
      <c r="L24" s="47">
        <f>40912.7575662929/1000000</f>
        <v>4.0912757566292902E-2</v>
      </c>
      <c r="M24" s="75">
        <f>30.2387627174999/1000000</f>
        <v>3.02387627174999E-5</v>
      </c>
      <c r="N24" s="47">
        <f>235017.847651279/1000000</f>
        <v>0.235017847651279</v>
      </c>
      <c r="O24" s="181">
        <v>0.57595838560865964</v>
      </c>
      <c r="P24" s="181">
        <v>0.27978779367166889</v>
      </c>
      <c r="Q24" s="181">
        <v>1.67321768638737E-3</v>
      </c>
      <c r="R24" s="181">
        <v>1.3160696908451199</v>
      </c>
      <c r="T24" s="47">
        <f>381979947.773243/1000000</f>
        <v>381.979947773243</v>
      </c>
      <c r="U24" s="47">
        <f>37945.8775384688/1000000</f>
        <v>3.79458775384688E-2</v>
      </c>
      <c r="V24" s="75">
        <f>12.7279737799999/1000000</f>
        <v>1.27279737799999E-5</v>
      </c>
      <c r="W24" s="47">
        <f>240294.579551699/1000000</f>
        <v>0.240294579551699</v>
      </c>
      <c r="X24" s="181">
        <v>0.51229571434898835</v>
      </c>
      <c r="Y24" s="181">
        <v>0.29141601463939099</v>
      </c>
      <c r="Z24" s="181">
        <v>7.0428380418639997E-4</v>
      </c>
      <c r="AA24" s="181">
        <v>1.3956319103574699</v>
      </c>
      <c r="AG24" s="181"/>
      <c r="AH24" s="181"/>
      <c r="AI24" s="181"/>
      <c r="AJ24" s="181"/>
      <c r="AP24" s="181"/>
      <c r="AQ24" s="181"/>
      <c r="AR24" s="181"/>
      <c r="AS24" s="181"/>
    </row>
    <row r="25" spans="1:54" x14ac:dyDescent="0.3">
      <c r="A25" s="22" t="s">
        <v>30</v>
      </c>
      <c r="B25" s="47">
        <f>462617446.631167/1000000</f>
        <v>462.61744663116701</v>
      </c>
      <c r="C25" s="47">
        <f>43520.2319831148/1000000</f>
        <v>4.3520231983114797E-2</v>
      </c>
      <c r="D25" s="75">
        <f>31.6905124060714/1000000</f>
        <v>3.16905124060714E-5</v>
      </c>
      <c r="E25" s="47">
        <f>249823.869653648/1000000</f>
        <v>0.249823869653648</v>
      </c>
      <c r="F25" s="181">
        <v>0.61288390533839276</v>
      </c>
      <c r="G25" s="181">
        <v>0.29817338876572747</v>
      </c>
      <c r="H25" s="181">
        <v>1.7535481310493599E-3</v>
      </c>
      <c r="I25" s="181">
        <v>1.3978497642039001</v>
      </c>
      <c r="K25" s="47">
        <f>363651565.930321/1000000</f>
        <v>363.651565930321</v>
      </c>
      <c r="L25" s="47">
        <f>34205.5488814311/1000000</f>
        <v>3.4205548881431104E-2</v>
      </c>
      <c r="M25" s="75">
        <f>26.3007749617856/1000000</f>
        <v>2.6300774961785599E-5</v>
      </c>
      <c r="N25" s="47">
        <f>197219.608831318/1000000</f>
        <v>0.19721960883131801</v>
      </c>
      <c r="O25" s="181">
        <v>0.48110882357011614</v>
      </c>
      <c r="P25" s="181">
        <v>0.23304526740736131</v>
      </c>
      <c r="Q25" s="181">
        <v>1.4553148964089699E-3</v>
      </c>
      <c r="R25" s="181">
        <v>1.1074026249469699</v>
      </c>
      <c r="T25" s="47">
        <f>363856654.570159/1000000</f>
        <v>363.85665457015904</v>
      </c>
      <c r="U25" s="47">
        <f>36144.2906567321/1000000</f>
        <v>3.6144290656732095E-2</v>
      </c>
      <c r="V25" s="75">
        <f>12.0136497439285/1000000</f>
        <v>1.2013649743928501E-5</v>
      </c>
      <c r="W25" s="47">
        <f>228863.248551699/1000000</f>
        <v>0.22886324855169901</v>
      </c>
      <c r="X25" s="181">
        <v>0.48819535938507114</v>
      </c>
      <c r="Y25" s="181">
        <v>0.27811467041855686</v>
      </c>
      <c r="Z25" s="181">
        <v>6.6475772892556995E-4</v>
      </c>
      <c r="AA25" s="181">
        <v>1.33493851951013</v>
      </c>
      <c r="AL25" s="47"/>
      <c r="AM25" s="182"/>
      <c r="AN25" s="182"/>
      <c r="AO25" s="182"/>
      <c r="AP25" s="181"/>
      <c r="AQ25" s="181"/>
      <c r="AR25" s="181"/>
      <c r="AS25" s="181"/>
    </row>
    <row r="26" spans="1:54" x14ac:dyDescent="0.3">
      <c r="A26" s="22" t="s">
        <v>32</v>
      </c>
      <c r="B26" s="47">
        <f>434765397.885313/1000000</f>
        <v>434.76539788531295</v>
      </c>
      <c r="C26" s="47">
        <f>40900.52156966/1000000</f>
        <v>4.0900521569660002E-2</v>
      </c>
      <c r="D26" s="75">
        <f>29.7621862528571/1000000</f>
        <v>2.9762186252857098E-5</v>
      </c>
      <c r="E26" s="47">
        <f>235656.740085681/1000000</f>
        <v>0.23565674008568099</v>
      </c>
      <c r="F26" s="181">
        <v>0.57619590426985767</v>
      </c>
      <c r="G26" s="181">
        <v>0.28088622066224855</v>
      </c>
      <c r="H26" s="181">
        <v>1.6468470250939199E-3</v>
      </c>
      <c r="I26" s="181">
        <v>1.31987486588317</v>
      </c>
      <c r="K26" s="47">
        <f>263866920.274219/1000000</f>
        <v>263.86692027421901</v>
      </c>
      <c r="L26" s="47">
        <f>24828.5256894264/1000000</f>
        <v>2.4828525689426399E-2</v>
      </c>
      <c r="M26" s="75">
        <f>20.7878742499999/1000000</f>
        <v>2.0787874249999898E-5</v>
      </c>
      <c r="N26" s="47">
        <f>144301.535673272/1000000</f>
        <v>0.144301535673272</v>
      </c>
      <c r="O26" s="181">
        <v>0.34831945824514282</v>
      </c>
      <c r="P26" s="181">
        <v>0.1678898991052642</v>
      </c>
      <c r="Q26" s="181">
        <v>1.15026660258712E-3</v>
      </c>
      <c r="R26" s="181">
        <v>0.81526810889038603</v>
      </c>
      <c r="T26" s="47">
        <f>341202564.72243/1000000</f>
        <v>341.20256472243</v>
      </c>
      <c r="U26" s="47">
        <f>33893.0199612648/1000000</f>
        <v>3.38930199612648E-2</v>
      </c>
      <c r="V26" s="75">
        <f>11.1210150292856/1000000</f>
        <v>1.11210150292856E-5</v>
      </c>
      <c r="W26" s="47">
        <f>214574.084801699/1000000</f>
        <v>0.21457408480169901</v>
      </c>
      <c r="X26" s="181">
        <v>0.4580699267151902</v>
      </c>
      <c r="Y26" s="181">
        <v>0.26150174304515961</v>
      </c>
      <c r="Z26" s="181">
        <v>6.1536509318920601E-4</v>
      </c>
      <c r="AA26" s="181">
        <v>1.2590702315434501</v>
      </c>
      <c r="AC26" s="175" t="s">
        <v>633</v>
      </c>
      <c r="AD26" s="175"/>
      <c r="AE26" s="175"/>
      <c r="AF26" s="175"/>
      <c r="AG26" s="175"/>
      <c r="AH26" s="175"/>
      <c r="AI26" s="175"/>
      <c r="AJ26" s="175"/>
      <c r="AL26" s="175" t="s">
        <v>633</v>
      </c>
      <c r="AM26" s="175"/>
      <c r="AN26" s="175"/>
      <c r="AO26" s="175"/>
      <c r="AP26" s="175"/>
      <c r="AQ26" s="175"/>
      <c r="AR26" s="175"/>
      <c r="AS26" s="175"/>
      <c r="AU26" s="175" t="s">
        <v>633</v>
      </c>
      <c r="AV26" s="175"/>
      <c r="AW26" s="175"/>
      <c r="AX26" s="175"/>
      <c r="AY26" s="175"/>
      <c r="AZ26" s="175"/>
    </row>
    <row r="27" spans="1:54" x14ac:dyDescent="0.3">
      <c r="A27" s="22" t="s">
        <v>34</v>
      </c>
      <c r="B27" s="47">
        <f>463220152.632994/1000000</f>
        <v>463.22015263299397</v>
      </c>
      <c r="C27" s="47">
        <f>44095.0649635184/1000000</f>
        <v>4.40950649635184E-2</v>
      </c>
      <c r="D27" s="75">
        <f>26.162530477857/1000000</f>
        <v>2.6162530477856999E-5</v>
      </c>
      <c r="E27" s="47">
        <f>259036.461447946/1000000</f>
        <v>0.25903646144794601</v>
      </c>
      <c r="F27" s="181">
        <v>0.61607780734664186</v>
      </c>
      <c r="G27" s="181">
        <v>0.31112879141914468</v>
      </c>
      <c r="H27" s="181">
        <v>1.44766534018487E-3</v>
      </c>
      <c r="I27" s="181">
        <v>1.4602296828604899</v>
      </c>
      <c r="K27" s="47">
        <f>415206500.844663/1000000</f>
        <v>415.20650084466303</v>
      </c>
      <c r="L27" s="47">
        <f>39520.0519705758/1000000</f>
        <v>3.9520051970575801E-2</v>
      </c>
      <c r="M27" s="75">
        <f>23.7223739053571/1000000</f>
        <v>2.37223739053571E-5</v>
      </c>
      <c r="N27" s="47">
        <f>233094.530137462/1000000</f>
        <v>0.23309453013746198</v>
      </c>
      <c r="O27" s="181">
        <v>0.55218394564151707</v>
      </c>
      <c r="P27" s="181">
        <v>0.27886618020685894</v>
      </c>
      <c r="Q27" s="181">
        <v>1.3126428469431601E-3</v>
      </c>
      <c r="R27" s="181">
        <v>1.3160696908451199</v>
      </c>
      <c r="T27" s="47">
        <f>317782173.315567/1000000</f>
        <v>317.78217331556704</v>
      </c>
      <c r="U27" s="47">
        <f>31840.3309222378/1000000</f>
        <v>3.18403309222378E-2</v>
      </c>
      <c r="V27" s="75">
        <f>9.19256713785713/1000000</f>
        <v>9.19256713785713E-6</v>
      </c>
      <c r="W27" s="47">
        <f>210165.592001549/1000000</f>
        <v>0.210165592001549</v>
      </c>
      <c r="X27" s="181">
        <v>0.42997446771479098</v>
      </c>
      <c r="Y27" s="181">
        <v>0.25989951919027349</v>
      </c>
      <c r="Z27" s="181">
        <v>5.0865725102781597E-4</v>
      </c>
      <c r="AA27" s="181">
        <v>1.2588019078477899</v>
      </c>
      <c r="AC27" s="70" t="s">
        <v>12</v>
      </c>
      <c r="AD27" s="70"/>
      <c r="AE27" s="70"/>
      <c r="AF27" s="70"/>
      <c r="AG27" s="70"/>
      <c r="AH27" s="70"/>
      <c r="AI27" s="70"/>
      <c r="AJ27" s="70"/>
      <c r="AL27" s="79" t="s">
        <v>13</v>
      </c>
      <c r="AM27" s="79"/>
      <c r="AN27" s="79"/>
      <c r="AO27" s="79"/>
      <c r="AP27" s="79"/>
      <c r="AQ27" s="79"/>
      <c r="AR27" s="79"/>
      <c r="AS27" s="79"/>
      <c r="AU27" s="84" t="s">
        <v>14</v>
      </c>
      <c r="AV27" s="84"/>
      <c r="AW27" s="84"/>
      <c r="AX27" s="84"/>
      <c r="AY27" s="84"/>
      <c r="AZ27" s="84"/>
      <c r="BA27" s="84"/>
      <c r="BB27" s="84"/>
    </row>
    <row r="28" spans="1:54" s="28" customFormat="1" ht="28.8" x14ac:dyDescent="0.3">
      <c r="A28" s="22" t="s">
        <v>38</v>
      </c>
      <c r="B28" s="183">
        <f>415057295.176639/1000000</f>
        <v>415.057295176639</v>
      </c>
      <c r="C28" s="183">
        <f>39508.1356726741/1000000</f>
        <v>3.9508135672674097E-2</v>
      </c>
      <c r="D28" s="184">
        <f>23.3342295117856/1000000</f>
        <v>2.3334229511785601E-5</v>
      </c>
      <c r="E28" s="183">
        <f>233728.590838984/1000000</f>
        <v>0.23372859083898401</v>
      </c>
      <c r="F28" s="185">
        <v>0.55241728308965476</v>
      </c>
      <c r="G28" s="185">
        <v>0.27991461400606327</v>
      </c>
      <c r="H28" s="185">
        <v>1.2911654448991899E-3</v>
      </c>
      <c r="I28" s="185">
        <v>1.31987486588317</v>
      </c>
      <c r="K28" s="183">
        <f>250844037.072305/1000000</f>
        <v>250.84403707230499</v>
      </c>
      <c r="L28" s="183">
        <f>23873.1791091303/1000000</f>
        <v>2.38731791091303E-2</v>
      </c>
      <c r="M28" s="184">
        <f>16.0216226507142/1000000</f>
        <v>1.6021622650714199E-5</v>
      </c>
      <c r="N28" s="183">
        <f>143064.215703072/1000000</f>
        <v>0.14306421570307198</v>
      </c>
      <c r="O28" s="185">
        <v>0.33271918890729529</v>
      </c>
      <c r="P28" s="185">
        <v>0.16681733041519636</v>
      </c>
      <c r="Q28" s="185">
        <v>8.8653304482876299E-4</v>
      </c>
      <c r="R28" s="185">
        <v>0.81526810889038603</v>
      </c>
      <c r="T28" s="183">
        <f>282840954.009541/1000000</f>
        <v>282.84095400954095</v>
      </c>
      <c r="U28" s="183">
        <f>28337.4726007289/1000000</f>
        <v>2.83374726007289E-2</v>
      </c>
      <c r="V28" s="184">
        <f>7.90669650785713/1000000</f>
        <v>7.9066965078571306E-6</v>
      </c>
      <c r="W28" s="183">
        <f>187184.615725699/1000000</f>
        <v>0.187184615725699</v>
      </c>
      <c r="X28" s="185">
        <v>0.3832324194187739</v>
      </c>
      <c r="Y28" s="185">
        <v>0.23273990222632659</v>
      </c>
      <c r="Z28" s="185">
        <v>4.3750548133993398E-4</v>
      </c>
      <c r="AA28" s="185">
        <v>1.1338713475945801</v>
      </c>
      <c r="AC28" s="186" t="s">
        <v>44</v>
      </c>
      <c r="AD28" s="187" t="s">
        <v>45</v>
      </c>
      <c r="AE28" s="187" t="s">
        <v>46</v>
      </c>
      <c r="AF28" s="187" t="s">
        <v>47</v>
      </c>
      <c r="AG28" s="186" t="s">
        <v>48</v>
      </c>
      <c r="AH28" s="186" t="s">
        <v>45</v>
      </c>
      <c r="AI28" s="188" t="s">
        <v>46</v>
      </c>
      <c r="AJ28" s="188" t="s">
        <v>47</v>
      </c>
      <c r="AL28" s="189" t="s">
        <v>44</v>
      </c>
      <c r="AM28" s="190" t="s">
        <v>45</v>
      </c>
      <c r="AN28" s="190" t="s">
        <v>46</v>
      </c>
      <c r="AO28" s="190" t="s">
        <v>47</v>
      </c>
      <c r="AP28" s="189" t="s">
        <v>48</v>
      </c>
      <c r="AQ28" s="189" t="s">
        <v>45</v>
      </c>
      <c r="AR28" s="190" t="s">
        <v>46</v>
      </c>
      <c r="AS28" s="190" t="s">
        <v>47</v>
      </c>
      <c r="AU28" s="191" t="s">
        <v>44</v>
      </c>
      <c r="AV28" s="192" t="s">
        <v>45</v>
      </c>
      <c r="AW28" s="192" t="s">
        <v>49</v>
      </c>
      <c r="AX28" s="192" t="s">
        <v>47</v>
      </c>
      <c r="AY28" s="191" t="s">
        <v>48</v>
      </c>
      <c r="AZ28" s="191" t="s">
        <v>45</v>
      </c>
      <c r="BA28" s="191" t="s">
        <v>46</v>
      </c>
      <c r="BB28" s="191" t="s">
        <v>47</v>
      </c>
    </row>
    <row r="29" spans="1:54" x14ac:dyDescent="0.3">
      <c r="A29" s="22" t="s">
        <v>39</v>
      </c>
      <c r="B29" s="47">
        <f>433045443.320204/1000000</f>
        <v>433.04544332020401</v>
      </c>
      <c r="C29" s="47">
        <f>41897.4024357174/1000000</f>
        <v>4.18974024357174E-2</v>
      </c>
      <c r="D29" s="75">
        <f>19.0915596499999/1000000</f>
        <v>1.90915596499999E-5</v>
      </c>
      <c r="E29" s="47">
        <f>240294.579551699/1000000</f>
        <v>0.240294579551699</v>
      </c>
      <c r="F29" s="181">
        <v>0.57934532344695588</v>
      </c>
      <c r="G29" s="181">
        <v>0.30910079522979733</v>
      </c>
      <c r="H29" s="181">
        <v>1.0564035164247101E-3</v>
      </c>
      <c r="I29" s="181">
        <v>1.4496031030688801</v>
      </c>
      <c r="K29" s="47">
        <f>387761853.83935/1000000</f>
        <v>387.76185383935001</v>
      </c>
      <c r="L29" s="47">
        <f>37512.9843640436/1000000</f>
        <v>3.75129843640436E-2</v>
      </c>
      <c r="M29" s="75">
        <f>17.2061068314285/1000000</f>
        <v>1.7206106831428501E-5</v>
      </c>
      <c r="N29" s="47">
        <f>215188.317474516/1000000</f>
        <v>0.215188317474516</v>
      </c>
      <c r="O29" s="181">
        <v>0.51879493386898889</v>
      </c>
      <c r="P29" s="181">
        <v>0.27687516464991468</v>
      </c>
      <c r="Q29" s="181">
        <v>9.52074743704895E-4</v>
      </c>
      <c r="R29" s="181">
        <v>1.30224773579158</v>
      </c>
      <c r="T29" s="47">
        <f>211874143.767686/1000000</f>
        <v>211.87414376768601</v>
      </c>
      <c r="U29" s="47">
        <f>21403.308355778/1000000</f>
        <v>2.1403308355778E-2</v>
      </c>
      <c r="V29" s="75">
        <f>4.9498972760714/1000000</f>
        <v>4.9498972760714003E-6</v>
      </c>
      <c r="W29" s="47">
        <f>136113.56633706/1000000</f>
        <v>0.13611356633706001</v>
      </c>
      <c r="X29" s="181">
        <v>0.2926790429021941</v>
      </c>
      <c r="Y29" s="181">
        <v>0.20184652580879991</v>
      </c>
      <c r="Z29" s="181">
        <v>2.73895322553334E-4</v>
      </c>
      <c r="AA29" s="181">
        <v>1.21680477189128</v>
      </c>
      <c r="AC29" s="47">
        <f>4426388.19205723/1000000</f>
        <v>4.4263881920572299</v>
      </c>
      <c r="AD29" s="75">
        <f>531.441232532741/1000000</f>
        <v>5.3144123253274101E-4</v>
      </c>
      <c r="AE29" s="75">
        <f>-2212.15620958/1000000</f>
        <v>-2.2121562095799999E-3</v>
      </c>
      <c r="AF29" s="75">
        <f>4658.58493033797/1000000</f>
        <v>4.6585849303379702E-3</v>
      </c>
      <c r="AG29" s="181">
        <v>5.6192757972321804E-3</v>
      </c>
      <c r="AH29" s="181">
        <v>4.1583755014174073E-3</v>
      </c>
      <c r="AI29" s="181">
        <v>-8.97967995510408E-3</v>
      </c>
      <c r="AJ29" s="181">
        <v>2.0271663290664099E-2</v>
      </c>
      <c r="AL29" s="47">
        <f>-395697.366697858/1000000</f>
        <v>-0.39569736669785799</v>
      </c>
      <c r="AM29" s="75">
        <f>212.564293742162/1000000</f>
        <v>2.1256429374216199E-4</v>
      </c>
      <c r="AN29" s="75">
        <f>-4297.02202841999/1000000</f>
        <v>-4.2970220284199905E-3</v>
      </c>
      <c r="AO29" s="75">
        <f>727.032651600011/1000000</f>
        <v>7.27032651600011E-4</v>
      </c>
      <c r="AP29" s="181">
        <v>-4.8164119814375861E-4</v>
      </c>
      <c r="AQ29" s="181">
        <v>2.1054921507447939E-3</v>
      </c>
      <c r="AR29" s="181">
        <v>-1.74426572626937E-2</v>
      </c>
      <c r="AS29" s="181">
        <v>3.7230058393405499E-3</v>
      </c>
      <c r="AU29" s="47">
        <f>-17456224.0191011/1000000</f>
        <v>-17.456224019101096</v>
      </c>
      <c r="AV29" s="75">
        <f>1938.05023056025/1000000</f>
        <v>1.9380502305602499E-3</v>
      </c>
      <c r="AW29" s="47">
        <f>-16554.693006/1000000</f>
        <v>-1.6554693006000001E-2</v>
      </c>
      <c r="AX29" s="75">
        <f>-1.24311903357143/1000000</f>
        <v>-1.2431190335714299E-6</v>
      </c>
      <c r="AY29" s="181">
        <v>-2.2066659510067432E-2</v>
      </c>
      <c r="AZ29" s="181">
        <v>1.4304270320495121E-2</v>
      </c>
      <c r="BA29" s="181">
        <v>-7.0971942619199105E-2</v>
      </c>
      <c r="BB29" s="181">
        <v>-6.1113205806727504E-5</v>
      </c>
    </row>
    <row r="30" spans="1:54" x14ac:dyDescent="0.3">
      <c r="A30" s="22" t="s">
        <v>40</v>
      </c>
      <c r="B30" s="47">
        <f>412858902.202074/1000000</f>
        <v>412.85890220207398</v>
      </c>
      <c r="C30" s="47">
        <f>39942.8317620277/1000000</f>
        <v>3.9942831762027703E-2</v>
      </c>
      <c r="D30" s="75">
        <f>18.1203966260713/1000000</f>
        <v>1.81203966260713E-5</v>
      </c>
      <c r="E30" s="47">
        <f>228863.248551699/1000000</f>
        <v>0.22886324855169901</v>
      </c>
      <c r="F30" s="181">
        <v>0.55253589620225385</v>
      </c>
      <c r="G30" s="181">
        <v>0.29521339463329566</v>
      </c>
      <c r="H30" s="181">
        <v>1.00266563160503E-3</v>
      </c>
      <c r="I30" s="181">
        <v>1.38744226812454</v>
      </c>
      <c r="K30" s="47">
        <f>323168235.603265/1000000</f>
        <v>323.16823560326497</v>
      </c>
      <c r="L30" s="47">
        <f>31261.1710603583/1000000</f>
        <v>3.1261171060358299E-2</v>
      </c>
      <c r="M30" s="75">
        <f>14.7266861042856/1000000</f>
        <v>1.47266861042856E-5</v>
      </c>
      <c r="N30" s="47">
        <f>180314.723218083/1000000</f>
        <v>0.18031472321808301</v>
      </c>
      <c r="O30" s="9">
        <v>0.43213064400698914</v>
      </c>
      <c r="P30" s="181">
        <v>0.23018572424619524</v>
      </c>
      <c r="Q30" s="181">
        <v>8.1487962592152296E-4</v>
      </c>
      <c r="R30" s="181">
        <v>1.0863849123221401</v>
      </c>
      <c r="T30" s="47">
        <f>200623832.627057/1000000</f>
        <v>200.623832627057</v>
      </c>
      <c r="U30" s="47">
        <f>20273.5947154183/1000000</f>
        <v>2.02735947154183E-2</v>
      </c>
      <c r="V30" s="75">
        <f>4.55000156428568/1000000</f>
        <v>4.5500015642856803E-6</v>
      </c>
      <c r="W30" s="47">
        <f>128439.729639819/1000000</f>
        <v>0.12843972963981901</v>
      </c>
      <c r="X30" s="181">
        <v>0.27745209299651713</v>
      </c>
      <c r="Y30" s="181">
        <v>0.19221091155866452</v>
      </c>
      <c r="Z30" s="181">
        <v>2.5176767851176301E-4</v>
      </c>
      <c r="AA30" s="181">
        <v>1.16150380164291</v>
      </c>
      <c r="AL30" s="47"/>
      <c r="AM30" s="182"/>
      <c r="AO30" s="182"/>
      <c r="AQ30" s="181"/>
      <c r="AR30" s="181"/>
      <c r="AS30" s="181"/>
    </row>
    <row r="31" spans="1:54" x14ac:dyDescent="0.3">
      <c r="A31" s="22" t="s">
        <v>41</v>
      </c>
      <c r="B31" s="47">
        <f>387625741.94476/1000000</f>
        <v>387.62574194476002</v>
      </c>
      <c r="C31" s="47">
        <f>37500.3998673517/1000000</f>
        <v>3.7500399867351701E-2</v>
      </c>
      <c r="D31" s="75">
        <f>16.9061152271428/1000000</f>
        <v>1.69061152271428E-5</v>
      </c>
      <c r="E31" s="47">
        <f>215787.016201972/1000000</f>
        <v>0.21578701620197199</v>
      </c>
      <c r="F31" s="181">
        <v>0.51902411539419646</v>
      </c>
      <c r="G31" s="181">
        <v>0.27786906314534443</v>
      </c>
      <c r="H31" s="181">
        <v>9.3547514726148497E-4</v>
      </c>
      <c r="I31" s="181">
        <v>1.30974122444412</v>
      </c>
      <c r="K31" s="47">
        <f>232737162.229027/1000000</f>
        <v>232.73716222902701</v>
      </c>
      <c r="L31" s="47">
        <f>22516.8174424705/1000000</f>
        <v>2.2516817442470499E-2</v>
      </c>
      <c r="M31" s="75">
        <f>11.2556503332142/1000000</f>
        <v>1.1255650333214201E-5</v>
      </c>
      <c r="N31" s="47">
        <f>131491.175097726/1000000</f>
        <v>0.13149117509772598</v>
      </c>
      <c r="O31" s="181">
        <v>0.31080066137265311</v>
      </c>
      <c r="P31" s="181">
        <v>0.16500492423923288</v>
      </c>
      <c r="Q31" s="181">
        <v>6.2281494071934603E-4</v>
      </c>
      <c r="R31" s="181">
        <v>0.78417758107326896</v>
      </c>
      <c r="T31" s="47">
        <f>186560929.780989/1000000</f>
        <v>186.560929780989</v>
      </c>
      <c r="U31" s="47">
        <f>18862.8698173024/1000000</f>
        <v>1.88628698173024E-2</v>
      </c>
      <c r="V31" s="75">
        <f>4.04992246321426/1000000</f>
        <v>4.0499224632142602E-6</v>
      </c>
      <c r="W31" s="47">
        <f>118847.461715/1000000</f>
        <v>0.11884746171499999</v>
      </c>
      <c r="X31" s="181">
        <v>0.25841839755977147</v>
      </c>
      <c r="Y31" s="181">
        <v>0.18018749907327025</v>
      </c>
      <c r="Z31" s="181">
        <v>2.2409653322309899E-4</v>
      </c>
      <c r="AA31" s="181">
        <v>1.0923764485760701</v>
      </c>
    </row>
    <row r="32" spans="1:54" ht="10.8" customHeight="1" x14ac:dyDescent="0.3">
      <c r="T32" s="47"/>
      <c r="U32" s="47"/>
      <c r="V32" s="47"/>
      <c r="W32" s="47"/>
    </row>
    <row r="33" spans="1:54" ht="10.8" customHeight="1" x14ac:dyDescent="0.3">
      <c r="T33" s="47"/>
      <c r="U33" s="47"/>
      <c r="V33" s="47"/>
      <c r="W33" s="47"/>
    </row>
    <row r="34" spans="1:54" x14ac:dyDescent="0.3">
      <c r="A34" s="30"/>
    </row>
    <row r="35" spans="1:54" ht="14.4" customHeight="1" x14ac:dyDescent="0.3">
      <c r="A35" s="30"/>
      <c r="J35" s="193"/>
      <c r="K35" s="193"/>
      <c r="L35" s="193"/>
      <c r="M35" s="193"/>
      <c r="N35" s="193"/>
      <c r="O35" s="193"/>
      <c r="P35" s="193"/>
      <c r="Q35" s="193"/>
      <c r="R35" s="193"/>
      <c r="S35" s="193"/>
      <c r="T35" s="193"/>
      <c r="U35" s="193"/>
      <c r="V35" s="193"/>
      <c r="W35" s="193"/>
      <c r="X35" s="193"/>
      <c r="Y35" s="193"/>
      <c r="Z35" s="193"/>
      <c r="AA35" s="193"/>
      <c r="AB35" s="193"/>
      <c r="AC35" s="193"/>
      <c r="AD35" s="193"/>
      <c r="AE35" s="193"/>
      <c r="AF35" s="193"/>
      <c r="AG35" s="193"/>
      <c r="AH35" s="193"/>
      <c r="AI35" s="193"/>
      <c r="AJ35" s="193"/>
      <c r="AK35" s="193"/>
      <c r="AL35" s="193"/>
      <c r="AM35" s="193"/>
      <c r="AN35" s="193"/>
      <c r="AO35" s="193"/>
      <c r="AP35" s="193"/>
      <c r="AQ35" s="193"/>
      <c r="AR35" s="193"/>
      <c r="AS35" s="193"/>
      <c r="AT35" s="193"/>
      <c r="AU35" s="193"/>
      <c r="AV35" s="193"/>
      <c r="AW35" s="193"/>
      <c r="AX35" s="193"/>
      <c r="AY35" s="193"/>
      <c r="AZ35" s="193"/>
      <c r="BA35" s="193"/>
      <c r="BB35" s="193"/>
    </row>
    <row r="36" spans="1:54" s="40" customFormat="1" ht="27" customHeight="1" x14ac:dyDescent="0.3">
      <c r="J36" s="194"/>
      <c r="K36" s="194"/>
      <c r="L36" s="194"/>
      <c r="M36" s="194"/>
      <c r="N36" s="194"/>
      <c r="O36" s="194"/>
      <c r="P36" s="194"/>
      <c r="Q36" s="194"/>
      <c r="R36" s="194"/>
      <c r="S36" s="22"/>
      <c r="T36" s="194"/>
      <c r="X36" s="194"/>
      <c r="Y36" s="194"/>
      <c r="Z36" s="194"/>
      <c r="AA36" s="194"/>
      <c r="AC36" s="194"/>
      <c r="AG36" s="194"/>
      <c r="AH36" s="194"/>
      <c r="AI36" s="194"/>
      <c r="AJ36" s="194"/>
      <c r="AK36" s="22"/>
      <c r="AL36" s="194"/>
      <c r="AP36" s="194"/>
      <c r="AQ36" s="194"/>
      <c r="AR36" s="194"/>
      <c r="AS36" s="194"/>
      <c r="AU36" s="194"/>
      <c r="AY36" s="194"/>
      <c r="AZ36" s="194"/>
      <c r="BA36" s="194"/>
      <c r="BB36" s="194"/>
    </row>
    <row r="37" spans="1:54" s="40" customFormat="1" x14ac:dyDescent="0.3">
      <c r="K37" s="194"/>
      <c r="L37" s="194"/>
      <c r="M37" s="194"/>
      <c r="N37" s="194"/>
      <c r="O37" s="194"/>
      <c r="P37" s="194"/>
      <c r="Q37" s="194"/>
      <c r="R37" s="194"/>
      <c r="S37" s="22"/>
      <c r="T37" s="194"/>
      <c r="X37" s="194"/>
      <c r="Y37" s="194"/>
      <c r="Z37" s="194"/>
      <c r="AA37" s="194"/>
      <c r="AC37" s="194"/>
      <c r="AG37" s="194"/>
      <c r="AH37" s="194"/>
      <c r="AI37" s="194"/>
      <c r="AJ37" s="194"/>
      <c r="AK37" s="22"/>
      <c r="AL37" s="194"/>
      <c r="AP37" s="194"/>
      <c r="AQ37" s="194"/>
      <c r="AR37" s="194"/>
      <c r="AS37" s="194"/>
      <c r="AU37" s="194"/>
      <c r="AY37" s="194"/>
      <c r="AZ37" s="194"/>
      <c r="BA37" s="194"/>
      <c r="BB37" s="194"/>
    </row>
    <row r="38" spans="1:54" x14ac:dyDescent="0.3">
      <c r="A38" s="30"/>
      <c r="J38" s="195"/>
      <c r="K38" s="196"/>
      <c r="AZ38" s="9"/>
      <c r="BA38" s="9"/>
      <c r="BB38" s="9"/>
    </row>
    <row r="39" spans="1:54" x14ac:dyDescent="0.3">
      <c r="A39" s="30"/>
      <c r="J39" s="195"/>
      <c r="K39" s="196"/>
    </row>
    <row r="40" spans="1:54" x14ac:dyDescent="0.3">
      <c r="A40" s="30"/>
      <c r="J40" s="195"/>
      <c r="K40" s="196"/>
    </row>
    <row r="41" spans="1:54" x14ac:dyDescent="0.3">
      <c r="A41" s="30"/>
      <c r="J41" s="195"/>
      <c r="K41" s="196"/>
    </row>
    <row r="42" spans="1:54" x14ac:dyDescent="0.3">
      <c r="A42" s="30"/>
      <c r="J42" s="195"/>
      <c r="K42" s="196"/>
    </row>
    <row r="43" spans="1:54" x14ac:dyDescent="0.3">
      <c r="A43" s="30"/>
      <c r="J43" s="195"/>
      <c r="K43" s="196"/>
    </row>
    <row r="44" spans="1:54" x14ac:dyDescent="0.3">
      <c r="A44" s="30"/>
    </row>
  </sheetData>
  <mergeCells count="25">
    <mergeCell ref="AL26:AS26"/>
    <mergeCell ref="AU26:AZ26"/>
    <mergeCell ref="AU27:BB27"/>
    <mergeCell ref="AL21:AS21"/>
    <mergeCell ref="A6:AZ6"/>
    <mergeCell ref="T7:AA7"/>
    <mergeCell ref="AL7:AS7"/>
    <mergeCell ref="AU7:BB7"/>
    <mergeCell ref="AU21:BB21"/>
    <mergeCell ref="AU20:AZ20"/>
    <mergeCell ref="AL27:AS27"/>
    <mergeCell ref="B20:G20"/>
    <mergeCell ref="AL20:AQ20"/>
    <mergeCell ref="AC20:AJ20"/>
    <mergeCell ref="AC26:AJ26"/>
    <mergeCell ref="AC7:AJ7"/>
    <mergeCell ref="AC21:AJ21"/>
    <mergeCell ref="AC27:AJ27"/>
    <mergeCell ref="B7:I7"/>
    <mergeCell ref="B21:I21"/>
    <mergeCell ref="K7:R7"/>
    <mergeCell ref="K21:R21"/>
    <mergeCell ref="K20:R20"/>
    <mergeCell ref="T20:AA20"/>
    <mergeCell ref="T21:AA2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8FF52-24D2-40EB-BD66-AD0CD97B822D}">
  <sheetPr>
    <tabColor theme="7"/>
  </sheetPr>
  <dimension ref="A1:P178"/>
  <sheetViews>
    <sheetView zoomScaleNormal="100" workbookViewId="0">
      <pane xSplit="7" ySplit="11" topLeftCell="H12" activePane="bottomRight" state="frozen"/>
      <selection pane="topRight" activeCell="H1" sqref="H1"/>
      <selection pane="bottomLeft" activeCell="A12" sqref="A12"/>
      <selection pane="bottomRight" activeCell="I83" sqref="I83"/>
    </sheetView>
  </sheetViews>
  <sheetFormatPr baseColWidth="10" defaultColWidth="11.44140625" defaultRowHeight="14.4" x14ac:dyDescent="0.3"/>
  <cols>
    <col min="1" max="1" width="19.6640625" style="34" customWidth="1"/>
    <col min="2" max="2" width="8" style="30" customWidth="1"/>
    <col min="3" max="3" width="7.5546875" style="30" customWidth="1"/>
    <col min="4" max="4" width="18.5546875" style="30" customWidth="1"/>
    <col min="5" max="5" width="8.21875" style="30" bestFit="1" customWidth="1"/>
    <col min="6" max="6" width="18.21875" style="30" customWidth="1"/>
    <col min="7" max="7" width="8.77734375" style="30" customWidth="1"/>
    <col min="8" max="8" width="13.33203125" style="30" customWidth="1"/>
    <col min="9" max="9" width="10.33203125" style="30" customWidth="1"/>
    <col min="10" max="10" width="8.5546875" style="30" customWidth="1"/>
    <col min="11" max="11" width="10.109375" style="30" customWidth="1"/>
    <col min="12" max="12" width="8" style="30" customWidth="1"/>
    <col min="13" max="13" width="3.5546875" style="30" customWidth="1"/>
    <col min="14" max="14" width="28" style="30" bestFit="1" customWidth="1"/>
    <col min="15" max="15" width="10.21875" style="30" bestFit="1" customWidth="1"/>
    <col min="16" max="16" width="9.5546875" style="30" bestFit="1" customWidth="1"/>
    <col min="17" max="16384" width="11.44140625" style="30"/>
  </cols>
  <sheetData>
    <row r="1" spans="1:16" x14ac:dyDescent="0.3">
      <c r="A1" s="29" t="s">
        <v>634</v>
      </c>
      <c r="C1" s="28"/>
    </row>
    <row r="2" spans="1:16" x14ac:dyDescent="0.3">
      <c r="A2" s="31" t="s">
        <v>635</v>
      </c>
      <c r="B2" s="28"/>
      <c r="C2" s="28"/>
    </row>
    <row r="3" spans="1:16" x14ac:dyDescent="0.3">
      <c r="A3" s="32" t="s">
        <v>52</v>
      </c>
    </row>
    <row r="4" spans="1:16" x14ac:dyDescent="0.3">
      <c r="A4" s="32" t="s">
        <v>53</v>
      </c>
      <c r="B4" s="33"/>
      <c r="C4" s="33"/>
    </row>
    <row r="5" spans="1:16" x14ac:dyDescent="0.3">
      <c r="A5" s="32" t="s">
        <v>636</v>
      </c>
      <c r="B5" s="33"/>
      <c r="C5" s="33"/>
    </row>
    <row r="6" spans="1:16" x14ac:dyDescent="0.3">
      <c r="B6" s="33"/>
      <c r="C6" s="33"/>
    </row>
    <row r="7" spans="1:16" x14ac:dyDescent="0.3">
      <c r="A7" s="35" t="s">
        <v>54</v>
      </c>
      <c r="B7" s="33"/>
      <c r="C7" s="33"/>
    </row>
    <row r="8" spans="1:16" x14ac:dyDescent="0.3">
      <c r="B8" s="36"/>
      <c r="C8" s="36"/>
    </row>
    <row r="9" spans="1:16" s="40" customFormat="1" x14ac:dyDescent="0.3">
      <c r="A9" s="37" t="s">
        <v>9</v>
      </c>
      <c r="B9" s="38" t="s">
        <v>55</v>
      </c>
      <c r="C9" s="38"/>
      <c r="D9" s="39" t="s">
        <v>56</v>
      </c>
      <c r="E9" s="39"/>
      <c r="F9" s="39"/>
      <c r="G9" s="39"/>
      <c r="H9" s="39" t="s">
        <v>57</v>
      </c>
      <c r="I9" s="39"/>
      <c r="J9" s="39"/>
      <c r="K9" s="39"/>
      <c r="L9" s="39"/>
    </row>
    <row r="10" spans="1:16" s="40" customFormat="1" ht="27" customHeight="1" x14ac:dyDescent="0.3">
      <c r="A10" s="41" t="s">
        <v>15</v>
      </c>
      <c r="B10" s="41" t="s">
        <v>58</v>
      </c>
      <c r="C10" s="41" t="s">
        <v>59</v>
      </c>
      <c r="D10" s="41" t="s">
        <v>44</v>
      </c>
      <c r="E10" s="41" t="s">
        <v>45</v>
      </c>
      <c r="F10" s="41" t="s">
        <v>48</v>
      </c>
      <c r="G10" s="41" t="s">
        <v>45</v>
      </c>
      <c r="H10" s="41" t="s">
        <v>60</v>
      </c>
      <c r="I10" s="41" t="s">
        <v>61</v>
      </c>
      <c r="J10" s="37" t="s">
        <v>62</v>
      </c>
      <c r="K10" s="41" t="s">
        <v>63</v>
      </c>
      <c r="L10" s="37" t="s">
        <v>64</v>
      </c>
      <c r="N10" s="42"/>
      <c r="O10" s="42" t="s">
        <v>46</v>
      </c>
      <c r="P10" s="42" t="s">
        <v>47</v>
      </c>
    </row>
    <row r="11" spans="1:16" x14ac:dyDescent="0.3">
      <c r="A11" s="43" t="s">
        <v>50</v>
      </c>
      <c r="B11" s="44">
        <v>44</v>
      </c>
      <c r="C11" s="44">
        <v>95</v>
      </c>
      <c r="D11" s="45">
        <f>774221557.02752/1000000</f>
        <v>774.22155702751991</v>
      </c>
      <c r="E11" s="45">
        <f>78229.3455132638/1000000</f>
        <v>7.8229345513263798E-2</v>
      </c>
      <c r="F11" s="3">
        <v>1.0545038135050078</v>
      </c>
      <c r="G11" s="3">
        <v>0.69340524013415428</v>
      </c>
      <c r="H11" s="46"/>
      <c r="I11" s="46"/>
      <c r="J11" s="46"/>
      <c r="K11" s="46"/>
      <c r="L11" s="46"/>
      <c r="N11" s="42" t="s">
        <v>58</v>
      </c>
      <c r="O11" s="30">
        <f>MIN(B11:B19)</f>
        <v>34</v>
      </c>
      <c r="P11" s="30">
        <f>MAX(B11:B19)</f>
        <v>54</v>
      </c>
    </row>
    <row r="12" spans="1:16" x14ac:dyDescent="0.3">
      <c r="A12" s="22" t="s">
        <v>30</v>
      </c>
      <c r="B12" s="28">
        <v>54</v>
      </c>
      <c r="C12" s="44">
        <v>95</v>
      </c>
      <c r="D12" s="47">
        <f>965310803.626818/1000000</f>
        <v>965.31080362681791</v>
      </c>
      <c r="E12" s="47">
        <f>97561.7603141594/1000000</f>
        <v>9.7561760314159404E-2</v>
      </c>
      <c r="F12" s="9">
        <v>1.313297365479571</v>
      </c>
      <c r="G12" s="9">
        <v>0.86037178296863936</v>
      </c>
      <c r="H12" s="9">
        <f t="shared" ref="H12:H19" si="0">(F12-$F$11)/$F$11</f>
        <v>0.24541736943973055</v>
      </c>
      <c r="I12" s="9">
        <f t="shared" ref="I12:I19" si="1">(B12-$B$11)/$B$11</f>
        <v>0.22727272727272727</v>
      </c>
      <c r="J12" s="47">
        <f>H12/I12</f>
        <v>1.0798364255348145</v>
      </c>
      <c r="K12" s="3">
        <f t="shared" ref="K12:K18" si="2">(C12-$C$11)/$C$11</f>
        <v>0</v>
      </c>
      <c r="L12" s="48"/>
      <c r="N12" s="42" t="s">
        <v>59</v>
      </c>
      <c r="O12" s="30">
        <f>MIN(C11:C19)</f>
        <v>90</v>
      </c>
      <c r="P12" s="30">
        <f>MAX(C11:C19)</f>
        <v>99</v>
      </c>
    </row>
    <row r="13" spans="1:16" x14ac:dyDescent="0.3">
      <c r="A13" s="22" t="s">
        <v>40</v>
      </c>
      <c r="B13" s="28">
        <v>34</v>
      </c>
      <c r="C13" s="44">
        <v>95</v>
      </c>
      <c r="D13" s="47">
        <f>583132243.030724/1000000</f>
        <v>583.132243030724</v>
      </c>
      <c r="E13" s="47">
        <f>58902.2809186151/1000000</f>
        <v>5.8902280918615102E-2</v>
      </c>
      <c r="F13" s="9">
        <v>0.79571010846659396</v>
      </c>
      <c r="G13" s="9">
        <v>0.52653696345249268</v>
      </c>
      <c r="H13" s="9">
        <f t="shared" si="0"/>
        <v>-0.24541751459221708</v>
      </c>
      <c r="I13" s="9">
        <f t="shared" si="1"/>
        <v>-0.22727272727272727</v>
      </c>
      <c r="J13" s="47">
        <f>H13/I13</f>
        <v>1.0798370642057553</v>
      </c>
      <c r="K13" s="3">
        <f t="shared" si="2"/>
        <v>0</v>
      </c>
      <c r="L13" s="48"/>
      <c r="N13" s="49" t="s">
        <v>44</v>
      </c>
      <c r="O13" s="47">
        <f>MIN(D11:D19)</f>
        <v>548.93736868901203</v>
      </c>
      <c r="P13" s="47">
        <f>MAX(D11:D19)</f>
        <v>1008.75842854644</v>
      </c>
    </row>
    <row r="14" spans="1:16" x14ac:dyDescent="0.3">
      <c r="A14" s="22" t="s">
        <v>34</v>
      </c>
      <c r="B14" s="44">
        <v>44</v>
      </c>
      <c r="C14" s="28">
        <v>99</v>
      </c>
      <c r="D14" s="47">
        <f>809623362.668953/1000000</f>
        <v>809.62336266895295</v>
      </c>
      <c r="E14" s="47">
        <f>81810.6488632885/1000000</f>
        <v>8.1810648863288496E-2</v>
      </c>
      <c r="F14" s="9">
        <v>1.1024486946092993</v>
      </c>
      <c r="G14" s="9">
        <v>0.72433259137755945</v>
      </c>
      <c r="H14" s="9">
        <f t="shared" si="0"/>
        <v>4.5466768816065387E-2</v>
      </c>
      <c r="I14" s="3">
        <f t="shared" si="1"/>
        <v>0</v>
      </c>
      <c r="J14" s="45"/>
      <c r="K14" s="9">
        <f t="shared" si="2"/>
        <v>4.2105263157894736E-2</v>
      </c>
      <c r="L14" s="47">
        <f t="shared" ref="L14:L19" si="3">H14/K14</f>
        <v>1.0798357593815529</v>
      </c>
      <c r="N14" s="49" t="s">
        <v>48</v>
      </c>
      <c r="O14" s="50">
        <f>MIN(F11:F19)</f>
        <v>0.74939974210629656</v>
      </c>
      <c r="P14" s="50">
        <f>MAX(F11:F19)</f>
        <v>1.3721387653016883</v>
      </c>
    </row>
    <row r="15" spans="1:16" x14ac:dyDescent="0.3">
      <c r="A15" s="22" t="s">
        <v>38</v>
      </c>
      <c r="B15" s="44">
        <v>44</v>
      </c>
      <c r="C15" s="28">
        <v>90</v>
      </c>
      <c r="D15" s="47">
        <f>729969228.959545/1000000</f>
        <v>729.96922895954503</v>
      </c>
      <c r="E15" s="47">
        <f>73752.9658345213/1000000</f>
        <v>7.3752965834521289E-2</v>
      </c>
      <c r="F15" s="9">
        <v>0.99457256043917053</v>
      </c>
      <c r="G15" s="9">
        <v>0.65475048649046508</v>
      </c>
      <c r="H15" s="9">
        <f t="shared" si="0"/>
        <v>-5.683360486543431E-2</v>
      </c>
      <c r="I15" s="3">
        <f t="shared" si="1"/>
        <v>0</v>
      </c>
      <c r="J15" s="45"/>
      <c r="K15" s="9">
        <f t="shared" si="2"/>
        <v>-5.2631578947368418E-2</v>
      </c>
      <c r="L15" s="47">
        <f t="shared" si="3"/>
        <v>1.079838492443252</v>
      </c>
      <c r="N15" s="49" t="s">
        <v>60</v>
      </c>
      <c r="O15" s="50">
        <f>MIN(H11:H19)</f>
        <v>-0.28933425132394014</v>
      </c>
      <c r="P15" s="50">
        <f>MAX(H11:H19)</f>
        <v>0.30121745197005123</v>
      </c>
    </row>
    <row r="16" spans="1:16" x14ac:dyDescent="0.3">
      <c r="A16" s="22" t="s">
        <v>18</v>
      </c>
      <c r="B16" s="28">
        <v>54</v>
      </c>
      <c r="C16" s="28">
        <v>99</v>
      </c>
      <c r="D16" s="47">
        <f>1008758428.54644/1000000</f>
        <v>1008.75842854644</v>
      </c>
      <c r="E16" s="47">
        <f>101957.772860989/1000000</f>
        <v>0.101957772860989</v>
      </c>
      <c r="F16" s="9">
        <v>1.3721387653016883</v>
      </c>
      <c r="G16" s="9">
        <v>0.8983426727140521</v>
      </c>
      <c r="H16" s="9">
        <f t="shared" si="0"/>
        <v>0.30121745197005123</v>
      </c>
      <c r="I16" s="9">
        <f t="shared" si="1"/>
        <v>0.22727272727272727</v>
      </c>
      <c r="J16" s="47">
        <f>H16/I16</f>
        <v>1.3253567886682254</v>
      </c>
      <c r="K16" s="9">
        <f t="shared" si="2"/>
        <v>4.2105263157894736E-2</v>
      </c>
      <c r="L16" s="47">
        <f t="shared" si="3"/>
        <v>7.153914484288717</v>
      </c>
      <c r="N16" s="4"/>
    </row>
    <row r="17" spans="1:16" x14ac:dyDescent="0.3">
      <c r="A17" s="22" t="s">
        <v>32</v>
      </c>
      <c r="B17" s="28">
        <v>54</v>
      </c>
      <c r="C17" s="28">
        <v>90</v>
      </c>
      <c r="D17" s="47">
        <f>911001175.142524/1000000</f>
        <v>911.00117514252395</v>
      </c>
      <c r="E17" s="47">
        <f>92066.9291203444/1000000</f>
        <v>9.2066929120344407E-2</v>
      </c>
      <c r="F17" s="9">
        <v>1.2397454797109102</v>
      </c>
      <c r="G17" s="9">
        <v>0.81291159230187271</v>
      </c>
      <c r="H17" s="9">
        <f t="shared" si="0"/>
        <v>0.17566713731474118</v>
      </c>
      <c r="I17" s="9">
        <f t="shared" si="1"/>
        <v>0.22727272727272727</v>
      </c>
      <c r="J17" s="47">
        <f>H17/I17</f>
        <v>0.77293540418486117</v>
      </c>
      <c r="K17" s="9">
        <f t="shared" si="2"/>
        <v>-5.2631578947368418E-2</v>
      </c>
      <c r="L17" s="47">
        <f t="shared" si="3"/>
        <v>-3.3376756089800828</v>
      </c>
      <c r="N17" s="4"/>
    </row>
    <row r="18" spans="1:16" x14ac:dyDescent="0.3">
      <c r="A18" s="22" t="s">
        <v>39</v>
      </c>
      <c r="B18" s="28">
        <v>34</v>
      </c>
      <c r="C18" s="28">
        <v>99</v>
      </c>
      <c r="D18" s="47">
        <f>610488226.503974/1000000</f>
        <v>610.48822650397392</v>
      </c>
      <c r="E18" s="47">
        <f>61668.586699718/1000000</f>
        <v>6.1668586699717996E-2</v>
      </c>
      <c r="F18" s="9">
        <v>0.83275851617256402</v>
      </c>
      <c r="G18" s="9">
        <v>0.55041607524052638</v>
      </c>
      <c r="H18" s="9">
        <f t="shared" si="0"/>
        <v>-0.21028401651331791</v>
      </c>
      <c r="I18" s="9">
        <f t="shared" si="1"/>
        <v>-0.22727272727272727</v>
      </c>
      <c r="J18" s="47">
        <f>H18/I18</f>
        <v>0.92524967265859881</v>
      </c>
      <c r="K18" s="9">
        <f t="shared" si="2"/>
        <v>4.2105263157894736E-2</v>
      </c>
      <c r="L18" s="47">
        <f t="shared" si="3"/>
        <v>-4.9942453921913001</v>
      </c>
      <c r="N18" s="4"/>
    </row>
    <row r="19" spans="1:16" x14ac:dyDescent="0.3">
      <c r="A19" s="22" t="s">
        <v>41</v>
      </c>
      <c r="B19" s="28">
        <v>34</v>
      </c>
      <c r="C19" s="28">
        <v>90</v>
      </c>
      <c r="D19" s="47">
        <f>548937368.689012/1000000</f>
        <v>548.93736868901203</v>
      </c>
      <c r="E19" s="47">
        <f>55444.7461418632/1000000</f>
        <v>5.5444746141863198E-2</v>
      </c>
      <c r="F19" s="9">
        <v>0.74939974210629656</v>
      </c>
      <c r="G19" s="9">
        <v>0.49669430844256685</v>
      </c>
      <c r="H19" s="9">
        <f t="shared" si="0"/>
        <v>-0.28933425132394014</v>
      </c>
      <c r="I19" s="9">
        <f t="shared" si="1"/>
        <v>-0.22727272727272727</v>
      </c>
      <c r="J19" s="47">
        <f>H19/I19</f>
        <v>1.2730707058253365</v>
      </c>
      <c r="K19" s="9">
        <f t="shared" ref="K19" si="4">(C19-$C$11)/$C$11</f>
        <v>-5.2631578947368418E-2</v>
      </c>
      <c r="L19" s="47">
        <f t="shared" si="3"/>
        <v>5.4973507751548629</v>
      </c>
      <c r="N19" s="4"/>
    </row>
    <row r="20" spans="1:16" x14ac:dyDescent="0.3">
      <c r="A20" s="51" t="s">
        <v>65</v>
      </c>
      <c r="B20" s="14"/>
      <c r="C20" s="14" t="s">
        <v>67</v>
      </c>
      <c r="D20" s="52" t="s">
        <v>68</v>
      </c>
      <c r="E20" s="52"/>
      <c r="F20" s="52" t="s">
        <v>69</v>
      </c>
      <c r="G20" s="52"/>
      <c r="H20" s="53" t="s">
        <v>70</v>
      </c>
      <c r="I20" s="52"/>
      <c r="J20" s="52"/>
      <c r="K20" s="52"/>
      <c r="L20" s="52"/>
    </row>
    <row r="23" spans="1:16" x14ac:dyDescent="0.3">
      <c r="A23" s="37" t="s">
        <v>10</v>
      </c>
      <c r="B23" s="38" t="s">
        <v>55</v>
      </c>
      <c r="C23" s="38"/>
      <c r="D23" s="39" t="s">
        <v>56</v>
      </c>
      <c r="E23" s="39"/>
      <c r="F23" s="39"/>
      <c r="G23" s="39"/>
      <c r="H23" s="39" t="s">
        <v>57</v>
      </c>
      <c r="I23" s="39"/>
      <c r="J23" s="39"/>
      <c r="K23" s="39"/>
      <c r="L23" s="39"/>
    </row>
    <row r="24" spans="1:16" ht="27.6" customHeight="1" x14ac:dyDescent="0.3">
      <c r="A24" s="54" t="s">
        <v>15</v>
      </c>
      <c r="B24" s="55" t="s">
        <v>58</v>
      </c>
      <c r="C24" s="55" t="s">
        <v>59</v>
      </c>
      <c r="D24" s="41" t="s">
        <v>44</v>
      </c>
      <c r="E24" s="41" t="s">
        <v>45</v>
      </c>
      <c r="F24" s="41" t="s">
        <v>48</v>
      </c>
      <c r="G24" s="41" t="s">
        <v>45</v>
      </c>
      <c r="H24" s="37" t="s">
        <v>60</v>
      </c>
      <c r="I24" s="41" t="s">
        <v>61</v>
      </c>
      <c r="J24" s="37" t="s">
        <v>62</v>
      </c>
      <c r="K24" s="41" t="s">
        <v>63</v>
      </c>
      <c r="L24" s="37" t="s">
        <v>64</v>
      </c>
      <c r="N24" s="42"/>
      <c r="O24" s="42" t="s">
        <v>46</v>
      </c>
      <c r="P24" s="42" t="s">
        <v>47</v>
      </c>
    </row>
    <row r="25" spans="1:16" x14ac:dyDescent="0.3">
      <c r="A25" s="43" t="s">
        <v>50</v>
      </c>
      <c r="B25" s="44">
        <v>44</v>
      </c>
      <c r="C25" s="44">
        <v>75</v>
      </c>
      <c r="D25" s="45">
        <f>616737663.415865/1000000</f>
        <v>616.73766341586497</v>
      </c>
      <c r="E25" s="45">
        <f>62330.2208438072/1000000</f>
        <v>6.2330220843807196E-2</v>
      </c>
      <c r="F25" s="3">
        <v>0.8386937445178162</v>
      </c>
      <c r="G25" s="3">
        <v>0.54845930607295301</v>
      </c>
      <c r="H25" s="56"/>
      <c r="I25" s="46"/>
      <c r="J25" s="46"/>
      <c r="K25" s="46"/>
      <c r="L25" s="46"/>
      <c r="N25" s="42" t="s">
        <v>58</v>
      </c>
      <c r="O25" s="30">
        <f>MIN(B25:B33)</f>
        <v>34</v>
      </c>
      <c r="P25" s="30">
        <f>MAX(B25:B33)</f>
        <v>54</v>
      </c>
    </row>
    <row r="26" spans="1:16" x14ac:dyDescent="0.3">
      <c r="A26" s="22" t="s">
        <v>30</v>
      </c>
      <c r="B26" s="28">
        <v>54</v>
      </c>
      <c r="C26" s="44">
        <v>75</v>
      </c>
      <c r="D26" s="47">
        <f>772035102.522495/1000000</f>
        <v>772.03510252249498</v>
      </c>
      <c r="E26" s="47">
        <f>78055.1757984376/1000000</f>
        <v>7.8055175798437598E-2</v>
      </c>
      <c r="F26" s="9">
        <v>1.0484396277937154</v>
      </c>
      <c r="G26" s="9">
        <v>0.6825965150036768</v>
      </c>
      <c r="H26" s="50">
        <f t="shared" ref="H26:H33" si="5">(F26-$F$25)/$F$25</f>
        <v>0.25008638093096397</v>
      </c>
      <c r="I26" s="7">
        <f t="shared" ref="I26:I32" si="6">(B26-$B$25)/$B$25</f>
        <v>0.22727272727272727</v>
      </c>
      <c r="J26" s="47">
        <f>H26/I26</f>
        <v>1.1003800760962414</v>
      </c>
      <c r="K26" s="3">
        <f t="shared" ref="K26:K32" si="7">(C26-$C$25)/$C$25</f>
        <v>0</v>
      </c>
      <c r="L26" s="46"/>
      <c r="N26" s="42" t="s">
        <v>59</v>
      </c>
      <c r="O26" s="30">
        <f>MIN(C25:C33)</f>
        <v>60</v>
      </c>
      <c r="P26" s="30">
        <f>MAX(C25:C33)</f>
        <v>89</v>
      </c>
    </row>
    <row r="27" spans="1:16" x14ac:dyDescent="0.3">
      <c r="A27" s="22" t="s">
        <v>40</v>
      </c>
      <c r="B27" s="28">
        <v>34</v>
      </c>
      <c r="C27" s="44">
        <v>75</v>
      </c>
      <c r="D27" s="47">
        <f>461440211.722661/1000000</f>
        <v>461.44021172266099</v>
      </c>
      <c r="E27" s="47">
        <f>46611.6997647958/1000000</f>
        <v>4.6611699764795796E-2</v>
      </c>
      <c r="F27" s="9">
        <v>0.62894791105924519</v>
      </c>
      <c r="G27" s="9">
        <v>0.41444302624487128</v>
      </c>
      <c r="H27" s="50">
        <f t="shared" si="5"/>
        <v>-0.25008632153225202</v>
      </c>
      <c r="I27" s="7">
        <f t="shared" si="6"/>
        <v>-0.22727272727272727</v>
      </c>
      <c r="J27" s="47">
        <f>H27/I27</f>
        <v>1.1003798147419088</v>
      </c>
      <c r="K27" s="3">
        <f t="shared" si="7"/>
        <v>0</v>
      </c>
      <c r="L27" s="46"/>
      <c r="N27" s="49" t="s">
        <v>44</v>
      </c>
      <c r="O27" s="47">
        <f>MIN(D25:D33)</f>
        <v>338.75149237896903</v>
      </c>
      <c r="P27" s="47">
        <f>MAX(D25:D33)</f>
        <v>911.21986458750496</v>
      </c>
    </row>
    <row r="28" spans="1:16" x14ac:dyDescent="0.3">
      <c r="A28" s="22" t="s">
        <v>34</v>
      </c>
      <c r="B28" s="44">
        <v>44</v>
      </c>
      <c r="C28" s="28">
        <v>89</v>
      </c>
      <c r="D28" s="47">
        <f>730147441.238332/1000000</f>
        <v>730.14744123833202</v>
      </c>
      <c r="E28" s="47">
        <f>73780.374708087/1000000</f>
        <v>7.3780374708086988E-2</v>
      </c>
      <c r="F28" s="9">
        <v>0.99400938032748054</v>
      </c>
      <c r="G28" s="9">
        <v>0.65254677008824158</v>
      </c>
      <c r="H28" s="50">
        <f t="shared" si="5"/>
        <v>0.1851875453047033</v>
      </c>
      <c r="I28" s="10">
        <f t="shared" si="6"/>
        <v>0</v>
      </c>
      <c r="J28" s="45"/>
      <c r="K28" s="9">
        <f t="shared" si="7"/>
        <v>0.18666666666666668</v>
      </c>
      <c r="L28" s="47">
        <f t="shared" ref="L28:L33" si="8">H28/K28</f>
        <v>0.99207613556091045</v>
      </c>
      <c r="N28" s="49" t="s">
        <v>48</v>
      </c>
      <c r="O28" s="50">
        <f>MIN(F25:F33)</f>
        <v>0.46092471835262644</v>
      </c>
      <c r="P28" s="50">
        <f>MAX(F25:F33)</f>
        <v>1.2390542470693422</v>
      </c>
    </row>
    <row r="29" spans="1:16" x14ac:dyDescent="0.3">
      <c r="A29" s="22" t="s">
        <v>38</v>
      </c>
      <c r="B29" s="44">
        <v>44</v>
      </c>
      <c r="C29" s="28">
        <v>60</v>
      </c>
      <c r="D29" s="47">
        <f>457964041.739167/1000000</f>
        <v>457.96404173916699</v>
      </c>
      <c r="E29" s="47">
        <f>46307.4479569237/1000000</f>
        <v>4.6307447956923702E-2</v>
      </c>
      <c r="F29" s="9">
        <v>0.62125197682803301</v>
      </c>
      <c r="G29" s="9">
        <v>0.40287288178336295</v>
      </c>
      <c r="H29" s="50">
        <f t="shared" si="5"/>
        <v>-0.2592624174331899</v>
      </c>
      <c r="I29" s="10">
        <f t="shared" si="6"/>
        <v>0</v>
      </c>
      <c r="J29" s="45"/>
      <c r="K29" s="9">
        <f t="shared" si="7"/>
        <v>-0.2</v>
      </c>
      <c r="L29" s="47">
        <f t="shared" si="8"/>
        <v>1.2963120871659495</v>
      </c>
      <c r="N29" s="49" t="s">
        <v>60</v>
      </c>
      <c r="O29" s="50">
        <f>MIN(H25:H33)</f>
        <v>-0.45042547250948872</v>
      </c>
      <c r="P29" s="50">
        <f>MAX(H25:H33)</f>
        <v>0.47736197529612218</v>
      </c>
    </row>
    <row r="30" spans="1:16" x14ac:dyDescent="0.3">
      <c r="A30" s="22" t="s">
        <v>18</v>
      </c>
      <c r="B30" s="28">
        <v>54</v>
      </c>
      <c r="C30" s="28">
        <v>89</v>
      </c>
      <c r="D30" s="47">
        <f>911219864.587505/1000000</f>
        <v>911.21986458750496</v>
      </c>
      <c r="E30" s="47">
        <f>92103.4297679041/1000000</f>
        <v>9.2103429767904102E-2</v>
      </c>
      <c r="F30" s="9">
        <v>1.2390542470693422</v>
      </c>
      <c r="G30" s="9">
        <v>0.81026044712185419</v>
      </c>
      <c r="H30" s="50">
        <f t="shared" si="5"/>
        <v>0.47736197529612218</v>
      </c>
      <c r="I30" s="7">
        <f t="shared" si="6"/>
        <v>0.22727272727272727</v>
      </c>
      <c r="J30" s="47">
        <f>H30/I30</f>
        <v>2.1003926913029378</v>
      </c>
      <c r="K30" s="9">
        <f t="shared" si="7"/>
        <v>0.18666666666666668</v>
      </c>
      <c r="L30" s="47">
        <f t="shared" si="8"/>
        <v>2.5572962962292256</v>
      </c>
    </row>
    <row r="31" spans="1:16" x14ac:dyDescent="0.3">
      <c r="A31" s="22" t="s">
        <v>32</v>
      </c>
      <c r="B31" s="28">
        <v>54</v>
      </c>
      <c r="C31" s="28">
        <v>60</v>
      </c>
      <c r="D31" s="47">
        <f>577176642.20326/1000000</f>
        <v>577.17664220325992</v>
      </c>
      <c r="E31" s="47">
        <f>58399.9346128187/1000000</f>
        <v>5.8399934612818699E-2</v>
      </c>
      <c r="F31" s="9">
        <v>0.78157928545672972</v>
      </c>
      <c r="G31" s="9">
        <v>0.50409829822427543</v>
      </c>
      <c r="H31" s="50">
        <f t="shared" si="5"/>
        <v>-6.8099302557601465E-2</v>
      </c>
      <c r="I31" s="7">
        <f t="shared" si="6"/>
        <v>0.22727272727272727</v>
      </c>
      <c r="J31" s="47">
        <f>H31/I31</f>
        <v>-0.29963693125344648</v>
      </c>
      <c r="K31" s="9">
        <f t="shared" si="7"/>
        <v>-0.2</v>
      </c>
      <c r="L31" s="47">
        <f t="shared" si="8"/>
        <v>0.3404965127880073</v>
      </c>
    </row>
    <row r="32" spans="1:16" x14ac:dyDescent="0.3">
      <c r="A32" s="22" t="s">
        <v>39</v>
      </c>
      <c r="B32" s="28">
        <v>34</v>
      </c>
      <c r="C32" s="28">
        <v>89</v>
      </c>
      <c r="D32" s="47">
        <f>549075052.913851/1000000</f>
        <v>549.07505291385098</v>
      </c>
      <c r="E32" s="47">
        <f>55462.9172579198/1000000</f>
        <v>5.5462917257919797E-2</v>
      </c>
      <c r="F32" s="9">
        <v>0.74896454418918879</v>
      </c>
      <c r="G32" s="9">
        <v>0.49493669202813828</v>
      </c>
      <c r="H32" s="50">
        <f t="shared" si="5"/>
        <v>-0.1069868481971506</v>
      </c>
      <c r="I32" s="7">
        <f t="shared" si="6"/>
        <v>-0.22727272727272727</v>
      </c>
      <c r="J32" s="47">
        <f>H32/I32</f>
        <v>0.47074213206746263</v>
      </c>
      <c r="K32" s="9">
        <f t="shared" si="7"/>
        <v>0.18666666666666668</v>
      </c>
      <c r="L32" s="47">
        <f t="shared" si="8"/>
        <v>-0.57314382962759247</v>
      </c>
    </row>
    <row r="33" spans="1:16" x14ac:dyDescent="0.3">
      <c r="A33" s="22" t="s">
        <v>41</v>
      </c>
      <c r="B33" s="28">
        <v>34</v>
      </c>
      <c r="C33" s="28">
        <v>60</v>
      </c>
      <c r="D33" s="47">
        <f>338751492.378969/1000000</f>
        <v>338.75149237896903</v>
      </c>
      <c r="E33" s="47">
        <f>34223.0589058026/1000000</f>
        <v>3.42230589058026E-2</v>
      </c>
      <c r="F33" s="9">
        <v>0.46092471835262644</v>
      </c>
      <c r="G33" s="9">
        <v>0.30180423861211342</v>
      </c>
      <c r="H33" s="50">
        <f t="shared" si="5"/>
        <v>-0.45042547250948872</v>
      </c>
      <c r="I33" s="7">
        <f t="shared" ref="I33" si="9">(B33-$B$25)/$B$25</f>
        <v>-0.22727272727272727</v>
      </c>
      <c r="J33" s="47">
        <f>H33/I33</f>
        <v>1.9818720790417503</v>
      </c>
      <c r="K33" s="9">
        <f t="shared" ref="K33" si="10">(C33-$C$25)/$C$25</f>
        <v>-0.2</v>
      </c>
      <c r="L33" s="47">
        <f t="shared" si="8"/>
        <v>2.2521273625474434</v>
      </c>
    </row>
    <row r="34" spans="1:16" s="52" customFormat="1" x14ac:dyDescent="0.3">
      <c r="A34" s="51" t="s">
        <v>71</v>
      </c>
      <c r="B34" s="18" t="s">
        <v>66</v>
      </c>
      <c r="C34" s="18" t="s">
        <v>72</v>
      </c>
      <c r="D34" s="52" t="s">
        <v>73</v>
      </c>
      <c r="F34" s="52" t="s">
        <v>74</v>
      </c>
      <c r="H34" s="52" t="s">
        <v>75</v>
      </c>
    </row>
    <row r="37" spans="1:16" x14ac:dyDescent="0.3">
      <c r="A37" s="34" t="s">
        <v>76</v>
      </c>
    </row>
    <row r="38" spans="1:16" x14ac:dyDescent="0.3">
      <c r="A38" s="37" t="s">
        <v>9</v>
      </c>
      <c r="B38" s="38" t="s">
        <v>55</v>
      </c>
      <c r="C38" s="38"/>
      <c r="D38" s="39" t="s">
        <v>56</v>
      </c>
      <c r="E38" s="39"/>
      <c r="F38" s="39"/>
      <c r="G38" s="39"/>
      <c r="H38" s="39" t="s">
        <v>57</v>
      </c>
      <c r="I38" s="39"/>
      <c r="J38" s="39"/>
    </row>
    <row r="39" spans="1:16" ht="43.2" x14ac:dyDescent="0.3">
      <c r="A39" s="41" t="s">
        <v>15</v>
      </c>
      <c r="B39" s="41" t="s">
        <v>58</v>
      </c>
      <c r="C39" s="41" t="s">
        <v>59</v>
      </c>
      <c r="D39" s="41" t="s">
        <v>44</v>
      </c>
      <c r="E39" s="41" t="s">
        <v>45</v>
      </c>
      <c r="F39" s="41" t="s">
        <v>48</v>
      </c>
      <c r="G39" s="41" t="s">
        <v>45</v>
      </c>
      <c r="H39" s="37" t="s">
        <v>60</v>
      </c>
      <c r="I39" s="41" t="s">
        <v>63</v>
      </c>
      <c r="J39" s="37" t="s">
        <v>64</v>
      </c>
      <c r="N39" s="42"/>
      <c r="O39" s="42" t="s">
        <v>46</v>
      </c>
      <c r="P39" s="42" t="s">
        <v>47</v>
      </c>
    </row>
    <row r="40" spans="1:16" x14ac:dyDescent="0.3">
      <c r="A40" s="57" t="s">
        <v>77</v>
      </c>
      <c r="B40" s="58">
        <v>44</v>
      </c>
      <c r="C40" s="58">
        <v>95</v>
      </c>
      <c r="D40" s="45">
        <f>774221557.02752/1000000</f>
        <v>774.22155702751991</v>
      </c>
      <c r="E40" s="45">
        <f>78229.3455132638/1000000</f>
        <v>7.8229345513263798E-2</v>
      </c>
      <c r="F40" s="3">
        <v>1.0545038135050078</v>
      </c>
      <c r="G40" s="3">
        <v>0.69340524013415428</v>
      </c>
      <c r="H40" s="59"/>
      <c r="I40" s="59"/>
      <c r="J40" s="59"/>
      <c r="N40" s="42" t="s">
        <v>58</v>
      </c>
      <c r="O40" s="30">
        <f>MIN(B40:B57)</f>
        <v>34</v>
      </c>
      <c r="P40" s="30">
        <f>MAX(B40:B57)</f>
        <v>54</v>
      </c>
    </row>
    <row r="41" spans="1:16" x14ac:dyDescent="0.3">
      <c r="A41" s="57" t="s">
        <v>78</v>
      </c>
      <c r="B41" s="58">
        <v>54</v>
      </c>
      <c r="C41" s="58">
        <v>95</v>
      </c>
      <c r="D41" s="45">
        <f>965310803.626818/1000000</f>
        <v>965.31080362681791</v>
      </c>
      <c r="E41" s="45">
        <f>97561.7603141594/1000000</f>
        <v>9.7561760314159404E-2</v>
      </c>
      <c r="F41" s="3">
        <v>1.313297365479571</v>
      </c>
      <c r="G41" s="3">
        <v>0.86037178296863936</v>
      </c>
      <c r="H41" s="16"/>
      <c r="I41" s="16"/>
      <c r="J41" s="59"/>
      <c r="N41" s="42" t="s">
        <v>59</v>
      </c>
      <c r="O41" s="30">
        <f>MIN(C40:C57)</f>
        <v>60</v>
      </c>
      <c r="P41" s="30">
        <f>MAX(C40:C57)</f>
        <v>99</v>
      </c>
    </row>
    <row r="42" spans="1:16" x14ac:dyDescent="0.3">
      <c r="A42" s="57" t="s">
        <v>79</v>
      </c>
      <c r="B42" s="58">
        <v>34</v>
      </c>
      <c r="C42" s="58">
        <v>95</v>
      </c>
      <c r="D42" s="45">
        <f>583132243.030724/1000000</f>
        <v>583.132243030724</v>
      </c>
      <c r="E42" s="45">
        <f>58902.2809186151/1000000</f>
        <v>5.8902280918615102E-2</v>
      </c>
      <c r="F42" s="3">
        <v>0.79571010846659396</v>
      </c>
      <c r="G42" s="3">
        <v>0.52653696345249268</v>
      </c>
      <c r="H42" s="16"/>
      <c r="I42" s="16"/>
      <c r="J42" s="59"/>
      <c r="N42" s="49" t="s">
        <v>44</v>
      </c>
      <c r="O42" s="47">
        <f>MIN(D40:D57)</f>
        <v>338.75149237896903</v>
      </c>
      <c r="P42" s="47">
        <f>MAX(D40:D57)</f>
        <v>1008.75842854644</v>
      </c>
    </row>
    <row r="43" spans="1:16" x14ac:dyDescent="0.3">
      <c r="A43" s="57" t="s">
        <v>80</v>
      </c>
      <c r="B43" s="58">
        <v>44</v>
      </c>
      <c r="C43" s="58">
        <v>99</v>
      </c>
      <c r="D43" s="45">
        <f>809623362.668953/1000000</f>
        <v>809.62336266895295</v>
      </c>
      <c r="E43" s="45">
        <f>81810.6488632885/1000000</f>
        <v>8.1810648863288496E-2</v>
      </c>
      <c r="F43" s="3">
        <v>1.1024486946092993</v>
      </c>
      <c r="G43" s="3">
        <v>0.72433259137755945</v>
      </c>
      <c r="H43" s="16"/>
      <c r="I43" s="16"/>
      <c r="J43" s="59"/>
      <c r="N43" s="49" t="s">
        <v>48</v>
      </c>
      <c r="O43" s="50">
        <f>MIN(F40:F57)</f>
        <v>0.46092471835262644</v>
      </c>
      <c r="P43" s="50">
        <f>MAX(F40:F57)</f>
        <v>1.3721387653016883</v>
      </c>
    </row>
    <row r="44" spans="1:16" x14ac:dyDescent="0.3">
      <c r="A44" s="57" t="s">
        <v>81</v>
      </c>
      <c r="B44" s="58">
        <v>44</v>
      </c>
      <c r="C44" s="58">
        <v>90</v>
      </c>
      <c r="D44" s="45">
        <f>729969228.959545/1000000</f>
        <v>729.96922895954503</v>
      </c>
      <c r="E44" s="45">
        <f>73752.9658345213/1000000</f>
        <v>7.3752965834521289E-2</v>
      </c>
      <c r="F44" s="3">
        <v>0.99457256043917053</v>
      </c>
      <c r="G44" s="3">
        <v>0.65475048649046508</v>
      </c>
      <c r="H44" s="16"/>
      <c r="I44" s="16"/>
      <c r="J44" s="59"/>
      <c r="N44" s="49" t="s">
        <v>60</v>
      </c>
      <c r="O44" s="50">
        <f>MIN(H49:H57)</f>
        <v>-0.38494145053061973</v>
      </c>
      <c r="P44" s="50">
        <f>MAX(H49:H57)</f>
        <v>-9.6990568007955968E-2</v>
      </c>
    </row>
    <row r="45" spans="1:16" x14ac:dyDescent="0.3">
      <c r="A45" s="57" t="s">
        <v>18</v>
      </c>
      <c r="B45" s="58">
        <v>54</v>
      </c>
      <c r="C45" s="58">
        <v>99</v>
      </c>
      <c r="D45" s="45">
        <f>1008758428.54644/1000000</f>
        <v>1008.75842854644</v>
      </c>
      <c r="E45" s="45">
        <f>101957.772860989/1000000</f>
        <v>0.101957772860989</v>
      </c>
      <c r="F45" s="3">
        <v>1.3721387653016883</v>
      </c>
      <c r="G45" s="3">
        <v>0.8983426727140521</v>
      </c>
      <c r="H45" s="16"/>
      <c r="I45" s="16"/>
      <c r="J45" s="59"/>
    </row>
    <row r="46" spans="1:16" x14ac:dyDescent="0.3">
      <c r="A46" s="57" t="s">
        <v>32</v>
      </c>
      <c r="B46" s="58">
        <v>54</v>
      </c>
      <c r="C46" s="58">
        <v>90</v>
      </c>
      <c r="D46" s="45">
        <f>911001175.142524/1000000</f>
        <v>911.00117514252395</v>
      </c>
      <c r="E46" s="45">
        <f>92066.9291203444/1000000</f>
        <v>9.2066929120344407E-2</v>
      </c>
      <c r="F46" s="3">
        <v>1.2397454797109102</v>
      </c>
      <c r="G46" s="3">
        <v>0.81291159230187271</v>
      </c>
      <c r="H46" s="16"/>
      <c r="I46" s="16"/>
      <c r="J46" s="59"/>
    </row>
    <row r="47" spans="1:16" x14ac:dyDescent="0.3">
      <c r="A47" s="57" t="s">
        <v>39</v>
      </c>
      <c r="B47" s="58">
        <v>34</v>
      </c>
      <c r="C47" s="58">
        <v>99</v>
      </c>
      <c r="D47" s="45">
        <f>610488226.503974/1000000</f>
        <v>610.48822650397392</v>
      </c>
      <c r="E47" s="45">
        <f>61668.586699718/1000000</f>
        <v>6.1668586699717996E-2</v>
      </c>
      <c r="F47" s="3">
        <v>0.83275851617256402</v>
      </c>
      <c r="G47" s="3">
        <v>0.55041607524052638</v>
      </c>
      <c r="H47" s="16"/>
      <c r="I47" s="16"/>
      <c r="J47" s="59"/>
    </row>
    <row r="48" spans="1:16" x14ac:dyDescent="0.3">
      <c r="A48" s="57" t="s">
        <v>41</v>
      </c>
      <c r="B48" s="58">
        <v>34</v>
      </c>
      <c r="C48" s="58">
        <v>90</v>
      </c>
      <c r="D48" s="45">
        <f>548937368.689012/1000000</f>
        <v>548.93736868901203</v>
      </c>
      <c r="E48" s="45">
        <f>55444.7461418632/1000000</f>
        <v>5.5444746141863198E-2</v>
      </c>
      <c r="F48" s="3">
        <v>0.74939974210629656</v>
      </c>
      <c r="G48" s="3">
        <v>0.49669430844256685</v>
      </c>
      <c r="H48" s="16"/>
      <c r="I48" s="16"/>
      <c r="J48" s="59"/>
    </row>
    <row r="49" spans="1:16" x14ac:dyDescent="0.3">
      <c r="A49" s="22" t="s">
        <v>82</v>
      </c>
      <c r="B49" s="28">
        <v>44</v>
      </c>
      <c r="C49" s="28">
        <v>75</v>
      </c>
      <c r="D49" s="47">
        <f>616737663.415865/1000000</f>
        <v>616.73766341586497</v>
      </c>
      <c r="E49" s="47">
        <f>62330.2208438072/1000000</f>
        <v>6.2330220843807196E-2</v>
      </c>
      <c r="F49" s="9">
        <v>0.8386937445178162</v>
      </c>
      <c r="G49" s="9">
        <v>0.54845930607295301</v>
      </c>
      <c r="H49" s="50">
        <f t="shared" ref="H49:H57" si="11">(F49-F40)/F40</f>
        <v>-0.20465556048571532</v>
      </c>
      <c r="I49" s="12">
        <f>(C49-C40)/C40</f>
        <v>-0.21052631578947367</v>
      </c>
      <c r="J49" s="47">
        <f>H49/I49</f>
        <v>0.97211391230714783</v>
      </c>
    </row>
    <row r="50" spans="1:16" x14ac:dyDescent="0.3">
      <c r="A50" s="22" t="s">
        <v>30</v>
      </c>
      <c r="B50" s="28">
        <v>54</v>
      </c>
      <c r="C50" s="28">
        <v>75</v>
      </c>
      <c r="D50" s="47">
        <f>772035102.522495/1000000</f>
        <v>772.03510252249498</v>
      </c>
      <c r="E50" s="47">
        <f>78055.1757984376/1000000</f>
        <v>7.8055175798437598E-2</v>
      </c>
      <c r="F50" s="9">
        <v>1.0484396277937154</v>
      </c>
      <c r="G50" s="9">
        <v>0.6825965150036768</v>
      </c>
      <c r="H50" s="50">
        <f t="shared" si="11"/>
        <v>-0.20167385136658575</v>
      </c>
      <c r="I50" s="12">
        <f t="shared" ref="I50:I57" si="12">(C50-C41)/C41</f>
        <v>-0.21052631578947367</v>
      </c>
      <c r="J50" s="47">
        <f t="shared" ref="J50:J57" si="13">H50/I50</f>
        <v>0.95795079399128236</v>
      </c>
    </row>
    <row r="51" spans="1:16" x14ac:dyDescent="0.3">
      <c r="A51" s="22" t="s">
        <v>40</v>
      </c>
      <c r="B51" s="28">
        <v>34</v>
      </c>
      <c r="C51" s="28">
        <v>75</v>
      </c>
      <c r="D51" s="47">
        <f>461440211.722661/1000000</f>
        <v>461.44021172266099</v>
      </c>
      <c r="E51" s="47">
        <f>46611.6997647958/1000000</f>
        <v>4.6611699764795796E-2</v>
      </c>
      <c r="F51" s="9">
        <v>0.62894791105924519</v>
      </c>
      <c r="G51" s="9">
        <v>0.41444302624487128</v>
      </c>
      <c r="H51" s="50">
        <f t="shared" si="11"/>
        <v>-0.20957657271530047</v>
      </c>
      <c r="I51" s="12">
        <f t="shared" si="12"/>
        <v>-0.21052631578947367</v>
      </c>
      <c r="J51" s="47">
        <f t="shared" si="13"/>
        <v>0.99548872039767733</v>
      </c>
    </row>
    <row r="52" spans="1:16" x14ac:dyDescent="0.3">
      <c r="A52" s="22" t="s">
        <v>34</v>
      </c>
      <c r="B52" s="28">
        <v>44</v>
      </c>
      <c r="C52" s="28">
        <v>89</v>
      </c>
      <c r="D52" s="47">
        <f>730147441.238332/1000000</f>
        <v>730.14744123833202</v>
      </c>
      <c r="E52" s="47">
        <f>73780.374708087/1000000</f>
        <v>7.3780374708086988E-2</v>
      </c>
      <c r="F52" s="9">
        <v>0.99400938032748054</v>
      </c>
      <c r="G52" s="9">
        <v>0.65254677008824158</v>
      </c>
      <c r="H52" s="50">
        <f t="shared" si="11"/>
        <v>-9.8362232013208498E-2</v>
      </c>
      <c r="I52" s="12">
        <f t="shared" si="12"/>
        <v>-0.10101010101010101</v>
      </c>
      <c r="J52" s="47">
        <f t="shared" si="13"/>
        <v>0.97378609693076412</v>
      </c>
    </row>
    <row r="53" spans="1:16" x14ac:dyDescent="0.3">
      <c r="A53" s="22" t="s">
        <v>38</v>
      </c>
      <c r="B53" s="28">
        <v>44</v>
      </c>
      <c r="C53" s="28">
        <v>60</v>
      </c>
      <c r="D53" s="47">
        <f>457964041.739167/1000000</f>
        <v>457.96404173916699</v>
      </c>
      <c r="E53" s="47">
        <f>46307.4479569237/1000000</f>
        <v>4.6307447956923702E-2</v>
      </c>
      <c r="F53" s="9">
        <v>0.62125197682803301</v>
      </c>
      <c r="G53" s="9">
        <v>0.40287288178336295</v>
      </c>
      <c r="H53" s="50">
        <f t="shared" si="11"/>
        <v>-0.37535781546827657</v>
      </c>
      <c r="I53" s="12">
        <f t="shared" si="12"/>
        <v>-0.33333333333333331</v>
      </c>
      <c r="J53" s="47">
        <f t="shared" si="13"/>
        <v>1.1260734464048299</v>
      </c>
    </row>
    <row r="54" spans="1:16" x14ac:dyDescent="0.3">
      <c r="A54" s="22" t="s">
        <v>18</v>
      </c>
      <c r="B54" s="28">
        <v>54</v>
      </c>
      <c r="C54" s="28">
        <v>89</v>
      </c>
      <c r="D54" s="47">
        <f>911219864.587505/1000000</f>
        <v>911.21986458750496</v>
      </c>
      <c r="E54" s="47">
        <f>92103.4297679041/1000000</f>
        <v>9.2103429767904102E-2</v>
      </c>
      <c r="F54" s="9">
        <v>1.2390542470693422</v>
      </c>
      <c r="G54" s="9">
        <v>0.81026044712185419</v>
      </c>
      <c r="H54" s="50">
        <f t="shared" si="11"/>
        <v>-9.6990568007955968E-2</v>
      </c>
      <c r="I54" s="12">
        <f t="shared" si="12"/>
        <v>-0.10101010101010101</v>
      </c>
      <c r="J54" s="47">
        <f t="shared" si="13"/>
        <v>0.96020662327876416</v>
      </c>
    </row>
    <row r="55" spans="1:16" x14ac:dyDescent="0.3">
      <c r="A55" s="22" t="s">
        <v>32</v>
      </c>
      <c r="B55" s="28">
        <v>54</v>
      </c>
      <c r="C55" s="28">
        <v>60</v>
      </c>
      <c r="D55" s="47">
        <f>577176642.20326/1000000</f>
        <v>577.17664220325992</v>
      </c>
      <c r="E55" s="47">
        <f>58399.9346128187/1000000</f>
        <v>5.8399934612818699E-2</v>
      </c>
      <c r="F55" s="9">
        <v>0.78157928545672972</v>
      </c>
      <c r="G55" s="9">
        <v>0.50409829822427543</v>
      </c>
      <c r="H55" s="50">
        <f t="shared" si="11"/>
        <v>-0.3695647225598418</v>
      </c>
      <c r="I55" s="12">
        <f t="shared" si="12"/>
        <v>-0.33333333333333331</v>
      </c>
      <c r="J55" s="47">
        <f t="shared" si="13"/>
        <v>1.1086941676795254</v>
      </c>
    </row>
    <row r="56" spans="1:16" x14ac:dyDescent="0.3">
      <c r="A56" s="22" t="s">
        <v>39</v>
      </c>
      <c r="B56" s="28">
        <v>34</v>
      </c>
      <c r="C56" s="28">
        <v>89</v>
      </c>
      <c r="D56" s="47">
        <f>549075052.913851/1000000</f>
        <v>549.07505291385098</v>
      </c>
      <c r="E56" s="47">
        <f>55462.9172579198/1000000</f>
        <v>5.5462917257919797E-2</v>
      </c>
      <c r="F56" s="9">
        <v>0.74896454418918879</v>
      </c>
      <c r="G56" s="9">
        <v>0.49493669202813828</v>
      </c>
      <c r="H56" s="50">
        <f t="shared" si="11"/>
        <v>-0.10062217360261912</v>
      </c>
      <c r="I56" s="12">
        <f t="shared" si="12"/>
        <v>-0.10101010101010101</v>
      </c>
      <c r="J56" s="47">
        <f t="shared" si="13"/>
        <v>0.99615951866592922</v>
      </c>
    </row>
    <row r="57" spans="1:16" s="52" customFormat="1" x14ac:dyDescent="0.3">
      <c r="A57" s="22" t="s">
        <v>41</v>
      </c>
      <c r="B57" s="28">
        <v>34</v>
      </c>
      <c r="C57" s="28">
        <v>60</v>
      </c>
      <c r="D57" s="47">
        <f>338751492.378969/1000000</f>
        <v>338.75149237896903</v>
      </c>
      <c r="E57" s="47">
        <f>34223.0589058026/1000000</f>
        <v>3.42230589058026E-2</v>
      </c>
      <c r="F57" s="9">
        <v>0.46092471835262644</v>
      </c>
      <c r="G57" s="9">
        <v>0.30180423861211342</v>
      </c>
      <c r="H57" s="50">
        <f t="shared" si="11"/>
        <v>-0.38494145053061973</v>
      </c>
      <c r="I57" s="12">
        <f t="shared" si="12"/>
        <v>-0.33333333333333331</v>
      </c>
      <c r="J57" s="47">
        <f t="shared" si="13"/>
        <v>1.1548243515918593</v>
      </c>
    </row>
    <row r="58" spans="1:16" s="52" customFormat="1" x14ac:dyDescent="0.3">
      <c r="A58" s="51" t="s">
        <v>71</v>
      </c>
      <c r="B58" s="15" t="s">
        <v>66</v>
      </c>
      <c r="C58" s="15" t="s">
        <v>83</v>
      </c>
      <c r="D58" s="52" t="s">
        <v>84</v>
      </c>
      <c r="F58" s="52" t="s">
        <v>85</v>
      </c>
      <c r="H58" s="52" t="s">
        <v>86</v>
      </c>
    </row>
    <row r="61" spans="1:16" x14ac:dyDescent="0.3">
      <c r="A61" s="60" t="s">
        <v>11</v>
      </c>
      <c r="B61" s="61" t="s">
        <v>55</v>
      </c>
      <c r="C61" s="61"/>
      <c r="D61" s="62" t="s">
        <v>56</v>
      </c>
      <c r="E61" s="62"/>
      <c r="F61" s="62"/>
      <c r="G61" s="62"/>
      <c r="H61" s="62" t="s">
        <v>57</v>
      </c>
      <c r="I61" s="62"/>
      <c r="J61" s="62"/>
      <c r="K61" s="62"/>
      <c r="L61" s="62"/>
    </row>
    <row r="62" spans="1:16" ht="30" customHeight="1" x14ac:dyDescent="0.3">
      <c r="A62" s="63" t="s">
        <v>15</v>
      </c>
      <c r="B62" s="60" t="s">
        <v>58</v>
      </c>
      <c r="C62" s="60" t="s">
        <v>59</v>
      </c>
      <c r="D62" s="63" t="s">
        <v>44</v>
      </c>
      <c r="E62" s="64" t="s">
        <v>45</v>
      </c>
      <c r="F62" s="63" t="s">
        <v>48</v>
      </c>
      <c r="G62" s="63" t="s">
        <v>45</v>
      </c>
      <c r="H62" s="63" t="s">
        <v>60</v>
      </c>
      <c r="I62" s="63" t="s">
        <v>61</v>
      </c>
      <c r="J62" s="60" t="s">
        <v>62</v>
      </c>
      <c r="K62" s="63" t="s">
        <v>63</v>
      </c>
      <c r="L62" s="60" t="s">
        <v>64</v>
      </c>
      <c r="N62" s="42"/>
      <c r="O62" s="42" t="s">
        <v>46</v>
      </c>
      <c r="P62" s="42" t="s">
        <v>47</v>
      </c>
    </row>
    <row r="63" spans="1:16" x14ac:dyDescent="0.3">
      <c r="A63" s="65" t="s">
        <v>50</v>
      </c>
      <c r="B63" s="66">
        <v>20</v>
      </c>
      <c r="C63" s="66">
        <v>95</v>
      </c>
      <c r="D63" s="67">
        <f>315607340.26617/1000000</f>
        <v>315.60734026617001</v>
      </c>
      <c r="E63" s="67">
        <f>31871.9068408324/1000000</f>
        <v>3.1871906840832395E-2</v>
      </c>
      <c r="F63" s="68">
        <v>0.43339917182190402</v>
      </c>
      <c r="G63" s="68">
        <v>0.29340647944222792</v>
      </c>
      <c r="H63" s="19"/>
      <c r="I63" s="19"/>
      <c r="J63" s="19"/>
      <c r="K63" s="19"/>
      <c r="L63" s="19"/>
      <c r="N63" s="42" t="s">
        <v>58</v>
      </c>
      <c r="O63" s="30">
        <f>MIN(B63:B71)</f>
        <v>14</v>
      </c>
      <c r="P63" s="30">
        <f>MAX(B63:B71)</f>
        <v>25</v>
      </c>
    </row>
    <row r="64" spans="1:16" x14ac:dyDescent="0.3">
      <c r="A64" s="22" t="s">
        <v>30</v>
      </c>
      <c r="B64" s="28">
        <v>25</v>
      </c>
      <c r="C64" s="44">
        <v>95</v>
      </c>
      <c r="D64" s="47">
        <f>411151965.408973/1000000</f>
        <v>411.15196540897296</v>
      </c>
      <c r="E64" s="47">
        <f>41518.6719789615/1000000</f>
        <v>4.1518671978961502E-2</v>
      </c>
      <c r="F64" s="9">
        <v>0.56279596635702533</v>
      </c>
      <c r="G64" s="9">
        <v>0.37654785847072342</v>
      </c>
      <c r="H64" s="50">
        <f t="shared" ref="H64:H71" si="14">(F64-$F$63)/$F$63</f>
        <v>0.29856262528414362</v>
      </c>
      <c r="I64" s="7">
        <f t="shared" ref="I64:I71" si="15">(B64-$B$63)/$B$63</f>
        <v>0.25</v>
      </c>
      <c r="J64" s="13">
        <f>H64/I64</f>
        <v>1.1942505011365745</v>
      </c>
      <c r="K64" s="10">
        <f t="shared" ref="K64:K71" si="16">(C64-$C$63)/$C$63</f>
        <v>0</v>
      </c>
      <c r="L64" s="21"/>
      <c r="N64" s="42" t="s">
        <v>59</v>
      </c>
      <c r="O64" s="30">
        <f>MIN(C63:C71)</f>
        <v>90</v>
      </c>
      <c r="P64" s="30">
        <f>MAX(C63:C71)</f>
        <v>99</v>
      </c>
    </row>
    <row r="65" spans="1:16" x14ac:dyDescent="0.3">
      <c r="A65" s="22" t="s">
        <v>40</v>
      </c>
      <c r="B65" s="28">
        <v>14</v>
      </c>
      <c r="C65" s="44">
        <v>95</v>
      </c>
      <c r="D65" s="47">
        <f>200953795.804082/1000000</f>
        <v>200.95379580408201</v>
      </c>
      <c r="E65" s="47">
        <f>20325.3163917525/1000000</f>
        <v>2.0325316391752501E-2</v>
      </c>
      <c r="F65" s="9">
        <v>0.27812302924046134</v>
      </c>
      <c r="G65" s="9">
        <v>0.19411291960266366</v>
      </c>
      <c r="H65" s="50">
        <f t="shared" si="14"/>
        <v>-0.3582751252816192</v>
      </c>
      <c r="I65" s="7">
        <f t="shared" si="15"/>
        <v>-0.3</v>
      </c>
      <c r="J65" s="13">
        <f>H65/I65</f>
        <v>1.1942504176053974</v>
      </c>
      <c r="K65" s="10">
        <f t="shared" si="16"/>
        <v>0</v>
      </c>
      <c r="L65" s="20"/>
      <c r="N65" s="49" t="s">
        <v>44</v>
      </c>
      <c r="O65" s="47">
        <f>MIN(D63:D71)</f>
        <v>186.87352598732201</v>
      </c>
      <c r="P65" s="47">
        <f>MAX(D63:D71)</f>
        <v>431.26662493585599</v>
      </c>
    </row>
    <row r="66" spans="1:16" x14ac:dyDescent="0.3">
      <c r="A66" s="22" t="s">
        <v>34</v>
      </c>
      <c r="B66" s="44">
        <v>20</v>
      </c>
      <c r="C66" s="28">
        <v>99</v>
      </c>
      <c r="D66" s="47">
        <f>331699076.939664/1000000</f>
        <v>331.699076939664</v>
      </c>
      <c r="E66" s="47">
        <f>33495.6764650944/1000000</f>
        <v>3.3495676465094402E-2</v>
      </c>
      <c r="F66" s="9">
        <v>0.4551923209510218</v>
      </c>
      <c r="G66" s="9">
        <v>0.30739331280353549</v>
      </c>
      <c r="H66" s="50">
        <f t="shared" si="14"/>
        <v>5.0284242670572535E-2</v>
      </c>
      <c r="I66" s="20">
        <f t="shared" si="15"/>
        <v>0</v>
      </c>
      <c r="J66" s="20"/>
      <c r="K66" s="7">
        <f t="shared" si="16"/>
        <v>4.2105263157894736E-2</v>
      </c>
      <c r="L66" s="13">
        <f t="shared" ref="L66:L71" si="17">H66/K66</f>
        <v>1.1942507634260977</v>
      </c>
      <c r="N66" s="49" t="s">
        <v>48</v>
      </c>
      <c r="O66" s="50">
        <f>MIN(F63:F71)</f>
        <v>0.25905402088276674</v>
      </c>
      <c r="P66" s="50">
        <f>MAX(F63:F71)</f>
        <v>0.59003738826638441</v>
      </c>
    </row>
    <row r="67" spans="1:16" x14ac:dyDescent="0.3">
      <c r="A67" s="22" t="s">
        <v>38</v>
      </c>
      <c r="B67" s="44">
        <v>20</v>
      </c>
      <c r="C67" s="28">
        <v>90</v>
      </c>
      <c r="D67" s="47">
        <f>295492665.140402/1000000</f>
        <v>295.49266514040204</v>
      </c>
      <c r="E67" s="47">
        <f>29842.9462713862/1000000</f>
        <v>2.98429462713862E-2</v>
      </c>
      <c r="F67" s="9">
        <v>0.40615772980897719</v>
      </c>
      <c r="G67" s="9">
        <v>0.27593533775612594</v>
      </c>
      <c r="H67" s="50">
        <f t="shared" si="14"/>
        <v>-6.2855316262858729E-2</v>
      </c>
      <c r="I67" s="10">
        <f t="shared" si="15"/>
        <v>0</v>
      </c>
      <c r="J67" s="20"/>
      <c r="K67" s="7">
        <f t="shared" si="16"/>
        <v>-5.2631578947368418E-2</v>
      </c>
      <c r="L67" s="13">
        <f t="shared" si="17"/>
        <v>1.1942510089943159</v>
      </c>
      <c r="N67" s="49" t="s">
        <v>60</v>
      </c>
      <c r="O67" s="50">
        <f>MIN(H63:H71)</f>
        <v>-0.40227384423978696</v>
      </c>
      <c r="P67" s="50">
        <f>MAX(H63:H71)</f>
        <v>0.36141789516120132</v>
      </c>
    </row>
    <row r="68" spans="1:16" x14ac:dyDescent="0.3">
      <c r="A68" s="22" t="s">
        <v>18</v>
      </c>
      <c r="B68" s="28">
        <v>25</v>
      </c>
      <c r="C68" s="28">
        <v>99</v>
      </c>
      <c r="D68" s="47">
        <f>431266624.935856/1000000</f>
        <v>431.26662493585599</v>
      </c>
      <c r="E68" s="47">
        <f>43550.8963302859/1000000</f>
        <v>4.3550896330285895E-2</v>
      </c>
      <c r="F68" s="9">
        <v>0.59003738826638441</v>
      </c>
      <c r="G68" s="9">
        <v>0.39407389960694156</v>
      </c>
      <c r="H68" s="50">
        <f t="shared" si="14"/>
        <v>0.36141789516120132</v>
      </c>
      <c r="I68" s="7">
        <f t="shared" si="15"/>
        <v>0.25</v>
      </c>
      <c r="J68" s="13">
        <f>H68/I68</f>
        <v>1.4456715806448053</v>
      </c>
      <c r="K68" s="7">
        <f t="shared" si="16"/>
        <v>4.2105263157894736E-2</v>
      </c>
      <c r="L68" s="13">
        <f t="shared" si="17"/>
        <v>8.5836750100785313</v>
      </c>
    </row>
    <row r="69" spans="1:16" x14ac:dyDescent="0.3">
      <c r="A69" s="22" t="s">
        <v>32</v>
      </c>
      <c r="B69" s="28">
        <v>25</v>
      </c>
      <c r="C69" s="28">
        <v>90</v>
      </c>
      <c r="D69" s="47">
        <f>386008646.157326/1000000</f>
        <v>386.00864615732598</v>
      </c>
      <c r="E69" s="47">
        <f>38978.920003522/1000000</f>
        <v>3.8978920003521995E-2</v>
      </c>
      <c r="F69" s="9">
        <v>0.52874417589678091</v>
      </c>
      <c r="G69" s="9">
        <v>0.35464942171851488</v>
      </c>
      <c r="H69" s="50">
        <f t="shared" si="14"/>
        <v>0.21999350777268409</v>
      </c>
      <c r="I69" s="13">
        <f t="shared" si="15"/>
        <v>0.25</v>
      </c>
      <c r="J69" s="13">
        <f>H69/I69</f>
        <v>0.87997403109073635</v>
      </c>
      <c r="K69" s="7">
        <f t="shared" si="16"/>
        <v>-5.2631578947368418E-2</v>
      </c>
      <c r="L69" s="13">
        <f t="shared" si="17"/>
        <v>-4.1798766476809979</v>
      </c>
    </row>
    <row r="70" spans="1:16" x14ac:dyDescent="0.3">
      <c r="A70" s="22" t="s">
        <v>39</v>
      </c>
      <c r="B70" s="28">
        <v>14</v>
      </c>
      <c r="C70" s="28">
        <v>99</v>
      </c>
      <c r="D70" s="47">
        <f>212217997.232225/1000000</f>
        <v>212.217997232225</v>
      </c>
      <c r="E70" s="47">
        <f>21456.9572797073/1000000</f>
        <v>2.1456957279707301E-2</v>
      </c>
      <c r="F70" s="9">
        <v>0.29337822644522465</v>
      </c>
      <c r="G70" s="9">
        <v>0.20382560088603593</v>
      </c>
      <c r="H70" s="50">
        <f t="shared" si="14"/>
        <v>-0.32307617199189742</v>
      </c>
      <c r="I70" s="7">
        <f t="shared" si="15"/>
        <v>-0.3</v>
      </c>
      <c r="J70" s="13">
        <f>H70/I70</f>
        <v>1.0769205733063247</v>
      </c>
      <c r="K70" s="7">
        <f t="shared" si="16"/>
        <v>4.2105263157894736E-2</v>
      </c>
      <c r="L70" s="13">
        <f t="shared" si="17"/>
        <v>-7.6730590848075639</v>
      </c>
    </row>
    <row r="71" spans="1:16" x14ac:dyDescent="0.3">
      <c r="A71" s="22" t="s">
        <v>41</v>
      </c>
      <c r="B71" s="28">
        <v>14</v>
      </c>
      <c r="C71" s="28">
        <v>90</v>
      </c>
      <c r="D71" s="47">
        <f>186873525.987322/1000000</f>
        <v>186.87352598732201</v>
      </c>
      <c r="E71" s="47">
        <f>18912.1872150078/1000000</f>
        <v>1.89121872150078E-2</v>
      </c>
      <c r="F71" s="9">
        <v>0.25905402088276674</v>
      </c>
      <c r="G71" s="9">
        <v>0.1819930243650271</v>
      </c>
      <c r="H71" s="50">
        <f t="shared" si="14"/>
        <v>-0.40227384423978696</v>
      </c>
      <c r="I71" s="7">
        <f t="shared" si="15"/>
        <v>-0.3</v>
      </c>
      <c r="J71" s="13">
        <f>H71/I71</f>
        <v>1.3409128141326232</v>
      </c>
      <c r="K71" s="7">
        <f t="shared" si="16"/>
        <v>-5.2631578947368418E-2</v>
      </c>
      <c r="L71" s="13">
        <f t="shared" si="17"/>
        <v>7.643203040555953</v>
      </c>
    </row>
    <row r="72" spans="1:16" x14ac:dyDescent="0.3">
      <c r="A72" s="51" t="s">
        <v>71</v>
      </c>
      <c r="B72" s="15" t="s">
        <v>87</v>
      </c>
      <c r="C72" s="15" t="s">
        <v>67</v>
      </c>
      <c r="D72" s="52" t="s">
        <v>615</v>
      </c>
      <c r="E72" s="52"/>
      <c r="F72" s="52" t="s">
        <v>616</v>
      </c>
      <c r="G72" s="52"/>
      <c r="H72" s="52" t="s">
        <v>88</v>
      </c>
      <c r="I72" s="52"/>
      <c r="J72" s="52"/>
      <c r="K72" s="52"/>
      <c r="L72" s="52"/>
    </row>
    <row r="75" spans="1:16" x14ac:dyDescent="0.3">
      <c r="A75" s="22" t="s">
        <v>89</v>
      </c>
      <c r="B75" s="69" t="s">
        <v>55</v>
      </c>
      <c r="C75" s="69"/>
      <c r="D75" s="70" t="s">
        <v>56</v>
      </c>
      <c r="E75" s="70"/>
      <c r="F75" s="70"/>
      <c r="G75" s="70"/>
      <c r="H75" s="70" t="s">
        <v>57</v>
      </c>
      <c r="I75" s="70"/>
      <c r="J75" s="70"/>
      <c r="K75" s="70"/>
      <c r="L75" s="70"/>
    </row>
    <row r="76" spans="1:16" ht="28.2" customHeight="1" x14ac:dyDescent="0.3">
      <c r="A76" s="71" t="s">
        <v>15</v>
      </c>
      <c r="B76" s="72" t="s">
        <v>58</v>
      </c>
      <c r="C76" s="72" t="s">
        <v>59</v>
      </c>
      <c r="D76" s="71" t="s">
        <v>44</v>
      </c>
      <c r="E76" s="73" t="s">
        <v>45</v>
      </c>
      <c r="F76" s="71" t="s">
        <v>48</v>
      </c>
      <c r="G76" s="71" t="s">
        <v>45</v>
      </c>
      <c r="H76" s="71" t="s">
        <v>60</v>
      </c>
      <c r="I76" s="71" t="s">
        <v>61</v>
      </c>
      <c r="J76" s="72" t="s">
        <v>62</v>
      </c>
      <c r="K76" s="71" t="s">
        <v>63</v>
      </c>
      <c r="L76" s="72" t="s">
        <v>64</v>
      </c>
      <c r="N76" s="42"/>
      <c r="O76" s="6" t="s">
        <v>46</v>
      </c>
      <c r="P76" s="6" t="s">
        <v>47</v>
      </c>
    </row>
    <row r="77" spans="1:16" x14ac:dyDescent="0.3">
      <c r="A77" s="43" t="s">
        <v>50</v>
      </c>
      <c r="B77" s="44">
        <v>31</v>
      </c>
      <c r="C77" s="44">
        <v>83</v>
      </c>
      <c r="D77" s="45">
        <f>8852782.92857051/1000000</f>
        <v>8.8527829285705106</v>
      </c>
      <c r="E77" s="74">
        <f>1062.88393801496/1000000</f>
        <v>1.0628839380149599E-3</v>
      </c>
      <c r="F77" s="3">
        <v>1.1238548951099346E-2</v>
      </c>
      <c r="G77" s="3">
        <v>8.3167561036588105E-3</v>
      </c>
      <c r="H77" s="46"/>
      <c r="I77" s="46"/>
      <c r="J77" s="46"/>
      <c r="K77" s="46"/>
      <c r="L77" s="46"/>
      <c r="N77" s="42" t="s">
        <v>58</v>
      </c>
      <c r="O77" s="30">
        <f>MIN(B77:B85)</f>
        <v>12</v>
      </c>
      <c r="P77" s="30">
        <f>MAX(B77:B85)</f>
        <v>45</v>
      </c>
    </row>
    <row r="78" spans="1:16" x14ac:dyDescent="0.3">
      <c r="A78" s="22" t="s">
        <v>30</v>
      </c>
      <c r="B78" s="28">
        <v>45</v>
      </c>
      <c r="C78" s="44">
        <v>83</v>
      </c>
      <c r="D78" s="47">
        <f>42915215.6656521/1000000</f>
        <v>42.915215665652106</v>
      </c>
      <c r="E78" s="75">
        <f>4756.76282555754/1000000</f>
        <v>4.7567628255575402E-3</v>
      </c>
      <c r="F78" s="9">
        <v>5.4334407279895837E-2</v>
      </c>
      <c r="G78" s="9">
        <v>3.5078918044304346E-2</v>
      </c>
      <c r="H78" s="50">
        <f t="shared" ref="H78:H85" si="18">(F78-$F$77)/$F$77</f>
        <v>3.8346461377098766</v>
      </c>
      <c r="I78" s="12">
        <f t="shared" ref="I78:I84" si="19">(B78-$B$77)/$B$77</f>
        <v>0.45161290322580644</v>
      </c>
      <c r="J78" s="47">
        <f>H78/I78</f>
        <v>8.4910021620718705</v>
      </c>
      <c r="K78" s="11">
        <f t="shared" ref="K78:K84" si="20">(C78-$C$77)/$C$77</f>
        <v>0</v>
      </c>
      <c r="L78" s="76"/>
      <c r="N78" s="42" t="s">
        <v>59</v>
      </c>
      <c r="O78" s="30">
        <f>MIN(C77:C85)</f>
        <v>80</v>
      </c>
      <c r="P78" s="30">
        <f>MAX(C77:C85)</f>
        <v>96</v>
      </c>
    </row>
    <row r="79" spans="1:16" x14ac:dyDescent="0.3">
      <c r="A79" s="22" t="s">
        <v>40</v>
      </c>
      <c r="B79" s="28">
        <v>12</v>
      </c>
      <c r="C79" s="44">
        <v>83</v>
      </c>
      <c r="D79" s="47">
        <f>-37374784.478587/1000000</f>
        <v>-37.374784478587003</v>
      </c>
      <c r="E79" s="75">
        <f>4146.47471355377/1000000</f>
        <v>4.1464747135537697E-3</v>
      </c>
      <c r="F79" s="9">
        <v>-4.7248676323407401E-2</v>
      </c>
      <c r="G79" s="9">
        <v>3.058611713463304E-2</v>
      </c>
      <c r="H79" s="50">
        <f t="shared" si="18"/>
        <v>-5.2041616341214203</v>
      </c>
      <c r="I79" s="12">
        <f t="shared" si="19"/>
        <v>-0.61290322580645162</v>
      </c>
      <c r="J79" s="47">
        <f>H79/I79</f>
        <v>8.4910005609349479</v>
      </c>
      <c r="K79" s="11">
        <f t="shared" si="20"/>
        <v>0</v>
      </c>
      <c r="L79" s="46"/>
      <c r="N79" s="49" t="s">
        <v>44</v>
      </c>
      <c r="O79" s="47">
        <f>MIN(D77:D85)</f>
        <v>-38.430081608775694</v>
      </c>
      <c r="P79" s="47">
        <f>MAX(D77:D85)</f>
        <v>60.063690184588701</v>
      </c>
    </row>
    <row r="80" spans="1:16" x14ac:dyDescent="0.3">
      <c r="A80" s="22" t="s">
        <v>34</v>
      </c>
      <c r="B80" s="44">
        <v>31</v>
      </c>
      <c r="C80" s="28">
        <v>96</v>
      </c>
      <c r="D80" s="47">
        <f>20666176.5173434/1000000</f>
        <v>20.666176517343398</v>
      </c>
      <c r="E80" s="75">
        <f>2319.85494723691/1000000</f>
        <v>2.3198549472369101E-3</v>
      </c>
      <c r="F80" s="9">
        <v>2.6184875911739736E-2</v>
      </c>
      <c r="G80" s="9">
        <v>1.7291162477200479E-2</v>
      </c>
      <c r="H80" s="50">
        <f t="shared" si="18"/>
        <v>1.3299160795289637</v>
      </c>
      <c r="I80" s="11">
        <f t="shared" si="19"/>
        <v>0</v>
      </c>
      <c r="J80" s="45"/>
      <c r="K80" s="12">
        <f t="shared" si="20"/>
        <v>0.15662650602409639</v>
      </c>
      <c r="L80" s="47">
        <f t="shared" ref="L80:L85" si="21">H80/K80</f>
        <v>8.4910026616079985</v>
      </c>
      <c r="N80" s="49" t="s">
        <v>48</v>
      </c>
      <c r="O80" s="50">
        <f>MIN(F77:F85)</f>
        <v>-4.8583836184784214E-2</v>
      </c>
      <c r="P80" s="50">
        <f>MAX(F77:F85)</f>
        <v>7.6030695646021162E-2</v>
      </c>
    </row>
    <row r="81" spans="1:16" x14ac:dyDescent="0.3">
      <c r="A81" s="22" t="s">
        <v>38</v>
      </c>
      <c r="B81" s="44">
        <v>31</v>
      </c>
      <c r="C81" s="28">
        <v>80</v>
      </c>
      <c r="D81" s="47">
        <f>6126620.85095969/1000000</f>
        <v>6.1266208509596902</v>
      </c>
      <c r="E81" s="75">
        <f>794.733710769898/1000000</f>
        <v>7.9473371076989807E-4</v>
      </c>
      <c r="F81" s="9">
        <v>7.7894023122006889E-3</v>
      </c>
      <c r="G81" s="9">
        <v>6.4975353004695429E-3</v>
      </c>
      <c r="H81" s="50">
        <f t="shared" si="18"/>
        <v>-0.30690320021796624</v>
      </c>
      <c r="I81" s="11">
        <f t="shared" si="19"/>
        <v>0</v>
      </c>
      <c r="J81" s="45"/>
      <c r="K81" s="12">
        <f t="shared" si="20"/>
        <v>-3.614457831325301E-2</v>
      </c>
      <c r="L81" s="47">
        <f t="shared" si="21"/>
        <v>8.4909885393637339</v>
      </c>
      <c r="N81" s="49" t="s">
        <v>60</v>
      </c>
      <c r="O81" s="50">
        <f>MIN(H77:H85)</f>
        <v>-5.32296343559831</v>
      </c>
      <c r="P81" s="50">
        <f>MAX(H77:H85)</f>
        <v>5.7651701279980534</v>
      </c>
    </row>
    <row r="82" spans="1:16" x14ac:dyDescent="0.3">
      <c r="A82" s="22" t="s">
        <v>18</v>
      </c>
      <c r="B82" s="28">
        <v>45</v>
      </c>
      <c r="C82" s="28">
        <v>96</v>
      </c>
      <c r="D82" s="47">
        <f>60063690.1845887/1000000</f>
        <v>60.063690184588701</v>
      </c>
      <c r="E82" s="47">
        <f>6644.76709951363/1000000</f>
        <v>6.6447670995136293E-3</v>
      </c>
      <c r="F82" s="9">
        <v>7.6030695646021162E-2</v>
      </c>
      <c r="G82" s="9">
        <v>4.8919458871284224E-2</v>
      </c>
      <c r="H82" s="50">
        <f t="shared" si="18"/>
        <v>5.7651701279980534</v>
      </c>
      <c r="I82" s="12">
        <f>(B82-$B$77)/$B$77</f>
        <v>0.45161290322580644</v>
      </c>
      <c r="J82" s="47">
        <f>H82/I82</f>
        <v>12.765733854852833</v>
      </c>
      <c r="K82" s="12">
        <f t="shared" si="20"/>
        <v>0.15662650602409639</v>
      </c>
      <c r="L82" s="47">
        <f t="shared" si="21"/>
        <v>36.808393894141417</v>
      </c>
    </row>
    <row r="83" spans="1:16" x14ac:dyDescent="0.3">
      <c r="A83" s="22" t="s">
        <v>32</v>
      </c>
      <c r="B83" s="28">
        <v>45</v>
      </c>
      <c r="C83" s="28">
        <v>80</v>
      </c>
      <c r="D83" s="47">
        <f>38957885.0545304/1000000</f>
        <v>38.957885054530394</v>
      </c>
      <c r="E83" s="75">
        <f>4321.71712277007/1000000</f>
        <v>4.3217171227700702E-3</v>
      </c>
      <c r="F83" s="9">
        <v>4.9327579034187295E-2</v>
      </c>
      <c r="G83" s="9">
        <v>3.1893668689369721E-2</v>
      </c>
      <c r="H83" s="50">
        <f t="shared" si="18"/>
        <v>3.3891412716018032</v>
      </c>
      <c r="I83" s="12">
        <f t="shared" si="19"/>
        <v>0.45161290322580644</v>
      </c>
      <c r="J83" s="47">
        <f>H83/I83</f>
        <v>7.5045271014039932</v>
      </c>
      <c r="K83" s="12">
        <f t="shared" si="20"/>
        <v>-3.614457831325301E-2</v>
      </c>
      <c r="L83" s="47">
        <f t="shared" si="21"/>
        <v>-93.766241847649894</v>
      </c>
    </row>
    <row r="84" spans="1:16" x14ac:dyDescent="0.3">
      <c r="A84" s="22" t="s">
        <v>39</v>
      </c>
      <c r="B84" s="28">
        <v>12</v>
      </c>
      <c r="C84" s="28">
        <v>96</v>
      </c>
      <c r="D84" s="47">
        <f>-32801866.0720601/1000000</f>
        <v>-32.801866072060101</v>
      </c>
      <c r="E84" s="75">
        <f>3644.52315559965/1000000</f>
        <v>3.6445231555996501E-3</v>
      </c>
      <c r="F84" s="9">
        <v>-4.1463003907032815E-2</v>
      </c>
      <c r="G84" s="9">
        <v>2.6915792470360765E-2</v>
      </c>
      <c r="H84" s="50">
        <f t="shared" si="18"/>
        <v>-4.689355635451224</v>
      </c>
      <c r="I84" s="12">
        <f t="shared" si="19"/>
        <v>-0.61290322580645162</v>
      </c>
      <c r="J84" s="47">
        <f>H84/I84</f>
        <v>7.6510539315256816</v>
      </c>
      <c r="K84" s="12">
        <f t="shared" si="20"/>
        <v>0.15662650602409639</v>
      </c>
      <c r="L84" s="47">
        <f t="shared" si="21"/>
        <v>-29.939732134034738</v>
      </c>
    </row>
    <row r="85" spans="1:16" x14ac:dyDescent="0.3">
      <c r="A85" s="22" t="s">
        <v>41</v>
      </c>
      <c r="B85" s="28">
        <v>12</v>
      </c>
      <c r="C85" s="28">
        <v>80</v>
      </c>
      <c r="D85" s="47">
        <f>-38430081.6087757/1000000</f>
        <v>-38.430081608775694</v>
      </c>
      <c r="E85" s="75">
        <f>4262.40716476197/1000000</f>
        <v>4.2624071647619707E-3</v>
      </c>
      <c r="F85" s="9">
        <v>-4.8583836184784214E-2</v>
      </c>
      <c r="G85" s="9">
        <v>3.1434428023528853E-2</v>
      </c>
      <c r="H85" s="50">
        <f t="shared" si="18"/>
        <v>-5.32296343559831</v>
      </c>
      <c r="I85" s="12">
        <f t="shared" ref="I85" si="22">(B85-$B$77)/$B$77</f>
        <v>-0.61290322580645162</v>
      </c>
      <c r="J85" s="47">
        <f>H85/I85</f>
        <v>8.6848350791340838</v>
      </c>
      <c r="K85" s="12">
        <f t="shared" ref="K85" si="23">(C85-$C$77)/$C$77</f>
        <v>-3.614457831325301E-2</v>
      </c>
      <c r="L85" s="47">
        <f t="shared" si="21"/>
        <v>147.26865505155325</v>
      </c>
    </row>
    <row r="86" spans="1:16" s="52" customFormat="1" x14ac:dyDescent="0.3">
      <c r="A86" s="51" t="s">
        <v>71</v>
      </c>
      <c r="B86" s="15" t="s">
        <v>90</v>
      </c>
      <c r="C86" s="15" t="s">
        <v>91</v>
      </c>
      <c r="D86" s="52" t="s">
        <v>92</v>
      </c>
      <c r="F86" s="52" t="s">
        <v>93</v>
      </c>
      <c r="H86" s="52" t="s">
        <v>94</v>
      </c>
    </row>
    <row r="89" spans="1:16" x14ac:dyDescent="0.3">
      <c r="A89" s="77" t="s">
        <v>13</v>
      </c>
      <c r="B89" s="78" t="s">
        <v>55</v>
      </c>
      <c r="C89" s="78"/>
      <c r="D89" s="79" t="s">
        <v>56</v>
      </c>
      <c r="E89" s="79"/>
      <c r="F89" s="79"/>
      <c r="G89" s="79"/>
      <c r="H89" s="79" t="s">
        <v>57</v>
      </c>
      <c r="I89" s="79"/>
      <c r="J89" s="79"/>
      <c r="K89" s="79"/>
      <c r="L89" s="79"/>
    </row>
    <row r="90" spans="1:16" ht="27.6" customHeight="1" x14ac:dyDescent="0.3">
      <c r="A90" s="80" t="s">
        <v>15</v>
      </c>
      <c r="B90" s="77" t="s">
        <v>58</v>
      </c>
      <c r="C90" s="77" t="s">
        <v>59</v>
      </c>
      <c r="D90" s="80" t="s">
        <v>44</v>
      </c>
      <c r="E90" s="81" t="s">
        <v>45</v>
      </c>
      <c r="F90" s="80" t="s">
        <v>48</v>
      </c>
      <c r="G90" s="80" t="s">
        <v>45</v>
      </c>
      <c r="H90" s="80" t="s">
        <v>60</v>
      </c>
      <c r="I90" s="80" t="s">
        <v>61</v>
      </c>
      <c r="J90" s="77" t="s">
        <v>62</v>
      </c>
      <c r="K90" s="80" t="s">
        <v>63</v>
      </c>
      <c r="L90" s="77" t="s">
        <v>64</v>
      </c>
      <c r="N90" s="42"/>
      <c r="O90" s="42" t="s">
        <v>46</v>
      </c>
      <c r="P90" s="42" t="s">
        <v>47</v>
      </c>
    </row>
    <row r="91" spans="1:16" x14ac:dyDescent="0.3">
      <c r="A91" s="43" t="s">
        <v>50</v>
      </c>
      <c r="B91" s="44">
        <v>33</v>
      </c>
      <c r="C91" s="44">
        <v>68</v>
      </c>
      <c r="D91" s="45">
        <f>-791395.957657327/1000000</f>
        <v>-0.79139595765732695</v>
      </c>
      <c r="E91" s="74">
        <f>425.12947924664/1000000</f>
        <v>4.2512947924664004E-4</v>
      </c>
      <c r="F91" s="3">
        <v>-9.6328742833196479E-4</v>
      </c>
      <c r="G91" s="3">
        <v>4.210974845928723E-3</v>
      </c>
      <c r="H91" s="46"/>
      <c r="I91" s="46"/>
      <c r="J91" s="46"/>
      <c r="K91" s="46"/>
      <c r="L91" s="46"/>
      <c r="N91" s="42" t="s">
        <v>58</v>
      </c>
      <c r="O91" s="30">
        <f>MIN(B91:B99)</f>
        <v>30</v>
      </c>
      <c r="P91" s="30">
        <f>MAX(B91:B99)</f>
        <v>40</v>
      </c>
    </row>
    <row r="92" spans="1:16" x14ac:dyDescent="0.3">
      <c r="A92" s="22" t="s">
        <v>30</v>
      </c>
      <c r="B92" s="28">
        <v>40</v>
      </c>
      <c r="C92" s="44">
        <v>68</v>
      </c>
      <c r="D92" s="47">
        <f>13161898.1676579/1000000</f>
        <v>13.161898167657901</v>
      </c>
      <c r="E92" s="75">
        <f>1512.14264391406/1000000</f>
        <v>1.51214264391406E-3</v>
      </c>
      <c r="F92" s="9">
        <v>1.6690444424030441E-2</v>
      </c>
      <c r="G92" s="9">
        <v>1.1476822260800327E-2</v>
      </c>
      <c r="H92" s="50">
        <f t="shared" ref="H92:H98" si="24">(F92-$F$91)/$F$91</f>
        <v>-18.326546504330206</v>
      </c>
      <c r="I92" s="9">
        <f t="shared" ref="I92:I98" si="25">(B92-$B$91)/$B$91</f>
        <v>0.21212121212121213</v>
      </c>
      <c r="J92" s="47">
        <f>H92/I92</f>
        <v>-86.396576377556684</v>
      </c>
      <c r="K92" s="3">
        <f t="shared" ref="K92:K98" si="26">(C92-$C$91)/$C$91</f>
        <v>0</v>
      </c>
      <c r="L92" s="46"/>
      <c r="N92" s="42" t="s">
        <v>59</v>
      </c>
      <c r="O92" s="30">
        <f>MIN(C91:C99)</f>
        <v>58</v>
      </c>
      <c r="P92" s="30">
        <f>MAX(C91:C99)</f>
        <v>77</v>
      </c>
    </row>
    <row r="93" spans="1:16" x14ac:dyDescent="0.3">
      <c r="A93" s="22" t="s">
        <v>40</v>
      </c>
      <c r="B93" s="28">
        <v>30</v>
      </c>
      <c r="C93" s="44">
        <v>68</v>
      </c>
      <c r="D93" s="47">
        <f>-6771364.12879664/1000000</f>
        <v>-6.7713641287966402</v>
      </c>
      <c r="E93" s="75">
        <f>855.031110172999/1000000</f>
        <v>8.55031110172999E-4</v>
      </c>
      <c r="F93" s="9">
        <v>-8.5291644693300563E-3</v>
      </c>
      <c r="G93" s="9">
        <v>6.8791724739268693E-3</v>
      </c>
      <c r="H93" s="50">
        <f t="shared" si="24"/>
        <v>7.8542258711911321</v>
      </c>
      <c r="I93" s="9">
        <f t="shared" si="25"/>
        <v>-9.0909090909090912E-2</v>
      </c>
      <c r="J93" s="47">
        <f>H93/I93</f>
        <v>-86.396484583102449</v>
      </c>
      <c r="K93" s="3">
        <f t="shared" si="26"/>
        <v>0</v>
      </c>
      <c r="L93" s="46"/>
      <c r="N93" s="49" t="s">
        <v>44</v>
      </c>
      <c r="O93" s="47">
        <f>MIN(D91:D99)</f>
        <v>-15.565458900110199</v>
      </c>
      <c r="P93" s="47">
        <f>MAX(D91:D99)</f>
        <v>23.714792571610499</v>
      </c>
    </row>
    <row r="94" spans="1:16" x14ac:dyDescent="0.3">
      <c r="A94" s="22" t="s">
        <v>34</v>
      </c>
      <c r="B94" s="44">
        <v>33</v>
      </c>
      <c r="C94" s="28">
        <v>77</v>
      </c>
      <c r="D94" s="47">
        <f>7914750.50889401/1000000</f>
        <v>7.9147505088940102</v>
      </c>
      <c r="E94" s="75">
        <f>968.444004138181/1000000</f>
        <v>9.6844400413818095E-4</v>
      </c>
      <c r="F94" s="9">
        <v>1.0051746592348034E-2</v>
      </c>
      <c r="G94" s="9">
        <v>7.6675508601786102E-3</v>
      </c>
      <c r="H94" s="50">
        <f t="shared" si="24"/>
        <v>-11.434836266630935</v>
      </c>
      <c r="I94" s="3">
        <f t="shared" si="25"/>
        <v>0</v>
      </c>
      <c r="J94" s="45"/>
      <c r="K94" s="9">
        <f t="shared" si="26"/>
        <v>0.13235294117647059</v>
      </c>
      <c r="L94" s="47">
        <f t="shared" ref="L94:L99" si="27">H94/K94</f>
        <v>-86.396540681211505</v>
      </c>
      <c r="N94" s="49" t="s">
        <v>48</v>
      </c>
      <c r="O94" s="50">
        <f>MIN(F91:F99)</f>
        <v>-1.9655467054149039E-2</v>
      </c>
      <c r="P94" s="50">
        <f>MAX(F91:F99)</f>
        <v>3.0041991086815385E-2</v>
      </c>
    </row>
    <row r="95" spans="1:16" x14ac:dyDescent="0.3">
      <c r="A95" s="22" t="s">
        <v>38</v>
      </c>
      <c r="B95" s="44">
        <v>33</v>
      </c>
      <c r="C95" s="28">
        <v>58</v>
      </c>
      <c r="D95" s="47">
        <f>-10464889.8368537/1000000</f>
        <v>-10.4648898368537</v>
      </c>
      <c r="E95" s="47">
        <f>73237.7701062938/1000000</f>
        <v>7.3237770106293801E-2</v>
      </c>
      <c r="F95" s="9">
        <v>-1.3202214789641141E-2</v>
      </c>
      <c r="G95" s="9">
        <v>9.4121188816679059E-3</v>
      </c>
      <c r="H95" s="50">
        <f t="shared" si="24"/>
        <v>12.705374326852979</v>
      </c>
      <c r="I95" s="3">
        <f t="shared" si="25"/>
        <v>0</v>
      </c>
      <c r="J95" s="45"/>
      <c r="K95" s="9">
        <f t="shared" si="26"/>
        <v>-0.14705882352941177</v>
      </c>
      <c r="L95" s="47">
        <f t="shared" si="27"/>
        <v>-86.396545422600255</v>
      </c>
      <c r="N95" s="49" t="s">
        <v>60</v>
      </c>
      <c r="O95" s="50">
        <f>MIN(H91:H99)</f>
        <v>-32.186944003656627</v>
      </c>
      <c r="P95" s="50">
        <f>MAX(H91:H99)</f>
        <v>19.404571341893856</v>
      </c>
    </row>
    <row r="96" spans="1:16" x14ac:dyDescent="0.3">
      <c r="A96" s="22" t="s">
        <v>18</v>
      </c>
      <c r="B96" s="28">
        <v>40</v>
      </c>
      <c r="C96" s="28">
        <v>77</v>
      </c>
      <c r="D96" s="47">
        <f>23714792.5716105/1000000</f>
        <v>23.714792571610499</v>
      </c>
      <c r="E96" s="75">
        <f>2651.65050870006/1000000</f>
        <v>2.6516505087000601E-3</v>
      </c>
      <c r="F96" s="9">
        <v>3.0041991086815385E-2</v>
      </c>
      <c r="G96" s="9">
        <v>1.9700438764039888E-2</v>
      </c>
      <c r="H96" s="50">
        <f t="shared" si="24"/>
        <v>-32.186944003656627</v>
      </c>
      <c r="I96" s="9">
        <f t="shared" si="25"/>
        <v>0.21212121212121213</v>
      </c>
      <c r="J96" s="47">
        <f>H96/I96</f>
        <v>-151.73845030295266</v>
      </c>
      <c r="K96" s="9">
        <f t="shared" si="26"/>
        <v>0.13235294117647059</v>
      </c>
      <c r="L96" s="47">
        <f t="shared" si="27"/>
        <v>-243.19024358318342</v>
      </c>
    </row>
    <row r="97" spans="1:16" x14ac:dyDescent="0.3">
      <c r="A97" s="22" t="s">
        <v>32</v>
      </c>
      <c r="B97" s="28">
        <v>40</v>
      </c>
      <c r="C97" s="28">
        <v>58</v>
      </c>
      <c r="D97" s="47">
        <f>1436442.69154884/1000000</f>
        <v>1.43644269154884</v>
      </c>
      <c r="E97" s="75">
        <f>445.616877206601/1000000</f>
        <v>4.45616877206601E-4</v>
      </c>
      <c r="F97" s="9">
        <v>1.8553707318651146E-3</v>
      </c>
      <c r="G97" s="9">
        <v>4.329140432464333E-3</v>
      </c>
      <c r="H97" s="50">
        <f t="shared" si="24"/>
        <v>-2.9260821612484733</v>
      </c>
      <c r="I97" s="9">
        <f t="shared" si="25"/>
        <v>0.21212121212121213</v>
      </c>
      <c r="J97" s="47">
        <f>H97/I97</f>
        <v>-13.794387331599944</v>
      </c>
      <c r="K97" s="9">
        <f t="shared" si="26"/>
        <v>-0.14705882352941177</v>
      </c>
      <c r="L97" s="47">
        <f t="shared" si="27"/>
        <v>19.897358696489619</v>
      </c>
    </row>
    <row r="98" spans="1:16" x14ac:dyDescent="0.3">
      <c r="A98" s="22" t="s">
        <v>39</v>
      </c>
      <c r="B98" s="28">
        <v>30</v>
      </c>
      <c r="C98" s="28">
        <v>77</v>
      </c>
      <c r="D98" s="47">
        <f>1143307.62425524/1000000</f>
        <v>1.14330762425524</v>
      </c>
      <c r="E98" s="75">
        <f>435.103294280654/1000000</f>
        <v>4.3510329428065399E-4</v>
      </c>
      <c r="F98" s="9">
        <v>1.4844960857833469E-3</v>
      </c>
      <c r="G98" s="9">
        <v>4.2702972633050463E-3</v>
      </c>
      <c r="H98" s="50">
        <f t="shared" si="24"/>
        <v>-2.541072832595678</v>
      </c>
      <c r="I98" s="9">
        <f t="shared" si="25"/>
        <v>-9.0909090909090912E-2</v>
      </c>
      <c r="J98" s="47">
        <f>H98/I98</f>
        <v>27.951801158552456</v>
      </c>
      <c r="K98" s="9">
        <f t="shared" si="26"/>
        <v>0.13235294117647059</v>
      </c>
      <c r="L98" s="47">
        <f t="shared" si="27"/>
        <v>-19.199216957389567</v>
      </c>
    </row>
    <row r="99" spans="1:16" x14ac:dyDescent="0.3">
      <c r="A99" s="22" t="s">
        <v>41</v>
      </c>
      <c r="B99" s="28">
        <v>30</v>
      </c>
      <c r="C99" s="28">
        <v>58</v>
      </c>
      <c r="D99" s="47">
        <f>-15565458.9001102/1000000</f>
        <v>-15.565458900110199</v>
      </c>
      <c r="E99" s="75">
        <f>1767.47406280225/1000000</f>
        <v>1.7674740628022499E-3</v>
      </c>
      <c r="F99" s="9">
        <v>-1.9655467054149039E-2</v>
      </c>
      <c r="G99" s="9">
        <v>1.327920791018259E-2</v>
      </c>
      <c r="H99" s="50">
        <f t="shared" ref="H99" si="28">(F99-$F$91)/$F$91</f>
        <v>19.404571341893856</v>
      </c>
      <c r="I99" s="9">
        <f t="shared" ref="I99" si="29">(B99-$B$91)/$B$91</f>
        <v>-9.0909090909090912E-2</v>
      </c>
      <c r="J99" s="47">
        <f t="shared" ref="J99" si="30">H99/I99</f>
        <v>-213.4502847608324</v>
      </c>
      <c r="K99" s="9">
        <f t="shared" ref="K99" si="31">(C99-$C$91)/$C$91</f>
        <v>-0.14705882352941177</v>
      </c>
      <c r="L99" s="47">
        <f t="shared" si="27"/>
        <v>-131.9510851248782</v>
      </c>
    </row>
    <row r="100" spans="1:16" s="52" customFormat="1" x14ac:dyDescent="0.3">
      <c r="A100" s="51" t="s">
        <v>71</v>
      </c>
      <c r="B100" s="15" t="s">
        <v>95</v>
      </c>
      <c r="C100" s="15" t="s">
        <v>96</v>
      </c>
      <c r="D100" s="52" t="s">
        <v>97</v>
      </c>
      <c r="F100" s="52" t="s">
        <v>98</v>
      </c>
      <c r="H100" s="52" t="s">
        <v>99</v>
      </c>
    </row>
    <row r="101" spans="1:16" s="52" customFormat="1" x14ac:dyDescent="0.3">
      <c r="A101" s="51"/>
      <c r="B101" s="15"/>
      <c r="C101" s="15"/>
    </row>
    <row r="103" spans="1:16" x14ac:dyDescent="0.3">
      <c r="A103" s="82" t="s">
        <v>14</v>
      </c>
      <c r="B103" s="83" t="s">
        <v>55</v>
      </c>
      <c r="C103" s="83"/>
      <c r="D103" s="84" t="s">
        <v>56</v>
      </c>
      <c r="E103" s="84"/>
      <c r="F103" s="84"/>
      <c r="G103" s="84"/>
      <c r="H103" s="84" t="s">
        <v>57</v>
      </c>
      <c r="I103" s="84"/>
      <c r="J103" s="84"/>
      <c r="K103" s="84"/>
      <c r="L103" s="84"/>
    </row>
    <row r="104" spans="1:16" ht="29.4" customHeight="1" x14ac:dyDescent="0.3">
      <c r="A104" s="85" t="s">
        <v>15</v>
      </c>
      <c r="B104" s="82" t="s">
        <v>58</v>
      </c>
      <c r="C104" s="82" t="s">
        <v>59</v>
      </c>
      <c r="D104" s="85" t="s">
        <v>44</v>
      </c>
      <c r="E104" s="86" t="s">
        <v>45</v>
      </c>
      <c r="F104" s="85" t="s">
        <v>48</v>
      </c>
      <c r="G104" s="85" t="s">
        <v>45</v>
      </c>
      <c r="H104" s="85" t="s">
        <v>60</v>
      </c>
      <c r="I104" s="85" t="s">
        <v>61</v>
      </c>
      <c r="J104" s="82" t="s">
        <v>62</v>
      </c>
      <c r="K104" s="85" t="s">
        <v>63</v>
      </c>
      <c r="L104" s="82" t="s">
        <v>64</v>
      </c>
      <c r="N104" s="42"/>
      <c r="O104" s="42" t="s">
        <v>46</v>
      </c>
      <c r="P104" s="42" t="s">
        <v>47</v>
      </c>
    </row>
    <row r="105" spans="1:16" x14ac:dyDescent="0.3">
      <c r="A105" s="43" t="s">
        <v>50</v>
      </c>
      <c r="B105" s="44">
        <v>24</v>
      </c>
      <c r="C105" s="44">
        <v>45</v>
      </c>
      <c r="D105" s="45">
        <f>-34912451.6573259/1000000</f>
        <v>-34.912451657325903</v>
      </c>
      <c r="E105" s="74">
        <f>3876.10159876409/1000000</f>
        <v>3.8761015987640898E-3</v>
      </c>
      <c r="F105" s="3">
        <v>-4.4133317305476746E-2</v>
      </c>
      <c r="G105" s="3">
        <v>2.8608535413298754E-2</v>
      </c>
      <c r="H105" s="46"/>
      <c r="I105" s="46"/>
      <c r="J105" s="46"/>
      <c r="K105" s="46"/>
      <c r="L105" s="46"/>
      <c r="N105" s="42" t="s">
        <v>58</v>
      </c>
      <c r="O105" s="30">
        <f>MIN(B105:B113)</f>
        <v>18</v>
      </c>
      <c r="P105" s="30">
        <f>MAX(B105:B113)</f>
        <v>30</v>
      </c>
    </row>
    <row r="106" spans="1:16" x14ac:dyDescent="0.3">
      <c r="A106" s="22" t="s">
        <v>30</v>
      </c>
      <c r="B106" s="28">
        <v>30</v>
      </c>
      <c r="C106" s="44">
        <v>45</v>
      </c>
      <c r="D106" s="47">
        <f>-26997767.0533197/1000000</f>
        <v>-26.997767053319699</v>
      </c>
      <c r="E106" s="75">
        <f>3008.83068506743/1000000</f>
        <v>3.00883068506743E-3</v>
      </c>
      <c r="F106" s="9">
        <v>-3.4119649023597466E-2</v>
      </c>
      <c r="G106" s="9">
        <v>2.2276057991025139E-2</v>
      </c>
      <c r="H106" s="50">
        <f t="shared" ref="H106:H112" si="32">(F106-$F$105)/$F$105</f>
        <v>-0.22689588939276562</v>
      </c>
      <c r="I106" s="7">
        <f t="shared" ref="I106:I112" si="33">(B106-$B$105)/$B$105</f>
        <v>0.25</v>
      </c>
      <c r="J106" s="47">
        <f>H106/I106</f>
        <v>-0.90758355757106246</v>
      </c>
      <c r="K106" s="10">
        <f t="shared" ref="K106:K112" si="34">(C106-$C$105)/$C$105</f>
        <v>0</v>
      </c>
      <c r="L106" s="46"/>
      <c r="N106" s="42" t="s">
        <v>59</v>
      </c>
      <c r="O106" s="30">
        <f>MIN(C105:C113)</f>
        <v>28</v>
      </c>
      <c r="P106" s="30">
        <f>MAX(C105:C113)</f>
        <v>60</v>
      </c>
    </row>
    <row r="107" spans="1:16" x14ac:dyDescent="0.3">
      <c r="A107" s="22" t="s">
        <v>40</v>
      </c>
      <c r="B107" s="28">
        <v>18</v>
      </c>
      <c r="C107" s="44">
        <v>45</v>
      </c>
      <c r="D107" s="47">
        <f>-42827123.6286253/1000000</f>
        <v>-42.827123628625301</v>
      </c>
      <c r="E107" s="75">
        <f>4745.76049193734/1000000</f>
        <v>4.7457604919373397E-3</v>
      </c>
      <c r="F107" s="9">
        <v>-5.4146983244469059E-2</v>
      </c>
      <c r="G107" s="9">
        <v>3.4973110672799061E-2</v>
      </c>
      <c r="H107" s="50">
        <f t="shared" si="32"/>
        <v>0.22689583630618362</v>
      </c>
      <c r="I107" s="7">
        <f t="shared" si="33"/>
        <v>-0.25</v>
      </c>
      <c r="J107" s="47">
        <f>H107/I107</f>
        <v>-0.90758334522473449</v>
      </c>
      <c r="K107" s="10">
        <f t="shared" si="34"/>
        <v>0</v>
      </c>
      <c r="L107" s="46"/>
      <c r="N107" s="49" t="s">
        <v>44</v>
      </c>
      <c r="O107" s="47">
        <f>MIN(D105:D113)</f>
        <v>-51.797096888145497</v>
      </c>
      <c r="P107" s="47">
        <f>MAX(D105:D113)</f>
        <v>-13.806639329048101</v>
      </c>
    </row>
    <row r="108" spans="1:16" x14ac:dyDescent="0.3">
      <c r="A108" s="22" t="s">
        <v>34</v>
      </c>
      <c r="B108" s="44">
        <v>24</v>
      </c>
      <c r="C108" s="28">
        <v>60</v>
      </c>
      <c r="D108" s="47">
        <f>-24359542.0974656/1000000</f>
        <v>-24.359542097465599</v>
      </c>
      <c r="E108" s="75">
        <f>2720.667547356/1000000</f>
        <v>2.7206675473559999E-3</v>
      </c>
      <c r="F108" s="9">
        <v>-3.0781757969158541E-2</v>
      </c>
      <c r="G108" s="9">
        <v>2.0177595366165972E-2</v>
      </c>
      <c r="H108" s="50">
        <f t="shared" si="32"/>
        <v>-0.30252788939256414</v>
      </c>
      <c r="I108" s="10">
        <f t="shared" si="33"/>
        <v>0</v>
      </c>
      <c r="J108" s="45"/>
      <c r="K108" s="7">
        <f t="shared" si="34"/>
        <v>0.33333333333333331</v>
      </c>
      <c r="L108" s="47">
        <f t="shared" ref="L108:L113" si="35">H108/K108</f>
        <v>-0.90758366817769243</v>
      </c>
      <c r="N108" s="49" t="s">
        <v>48</v>
      </c>
      <c r="O108" s="50">
        <f>MIN(F105:F113)</f>
        <v>-6.5495809331144531E-2</v>
      </c>
      <c r="P108" s="50">
        <f>MAX(F105:F113)</f>
        <v>-1.7430203482596055E-2</v>
      </c>
    </row>
    <row r="109" spans="1:16" x14ac:dyDescent="0.3">
      <c r="A109" s="22" t="s">
        <v>38</v>
      </c>
      <c r="B109" s="44">
        <v>24</v>
      </c>
      <c r="C109" s="28">
        <v>28</v>
      </c>
      <c r="D109" s="47">
        <f>-46872403.7554907/1000000</f>
        <v>-46.872403755490701</v>
      </c>
      <c r="E109" s="47">
        <f>5190.78852019417/1000000</f>
        <v>5.1907885201941699E-3</v>
      </c>
      <c r="F109" s="9">
        <v>-5.9265076773555338E-2</v>
      </c>
      <c r="G109" s="9">
        <v>3.8233337976583154E-2</v>
      </c>
      <c r="H109" s="50">
        <f t="shared" si="32"/>
        <v>0.34286476503321467</v>
      </c>
      <c r="I109" s="10">
        <f t="shared" si="33"/>
        <v>0</v>
      </c>
      <c r="J109" s="45"/>
      <c r="K109" s="7">
        <f t="shared" si="34"/>
        <v>-0.37777777777777777</v>
      </c>
      <c r="L109" s="47">
        <f t="shared" si="35"/>
        <v>-0.90758320155850947</v>
      </c>
      <c r="N109" s="49" t="s">
        <v>60</v>
      </c>
      <c r="O109" s="50">
        <f>MIN(H105:H113)</f>
        <v>-0.60505566889636353</v>
      </c>
      <c r="P109" s="50">
        <f>MAX(H105:H113)</f>
        <v>0.48404455703620525</v>
      </c>
    </row>
    <row r="110" spans="1:16" x14ac:dyDescent="0.3">
      <c r="A110" s="22" t="s">
        <v>18</v>
      </c>
      <c r="B110" s="28">
        <v>30</v>
      </c>
      <c r="C110" s="28">
        <v>60</v>
      </c>
      <c r="D110" s="47">
        <f>-13806639.3290481/1000000</f>
        <v>-13.806639329048101</v>
      </c>
      <c r="E110" s="75">
        <f>1579.42187836934/1000000</f>
        <v>1.5794218783693401E-3</v>
      </c>
      <c r="F110" s="9">
        <v>-1.7430203482596055E-2</v>
      </c>
      <c r="G110" s="9">
        <v>1.1932801285797726E-2</v>
      </c>
      <c r="H110" s="50">
        <f t="shared" si="32"/>
        <v>-0.60505566889636353</v>
      </c>
      <c r="I110" s="7">
        <f t="shared" si="33"/>
        <v>0.25</v>
      </c>
      <c r="J110" s="47">
        <f>H110/I110</f>
        <v>-2.4202226755854541</v>
      </c>
      <c r="K110" s="7">
        <f t="shared" si="34"/>
        <v>0.33333333333333331</v>
      </c>
      <c r="L110" s="47">
        <f t="shared" si="35"/>
        <v>-1.8151670066890906</v>
      </c>
    </row>
    <row r="111" spans="1:16" x14ac:dyDescent="0.3">
      <c r="A111" s="22" t="s">
        <v>32</v>
      </c>
      <c r="B111" s="28">
        <v>30</v>
      </c>
      <c r="C111" s="28">
        <v>28</v>
      </c>
      <c r="D111" s="47">
        <f>-41947720.3429008/1000000</f>
        <v>-41.947720342900794</v>
      </c>
      <c r="E111" s="75">
        <f>4649.05537247718/1000000</f>
        <v>4.6490553724771802E-3</v>
      </c>
      <c r="F111" s="9">
        <v>-5.3034356592642294E-2</v>
      </c>
      <c r="G111" s="9">
        <v>3.4264902665450105E-2</v>
      </c>
      <c r="H111" s="50">
        <f t="shared" si="32"/>
        <v>0.20168525346860725</v>
      </c>
      <c r="I111" s="7">
        <f t="shared" si="33"/>
        <v>0.25</v>
      </c>
      <c r="J111" s="47">
        <f>H111/I111</f>
        <v>0.80674101387442898</v>
      </c>
      <c r="K111" s="7">
        <f t="shared" si="34"/>
        <v>-0.37777777777777777</v>
      </c>
      <c r="L111" s="47">
        <f t="shared" si="35"/>
        <v>-0.53387272976984268</v>
      </c>
    </row>
    <row r="112" spans="1:16" x14ac:dyDescent="0.3">
      <c r="A112" s="22" t="s">
        <v>39</v>
      </c>
      <c r="B112" s="28">
        <v>18</v>
      </c>
      <c r="C112" s="28">
        <v>60</v>
      </c>
      <c r="D112" s="47">
        <f>-34912451.6573259/1000000</f>
        <v>-34.912451657325903</v>
      </c>
      <c r="E112" s="75">
        <f>3876.10159876409/1000000</f>
        <v>3.8761015987640898E-3</v>
      </c>
      <c r="F112" s="9">
        <v>-4.4133317305476746E-2</v>
      </c>
      <c r="G112" s="9">
        <v>2.8608535413298754E-2</v>
      </c>
      <c r="H112" s="50">
        <f t="shared" si="32"/>
        <v>0</v>
      </c>
      <c r="I112" s="7">
        <f t="shared" si="33"/>
        <v>-0.25</v>
      </c>
      <c r="J112" s="47">
        <f>H112/I112</f>
        <v>0</v>
      </c>
      <c r="K112" s="7">
        <f t="shared" si="34"/>
        <v>0.33333333333333331</v>
      </c>
      <c r="L112" s="47">
        <f t="shared" si="35"/>
        <v>0</v>
      </c>
    </row>
    <row r="113" spans="1:12" x14ac:dyDescent="0.3">
      <c r="A113" s="22" t="s">
        <v>41</v>
      </c>
      <c r="B113" s="28">
        <v>18</v>
      </c>
      <c r="C113" s="28">
        <v>28</v>
      </c>
      <c r="D113" s="47">
        <f>-51797096.8881455/1000000</f>
        <v>-51.797096888145497</v>
      </c>
      <c r="E113" s="47">
        <f>5732.8920505304/1000000</f>
        <v>5.7328920505304E-3</v>
      </c>
      <c r="F113" s="9">
        <v>-6.5495809331144531E-2</v>
      </c>
      <c r="G113" s="9">
        <v>4.2206770877000956E-2</v>
      </c>
      <c r="H113" s="50">
        <f t="shared" ref="H113" si="36">(F113-$F$105)/$F$105</f>
        <v>0.48404455703620525</v>
      </c>
      <c r="I113" s="7">
        <f t="shared" ref="I113" si="37">(B113-$B$105)/$B$105</f>
        <v>-0.25</v>
      </c>
      <c r="J113" s="47">
        <f t="shared" ref="J113" si="38">H113/I113</f>
        <v>-1.936178228144821</v>
      </c>
      <c r="K113" s="7">
        <f t="shared" ref="K113" si="39">(C113-$C$105)/$C$105</f>
        <v>-0.37777777777777777</v>
      </c>
      <c r="L113" s="47">
        <f t="shared" si="35"/>
        <v>-1.2812944156840727</v>
      </c>
    </row>
    <row r="114" spans="1:12" s="52" customFormat="1" x14ac:dyDescent="0.3">
      <c r="A114" s="51" t="s">
        <v>71</v>
      </c>
      <c r="B114" s="18" t="s">
        <v>100</v>
      </c>
      <c r="C114" s="18" t="s">
        <v>101</v>
      </c>
      <c r="D114" s="52" t="s">
        <v>102</v>
      </c>
      <c r="F114" s="52" t="s">
        <v>103</v>
      </c>
      <c r="H114" s="52" t="s">
        <v>104</v>
      </c>
    </row>
    <row r="119" spans="1:12" x14ac:dyDescent="0.3">
      <c r="B119" s="5"/>
      <c r="C119" s="5"/>
      <c r="D119" s="5"/>
      <c r="E119" s="5"/>
      <c r="F119" s="5"/>
      <c r="G119" s="5"/>
    </row>
    <row r="120" spans="1:12" x14ac:dyDescent="0.3">
      <c r="B120" s="50"/>
      <c r="C120" s="50"/>
      <c r="D120" s="50"/>
      <c r="E120" s="50"/>
      <c r="F120" s="50"/>
      <c r="G120" s="50"/>
    </row>
    <row r="124" spans="1:12" x14ac:dyDescent="0.3">
      <c r="A124" s="23"/>
      <c r="B124" s="5"/>
      <c r="C124" s="5"/>
      <c r="D124" s="5"/>
    </row>
    <row r="125" spans="1:12" x14ac:dyDescent="0.3">
      <c r="C125" s="17"/>
      <c r="D125" s="17"/>
    </row>
    <row r="126" spans="1:12" x14ac:dyDescent="0.3">
      <c r="C126" s="17"/>
      <c r="D126" s="17"/>
    </row>
    <row r="127" spans="1:12" x14ac:dyDescent="0.3">
      <c r="B127" s="52"/>
      <c r="C127" s="17"/>
      <c r="D127" s="17"/>
    </row>
    <row r="128" spans="1:12" x14ac:dyDescent="0.3">
      <c r="C128" s="17"/>
      <c r="D128" s="17"/>
    </row>
    <row r="129" spans="2:4" x14ac:dyDescent="0.3">
      <c r="C129" s="17"/>
      <c r="D129" s="17"/>
    </row>
    <row r="130" spans="2:4" x14ac:dyDescent="0.3">
      <c r="C130" s="17"/>
      <c r="D130" s="17"/>
    </row>
    <row r="131" spans="2:4" x14ac:dyDescent="0.3">
      <c r="C131" s="17"/>
      <c r="D131" s="17"/>
    </row>
    <row r="132" spans="2:4" x14ac:dyDescent="0.3">
      <c r="C132" s="17"/>
      <c r="D132" s="17"/>
    </row>
    <row r="133" spans="2:4" x14ac:dyDescent="0.3">
      <c r="B133" s="52"/>
      <c r="C133" s="17"/>
      <c r="D133" s="17"/>
    </row>
    <row r="134" spans="2:4" x14ac:dyDescent="0.3">
      <c r="C134" s="17"/>
      <c r="D134" s="17"/>
    </row>
    <row r="135" spans="2:4" x14ac:dyDescent="0.3">
      <c r="C135" s="17"/>
      <c r="D135" s="17"/>
    </row>
    <row r="136" spans="2:4" x14ac:dyDescent="0.3">
      <c r="C136" s="17"/>
      <c r="D136" s="17"/>
    </row>
    <row r="137" spans="2:4" x14ac:dyDescent="0.3">
      <c r="C137" s="17"/>
      <c r="D137" s="17"/>
    </row>
    <row r="138" spans="2:4" x14ac:dyDescent="0.3">
      <c r="C138" s="17"/>
      <c r="D138" s="17"/>
    </row>
    <row r="139" spans="2:4" x14ac:dyDescent="0.3">
      <c r="B139" s="52"/>
      <c r="C139" s="17"/>
      <c r="D139" s="17"/>
    </row>
    <row r="140" spans="2:4" x14ac:dyDescent="0.3">
      <c r="C140" s="17"/>
      <c r="D140" s="17"/>
    </row>
    <row r="141" spans="2:4" x14ac:dyDescent="0.3">
      <c r="C141" s="17"/>
      <c r="D141" s="17"/>
    </row>
    <row r="142" spans="2:4" x14ac:dyDescent="0.3">
      <c r="C142" s="17"/>
      <c r="D142" s="17"/>
    </row>
    <row r="143" spans="2:4" x14ac:dyDescent="0.3">
      <c r="C143" s="17"/>
      <c r="D143" s="17"/>
    </row>
    <row r="144" spans="2:4" x14ac:dyDescent="0.3">
      <c r="C144" s="17"/>
      <c r="D144" s="17"/>
    </row>
    <row r="145" spans="1:4" x14ac:dyDescent="0.3">
      <c r="B145" s="52"/>
      <c r="C145" s="17"/>
      <c r="D145" s="17"/>
    </row>
    <row r="146" spans="1:4" x14ac:dyDescent="0.3">
      <c r="C146" s="17"/>
      <c r="D146" s="17"/>
    </row>
    <row r="147" spans="1:4" x14ac:dyDescent="0.3">
      <c r="C147" s="17"/>
      <c r="D147" s="17"/>
    </row>
    <row r="148" spans="1:4" x14ac:dyDescent="0.3">
      <c r="C148" s="17"/>
      <c r="D148" s="17"/>
    </row>
    <row r="149" spans="1:4" x14ac:dyDescent="0.3">
      <c r="C149" s="17"/>
      <c r="D149" s="17"/>
    </row>
    <row r="150" spans="1:4" x14ac:dyDescent="0.3">
      <c r="C150" s="17"/>
      <c r="D150" s="17"/>
    </row>
    <row r="151" spans="1:4" x14ac:dyDescent="0.3">
      <c r="B151" s="52"/>
      <c r="C151" s="17"/>
      <c r="D151" s="17"/>
    </row>
    <row r="152" spans="1:4" x14ac:dyDescent="0.3">
      <c r="C152" s="17"/>
      <c r="D152" s="17"/>
    </row>
    <row r="153" spans="1:4" x14ac:dyDescent="0.3">
      <c r="C153" s="17"/>
      <c r="D153" s="17"/>
    </row>
    <row r="154" spans="1:4" x14ac:dyDescent="0.3">
      <c r="C154" s="17"/>
      <c r="D154" s="17"/>
    </row>
    <row r="155" spans="1:4" x14ac:dyDescent="0.3">
      <c r="A155" s="53"/>
      <c r="C155" s="17"/>
      <c r="D155" s="17"/>
    </row>
    <row r="156" spans="1:4" x14ac:dyDescent="0.3">
      <c r="A156" s="53"/>
      <c r="C156" s="17"/>
      <c r="D156" s="17"/>
    </row>
    <row r="157" spans="1:4" x14ac:dyDescent="0.3">
      <c r="A157" s="53"/>
      <c r="B157" s="52"/>
      <c r="C157" s="17"/>
      <c r="D157" s="17"/>
    </row>
    <row r="158" spans="1:4" x14ac:dyDescent="0.3">
      <c r="A158" s="53"/>
      <c r="C158" s="17"/>
      <c r="D158" s="17"/>
    </row>
    <row r="159" spans="1:4" x14ac:dyDescent="0.3">
      <c r="A159" s="53"/>
      <c r="C159" s="17"/>
      <c r="D159" s="17"/>
    </row>
    <row r="160" spans="1:4" x14ac:dyDescent="0.3">
      <c r="A160" s="53"/>
      <c r="C160" s="17"/>
      <c r="D160" s="17"/>
    </row>
    <row r="161" spans="2:4" x14ac:dyDescent="0.3">
      <c r="C161" s="17"/>
      <c r="D161" s="17"/>
    </row>
    <row r="162" spans="2:4" x14ac:dyDescent="0.3">
      <c r="C162" s="17"/>
      <c r="D162" s="17"/>
    </row>
    <row r="163" spans="2:4" x14ac:dyDescent="0.3">
      <c r="B163" s="52"/>
      <c r="C163" s="17"/>
      <c r="D163" s="17"/>
    </row>
    <row r="164" spans="2:4" x14ac:dyDescent="0.3">
      <c r="C164" s="17"/>
      <c r="D164" s="17"/>
    </row>
    <row r="165" spans="2:4" x14ac:dyDescent="0.3">
      <c r="C165" s="17"/>
      <c r="D165" s="17"/>
    </row>
    <row r="166" spans="2:4" x14ac:dyDescent="0.3">
      <c r="C166" s="17"/>
      <c r="D166" s="17"/>
    </row>
    <row r="167" spans="2:4" x14ac:dyDescent="0.3">
      <c r="C167" s="17"/>
      <c r="D167" s="17"/>
    </row>
    <row r="168" spans="2:4" x14ac:dyDescent="0.3">
      <c r="C168" s="17"/>
      <c r="D168" s="17"/>
    </row>
    <row r="169" spans="2:4" x14ac:dyDescent="0.3">
      <c r="B169" s="52"/>
      <c r="C169" s="17"/>
      <c r="D169" s="17"/>
    </row>
    <row r="170" spans="2:4" x14ac:dyDescent="0.3">
      <c r="C170" s="17"/>
      <c r="D170" s="17"/>
    </row>
    <row r="171" spans="2:4" x14ac:dyDescent="0.3">
      <c r="C171" s="17"/>
      <c r="D171" s="17"/>
    </row>
    <row r="172" spans="2:4" x14ac:dyDescent="0.3">
      <c r="C172" s="17"/>
      <c r="D172" s="17"/>
    </row>
    <row r="173" spans="2:4" x14ac:dyDescent="0.3">
      <c r="C173" s="17"/>
      <c r="D173" s="17"/>
    </row>
    <row r="174" spans="2:4" x14ac:dyDescent="0.3">
      <c r="C174" s="17"/>
      <c r="D174" s="17"/>
    </row>
    <row r="175" spans="2:4" x14ac:dyDescent="0.3">
      <c r="B175" s="52"/>
      <c r="C175" s="17"/>
      <c r="D175" s="17"/>
    </row>
    <row r="176" spans="2:4" x14ac:dyDescent="0.3">
      <c r="C176" s="17"/>
      <c r="D176" s="17"/>
    </row>
    <row r="177" spans="3:4" x14ac:dyDescent="0.3">
      <c r="C177" s="17"/>
      <c r="D177" s="17"/>
    </row>
    <row r="178" spans="3:4" x14ac:dyDescent="0.3">
      <c r="C178" s="17"/>
      <c r="D178" s="17"/>
    </row>
  </sheetData>
  <mergeCells count="21">
    <mergeCell ref="H89:L89"/>
    <mergeCell ref="H103:L103"/>
    <mergeCell ref="H9:L9"/>
    <mergeCell ref="H23:L23"/>
    <mergeCell ref="H38:J38"/>
    <mergeCell ref="H61:L61"/>
    <mergeCell ref="H75:L75"/>
    <mergeCell ref="D9:G9"/>
    <mergeCell ref="D38:G38"/>
    <mergeCell ref="D89:G89"/>
    <mergeCell ref="D103:G103"/>
    <mergeCell ref="D75:G75"/>
    <mergeCell ref="D23:G23"/>
    <mergeCell ref="D61:G61"/>
    <mergeCell ref="B61:C61"/>
    <mergeCell ref="B75:C75"/>
    <mergeCell ref="B89:C89"/>
    <mergeCell ref="B103:C103"/>
    <mergeCell ref="B9:C9"/>
    <mergeCell ref="B23:C23"/>
    <mergeCell ref="B38:C38"/>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5970E-4368-482A-B74E-B85FDF90A129}">
  <sheetPr>
    <tabColor theme="4" tint="0.59999389629810485"/>
  </sheetPr>
  <dimension ref="A1:AH59"/>
  <sheetViews>
    <sheetView zoomScale="122" zoomScaleNormal="122" workbookViewId="0">
      <pane xSplit="1" ySplit="4" topLeftCell="B5" activePane="bottomRight" state="frozen"/>
      <selection pane="topRight" activeCell="B1" sqref="B1"/>
      <selection pane="bottomLeft" activeCell="A7" sqref="A7"/>
      <selection pane="bottomRight" activeCell="X25" sqref="X25"/>
    </sheetView>
  </sheetViews>
  <sheetFormatPr baseColWidth="10" defaultColWidth="11.5546875" defaultRowHeight="14.4" x14ac:dyDescent="0.3"/>
  <cols>
    <col min="1" max="1" width="6.5546875" style="30" customWidth="1"/>
    <col min="2" max="2" width="16.6640625" style="197" bestFit="1" customWidth="1"/>
    <col min="3" max="3" width="15.21875" style="30" bestFit="1" customWidth="1"/>
    <col min="4" max="4" width="16.6640625" style="40" bestFit="1" customWidth="1"/>
    <col min="5" max="5" width="15.21875" style="30" bestFit="1" customWidth="1"/>
    <col min="6" max="6" width="17.21875" style="34" customWidth="1"/>
    <col min="7" max="7" width="15.21875" style="30" bestFit="1" customWidth="1"/>
    <col min="8" max="8" width="14.88671875" style="40" bestFit="1" customWidth="1"/>
    <col min="9" max="9" width="15.21875" style="30" bestFit="1" customWidth="1"/>
    <col min="10" max="10" width="13.88671875" style="40" bestFit="1" customWidth="1"/>
    <col min="11" max="11" width="15.21875" style="30" bestFit="1" customWidth="1"/>
    <col min="12" max="12" width="16" style="40" bestFit="1" customWidth="1"/>
    <col min="13" max="13" width="15.21875" style="30" bestFit="1" customWidth="1"/>
    <col min="14" max="14" width="2.33203125" style="30" customWidth="1"/>
    <col min="15" max="15" width="13.88671875" style="30" bestFit="1" customWidth="1"/>
    <col min="16" max="16" width="15.21875" style="30" bestFit="1" customWidth="1"/>
    <col min="17" max="17" width="13.88671875" style="30" bestFit="1" customWidth="1"/>
    <col min="18" max="18" width="15.21875" style="30" customWidth="1"/>
    <col min="19" max="19" width="14.88671875" style="30" bestFit="1" customWidth="1"/>
    <col min="20" max="20" width="15.21875" style="30" customWidth="1"/>
    <col min="21" max="21" width="1.6640625" style="30" customWidth="1"/>
    <col min="22" max="22" width="13.88671875" style="30" bestFit="1" customWidth="1"/>
    <col min="23" max="23" width="15.21875" style="30" customWidth="1"/>
    <col min="24" max="24" width="13.88671875" style="30" bestFit="1" customWidth="1"/>
    <col min="25" max="25" width="15.21875" style="30" bestFit="1" customWidth="1"/>
    <col min="26" max="26" width="13.88671875" style="30" bestFit="1" customWidth="1"/>
    <col min="27" max="27" width="15.21875" style="30" bestFit="1" customWidth="1"/>
    <col min="28" max="28" width="4.44140625" style="30" customWidth="1"/>
    <col min="29" max="29" width="15.5546875" style="40" bestFit="1" customWidth="1"/>
    <col min="30" max="30" width="15.21875" style="30" bestFit="1" customWidth="1"/>
    <col min="31" max="31" width="15.5546875" style="40" bestFit="1" customWidth="1"/>
    <col min="32" max="32" width="15.21875" style="30" bestFit="1" customWidth="1"/>
    <col min="33" max="33" width="15.5546875" style="30" bestFit="1" customWidth="1"/>
    <col min="34" max="34" width="15.21875" style="30" bestFit="1" customWidth="1"/>
    <col min="35" max="16384" width="11.5546875" style="30"/>
  </cols>
  <sheetData>
    <row r="1" spans="1:34" ht="15" thickBot="1" x14ac:dyDescent="0.35">
      <c r="A1" s="33" t="s">
        <v>2</v>
      </c>
      <c r="F1" s="36" t="s">
        <v>3</v>
      </c>
    </row>
    <row r="2" spans="1:34" ht="15.6" customHeight="1" thickTop="1" thickBot="1" x14ac:dyDescent="0.35">
      <c r="B2" s="88" t="s">
        <v>105</v>
      </c>
      <c r="C2" s="89"/>
      <c r="D2" s="89"/>
      <c r="E2" s="89"/>
      <c r="F2" s="89"/>
      <c r="G2" s="89"/>
      <c r="H2" s="89"/>
      <c r="I2" s="89"/>
      <c r="J2" s="89"/>
      <c r="K2" s="89"/>
      <c r="L2" s="89"/>
      <c r="M2" s="90"/>
      <c r="O2" s="91" t="s">
        <v>106</v>
      </c>
      <c r="P2" s="92"/>
      <c r="Q2" s="92"/>
      <c r="R2" s="92"/>
      <c r="S2" s="92"/>
      <c r="T2" s="93"/>
      <c r="V2" s="91" t="s">
        <v>107</v>
      </c>
      <c r="W2" s="92"/>
      <c r="X2" s="92"/>
      <c r="Y2" s="92"/>
      <c r="Z2" s="92"/>
      <c r="AA2" s="93"/>
      <c r="AC2" s="198" t="s">
        <v>108</v>
      </c>
      <c r="AD2" s="199"/>
      <c r="AE2" s="199"/>
      <c r="AF2" s="199"/>
      <c r="AG2" s="199"/>
      <c r="AH2" s="200"/>
    </row>
    <row r="3" spans="1:34" ht="15" thickTop="1" x14ac:dyDescent="0.3">
      <c r="A3" s="201" t="s">
        <v>8</v>
      </c>
      <c r="B3" s="202" t="s">
        <v>109</v>
      </c>
      <c r="C3" s="203"/>
      <c r="D3" s="202" t="s">
        <v>110</v>
      </c>
      <c r="E3" s="203"/>
      <c r="F3" s="204" t="s">
        <v>111</v>
      </c>
      <c r="G3" s="205"/>
      <c r="H3" s="206" t="s">
        <v>112</v>
      </c>
      <c r="I3" s="207"/>
      <c r="J3" s="208" t="s">
        <v>113</v>
      </c>
      <c r="K3" s="209"/>
      <c r="L3" s="210" t="s">
        <v>114</v>
      </c>
      <c r="M3" s="211"/>
      <c r="O3" s="206" t="s">
        <v>112</v>
      </c>
      <c r="P3" s="207"/>
      <c r="Q3" s="208" t="s">
        <v>113</v>
      </c>
      <c r="R3" s="209"/>
      <c r="S3" s="210" t="s">
        <v>114</v>
      </c>
      <c r="T3" s="211"/>
      <c r="U3" s="212"/>
      <c r="V3" s="206" t="s">
        <v>112</v>
      </c>
      <c r="W3" s="207"/>
      <c r="X3" s="208" t="s">
        <v>113</v>
      </c>
      <c r="Y3" s="209"/>
      <c r="Z3" s="210" t="s">
        <v>114</v>
      </c>
      <c r="AA3" s="211"/>
      <c r="AC3" s="202" t="s">
        <v>109</v>
      </c>
      <c r="AD3" s="203"/>
      <c r="AE3" s="202" t="s">
        <v>110</v>
      </c>
      <c r="AF3" s="203"/>
      <c r="AG3" s="100" t="s">
        <v>111</v>
      </c>
      <c r="AH3" s="101"/>
    </row>
    <row r="4" spans="1:34" ht="15" thickBot="1" x14ac:dyDescent="0.35">
      <c r="A4" s="213" t="s">
        <v>15</v>
      </c>
      <c r="B4" s="214" t="s">
        <v>16</v>
      </c>
      <c r="C4" s="215" t="s">
        <v>17</v>
      </c>
      <c r="D4" s="216" t="s">
        <v>16</v>
      </c>
      <c r="E4" s="215" t="s">
        <v>17</v>
      </c>
      <c r="F4" s="217" t="s">
        <v>16</v>
      </c>
      <c r="G4" s="218" t="s">
        <v>17</v>
      </c>
      <c r="H4" s="219" t="s">
        <v>16</v>
      </c>
      <c r="I4" s="220" t="s">
        <v>17</v>
      </c>
      <c r="J4" s="221" t="s">
        <v>16</v>
      </c>
      <c r="K4" s="222" t="s">
        <v>17</v>
      </c>
      <c r="L4" s="223" t="s">
        <v>16</v>
      </c>
      <c r="M4" s="224" t="s">
        <v>17</v>
      </c>
      <c r="O4" s="225" t="s">
        <v>16</v>
      </c>
      <c r="P4" s="220" t="s">
        <v>17</v>
      </c>
      <c r="Q4" s="226" t="s">
        <v>16</v>
      </c>
      <c r="R4" s="222" t="s">
        <v>17</v>
      </c>
      <c r="S4" s="227" t="s">
        <v>16</v>
      </c>
      <c r="T4" s="224" t="s">
        <v>17</v>
      </c>
      <c r="U4" s="228"/>
      <c r="V4" s="225" t="s">
        <v>16</v>
      </c>
      <c r="W4" s="220" t="s">
        <v>17</v>
      </c>
      <c r="X4" s="226" t="s">
        <v>16</v>
      </c>
      <c r="Y4" s="222" t="s">
        <v>17</v>
      </c>
      <c r="Z4" s="227" t="s">
        <v>16</v>
      </c>
      <c r="AA4" s="224" t="s">
        <v>17</v>
      </c>
      <c r="AC4" s="216" t="s">
        <v>16</v>
      </c>
      <c r="AD4" s="215" t="s">
        <v>17</v>
      </c>
      <c r="AE4" s="216" t="s">
        <v>16</v>
      </c>
      <c r="AF4" s="215" t="s">
        <v>17</v>
      </c>
      <c r="AG4" s="229" t="s">
        <v>16</v>
      </c>
      <c r="AH4" s="230" t="s">
        <v>17</v>
      </c>
    </row>
    <row r="5" spans="1:34" ht="15" thickTop="1" x14ac:dyDescent="0.3">
      <c r="A5" s="126" t="s">
        <v>18</v>
      </c>
      <c r="B5" s="231" t="s">
        <v>115</v>
      </c>
      <c r="C5" s="164">
        <v>23.758146558810001</v>
      </c>
      <c r="D5" s="231" t="s">
        <v>116</v>
      </c>
      <c r="E5" s="164">
        <v>23.709039462235602</v>
      </c>
      <c r="F5" s="231" t="s">
        <v>117</v>
      </c>
      <c r="G5" s="164">
        <v>24.404701197603099</v>
      </c>
      <c r="H5" s="231" t="s">
        <v>118</v>
      </c>
      <c r="I5" s="164">
        <v>22.3532316843269</v>
      </c>
      <c r="J5" s="232" t="s">
        <v>119</v>
      </c>
      <c r="K5" s="164">
        <v>8.2242385916887997E-2</v>
      </c>
      <c r="L5" s="232" t="s">
        <v>120</v>
      </c>
      <c r="M5" s="164">
        <v>7.5006593201059601</v>
      </c>
      <c r="N5" s="154"/>
      <c r="O5" s="233"/>
      <c r="P5" s="234"/>
      <c r="Q5" s="235"/>
      <c r="R5" s="234"/>
      <c r="S5" s="235"/>
      <c r="T5" s="234"/>
      <c r="U5" s="154"/>
      <c r="V5" s="233"/>
      <c r="W5" s="234"/>
      <c r="X5" s="235"/>
      <c r="Y5" s="234"/>
      <c r="Z5" s="235"/>
      <c r="AA5" s="234"/>
      <c r="AB5" s="154"/>
      <c r="AC5" s="231" t="s">
        <v>121</v>
      </c>
      <c r="AD5" s="164">
        <v>18.230292551578401</v>
      </c>
      <c r="AE5" s="231" t="s">
        <v>122</v>
      </c>
      <c r="AF5" s="164">
        <v>18.205193194493098</v>
      </c>
      <c r="AG5" s="233" t="s">
        <v>608</v>
      </c>
      <c r="AH5" s="135">
        <v>22.145426918036499</v>
      </c>
    </row>
    <row r="6" spans="1:34" x14ac:dyDescent="0.3">
      <c r="A6" s="136"/>
      <c r="B6" s="236" t="s">
        <v>123</v>
      </c>
      <c r="C6" s="167">
        <v>13.3457983492828</v>
      </c>
      <c r="D6" s="236" t="s">
        <v>124</v>
      </c>
      <c r="E6" s="167">
        <v>13.3416212438446</v>
      </c>
      <c r="F6" s="236" t="s">
        <v>125</v>
      </c>
      <c r="G6" s="167">
        <v>14.8597998323265</v>
      </c>
      <c r="H6" s="236" t="s">
        <v>126</v>
      </c>
      <c r="I6" s="167">
        <v>12.393327530075201</v>
      </c>
      <c r="J6" s="237" t="s">
        <v>127</v>
      </c>
      <c r="K6" s="167">
        <v>0.10161158341040499</v>
      </c>
      <c r="L6" s="237" t="s">
        <v>128</v>
      </c>
      <c r="M6" s="167">
        <v>16.0991646430573</v>
      </c>
      <c r="N6" s="228"/>
      <c r="O6" s="141"/>
      <c r="P6" s="159"/>
      <c r="Q6" s="170"/>
      <c r="R6" s="159"/>
      <c r="S6" s="170"/>
      <c r="T6" s="159"/>
      <c r="U6" s="228"/>
      <c r="V6" s="141"/>
      <c r="W6" s="159"/>
      <c r="X6" s="170"/>
      <c r="Y6" s="159"/>
      <c r="Z6" s="170"/>
      <c r="AA6" s="159"/>
      <c r="AB6" s="228"/>
      <c r="AC6" s="236" t="s">
        <v>129</v>
      </c>
      <c r="AD6" s="167">
        <v>7.07677526091177</v>
      </c>
      <c r="AE6" s="236" t="s">
        <v>130</v>
      </c>
      <c r="AF6" s="167">
        <v>7.1657240951235401</v>
      </c>
      <c r="AG6" s="141" t="s">
        <v>609</v>
      </c>
      <c r="AH6" s="128">
        <v>8.0925249512487998</v>
      </c>
    </row>
    <row r="7" spans="1:34" x14ac:dyDescent="0.3">
      <c r="A7" s="136"/>
      <c r="B7" s="236" t="s">
        <v>131</v>
      </c>
      <c r="C7" s="167">
        <v>32.895908233110902</v>
      </c>
      <c r="D7" s="236" t="s">
        <v>132</v>
      </c>
      <c r="E7" s="167">
        <v>32.825742614064197</v>
      </c>
      <c r="F7" s="236" t="s">
        <v>133</v>
      </c>
      <c r="G7" s="167">
        <v>33.2148852422619</v>
      </c>
      <c r="H7" s="236" t="s">
        <v>134</v>
      </c>
      <c r="I7" s="167">
        <v>20.929421905571498</v>
      </c>
      <c r="J7" s="237" t="s">
        <v>135</v>
      </c>
      <c r="K7" s="167">
        <v>9.7887924048077206</v>
      </c>
      <c r="L7" s="237" t="s">
        <v>136</v>
      </c>
      <c r="M7" s="167">
        <v>26.855824854519501</v>
      </c>
      <c r="N7" s="228"/>
      <c r="O7" s="141"/>
      <c r="P7" s="159"/>
      <c r="Q7" s="170"/>
      <c r="R7" s="159"/>
      <c r="S7" s="170"/>
      <c r="T7" s="159"/>
      <c r="U7" s="228"/>
      <c r="V7" s="141"/>
      <c r="W7" s="159"/>
      <c r="X7" s="170"/>
      <c r="Y7" s="159"/>
      <c r="Z7" s="170"/>
      <c r="AA7" s="159"/>
      <c r="AB7" s="228"/>
      <c r="AC7" s="236" t="s">
        <v>137</v>
      </c>
      <c r="AD7" s="167">
        <v>17.020772305315599</v>
      </c>
      <c r="AE7" s="236" t="s">
        <v>138</v>
      </c>
      <c r="AF7" s="167">
        <v>17.5543443679808</v>
      </c>
      <c r="AG7" s="141" t="s">
        <v>610</v>
      </c>
      <c r="AH7" s="128">
        <v>15.672164362897799</v>
      </c>
    </row>
    <row r="8" spans="1:34" x14ac:dyDescent="0.3">
      <c r="A8" s="136"/>
      <c r="B8" s="236" t="s">
        <v>139</v>
      </c>
      <c r="C8" s="167">
        <v>23.983980738687201</v>
      </c>
      <c r="D8" s="236" t="s">
        <v>140</v>
      </c>
      <c r="E8" s="167">
        <v>24.133298821080501</v>
      </c>
      <c r="F8" s="236" t="s">
        <v>141</v>
      </c>
      <c r="G8" s="167">
        <v>21.9615643512101</v>
      </c>
      <c r="H8" s="236" t="s">
        <v>142</v>
      </c>
      <c r="I8" s="167">
        <v>17.529660031979699</v>
      </c>
      <c r="J8" s="237" t="s">
        <v>143</v>
      </c>
      <c r="K8" s="167">
        <v>22.7474970947533</v>
      </c>
      <c r="L8" s="237" t="s">
        <v>144</v>
      </c>
      <c r="M8" s="167">
        <v>22.904791753952399</v>
      </c>
      <c r="N8" s="228"/>
      <c r="O8" s="141"/>
      <c r="P8" s="159"/>
      <c r="Q8" s="170"/>
      <c r="R8" s="159"/>
      <c r="S8" s="170"/>
      <c r="T8" s="159"/>
      <c r="U8" s="228"/>
      <c r="V8" s="141"/>
      <c r="W8" s="159"/>
      <c r="X8" s="170"/>
      <c r="Y8" s="159"/>
      <c r="Z8" s="170"/>
      <c r="AA8" s="159"/>
      <c r="AB8" s="228"/>
      <c r="AC8" s="236" t="s">
        <v>145</v>
      </c>
      <c r="AD8" s="167">
        <v>26.272938166062499</v>
      </c>
      <c r="AE8" s="236" t="s">
        <v>146</v>
      </c>
      <c r="AF8" s="167">
        <v>25.875564466235399</v>
      </c>
      <c r="AG8" s="141" t="s">
        <v>611</v>
      </c>
      <c r="AH8" s="128">
        <v>25.258784878584802</v>
      </c>
    </row>
    <row r="9" spans="1:34" x14ac:dyDescent="0.3">
      <c r="A9" s="136"/>
      <c r="B9" s="236" t="s">
        <v>147</v>
      </c>
      <c r="C9" s="167">
        <v>4.5683401015958003</v>
      </c>
      <c r="D9" s="236" t="s">
        <v>148</v>
      </c>
      <c r="E9" s="167">
        <v>4.5764184396662202</v>
      </c>
      <c r="F9" s="236" t="s">
        <v>149</v>
      </c>
      <c r="G9" s="167">
        <v>4.1173190660048302</v>
      </c>
      <c r="H9" s="236" t="s">
        <v>150</v>
      </c>
      <c r="I9" s="167">
        <v>15.6448298596305</v>
      </c>
      <c r="J9" s="237" t="s">
        <v>151</v>
      </c>
      <c r="K9" s="167">
        <v>39.263146427561097</v>
      </c>
      <c r="L9" s="237" t="s">
        <v>152</v>
      </c>
      <c r="M9" s="167">
        <v>16.876198760471699</v>
      </c>
      <c r="N9" s="228"/>
      <c r="O9" s="141"/>
      <c r="P9" s="159"/>
      <c r="Q9" s="170"/>
      <c r="R9" s="159"/>
      <c r="S9" s="170"/>
      <c r="T9" s="159"/>
      <c r="U9" s="228"/>
      <c r="V9" s="141"/>
      <c r="W9" s="159"/>
      <c r="X9" s="170"/>
      <c r="Y9" s="159"/>
      <c r="Z9" s="170"/>
      <c r="AA9" s="159"/>
      <c r="AB9" s="228"/>
      <c r="AC9" s="236" t="s">
        <v>153</v>
      </c>
      <c r="AD9" s="167">
        <v>25.9388556617969</v>
      </c>
      <c r="AE9" s="236" t="s">
        <v>154</v>
      </c>
      <c r="AF9" s="167">
        <v>25.717936661526501</v>
      </c>
      <c r="AG9" s="141" t="s">
        <v>612</v>
      </c>
      <c r="AH9" s="128">
        <v>21.918132330711501</v>
      </c>
    </row>
    <row r="10" spans="1:34" ht="15" thickBot="1" x14ac:dyDescent="0.35">
      <c r="A10" s="145"/>
      <c r="B10" s="238" t="s">
        <v>155</v>
      </c>
      <c r="C10" s="239">
        <v>1.4478260185131699</v>
      </c>
      <c r="D10" s="238" t="s">
        <v>156</v>
      </c>
      <c r="E10" s="239">
        <v>1.4138794191087201</v>
      </c>
      <c r="F10" s="238" t="s">
        <v>157</v>
      </c>
      <c r="G10" s="239">
        <v>1.44173031059325</v>
      </c>
      <c r="H10" s="238" t="s">
        <v>158</v>
      </c>
      <c r="I10" s="239">
        <v>11.149528988416</v>
      </c>
      <c r="J10" s="240" t="s">
        <v>159</v>
      </c>
      <c r="K10" s="239">
        <v>28.016710103550398</v>
      </c>
      <c r="L10" s="240" t="s">
        <v>20</v>
      </c>
      <c r="M10" s="239">
        <v>9.7633606678930107</v>
      </c>
      <c r="N10" s="87"/>
      <c r="O10" s="147"/>
      <c r="P10" s="160"/>
      <c r="Q10" s="241"/>
      <c r="R10" s="160"/>
      <c r="S10" s="241"/>
      <c r="T10" s="160"/>
      <c r="U10" s="87"/>
      <c r="V10" s="147"/>
      <c r="W10" s="160"/>
      <c r="X10" s="241"/>
      <c r="Y10" s="160"/>
      <c r="Z10" s="241"/>
      <c r="AA10" s="160"/>
      <c r="AB10" s="87"/>
      <c r="AC10" s="238" t="s">
        <v>160</v>
      </c>
      <c r="AD10" s="239">
        <v>5.4603660543345498</v>
      </c>
      <c r="AE10" s="238" t="s">
        <v>161</v>
      </c>
      <c r="AF10" s="239">
        <v>5.4812372146404602</v>
      </c>
      <c r="AG10" s="147" t="s">
        <v>613</v>
      </c>
      <c r="AH10" s="148">
        <v>6.9129665585204201</v>
      </c>
    </row>
    <row r="11" spans="1:34" ht="15" thickTop="1" x14ac:dyDescent="0.3">
      <c r="A11" s="126" t="s">
        <v>30</v>
      </c>
      <c r="B11" s="231" t="s">
        <v>162</v>
      </c>
      <c r="C11" s="164">
        <v>23.794348043904002</v>
      </c>
      <c r="D11" s="231" t="s">
        <v>163</v>
      </c>
      <c r="E11" s="164">
        <v>23.712785091078999</v>
      </c>
      <c r="F11" s="231" t="s">
        <v>164</v>
      </c>
      <c r="G11" s="164">
        <v>24.421383746700801</v>
      </c>
      <c r="H11" s="231" t="s">
        <v>165</v>
      </c>
      <c r="I11" s="164">
        <v>22.167173930644701</v>
      </c>
      <c r="J11" s="232" t="s">
        <v>166</v>
      </c>
      <c r="K11" s="164">
        <v>0.14290667085779599</v>
      </c>
      <c r="L11" s="232" t="s">
        <v>167</v>
      </c>
      <c r="M11" s="164">
        <v>13.8434543109262</v>
      </c>
      <c r="N11" s="154"/>
      <c r="O11" s="233"/>
      <c r="P11" s="234"/>
      <c r="Q11" s="235"/>
      <c r="R11" s="234"/>
      <c r="S11" s="235"/>
      <c r="T11" s="234"/>
      <c r="U11" s="154"/>
      <c r="V11" s="233"/>
      <c r="W11" s="234"/>
      <c r="X11" s="235"/>
      <c r="Y11" s="234"/>
      <c r="Z11" s="235"/>
      <c r="AA11" s="234"/>
      <c r="AB11" s="154"/>
      <c r="AC11" s="231" t="s">
        <v>168</v>
      </c>
      <c r="AD11" s="164">
        <v>18.230292551578401</v>
      </c>
      <c r="AE11" s="231" t="s">
        <v>169</v>
      </c>
      <c r="AF11" s="164">
        <v>18.030399886235401</v>
      </c>
      <c r="AG11" s="233" t="s">
        <v>596</v>
      </c>
      <c r="AH11" s="135">
        <v>22.095741283550801</v>
      </c>
    </row>
    <row r="12" spans="1:34" x14ac:dyDescent="0.3">
      <c r="A12" s="136"/>
      <c r="B12" s="236" t="s">
        <v>170</v>
      </c>
      <c r="C12" s="167">
        <v>13.4392808993007</v>
      </c>
      <c r="D12" s="236" t="s">
        <v>171</v>
      </c>
      <c r="E12" s="167">
        <v>13.2360840765243</v>
      </c>
      <c r="F12" s="236" t="s">
        <v>172</v>
      </c>
      <c r="G12" s="167">
        <v>14.9020849064743</v>
      </c>
      <c r="H12" s="236" t="s">
        <v>173</v>
      </c>
      <c r="I12" s="167">
        <v>12.849134409271</v>
      </c>
      <c r="J12" s="237" t="s">
        <v>174</v>
      </c>
      <c r="K12" s="167">
        <v>0.61242524478814697</v>
      </c>
      <c r="L12" s="237" t="s">
        <v>175</v>
      </c>
      <c r="M12" s="167">
        <v>20.1730588935458</v>
      </c>
      <c r="N12" s="228"/>
      <c r="O12" s="141"/>
      <c r="P12" s="159"/>
      <c r="Q12" s="170"/>
      <c r="R12" s="159"/>
      <c r="S12" s="170"/>
      <c r="T12" s="159"/>
      <c r="U12" s="228"/>
      <c r="V12" s="141"/>
      <c r="W12" s="159"/>
      <c r="X12" s="170"/>
      <c r="Y12" s="159"/>
      <c r="Z12" s="170"/>
      <c r="AA12" s="159"/>
      <c r="AB12" s="228"/>
      <c r="AC12" s="236" t="s">
        <v>176</v>
      </c>
      <c r="AD12" s="167">
        <v>7.1795094580338201</v>
      </c>
      <c r="AE12" s="236" t="s">
        <v>177</v>
      </c>
      <c r="AF12" s="167">
        <v>7.3253695619452701</v>
      </c>
      <c r="AG12" s="141" t="s">
        <v>597</v>
      </c>
      <c r="AH12" s="128">
        <v>7.9332861106022401</v>
      </c>
    </row>
    <row r="13" spans="1:34" x14ac:dyDescent="0.3">
      <c r="A13" s="136"/>
      <c r="B13" s="236" t="s">
        <v>178</v>
      </c>
      <c r="C13" s="167">
        <v>32.802262116575598</v>
      </c>
      <c r="D13" s="236" t="s">
        <v>179</v>
      </c>
      <c r="E13" s="167">
        <v>32.517642321030799</v>
      </c>
      <c r="F13" s="236" t="s">
        <v>180</v>
      </c>
      <c r="G13" s="167">
        <v>33.166769992112798</v>
      </c>
      <c r="H13" s="236" t="s">
        <v>181</v>
      </c>
      <c r="I13" s="167">
        <v>21.395125912866501</v>
      </c>
      <c r="J13" s="237" t="s">
        <v>182</v>
      </c>
      <c r="K13" s="167">
        <v>10.775912737891799</v>
      </c>
      <c r="L13" s="237" t="s">
        <v>183</v>
      </c>
      <c r="M13" s="167">
        <v>28.534171656235198</v>
      </c>
      <c r="N13" s="228"/>
      <c r="O13" s="141"/>
      <c r="P13" s="159"/>
      <c r="Q13" s="170"/>
      <c r="R13" s="159"/>
      <c r="S13" s="170"/>
      <c r="T13" s="159"/>
      <c r="U13" s="228"/>
      <c r="V13" s="141"/>
      <c r="W13" s="159"/>
      <c r="X13" s="170"/>
      <c r="Y13" s="159"/>
      <c r="Z13" s="170"/>
      <c r="AA13" s="159"/>
      <c r="AB13" s="228"/>
      <c r="AC13" s="236" t="s">
        <v>184</v>
      </c>
      <c r="AD13" s="167">
        <v>17.423375782249199</v>
      </c>
      <c r="AE13" s="236" t="s">
        <v>185</v>
      </c>
      <c r="AF13" s="167">
        <v>17.445158402763301</v>
      </c>
      <c r="AG13" s="141" t="s">
        <v>598</v>
      </c>
      <c r="AH13" s="128">
        <v>15.309547634929199</v>
      </c>
    </row>
    <row r="14" spans="1:34" x14ac:dyDescent="0.3">
      <c r="A14" s="136"/>
      <c r="B14" s="236" t="s">
        <v>186</v>
      </c>
      <c r="C14" s="167">
        <v>23.9669883846123</v>
      </c>
      <c r="D14" s="236" t="s">
        <v>187</v>
      </c>
      <c r="E14" s="167">
        <v>24.5396786133593</v>
      </c>
      <c r="F14" s="236" t="s">
        <v>188</v>
      </c>
      <c r="G14" s="167">
        <v>21.968796412304702</v>
      </c>
      <c r="H14" s="236" t="s">
        <v>189</v>
      </c>
      <c r="I14" s="167">
        <v>17.3543788957281</v>
      </c>
      <c r="J14" s="237" t="s">
        <v>190</v>
      </c>
      <c r="K14" s="167">
        <v>23.128690442002899</v>
      </c>
      <c r="L14" s="237" t="s">
        <v>191</v>
      </c>
      <c r="M14" s="167">
        <v>13.6717900866742</v>
      </c>
      <c r="N14" s="228"/>
      <c r="O14" s="141"/>
      <c r="P14" s="159"/>
      <c r="Q14" s="170"/>
      <c r="R14" s="159"/>
      <c r="S14" s="170"/>
      <c r="T14" s="159"/>
      <c r="U14" s="228"/>
      <c r="V14" s="141"/>
      <c r="W14" s="159"/>
      <c r="X14" s="170"/>
      <c r="Y14" s="159"/>
      <c r="Z14" s="170"/>
      <c r="AA14" s="159"/>
      <c r="AB14" s="228"/>
      <c r="AC14" s="236" t="s">
        <v>192</v>
      </c>
      <c r="AD14" s="167">
        <v>26.0107134891533</v>
      </c>
      <c r="AE14" s="236" t="s">
        <v>193</v>
      </c>
      <c r="AF14" s="167">
        <v>25.796773782576601</v>
      </c>
      <c r="AG14" s="141" t="s">
        <v>599</v>
      </c>
      <c r="AH14" s="128">
        <v>25.544690762639298</v>
      </c>
    </row>
    <row r="15" spans="1:34" x14ac:dyDescent="0.3">
      <c r="A15" s="136"/>
      <c r="B15" s="236" t="s">
        <v>194</v>
      </c>
      <c r="C15" s="167">
        <v>4.5492945370940499</v>
      </c>
      <c r="D15" s="236" t="s">
        <v>195</v>
      </c>
      <c r="E15" s="167">
        <v>4.60214010972404</v>
      </c>
      <c r="F15" s="236" t="s">
        <v>196</v>
      </c>
      <c r="G15" s="167">
        <v>4.0992346318139496</v>
      </c>
      <c r="H15" s="236" t="s">
        <v>197</v>
      </c>
      <c r="I15" s="167">
        <v>15.703977843484999</v>
      </c>
      <c r="J15" s="237" t="s">
        <v>198</v>
      </c>
      <c r="K15" s="167">
        <v>37.999616794846297</v>
      </c>
      <c r="L15" s="237" t="s">
        <v>199</v>
      </c>
      <c r="M15" s="167">
        <v>14.0141643847252</v>
      </c>
      <c r="N15" s="228"/>
      <c r="O15" s="141"/>
      <c r="P15" s="159"/>
      <c r="Q15" s="170"/>
      <c r="R15" s="159"/>
      <c r="S15" s="170"/>
      <c r="T15" s="159"/>
      <c r="U15" s="228"/>
      <c r="V15" s="141"/>
      <c r="W15" s="159"/>
      <c r="X15" s="170"/>
      <c r="Y15" s="159"/>
      <c r="Z15" s="170"/>
      <c r="AA15" s="159"/>
      <c r="AB15" s="228"/>
      <c r="AC15" s="236" t="s">
        <v>200</v>
      </c>
      <c r="AD15" s="167">
        <v>25.7096655456074</v>
      </c>
      <c r="AE15" s="236" t="s">
        <v>201</v>
      </c>
      <c r="AF15" s="167">
        <v>25.6007702245426</v>
      </c>
      <c r="AG15" s="141" t="s">
        <v>600</v>
      </c>
      <c r="AH15" s="128">
        <v>22.064319045238499</v>
      </c>
    </row>
    <row r="16" spans="1:34" ht="15" thickBot="1" x14ac:dyDescent="0.35">
      <c r="A16" s="145"/>
      <c r="B16" s="238" t="s">
        <v>202</v>
      </c>
      <c r="C16" s="239">
        <v>1.4478260185131699</v>
      </c>
      <c r="D16" s="238" t="s">
        <v>203</v>
      </c>
      <c r="E16" s="239">
        <v>1.3916697882822999</v>
      </c>
      <c r="F16" s="238" t="s">
        <v>204</v>
      </c>
      <c r="G16" s="239">
        <v>1.44173031059325</v>
      </c>
      <c r="H16" s="238" t="s">
        <v>205</v>
      </c>
      <c r="I16" s="239">
        <v>10.530209008004499</v>
      </c>
      <c r="J16" s="240" t="s">
        <v>206</v>
      </c>
      <c r="K16" s="239">
        <v>27.3404481096129</v>
      </c>
      <c r="L16" s="240" t="s">
        <v>207</v>
      </c>
      <c r="M16" s="239">
        <v>9.7633606678930107</v>
      </c>
      <c r="N16" s="87"/>
      <c r="O16" s="147"/>
      <c r="P16" s="160"/>
      <c r="Q16" s="241"/>
      <c r="R16" s="160"/>
      <c r="S16" s="241"/>
      <c r="T16" s="160"/>
      <c r="U16" s="87"/>
      <c r="V16" s="147"/>
      <c r="W16" s="160"/>
      <c r="X16" s="241"/>
      <c r="Y16" s="160"/>
      <c r="Z16" s="241"/>
      <c r="AA16" s="160"/>
      <c r="AB16" s="87"/>
      <c r="AC16" s="238" t="s">
        <v>208</v>
      </c>
      <c r="AD16" s="239">
        <v>5.4464431733776104</v>
      </c>
      <c r="AE16" s="238" t="s">
        <v>209</v>
      </c>
      <c r="AF16" s="239">
        <v>5.8015281419367</v>
      </c>
      <c r="AG16" s="147" t="s">
        <v>601</v>
      </c>
      <c r="AH16" s="148">
        <v>7.0524151630396696</v>
      </c>
    </row>
    <row r="17" spans="1:34" ht="15" thickTop="1" x14ac:dyDescent="0.3">
      <c r="A17" s="126" t="s">
        <v>32</v>
      </c>
      <c r="B17" s="231" t="s">
        <v>210</v>
      </c>
      <c r="C17" s="164">
        <v>23.850453611960901</v>
      </c>
      <c r="D17" s="231" t="s">
        <v>211</v>
      </c>
      <c r="E17" s="164">
        <v>23.057247813171301</v>
      </c>
      <c r="F17" s="231" t="s">
        <v>212</v>
      </c>
      <c r="G17" s="164">
        <v>24.430012706373699</v>
      </c>
      <c r="H17" s="231" t="s">
        <v>213</v>
      </c>
      <c r="I17" s="164">
        <v>22.715132184752299</v>
      </c>
      <c r="J17" s="232" t="s">
        <v>214</v>
      </c>
      <c r="K17" s="164">
        <v>1.62656167771445</v>
      </c>
      <c r="L17" s="232" t="s">
        <v>215</v>
      </c>
      <c r="M17" s="164">
        <v>13.3347164220751</v>
      </c>
      <c r="N17" s="154"/>
      <c r="O17" s="233"/>
      <c r="P17" s="234"/>
      <c r="Q17" s="235"/>
      <c r="R17" s="234"/>
      <c r="S17" s="235"/>
      <c r="T17" s="234"/>
      <c r="U17" s="154"/>
      <c r="V17" s="233"/>
      <c r="W17" s="234"/>
      <c r="X17" s="235"/>
      <c r="Y17" s="234"/>
      <c r="Z17" s="235"/>
      <c r="AA17" s="234"/>
      <c r="AB17" s="154"/>
      <c r="AC17" s="231" t="s">
        <v>216</v>
      </c>
      <c r="AD17" s="164">
        <v>18.230292551578401</v>
      </c>
      <c r="AE17" s="231" t="s">
        <v>217</v>
      </c>
      <c r="AF17" s="164">
        <v>17.8663958839225</v>
      </c>
      <c r="AG17" s="233" t="s">
        <v>602</v>
      </c>
      <c r="AH17" s="135">
        <v>22.1802120285329</v>
      </c>
    </row>
    <row r="18" spans="1:34" x14ac:dyDescent="0.3">
      <c r="A18" s="136"/>
      <c r="B18" s="236" t="s">
        <v>218</v>
      </c>
      <c r="C18" s="167">
        <v>13.407548715725801</v>
      </c>
      <c r="D18" s="236" t="s">
        <v>219</v>
      </c>
      <c r="E18" s="167">
        <v>10.905696342139301</v>
      </c>
      <c r="F18" s="236" t="s">
        <v>220</v>
      </c>
      <c r="G18" s="167">
        <v>14.9481062832521</v>
      </c>
      <c r="H18" s="236" t="s">
        <v>221</v>
      </c>
      <c r="I18" s="167">
        <v>14.7688181001174</v>
      </c>
      <c r="J18" s="237" t="s">
        <v>222</v>
      </c>
      <c r="K18" s="167">
        <v>2.1914412051093599</v>
      </c>
      <c r="L18" s="237" t="s">
        <v>223</v>
      </c>
      <c r="M18" s="167">
        <v>21.023392852813</v>
      </c>
      <c r="N18" s="228"/>
      <c r="O18" s="141"/>
      <c r="P18" s="159"/>
      <c r="Q18" s="170"/>
      <c r="R18" s="159"/>
      <c r="S18" s="170"/>
      <c r="T18" s="159"/>
      <c r="U18" s="228"/>
      <c r="V18" s="141"/>
      <c r="W18" s="159"/>
      <c r="X18" s="170"/>
      <c r="Y18" s="159"/>
      <c r="Z18" s="170"/>
      <c r="AA18" s="159"/>
      <c r="AB18" s="228"/>
      <c r="AC18" s="236" t="s">
        <v>224</v>
      </c>
      <c r="AD18" s="167">
        <v>7.2276733814527399</v>
      </c>
      <c r="AE18" s="236" t="s">
        <v>225</v>
      </c>
      <c r="AF18" s="167">
        <v>7.70792314635771</v>
      </c>
      <c r="AG18" s="141" t="s">
        <v>603</v>
      </c>
      <c r="AH18" s="128">
        <v>8.4048116925078293</v>
      </c>
    </row>
    <row r="19" spans="1:34" x14ac:dyDescent="0.3">
      <c r="A19" s="136"/>
      <c r="B19" s="236" t="s">
        <v>226</v>
      </c>
      <c r="C19" s="167">
        <v>32.860309610720201</v>
      </c>
      <c r="D19" s="236" t="s">
        <v>227</v>
      </c>
      <c r="E19" s="167">
        <v>23.185063816564899</v>
      </c>
      <c r="F19" s="236" t="s">
        <v>228</v>
      </c>
      <c r="G19" s="167">
        <v>33.172482808237902</v>
      </c>
      <c r="H19" s="236" t="s">
        <v>229</v>
      </c>
      <c r="I19" s="167">
        <v>21.281648294314</v>
      </c>
      <c r="J19" s="237" t="s">
        <v>230</v>
      </c>
      <c r="K19" s="167">
        <v>29.211357218130399</v>
      </c>
      <c r="L19" s="237" t="s">
        <v>231</v>
      </c>
      <c r="M19" s="167">
        <v>28.053783192028401</v>
      </c>
      <c r="N19" s="228"/>
      <c r="O19" s="141"/>
      <c r="P19" s="159"/>
      <c r="Q19" s="170"/>
      <c r="R19" s="159"/>
      <c r="S19" s="170"/>
      <c r="T19" s="159"/>
      <c r="U19" s="228"/>
      <c r="V19" s="141"/>
      <c r="W19" s="159"/>
      <c r="X19" s="170"/>
      <c r="Y19" s="159"/>
      <c r="Z19" s="170"/>
      <c r="AA19" s="159"/>
      <c r="AB19" s="228"/>
      <c r="AC19" s="236" t="s">
        <v>232</v>
      </c>
      <c r="AD19" s="167">
        <v>17.7307530894177</v>
      </c>
      <c r="AE19" s="236" t="s">
        <v>233</v>
      </c>
      <c r="AF19" s="167">
        <v>17.365882720896401</v>
      </c>
      <c r="AG19" s="141" t="s">
        <v>604</v>
      </c>
      <c r="AH19" s="128">
        <v>16.3867869974458</v>
      </c>
    </row>
    <row r="20" spans="1:34" x14ac:dyDescent="0.3">
      <c r="A20" s="136"/>
      <c r="B20" s="236" t="s">
        <v>234</v>
      </c>
      <c r="C20" s="167">
        <v>23.905538539645502</v>
      </c>
      <c r="D20" s="236" t="s">
        <v>235</v>
      </c>
      <c r="E20" s="167">
        <v>26.5485312302959</v>
      </c>
      <c r="F20" s="236" t="s">
        <v>236</v>
      </c>
      <c r="G20" s="167">
        <v>21.925611251780602</v>
      </c>
      <c r="H20" s="236" t="s">
        <v>237</v>
      </c>
      <c r="I20" s="167">
        <v>15.808084230227999</v>
      </c>
      <c r="J20" s="237" t="s">
        <v>238</v>
      </c>
      <c r="K20" s="167">
        <v>28.7678656795674</v>
      </c>
      <c r="L20" s="237" t="s">
        <v>239</v>
      </c>
      <c r="M20" s="167">
        <v>13.6797399518069</v>
      </c>
      <c r="N20" s="228"/>
      <c r="O20" s="141"/>
      <c r="P20" s="159"/>
      <c r="Q20" s="170"/>
      <c r="R20" s="159"/>
      <c r="S20" s="170"/>
      <c r="T20" s="159"/>
      <c r="U20" s="228"/>
      <c r="V20" s="141"/>
      <c r="W20" s="159"/>
      <c r="X20" s="170"/>
      <c r="Y20" s="159"/>
      <c r="Z20" s="170"/>
      <c r="AA20" s="159"/>
      <c r="AB20" s="228"/>
      <c r="AC20" s="236" t="s">
        <v>240</v>
      </c>
      <c r="AD20" s="167">
        <v>25.8289664668381</v>
      </c>
      <c r="AE20" s="236" t="s">
        <v>241</v>
      </c>
      <c r="AF20" s="167">
        <v>26.1999171331294</v>
      </c>
      <c r="AG20" s="141" t="s">
        <v>605</v>
      </c>
      <c r="AH20" s="128">
        <v>25.1733622556476</v>
      </c>
    </row>
    <row r="21" spans="1:34" x14ac:dyDescent="0.3">
      <c r="A21" s="136"/>
      <c r="B21" s="236" t="s">
        <v>242</v>
      </c>
      <c r="C21" s="167">
        <v>4.5449634423534304</v>
      </c>
      <c r="D21" s="236" t="s">
        <v>243</v>
      </c>
      <c r="E21" s="167">
        <v>12.921705610529999</v>
      </c>
      <c r="F21" s="236" t="s">
        <v>244</v>
      </c>
      <c r="G21" s="167">
        <v>4.0967444398433104</v>
      </c>
      <c r="H21" s="236" t="s">
        <v>245</v>
      </c>
      <c r="I21" s="167">
        <v>15.2193074497381</v>
      </c>
      <c r="J21" s="237" t="s">
        <v>246</v>
      </c>
      <c r="K21" s="167">
        <v>25.299592242946201</v>
      </c>
      <c r="L21" s="237" t="s">
        <v>247</v>
      </c>
      <c r="M21" s="167">
        <v>14.1450069133833</v>
      </c>
      <c r="N21" s="228"/>
      <c r="O21" s="141"/>
      <c r="P21" s="159"/>
      <c r="Q21" s="170"/>
      <c r="R21" s="159"/>
      <c r="S21" s="170"/>
      <c r="T21" s="159"/>
      <c r="U21" s="228"/>
      <c r="V21" s="141"/>
      <c r="W21" s="159"/>
      <c r="X21" s="170"/>
      <c r="Y21" s="159"/>
      <c r="Z21" s="170"/>
      <c r="AA21" s="159"/>
      <c r="AB21" s="228"/>
      <c r="AC21" s="236" t="s">
        <v>248</v>
      </c>
      <c r="AD21" s="167">
        <v>25.561981885051399</v>
      </c>
      <c r="AE21" s="236" t="s">
        <v>249</v>
      </c>
      <c r="AF21" s="167">
        <v>24.909841204692601</v>
      </c>
      <c r="AG21" s="141" t="s">
        <v>606</v>
      </c>
      <c r="AH21" s="128">
        <v>21.2605624498445</v>
      </c>
    </row>
    <row r="22" spans="1:34" ht="15" thickBot="1" x14ac:dyDescent="0.35">
      <c r="A22" s="145"/>
      <c r="B22" s="238" t="s">
        <v>250</v>
      </c>
      <c r="C22" s="239">
        <v>1.4311860795940801</v>
      </c>
      <c r="D22" s="238" t="s">
        <v>251</v>
      </c>
      <c r="E22" s="239">
        <v>3.3817551872984399</v>
      </c>
      <c r="F22" s="238" t="s">
        <v>252</v>
      </c>
      <c r="G22" s="239">
        <v>1.42704251051224</v>
      </c>
      <c r="H22" s="238" t="s">
        <v>253</v>
      </c>
      <c r="I22" s="239">
        <v>10.2070097408499</v>
      </c>
      <c r="J22" s="240" t="s">
        <v>254</v>
      </c>
      <c r="K22" s="239">
        <v>12.903181976532</v>
      </c>
      <c r="L22" s="240" t="s">
        <v>207</v>
      </c>
      <c r="M22" s="239">
        <v>9.7633606678930107</v>
      </c>
      <c r="N22" s="87"/>
      <c r="O22" s="147"/>
      <c r="P22" s="160"/>
      <c r="Q22" s="241"/>
      <c r="R22" s="160"/>
      <c r="S22" s="241"/>
      <c r="T22" s="160"/>
      <c r="U22" s="87"/>
      <c r="V22" s="147"/>
      <c r="W22" s="160"/>
      <c r="X22" s="241"/>
      <c r="Y22" s="160"/>
      <c r="Z22" s="241"/>
      <c r="AA22" s="160"/>
      <c r="AB22" s="87"/>
      <c r="AC22" s="238" t="s">
        <v>255</v>
      </c>
      <c r="AD22" s="239">
        <v>5.4203326256614304</v>
      </c>
      <c r="AE22" s="238" t="s">
        <v>256</v>
      </c>
      <c r="AF22" s="239">
        <v>5.9500399110012898</v>
      </c>
      <c r="AG22" s="147" t="s">
        <v>607</v>
      </c>
      <c r="AH22" s="148">
        <v>6.5942645760211098</v>
      </c>
    </row>
    <row r="23" spans="1:34" ht="15" thickTop="1" x14ac:dyDescent="0.3">
      <c r="A23" s="126" t="s">
        <v>34</v>
      </c>
      <c r="B23" s="231" t="s">
        <v>257</v>
      </c>
      <c r="C23" s="164">
        <v>23.8985403735782</v>
      </c>
      <c r="D23" s="231" t="s">
        <v>258</v>
      </c>
      <c r="E23" s="164">
        <v>23.887944070284</v>
      </c>
      <c r="F23" s="231" t="s">
        <v>259</v>
      </c>
      <c r="G23" s="164">
        <v>24.710858633685</v>
      </c>
      <c r="H23" s="232" t="s">
        <v>260</v>
      </c>
      <c r="I23" s="164">
        <v>0.183853969327293</v>
      </c>
      <c r="J23" s="232" t="s">
        <v>261</v>
      </c>
      <c r="K23" s="164">
        <v>0.48650023217599497</v>
      </c>
      <c r="L23" s="232" t="s">
        <v>262</v>
      </c>
      <c r="M23" s="164">
        <v>13.715803698482899</v>
      </c>
      <c r="N23" s="154"/>
      <c r="O23" s="235"/>
      <c r="P23" s="234"/>
      <c r="Q23" s="235"/>
      <c r="R23" s="234"/>
      <c r="S23" s="235"/>
      <c r="T23" s="234"/>
      <c r="U23" s="154"/>
      <c r="V23" s="233"/>
      <c r="W23" s="234"/>
      <c r="X23" s="235"/>
      <c r="Y23" s="234"/>
      <c r="Z23" s="235"/>
      <c r="AA23" s="234"/>
      <c r="AB23" s="154"/>
      <c r="AC23" s="231" t="s">
        <v>263</v>
      </c>
      <c r="AD23" s="164">
        <v>18.252535023918998</v>
      </c>
      <c r="AE23" s="231" t="s">
        <v>264</v>
      </c>
      <c r="AF23" s="164">
        <v>18.252214926448001</v>
      </c>
      <c r="AG23" s="233" t="s">
        <v>572</v>
      </c>
      <c r="AH23" s="135">
        <v>22.5474551761158</v>
      </c>
    </row>
    <row r="24" spans="1:34" x14ac:dyDescent="0.3">
      <c r="A24" s="136"/>
      <c r="B24" s="236" t="s">
        <v>265</v>
      </c>
      <c r="C24" s="167">
        <v>13.437842570038599</v>
      </c>
      <c r="D24" s="236" t="s">
        <v>266</v>
      </c>
      <c r="E24" s="167">
        <v>13.403982008452701</v>
      </c>
      <c r="F24" s="236" t="s">
        <v>267</v>
      </c>
      <c r="G24" s="167">
        <v>15.8239651780894</v>
      </c>
      <c r="H24" s="237" t="s">
        <v>268</v>
      </c>
      <c r="I24" s="167">
        <v>2.5431736914715002E-2</v>
      </c>
      <c r="J24" s="237" t="s">
        <v>269</v>
      </c>
      <c r="K24" s="167">
        <v>1.4164150210634301</v>
      </c>
      <c r="L24" s="237" t="s">
        <v>270</v>
      </c>
      <c r="M24" s="167">
        <v>20.1892637864451</v>
      </c>
      <c r="N24" s="228"/>
      <c r="O24" s="170"/>
      <c r="P24" s="159"/>
      <c r="Q24" s="170"/>
      <c r="R24" s="159"/>
      <c r="S24" s="170"/>
      <c r="T24" s="159"/>
      <c r="U24" s="228"/>
      <c r="V24" s="141"/>
      <c r="W24" s="159"/>
      <c r="X24" s="170"/>
      <c r="Y24" s="159"/>
      <c r="Z24" s="170"/>
      <c r="AA24" s="159"/>
      <c r="AB24" s="228"/>
      <c r="AC24" s="236" t="s">
        <v>271</v>
      </c>
      <c r="AD24" s="167">
        <v>6.2520127888304202</v>
      </c>
      <c r="AE24" s="236" t="s">
        <v>272</v>
      </c>
      <c r="AF24" s="167">
        <v>6.3115670584487198</v>
      </c>
      <c r="AG24" s="141" t="s">
        <v>573</v>
      </c>
      <c r="AH24" s="128">
        <v>9.0702391516864402</v>
      </c>
    </row>
    <row r="25" spans="1:34" x14ac:dyDescent="0.3">
      <c r="A25" s="136"/>
      <c r="B25" s="236" t="s">
        <v>273</v>
      </c>
      <c r="C25" s="167">
        <v>32.848101749272502</v>
      </c>
      <c r="D25" s="236" t="s">
        <v>274</v>
      </c>
      <c r="E25" s="167">
        <v>32.796324961518401</v>
      </c>
      <c r="F25" s="236" t="s">
        <v>275</v>
      </c>
      <c r="G25" s="167">
        <v>32.817467166948198</v>
      </c>
      <c r="H25" s="237" t="s">
        <v>135</v>
      </c>
      <c r="I25" s="167">
        <v>9.7649874366337102</v>
      </c>
      <c r="J25" s="237" t="s">
        <v>276</v>
      </c>
      <c r="K25" s="167">
        <v>10.857995085291501</v>
      </c>
      <c r="L25" s="237" t="s">
        <v>277</v>
      </c>
      <c r="M25" s="167">
        <v>28.498046594775101</v>
      </c>
      <c r="N25" s="228"/>
      <c r="O25" s="170"/>
      <c r="P25" s="159"/>
      <c r="Q25" s="170"/>
      <c r="R25" s="159"/>
      <c r="S25" s="170"/>
      <c r="T25" s="159"/>
      <c r="U25" s="228"/>
      <c r="V25" s="141"/>
      <c r="W25" s="159"/>
      <c r="X25" s="170"/>
      <c r="Y25" s="159"/>
      <c r="Z25" s="170"/>
      <c r="AA25" s="159"/>
      <c r="AB25" s="228"/>
      <c r="AC25" s="236" t="s">
        <v>278</v>
      </c>
      <c r="AD25" s="167">
        <v>12.6760276660134</v>
      </c>
      <c r="AE25" s="236" t="s">
        <v>279</v>
      </c>
      <c r="AF25" s="167">
        <v>12.7782476984952</v>
      </c>
      <c r="AG25" s="141" t="s">
        <v>574</v>
      </c>
      <c r="AH25" s="128">
        <v>19.453945328053798</v>
      </c>
    </row>
    <row r="26" spans="1:34" x14ac:dyDescent="0.3">
      <c r="A26" s="136"/>
      <c r="B26" s="236" t="s">
        <v>280</v>
      </c>
      <c r="C26" s="167">
        <v>23.888837040380999</v>
      </c>
      <c r="D26" s="236" t="s">
        <v>281</v>
      </c>
      <c r="E26" s="167">
        <v>23.961908290421199</v>
      </c>
      <c r="F26" s="236" t="s">
        <v>282</v>
      </c>
      <c r="G26" s="167">
        <v>21.285095572058399</v>
      </c>
      <c r="H26" s="237" t="s">
        <v>283</v>
      </c>
      <c r="I26" s="167">
        <v>22.989656850092</v>
      </c>
      <c r="J26" s="237" t="s">
        <v>284</v>
      </c>
      <c r="K26" s="167">
        <v>24.877964586105598</v>
      </c>
      <c r="L26" s="237" t="s">
        <v>285</v>
      </c>
      <c r="M26" s="167">
        <v>13.6976373693927</v>
      </c>
      <c r="N26" s="228"/>
      <c r="O26" s="170"/>
      <c r="P26" s="159"/>
      <c r="Q26" s="170"/>
      <c r="R26" s="159"/>
      <c r="S26" s="170"/>
      <c r="T26" s="159"/>
      <c r="U26" s="228"/>
      <c r="V26" s="141"/>
      <c r="W26" s="159"/>
      <c r="X26" s="170"/>
      <c r="Y26" s="159"/>
      <c r="Z26" s="170"/>
      <c r="AA26" s="159"/>
      <c r="AB26" s="228"/>
      <c r="AC26" s="236" t="s">
        <v>286</v>
      </c>
      <c r="AD26" s="167">
        <v>27.697821519901201</v>
      </c>
      <c r="AE26" s="236" t="s">
        <v>287</v>
      </c>
      <c r="AF26" s="167">
        <v>27.3788519223055</v>
      </c>
      <c r="AG26" s="141" t="s">
        <v>575</v>
      </c>
      <c r="AH26" s="128">
        <v>28.357363993225398</v>
      </c>
    </row>
    <row r="27" spans="1:34" x14ac:dyDescent="0.3">
      <c r="A27" s="136"/>
      <c r="B27" s="236" t="s">
        <v>288</v>
      </c>
      <c r="C27" s="167">
        <v>4.4954921871354703</v>
      </c>
      <c r="D27" s="236" t="s">
        <v>289</v>
      </c>
      <c r="E27" s="167">
        <v>4.5186545897293398</v>
      </c>
      <c r="F27" s="236" t="s">
        <v>290</v>
      </c>
      <c r="G27" s="167">
        <v>3.9241973113106501</v>
      </c>
      <c r="H27" s="237" t="s">
        <v>291</v>
      </c>
      <c r="I27" s="167">
        <v>39.068256919613802</v>
      </c>
      <c r="J27" s="237" t="s">
        <v>292</v>
      </c>
      <c r="K27" s="167">
        <v>38.127111559202397</v>
      </c>
      <c r="L27" s="237" t="s">
        <v>293</v>
      </c>
      <c r="M27" s="167">
        <v>14.1358878830109</v>
      </c>
      <c r="N27" s="228"/>
      <c r="O27" s="170"/>
      <c r="P27" s="159"/>
      <c r="Q27" s="141"/>
      <c r="R27" s="159"/>
      <c r="S27" s="170"/>
      <c r="T27" s="159"/>
      <c r="U27" s="228"/>
      <c r="V27" s="141"/>
      <c r="W27" s="159"/>
      <c r="X27" s="141"/>
      <c r="Y27" s="159"/>
      <c r="Z27" s="170"/>
      <c r="AA27" s="159"/>
      <c r="AB27" s="228"/>
      <c r="AC27" s="236" t="s">
        <v>294</v>
      </c>
      <c r="AD27" s="167">
        <v>28.388359472453999</v>
      </c>
      <c r="AE27" s="236" t="s">
        <v>295</v>
      </c>
      <c r="AF27" s="167">
        <v>28.400988172277899</v>
      </c>
      <c r="AG27" s="141" t="s">
        <v>576</v>
      </c>
      <c r="AH27" s="128">
        <v>17.027098357557701</v>
      </c>
    </row>
    <row r="28" spans="1:34" ht="15" thickBot="1" x14ac:dyDescent="0.35">
      <c r="A28" s="145"/>
      <c r="B28" s="238" t="s">
        <v>296</v>
      </c>
      <c r="C28" s="239">
        <v>1.4311860795940801</v>
      </c>
      <c r="D28" s="238" t="s">
        <v>297</v>
      </c>
      <c r="E28" s="239">
        <v>1.4311860795940801</v>
      </c>
      <c r="F28" s="238" t="s">
        <v>298</v>
      </c>
      <c r="G28" s="239">
        <v>1.4384161379081</v>
      </c>
      <c r="H28" s="240" t="s">
        <v>299</v>
      </c>
      <c r="I28" s="239">
        <v>27.9678130874183</v>
      </c>
      <c r="J28" s="240" t="s">
        <v>300</v>
      </c>
      <c r="K28" s="239">
        <v>24.2340135161609</v>
      </c>
      <c r="L28" s="240" t="s">
        <v>207</v>
      </c>
      <c r="M28" s="239">
        <v>9.7633606678930107</v>
      </c>
      <c r="N28" s="87"/>
      <c r="O28" s="241"/>
      <c r="P28" s="160"/>
      <c r="Q28" s="147"/>
      <c r="R28" s="160"/>
      <c r="S28" s="241"/>
      <c r="T28" s="160"/>
      <c r="U28" s="87"/>
      <c r="V28" s="147"/>
      <c r="W28" s="160"/>
      <c r="X28" s="147"/>
      <c r="Y28" s="160"/>
      <c r="Z28" s="241"/>
      <c r="AA28" s="160"/>
      <c r="AB28" s="87"/>
      <c r="AC28" s="238" t="s">
        <v>301</v>
      </c>
      <c r="AD28" s="239">
        <v>6.7332435288816699</v>
      </c>
      <c r="AE28" s="238" t="s">
        <v>302</v>
      </c>
      <c r="AF28" s="239">
        <v>6.8781302220244198</v>
      </c>
      <c r="AG28" s="147" t="s">
        <v>577</v>
      </c>
      <c r="AH28" s="148">
        <v>3.5438979933607002</v>
      </c>
    </row>
    <row r="29" spans="1:34" ht="15" thickTop="1" x14ac:dyDescent="0.3">
      <c r="A29" s="242" t="s">
        <v>50</v>
      </c>
      <c r="B29" s="231" t="s">
        <v>303</v>
      </c>
      <c r="C29" s="164">
        <v>23.912313390000001</v>
      </c>
      <c r="D29" s="231" t="s">
        <v>304</v>
      </c>
      <c r="E29" s="164">
        <v>23.725951104907299</v>
      </c>
      <c r="F29" s="231" t="s">
        <v>305</v>
      </c>
      <c r="G29" s="164">
        <v>24.7019980667441</v>
      </c>
      <c r="H29" s="232" t="s">
        <v>306</v>
      </c>
      <c r="I29" s="164">
        <v>0.41438296476805597</v>
      </c>
      <c r="J29" s="232" t="s">
        <v>307</v>
      </c>
      <c r="K29" s="164">
        <v>2.48904574661365</v>
      </c>
      <c r="L29" s="232" t="s">
        <v>308</v>
      </c>
      <c r="M29" s="164">
        <v>13.350634713374999</v>
      </c>
      <c r="N29" s="154"/>
      <c r="O29" s="235" t="s">
        <v>539</v>
      </c>
      <c r="P29" s="135">
        <v>0.41438296476805597</v>
      </c>
      <c r="Q29" s="243" t="s">
        <v>527</v>
      </c>
      <c r="R29" s="135">
        <v>2.48904574661365</v>
      </c>
      <c r="S29" s="243" t="s">
        <v>550</v>
      </c>
      <c r="T29" s="135">
        <v>13.361695927437699</v>
      </c>
      <c r="U29" s="244"/>
      <c r="V29" s="243" t="s">
        <v>545</v>
      </c>
      <c r="W29" s="135">
        <v>0.41438296476805597</v>
      </c>
      <c r="X29" s="243" t="s">
        <v>533</v>
      </c>
      <c r="Y29" s="135">
        <v>2.48904574661365</v>
      </c>
      <c r="Z29" s="235" t="s">
        <v>555</v>
      </c>
      <c r="AA29" s="135">
        <v>13.350634713374999</v>
      </c>
      <c r="AB29" s="154"/>
      <c r="AC29" s="231" t="s">
        <v>309</v>
      </c>
      <c r="AD29" s="164">
        <v>18.252535023918998</v>
      </c>
      <c r="AE29" s="231" t="s">
        <v>310</v>
      </c>
      <c r="AF29" s="164">
        <v>18.2690813430644</v>
      </c>
      <c r="AG29" s="233" t="s">
        <v>560</v>
      </c>
      <c r="AH29" s="135">
        <v>22.522965277421498</v>
      </c>
    </row>
    <row r="30" spans="1:34" x14ac:dyDescent="0.3">
      <c r="A30" s="245"/>
      <c r="B30" s="236" t="s">
        <v>311</v>
      </c>
      <c r="C30" s="167">
        <v>13.52477208</v>
      </c>
      <c r="D30" s="236" t="s">
        <v>312</v>
      </c>
      <c r="E30" s="167">
        <v>13.3486422236788</v>
      </c>
      <c r="F30" s="236" t="s">
        <v>313</v>
      </c>
      <c r="G30" s="167">
        <v>15.855531730361999</v>
      </c>
      <c r="H30" s="237" t="s">
        <v>314</v>
      </c>
      <c r="I30" s="167">
        <v>1.3837620339819201</v>
      </c>
      <c r="J30" s="237" t="s">
        <v>315</v>
      </c>
      <c r="K30" s="167">
        <v>15.4350341711525</v>
      </c>
      <c r="L30" s="237" t="s">
        <v>316</v>
      </c>
      <c r="M30" s="167">
        <v>20.976704950163398</v>
      </c>
      <c r="N30" s="228"/>
      <c r="O30" s="170" t="s">
        <v>540</v>
      </c>
      <c r="P30" s="128">
        <v>1.3837620339819201</v>
      </c>
      <c r="Q30" s="246" t="s">
        <v>528</v>
      </c>
      <c r="R30" s="128">
        <v>15.4350341711525</v>
      </c>
      <c r="S30" s="246" t="s">
        <v>551</v>
      </c>
      <c r="T30" s="128">
        <v>20.965643736100802</v>
      </c>
      <c r="U30" s="247"/>
      <c r="V30" s="246" t="s">
        <v>546</v>
      </c>
      <c r="W30" s="128">
        <v>1.3837620339819201</v>
      </c>
      <c r="X30" s="246" t="s">
        <v>534</v>
      </c>
      <c r="Y30" s="128">
        <v>15.497959092113399</v>
      </c>
      <c r="Z30" s="170" t="s">
        <v>556</v>
      </c>
      <c r="AA30" s="128">
        <v>20.976704950163398</v>
      </c>
      <c r="AB30" s="228"/>
      <c r="AC30" s="236" t="s">
        <v>317</v>
      </c>
      <c r="AD30" s="167">
        <v>6.3020351970008397</v>
      </c>
      <c r="AE30" s="236" t="s">
        <v>318</v>
      </c>
      <c r="AF30" s="167">
        <v>6.7400904178952201</v>
      </c>
      <c r="AG30" s="141" t="s">
        <v>561</v>
      </c>
      <c r="AH30" s="128">
        <v>8.9739104742668907</v>
      </c>
    </row>
    <row r="31" spans="1:34" x14ac:dyDescent="0.3">
      <c r="A31" s="245"/>
      <c r="B31" s="236" t="s">
        <v>319</v>
      </c>
      <c r="C31" s="167">
        <v>32.958138439999999</v>
      </c>
      <c r="D31" s="236" t="s">
        <v>320</v>
      </c>
      <c r="E31" s="167">
        <v>32.767872690777999</v>
      </c>
      <c r="F31" s="236" t="s">
        <v>321</v>
      </c>
      <c r="G31" s="167">
        <v>32.890795164179998</v>
      </c>
      <c r="H31" s="237" t="s">
        <v>322</v>
      </c>
      <c r="I31" s="167">
        <v>10.7512997499382</v>
      </c>
      <c r="J31" s="237" t="s">
        <v>323</v>
      </c>
      <c r="K31" s="167">
        <v>32.064999783877198</v>
      </c>
      <c r="L31" s="237" t="s">
        <v>324</v>
      </c>
      <c r="M31" s="167">
        <v>28.143326138187799</v>
      </c>
      <c r="N31" s="228"/>
      <c r="O31" s="170" t="s">
        <v>541</v>
      </c>
      <c r="P31" s="128">
        <v>10.7512997499382</v>
      </c>
      <c r="Q31" s="246" t="s">
        <v>529</v>
      </c>
      <c r="R31" s="128">
        <v>32.064999783877198</v>
      </c>
      <c r="S31" s="246" t="s">
        <v>552</v>
      </c>
      <c r="T31" s="128">
        <v>28.143326138187799</v>
      </c>
      <c r="U31" s="247"/>
      <c r="V31" s="246" t="s">
        <v>526</v>
      </c>
      <c r="W31" s="128">
        <v>10.7512997499382</v>
      </c>
      <c r="X31" s="246" t="s">
        <v>535</v>
      </c>
      <c r="Y31" s="128">
        <v>32.002074862916302</v>
      </c>
      <c r="Z31" s="170" t="s">
        <v>557</v>
      </c>
      <c r="AA31" s="128">
        <v>28.143326138187799</v>
      </c>
      <c r="AB31" s="228"/>
      <c r="AC31" s="236" t="s">
        <v>325</v>
      </c>
      <c r="AD31" s="167">
        <v>12.778340263498301</v>
      </c>
      <c r="AE31" s="236" t="s">
        <v>326</v>
      </c>
      <c r="AF31" s="167">
        <v>13.6926363670723</v>
      </c>
      <c r="AG31" s="141" t="s">
        <v>562</v>
      </c>
      <c r="AH31" s="128">
        <v>19.4197825479214</v>
      </c>
    </row>
    <row r="32" spans="1:34" x14ac:dyDescent="0.3">
      <c r="A32" s="245"/>
      <c r="B32" s="236" t="s">
        <v>327</v>
      </c>
      <c r="C32" s="167">
        <v>23.736762479999999</v>
      </c>
      <c r="D32" s="236" t="s">
        <v>328</v>
      </c>
      <c r="E32" s="167">
        <v>24.1379694688748</v>
      </c>
      <c r="F32" s="236" t="s">
        <v>329</v>
      </c>
      <c r="G32" s="167">
        <v>21.2452111574149</v>
      </c>
      <c r="H32" s="237" t="s">
        <v>330</v>
      </c>
      <c r="I32" s="167">
        <v>24.434687367067902</v>
      </c>
      <c r="J32" s="237" t="s">
        <v>331</v>
      </c>
      <c r="K32" s="167">
        <v>23.063082600043501</v>
      </c>
      <c r="L32" s="237" t="s">
        <v>332</v>
      </c>
      <c r="M32" s="167">
        <v>13.662479047010001</v>
      </c>
      <c r="N32" s="228"/>
      <c r="O32" s="170" t="s">
        <v>542</v>
      </c>
      <c r="P32" s="128">
        <v>24.434687367067902</v>
      </c>
      <c r="Q32" s="246" t="s">
        <v>530</v>
      </c>
      <c r="R32" s="128">
        <v>23.063082600043501</v>
      </c>
      <c r="S32" s="246" t="s">
        <v>553</v>
      </c>
      <c r="T32" s="128">
        <v>13.662479047010001</v>
      </c>
      <c r="U32" s="247"/>
      <c r="V32" s="246" t="s">
        <v>547</v>
      </c>
      <c r="W32" s="128">
        <v>24.434687367067902</v>
      </c>
      <c r="X32" s="246" t="s">
        <v>536</v>
      </c>
      <c r="Y32" s="128">
        <v>23.063082600043501</v>
      </c>
      <c r="Z32" s="170" t="s">
        <v>558</v>
      </c>
      <c r="AA32" s="128">
        <v>13.662479047010001</v>
      </c>
      <c r="AB32" s="228"/>
      <c r="AC32" s="236" t="s">
        <v>334</v>
      </c>
      <c r="AD32" s="167">
        <v>27.566253249225198</v>
      </c>
      <c r="AE32" s="236" t="s">
        <v>335</v>
      </c>
      <c r="AF32" s="167">
        <v>26.7883458884987</v>
      </c>
      <c r="AG32" s="141" t="s">
        <v>563</v>
      </c>
      <c r="AH32" s="128">
        <v>28.456565887364601</v>
      </c>
    </row>
    <row r="33" spans="1:34" x14ac:dyDescent="0.3">
      <c r="A33" s="245"/>
      <c r="B33" s="236" t="s">
        <v>336</v>
      </c>
      <c r="C33" s="167">
        <v>4.436827536</v>
      </c>
      <c r="D33" s="236" t="s">
        <v>337</v>
      </c>
      <c r="E33" s="167">
        <v>4.5717384932478096</v>
      </c>
      <c r="F33" s="236" t="s">
        <v>338</v>
      </c>
      <c r="G33" s="167">
        <v>3.8290787016528798</v>
      </c>
      <c r="H33" s="237" t="s">
        <v>339</v>
      </c>
      <c r="I33" s="167">
        <v>38.1646278860321</v>
      </c>
      <c r="J33" s="237" t="s">
        <v>340</v>
      </c>
      <c r="K33" s="167">
        <v>18.473909528158</v>
      </c>
      <c r="L33" s="237" t="s">
        <v>341</v>
      </c>
      <c r="M33" s="167">
        <v>14.103494483370399</v>
      </c>
      <c r="N33" s="228"/>
      <c r="O33" s="170" t="s">
        <v>543</v>
      </c>
      <c r="P33" s="128">
        <v>38.1646278860321</v>
      </c>
      <c r="Q33" s="246" t="s">
        <v>531</v>
      </c>
      <c r="R33" s="128">
        <v>18.465270881566799</v>
      </c>
      <c r="S33" s="246" t="s">
        <v>554</v>
      </c>
      <c r="T33" s="128">
        <v>14.103494483370399</v>
      </c>
      <c r="U33" s="247"/>
      <c r="V33" s="246" t="s">
        <v>548</v>
      </c>
      <c r="W33" s="128">
        <v>38.1646278860321</v>
      </c>
      <c r="X33" s="246" t="s">
        <v>537</v>
      </c>
      <c r="Y33" s="128">
        <v>18.473909528158</v>
      </c>
      <c r="Z33" s="170" t="s">
        <v>559</v>
      </c>
      <c r="AA33" s="128">
        <v>14.103494483370399</v>
      </c>
      <c r="AB33" s="228"/>
      <c r="AC33" s="236" t="s">
        <v>342</v>
      </c>
      <c r="AD33" s="167">
        <v>28.356401710532399</v>
      </c>
      <c r="AE33" s="236" t="s">
        <v>343</v>
      </c>
      <c r="AF33" s="167">
        <v>27.902255385371099</v>
      </c>
      <c r="AG33" s="141" t="s">
        <v>564</v>
      </c>
      <c r="AH33" s="128">
        <v>17.081576277965599</v>
      </c>
    </row>
    <row r="34" spans="1:34" ht="15" thickBot="1" x14ac:dyDescent="0.35">
      <c r="A34" s="248"/>
      <c r="B34" s="238" t="s">
        <v>344</v>
      </c>
      <c r="C34" s="239">
        <v>1.43118608</v>
      </c>
      <c r="D34" s="238" t="s">
        <v>345</v>
      </c>
      <c r="E34" s="239">
        <v>1.4478260185131699</v>
      </c>
      <c r="F34" s="238" t="s">
        <v>346</v>
      </c>
      <c r="G34" s="239">
        <v>1.4773851796459001</v>
      </c>
      <c r="H34" s="240" t="s">
        <v>347</v>
      </c>
      <c r="I34" s="239">
        <v>24.851239998211501</v>
      </c>
      <c r="J34" s="240" t="s">
        <v>348</v>
      </c>
      <c r="K34" s="239">
        <v>8.4739281701548901</v>
      </c>
      <c r="L34" s="240" t="s">
        <v>207</v>
      </c>
      <c r="M34" s="239">
        <v>9.7633606678930107</v>
      </c>
      <c r="N34" s="87"/>
      <c r="O34" s="241" t="s">
        <v>544</v>
      </c>
      <c r="P34" s="148">
        <v>24.851239998211501</v>
      </c>
      <c r="Q34" s="249" t="s">
        <v>532</v>
      </c>
      <c r="R34" s="148">
        <v>8.4825668167461004</v>
      </c>
      <c r="S34" s="249" t="s">
        <v>207</v>
      </c>
      <c r="T34" s="148">
        <v>9.7633606678930107</v>
      </c>
      <c r="U34" s="250"/>
      <c r="V34" s="249" t="s">
        <v>549</v>
      </c>
      <c r="W34" s="148">
        <v>24.851239998211501</v>
      </c>
      <c r="X34" s="249" t="s">
        <v>538</v>
      </c>
      <c r="Y34" s="148">
        <v>8.4739281701548901</v>
      </c>
      <c r="Z34" s="241" t="s">
        <v>207</v>
      </c>
      <c r="AA34" s="148">
        <v>9.7633606678930107</v>
      </c>
      <c r="AB34" s="87"/>
      <c r="AC34" s="238" t="s">
        <v>349</v>
      </c>
      <c r="AD34" s="239">
        <v>6.7444345558240402</v>
      </c>
      <c r="AE34" s="238" t="s">
        <v>350</v>
      </c>
      <c r="AF34" s="239">
        <v>6.6075905980979996</v>
      </c>
      <c r="AG34" s="147" t="s">
        <v>565</v>
      </c>
      <c r="AH34" s="148">
        <v>3.54519953505979</v>
      </c>
    </row>
    <row r="35" spans="1:34" ht="15" thickTop="1" x14ac:dyDescent="0.3">
      <c r="A35" s="126" t="s">
        <v>38</v>
      </c>
      <c r="B35" s="231" t="s">
        <v>351</v>
      </c>
      <c r="C35" s="164">
        <v>23.975548622743901</v>
      </c>
      <c r="D35" s="231" t="s">
        <v>352</v>
      </c>
      <c r="E35" s="164">
        <v>23.7240682868009</v>
      </c>
      <c r="F35" s="231" t="s">
        <v>353</v>
      </c>
      <c r="G35" s="164">
        <v>24.5046812301233</v>
      </c>
      <c r="H35" s="232" t="s">
        <v>354</v>
      </c>
      <c r="I35" s="164">
        <v>0.68375917975263401</v>
      </c>
      <c r="J35" s="232" t="s">
        <v>355</v>
      </c>
      <c r="K35" s="164">
        <v>7.3839609205968397</v>
      </c>
      <c r="L35" s="232" t="s">
        <v>356</v>
      </c>
      <c r="M35" s="164">
        <v>13.342666439133</v>
      </c>
      <c r="N35" s="154"/>
      <c r="O35" s="235"/>
      <c r="P35" s="234"/>
      <c r="Q35" s="233"/>
      <c r="R35" s="234"/>
      <c r="S35" s="235"/>
      <c r="T35" s="234"/>
      <c r="U35" s="154"/>
      <c r="V35" s="233"/>
      <c r="W35" s="234"/>
      <c r="X35" s="233"/>
      <c r="Y35" s="234"/>
      <c r="Z35" s="235"/>
      <c r="AA35" s="234"/>
      <c r="AB35" s="154"/>
      <c r="AC35" s="231" t="s">
        <v>357</v>
      </c>
      <c r="AD35" s="164">
        <v>20.1217543931836</v>
      </c>
      <c r="AE35" s="231" t="s">
        <v>358</v>
      </c>
      <c r="AF35" s="164">
        <v>18.144999501677798</v>
      </c>
      <c r="AG35" s="233" t="s">
        <v>566</v>
      </c>
      <c r="AH35" s="135">
        <v>22.797103532391599</v>
      </c>
    </row>
    <row r="36" spans="1:34" x14ac:dyDescent="0.3">
      <c r="A36" s="136"/>
      <c r="B36" s="236" t="s">
        <v>359</v>
      </c>
      <c r="C36" s="167">
        <v>13.5915556649949</v>
      </c>
      <c r="D36" s="236" t="s">
        <v>360</v>
      </c>
      <c r="E36" s="167">
        <v>13.269634468504201</v>
      </c>
      <c r="F36" s="236" t="s">
        <v>361</v>
      </c>
      <c r="G36" s="167">
        <v>15.2611076492576</v>
      </c>
      <c r="H36" s="237" t="s">
        <v>362</v>
      </c>
      <c r="I36" s="167">
        <v>1.4855685819503801</v>
      </c>
      <c r="J36" s="237" t="s">
        <v>363</v>
      </c>
      <c r="K36" s="167">
        <v>14.225163992808101</v>
      </c>
      <c r="L36" s="237" t="s">
        <v>364</v>
      </c>
      <c r="M36" s="167">
        <v>21.079683044540602</v>
      </c>
      <c r="N36" s="228"/>
      <c r="O36" s="246"/>
      <c r="P36" s="159"/>
      <c r="Q36" s="141"/>
      <c r="R36" s="159"/>
      <c r="S36" s="170"/>
      <c r="T36" s="159"/>
      <c r="U36" s="228"/>
      <c r="V36" s="141"/>
      <c r="W36" s="159"/>
      <c r="X36" s="141"/>
      <c r="Y36" s="159"/>
      <c r="Z36" s="170"/>
      <c r="AA36" s="159"/>
      <c r="AB36" s="228"/>
      <c r="AC36" s="236" t="s">
        <v>365</v>
      </c>
      <c r="AD36" s="167">
        <v>8.3157271115453106</v>
      </c>
      <c r="AE36" s="236" t="s">
        <v>396</v>
      </c>
      <c r="AF36" s="167">
        <v>6.84273279210566</v>
      </c>
      <c r="AG36" s="141" t="s">
        <v>567</v>
      </c>
      <c r="AH36" s="128">
        <v>9.8157140847450197</v>
      </c>
    </row>
    <row r="37" spans="1:34" x14ac:dyDescent="0.3">
      <c r="A37" s="136"/>
      <c r="B37" s="236" t="s">
        <v>367</v>
      </c>
      <c r="C37" s="167">
        <v>33.171615755846901</v>
      </c>
      <c r="D37" s="236" t="s">
        <v>368</v>
      </c>
      <c r="E37" s="167">
        <v>32.389964365727899</v>
      </c>
      <c r="F37" s="236" t="s">
        <v>369</v>
      </c>
      <c r="G37" s="167">
        <v>32.957325215084801</v>
      </c>
      <c r="H37" s="237" t="s">
        <v>370</v>
      </c>
      <c r="I37" s="167">
        <v>11.1935705758853</v>
      </c>
      <c r="J37" s="237" t="s">
        <v>371</v>
      </c>
      <c r="K37" s="167">
        <v>27.4533365036805</v>
      </c>
      <c r="L37" s="237" t="s">
        <v>372</v>
      </c>
      <c r="M37" s="167">
        <v>27.847146228514799</v>
      </c>
      <c r="N37" s="228"/>
      <c r="O37" s="170"/>
      <c r="P37" s="159"/>
      <c r="Q37" s="141"/>
      <c r="R37" s="159"/>
      <c r="S37" s="170"/>
      <c r="T37" s="159"/>
      <c r="U37" s="228"/>
      <c r="V37" s="141"/>
      <c r="W37" s="159"/>
      <c r="X37" s="141"/>
      <c r="Y37" s="159"/>
      <c r="Z37" s="170"/>
      <c r="AA37" s="159"/>
      <c r="AB37" s="228"/>
      <c r="AC37" s="236" t="s">
        <v>373</v>
      </c>
      <c r="AD37" s="167">
        <v>18.501762785162299</v>
      </c>
      <c r="AE37" s="236" t="s">
        <v>366</v>
      </c>
      <c r="AF37" s="167">
        <v>14.0389363772357</v>
      </c>
      <c r="AG37" s="141" t="s">
        <v>568</v>
      </c>
      <c r="AH37" s="128">
        <v>22.615769732529898</v>
      </c>
    </row>
    <row r="38" spans="1:34" x14ac:dyDescent="0.3">
      <c r="A38" s="136"/>
      <c r="B38" s="236" t="s">
        <v>375</v>
      </c>
      <c r="C38" s="167">
        <v>23.413925165968301</v>
      </c>
      <c r="D38" s="236" t="s">
        <v>376</v>
      </c>
      <c r="E38" s="167">
        <v>24.472395162118499</v>
      </c>
      <c r="F38" s="236" t="s">
        <v>377</v>
      </c>
      <c r="G38" s="167">
        <v>21.814740985334499</v>
      </c>
      <c r="H38" s="237" t="s">
        <v>378</v>
      </c>
      <c r="I38" s="167">
        <v>26.5338380722837</v>
      </c>
      <c r="J38" s="237" t="s">
        <v>379</v>
      </c>
      <c r="K38" s="167">
        <v>24.347869251841601</v>
      </c>
      <c r="L38" s="237" t="s">
        <v>380</v>
      </c>
      <c r="M38" s="167">
        <v>13.5972885241142</v>
      </c>
      <c r="N38" s="228"/>
      <c r="O38" s="170"/>
      <c r="P38" s="159"/>
      <c r="Q38" s="141"/>
      <c r="R38" s="159"/>
      <c r="S38" s="170"/>
      <c r="T38" s="159"/>
      <c r="U38" s="228"/>
      <c r="V38" s="141"/>
      <c r="W38" s="159"/>
      <c r="X38" s="141"/>
      <c r="Y38" s="159"/>
      <c r="Z38" s="170"/>
      <c r="AA38" s="159"/>
      <c r="AB38" s="228"/>
      <c r="AC38" s="236" t="s">
        <v>381</v>
      </c>
      <c r="AD38" s="167">
        <v>27.8115388820936</v>
      </c>
      <c r="AE38" s="236" t="s">
        <v>374</v>
      </c>
      <c r="AF38" s="167">
        <v>26.318497926607002</v>
      </c>
      <c r="AG38" s="141" t="s">
        <v>569</v>
      </c>
      <c r="AH38" s="128">
        <v>26.1508230504419</v>
      </c>
    </row>
    <row r="39" spans="1:34" x14ac:dyDescent="0.3">
      <c r="A39" s="136"/>
      <c r="B39" s="236" t="s">
        <v>383</v>
      </c>
      <c r="C39" s="167">
        <v>4.4161687108515899</v>
      </c>
      <c r="D39" s="236" t="s">
        <v>384</v>
      </c>
      <c r="E39" s="167">
        <v>4.7522679285659502</v>
      </c>
      <c r="F39" s="236" t="s">
        <v>385</v>
      </c>
      <c r="G39" s="167">
        <v>3.9213289003592999</v>
      </c>
      <c r="H39" s="237" t="s">
        <v>386</v>
      </c>
      <c r="I39" s="167">
        <v>38.1108662580898</v>
      </c>
      <c r="J39" s="237" t="s">
        <v>387</v>
      </c>
      <c r="K39" s="167">
        <v>16.826308663179699</v>
      </c>
      <c r="L39" s="237" t="s">
        <v>388</v>
      </c>
      <c r="M39" s="167">
        <v>14.3698550958042</v>
      </c>
      <c r="N39" s="228"/>
      <c r="O39" s="170"/>
      <c r="P39" s="159"/>
      <c r="Q39" s="141"/>
      <c r="R39" s="159"/>
      <c r="S39" s="170"/>
      <c r="T39" s="159"/>
      <c r="U39" s="228"/>
      <c r="V39" s="141"/>
      <c r="W39" s="159"/>
      <c r="X39" s="141"/>
      <c r="Y39" s="159"/>
      <c r="Z39" s="170"/>
      <c r="AA39" s="159"/>
      <c r="AB39" s="228"/>
      <c r="AC39" s="236" t="s">
        <v>389</v>
      </c>
      <c r="AD39" s="167">
        <v>20.470457204241399</v>
      </c>
      <c r="AE39" s="236" t="s">
        <v>382</v>
      </c>
      <c r="AF39" s="167">
        <v>27.583767496034099</v>
      </c>
      <c r="AG39" s="141" t="s">
        <v>570</v>
      </c>
      <c r="AH39" s="128">
        <v>15.351959818039401</v>
      </c>
    </row>
    <row r="40" spans="1:34" ht="15" thickBot="1" x14ac:dyDescent="0.35">
      <c r="A40" s="145"/>
      <c r="B40" s="238" t="s">
        <v>391</v>
      </c>
      <c r="C40" s="239">
        <v>1.4311860795940801</v>
      </c>
      <c r="D40" s="238" t="s">
        <v>392</v>
      </c>
      <c r="E40" s="239">
        <v>1.3916697882822999</v>
      </c>
      <c r="F40" s="238" t="s">
        <v>393</v>
      </c>
      <c r="G40" s="239">
        <v>1.54081601984032</v>
      </c>
      <c r="H40" s="240" t="s">
        <v>394</v>
      </c>
      <c r="I40" s="239">
        <v>21.9923973320379</v>
      </c>
      <c r="J40" s="240" t="s">
        <v>20</v>
      </c>
      <c r="K40" s="239">
        <v>9.7633606678930107</v>
      </c>
      <c r="L40" s="240" t="s">
        <v>333</v>
      </c>
      <c r="M40" s="239">
        <v>9.7633606678930107</v>
      </c>
      <c r="N40" s="87"/>
      <c r="O40" s="241"/>
      <c r="P40" s="160"/>
      <c r="Q40" s="147"/>
      <c r="R40" s="160"/>
      <c r="S40" s="241"/>
      <c r="T40" s="160"/>
      <c r="U40" s="87"/>
      <c r="V40" s="147"/>
      <c r="W40" s="160"/>
      <c r="X40" s="147"/>
      <c r="Y40" s="160"/>
      <c r="Z40" s="241"/>
      <c r="AA40" s="160"/>
      <c r="AB40" s="87"/>
      <c r="AC40" s="238" t="s">
        <v>395</v>
      </c>
      <c r="AD40" s="239">
        <v>4.7787596237735697</v>
      </c>
      <c r="AE40" s="238" t="s">
        <v>390</v>
      </c>
      <c r="AF40" s="239">
        <v>7.0710659063394496</v>
      </c>
      <c r="AG40" s="147" t="s">
        <v>571</v>
      </c>
      <c r="AH40" s="148">
        <v>3.2686297818518901</v>
      </c>
    </row>
    <row r="41" spans="1:34" ht="15" thickTop="1" x14ac:dyDescent="0.3">
      <c r="A41" s="126" t="s">
        <v>39</v>
      </c>
      <c r="B41" s="231" t="s">
        <v>397</v>
      </c>
      <c r="C41" s="164">
        <v>24.086630497161298</v>
      </c>
      <c r="D41" s="231" t="s">
        <v>398</v>
      </c>
      <c r="E41" s="164">
        <v>24.086630497161298</v>
      </c>
      <c r="F41" s="231" t="s">
        <v>399</v>
      </c>
      <c r="G41" s="164">
        <v>24.309498362071</v>
      </c>
      <c r="H41" s="232" t="s">
        <v>400</v>
      </c>
      <c r="I41" s="164">
        <v>13.4151747261506</v>
      </c>
      <c r="J41" s="232" t="s">
        <v>401</v>
      </c>
      <c r="K41" s="164">
        <v>1.6414828834786599</v>
      </c>
      <c r="L41" s="232" t="s">
        <v>308</v>
      </c>
      <c r="M41" s="164">
        <v>13.350634713374999</v>
      </c>
      <c r="N41" s="154"/>
      <c r="O41" s="235"/>
      <c r="P41" s="234"/>
      <c r="Q41" s="235"/>
      <c r="R41" s="234"/>
      <c r="S41" s="235"/>
      <c r="T41" s="234"/>
      <c r="U41" s="154"/>
      <c r="V41" s="233"/>
      <c r="W41" s="234"/>
      <c r="X41" s="235"/>
      <c r="Y41" s="234"/>
      <c r="Z41" s="235"/>
      <c r="AA41" s="234"/>
      <c r="AB41" s="154"/>
      <c r="AC41" s="231" t="s">
        <v>402</v>
      </c>
      <c r="AD41" s="164">
        <v>21.544728602377798</v>
      </c>
      <c r="AE41" s="231" t="s">
        <v>403</v>
      </c>
      <c r="AF41" s="164">
        <v>21.544728602377798</v>
      </c>
      <c r="AG41" s="233" t="s">
        <v>590</v>
      </c>
      <c r="AH41" s="135">
        <v>23.685600678476899</v>
      </c>
    </row>
    <row r="42" spans="1:34" x14ac:dyDescent="0.3">
      <c r="A42" s="136"/>
      <c r="B42" s="236" t="s">
        <v>404</v>
      </c>
      <c r="C42" s="167">
        <v>13.636225889339</v>
      </c>
      <c r="D42" s="236" t="s">
        <v>405</v>
      </c>
      <c r="E42" s="167">
        <v>13.6088152212869</v>
      </c>
      <c r="F42" s="236" t="s">
        <v>406</v>
      </c>
      <c r="G42" s="167">
        <v>14.902751236742199</v>
      </c>
      <c r="H42" s="237" t="s">
        <v>407</v>
      </c>
      <c r="I42" s="167">
        <v>20.934839049815501</v>
      </c>
      <c r="J42" s="237" t="s">
        <v>408</v>
      </c>
      <c r="K42" s="167">
        <v>2.2361894132534701</v>
      </c>
      <c r="L42" s="237" t="s">
        <v>316</v>
      </c>
      <c r="M42" s="167">
        <v>20.976704950163398</v>
      </c>
      <c r="N42" s="228"/>
      <c r="O42" s="170"/>
      <c r="P42" s="159"/>
      <c r="Q42" s="170"/>
      <c r="R42" s="159"/>
      <c r="S42" s="170"/>
      <c r="T42" s="159"/>
      <c r="U42" s="228"/>
      <c r="V42" s="141"/>
      <c r="W42" s="159"/>
      <c r="X42" s="170"/>
      <c r="Y42" s="159"/>
      <c r="Z42" s="170"/>
      <c r="AA42" s="159"/>
      <c r="AB42" s="228"/>
      <c r="AC42" s="236" t="s">
        <v>409</v>
      </c>
      <c r="AD42" s="167">
        <v>9.2313360224941796</v>
      </c>
      <c r="AE42" s="236" t="s">
        <v>410</v>
      </c>
      <c r="AF42" s="167">
        <v>9.3744338975873198</v>
      </c>
      <c r="AG42" s="141" t="s">
        <v>591</v>
      </c>
      <c r="AH42" s="128">
        <v>28.0122359150518</v>
      </c>
    </row>
    <row r="43" spans="1:34" x14ac:dyDescent="0.3">
      <c r="A43" s="136"/>
      <c r="B43" s="236" t="s">
        <v>411</v>
      </c>
      <c r="C43" s="167">
        <v>33.157060844201297</v>
      </c>
      <c r="D43" s="236" t="s">
        <v>412</v>
      </c>
      <c r="E43" s="167">
        <v>33.123819448361402</v>
      </c>
      <c r="F43" s="236" t="s">
        <v>413</v>
      </c>
      <c r="G43" s="167">
        <v>32.969267227015898</v>
      </c>
      <c r="H43" s="237" t="s">
        <v>414</v>
      </c>
      <c r="I43" s="167">
        <v>28.1607151219469</v>
      </c>
      <c r="J43" s="237" t="s">
        <v>276</v>
      </c>
      <c r="K43" s="167">
        <v>31.388123295562799</v>
      </c>
      <c r="L43" s="237" t="s">
        <v>324</v>
      </c>
      <c r="M43" s="167">
        <v>28.143326138187799</v>
      </c>
      <c r="N43" s="228"/>
      <c r="O43" s="170"/>
      <c r="P43" s="159"/>
      <c r="Q43" s="170"/>
      <c r="R43" s="159"/>
      <c r="S43" s="170"/>
      <c r="T43" s="159"/>
      <c r="U43" s="228"/>
      <c r="V43" s="141"/>
      <c r="W43" s="159"/>
      <c r="X43" s="170"/>
      <c r="Y43" s="159"/>
      <c r="Z43" s="170"/>
      <c r="AA43" s="159"/>
      <c r="AB43" s="228"/>
      <c r="AC43" s="236" t="s">
        <v>415</v>
      </c>
      <c r="AD43" s="167">
        <v>19.8480296493594</v>
      </c>
      <c r="AE43" s="236" t="s">
        <v>416</v>
      </c>
      <c r="AF43" s="167">
        <v>20.3214654986031</v>
      </c>
      <c r="AG43" s="141" t="s">
        <v>592</v>
      </c>
      <c r="AH43" s="128">
        <v>25.793340037155801</v>
      </c>
    </row>
    <row r="44" spans="1:34" x14ac:dyDescent="0.3">
      <c r="A44" s="136"/>
      <c r="B44" s="236" t="s">
        <v>417</v>
      </c>
      <c r="C44" s="167">
        <v>23.288301600607401</v>
      </c>
      <c r="D44" s="236" t="s">
        <v>418</v>
      </c>
      <c r="E44" s="167">
        <v>23.324440406844001</v>
      </c>
      <c r="F44" s="236" t="s">
        <v>419</v>
      </c>
      <c r="G44" s="167">
        <v>22.718475049724201</v>
      </c>
      <c r="H44" s="237" t="s">
        <v>420</v>
      </c>
      <c r="I44" s="167">
        <v>13.644496213264601</v>
      </c>
      <c r="J44" s="237" t="s">
        <v>421</v>
      </c>
      <c r="K44" s="167">
        <v>27.905374696013101</v>
      </c>
      <c r="L44" s="237" t="s">
        <v>332</v>
      </c>
      <c r="M44" s="167">
        <v>13.662479047010001</v>
      </c>
      <c r="N44" s="228"/>
      <c r="O44" s="170"/>
      <c r="P44" s="159"/>
      <c r="Q44" s="170"/>
      <c r="R44" s="159"/>
      <c r="S44" s="170"/>
      <c r="T44" s="159"/>
      <c r="U44" s="228"/>
      <c r="V44" s="141"/>
      <c r="W44" s="159"/>
      <c r="X44" s="170"/>
      <c r="Y44" s="159"/>
      <c r="Z44" s="170"/>
      <c r="AA44" s="159"/>
      <c r="AB44" s="228"/>
      <c r="AC44" s="236" t="s">
        <v>422</v>
      </c>
      <c r="AD44" s="167">
        <v>27.317223016444501</v>
      </c>
      <c r="AE44" s="236" t="s">
        <v>423</v>
      </c>
      <c r="AF44" s="167">
        <v>26.818901167556401</v>
      </c>
      <c r="AG44" s="141" t="s">
        <v>593</v>
      </c>
      <c r="AH44" s="128">
        <v>7.4050925562294996</v>
      </c>
    </row>
    <row r="45" spans="1:34" x14ac:dyDescent="0.3">
      <c r="A45" s="136"/>
      <c r="B45" s="236" t="s">
        <v>424</v>
      </c>
      <c r="C45" s="167">
        <v>4.3863705444246701</v>
      </c>
      <c r="D45" s="236" t="s">
        <v>425</v>
      </c>
      <c r="E45" s="167">
        <v>4.4108838020801597</v>
      </c>
      <c r="F45" s="236" t="s">
        <v>426</v>
      </c>
      <c r="G45" s="167">
        <v>3.5872351199701602</v>
      </c>
      <c r="H45" s="237" t="s">
        <v>427</v>
      </c>
      <c r="I45" s="167">
        <v>14.0814142209291</v>
      </c>
      <c r="J45" s="237" t="s">
        <v>428</v>
      </c>
      <c r="K45" s="167">
        <v>24.4995875075365</v>
      </c>
      <c r="L45" s="237" t="s">
        <v>341</v>
      </c>
      <c r="M45" s="167">
        <v>14.103494483370399</v>
      </c>
      <c r="N45" s="228"/>
      <c r="O45" s="170"/>
      <c r="P45" s="159"/>
      <c r="Q45" s="170"/>
      <c r="R45" s="159"/>
      <c r="S45" s="170"/>
      <c r="T45" s="159"/>
      <c r="U45" s="228"/>
      <c r="V45" s="141"/>
      <c r="W45" s="159"/>
      <c r="X45" s="170"/>
      <c r="Y45" s="159"/>
      <c r="Z45" s="170"/>
      <c r="AA45" s="159"/>
      <c r="AB45" s="228"/>
      <c r="AC45" s="236" t="s">
        <v>429</v>
      </c>
      <c r="AD45" s="167">
        <v>18.404154615258999</v>
      </c>
      <c r="AE45" s="236" t="s">
        <v>430</v>
      </c>
      <c r="AF45" s="167">
        <v>18.1900230179224</v>
      </c>
      <c r="AG45" s="141" t="s">
        <v>594</v>
      </c>
      <c r="AH45" s="128">
        <v>2.5537262401410299</v>
      </c>
    </row>
    <row r="46" spans="1:34" ht="15" thickBot="1" x14ac:dyDescent="0.35">
      <c r="A46" s="145"/>
      <c r="B46" s="238" t="s">
        <v>431</v>
      </c>
      <c r="C46" s="239">
        <v>1.44541062426606</v>
      </c>
      <c r="D46" s="238" t="s">
        <v>432</v>
      </c>
      <c r="E46" s="239">
        <v>1.44541062426606</v>
      </c>
      <c r="F46" s="238" t="s">
        <v>433</v>
      </c>
      <c r="G46" s="239">
        <v>1.5127730044762999</v>
      </c>
      <c r="H46" s="240" t="s">
        <v>207</v>
      </c>
      <c r="I46" s="239">
        <v>9.7633606678930107</v>
      </c>
      <c r="J46" s="240" t="s">
        <v>434</v>
      </c>
      <c r="K46" s="239">
        <v>12.3292422041553</v>
      </c>
      <c r="L46" s="240" t="s">
        <v>207</v>
      </c>
      <c r="M46" s="239">
        <v>9.7633606678930107</v>
      </c>
      <c r="N46" s="87"/>
      <c r="O46" s="241"/>
      <c r="P46" s="160"/>
      <c r="Q46" s="241"/>
      <c r="R46" s="160"/>
      <c r="S46" s="241"/>
      <c r="T46" s="160"/>
      <c r="U46" s="87"/>
      <c r="V46" s="147"/>
      <c r="W46" s="160"/>
      <c r="X46" s="241"/>
      <c r="Y46" s="160"/>
      <c r="Z46" s="241"/>
      <c r="AA46" s="160"/>
      <c r="AB46" s="87"/>
      <c r="AC46" s="238" t="s">
        <v>435</v>
      </c>
      <c r="AD46" s="239">
        <v>3.6545280940647902</v>
      </c>
      <c r="AE46" s="238" t="s">
        <v>436</v>
      </c>
      <c r="AF46" s="239">
        <v>3.7504478159527501</v>
      </c>
      <c r="AG46" s="147" t="s">
        <v>595</v>
      </c>
      <c r="AH46" s="148">
        <v>12.5500045729448</v>
      </c>
    </row>
    <row r="47" spans="1:34" ht="15" thickTop="1" x14ac:dyDescent="0.3">
      <c r="A47" s="126" t="s">
        <v>40</v>
      </c>
      <c r="B47" s="231" t="s">
        <v>437</v>
      </c>
      <c r="C47" s="164">
        <v>24.095047754752699</v>
      </c>
      <c r="D47" s="231" t="s">
        <v>438</v>
      </c>
      <c r="E47" s="164">
        <v>24.078965038437399</v>
      </c>
      <c r="F47" s="231" t="s">
        <v>439</v>
      </c>
      <c r="G47" s="164">
        <v>24.358393218061099</v>
      </c>
      <c r="H47" s="232" t="s">
        <v>440</v>
      </c>
      <c r="I47" s="164">
        <v>13.205936310054</v>
      </c>
      <c r="J47" s="232" t="s">
        <v>441</v>
      </c>
      <c r="K47" s="164">
        <v>5.1497045037068796</v>
      </c>
      <c r="L47" s="232" t="s">
        <v>442</v>
      </c>
      <c r="M47" s="164">
        <v>13.298775094090599</v>
      </c>
      <c r="N47" s="154"/>
      <c r="O47" s="235"/>
      <c r="P47" s="234"/>
      <c r="Q47" s="235"/>
      <c r="R47" s="234"/>
      <c r="S47" s="235"/>
      <c r="T47" s="234"/>
      <c r="U47" s="154"/>
      <c r="V47" s="233"/>
      <c r="W47" s="234"/>
      <c r="X47" s="235"/>
      <c r="Y47" s="234"/>
      <c r="Z47" s="235"/>
      <c r="AA47" s="234"/>
      <c r="AB47" s="154"/>
      <c r="AC47" s="231" t="s">
        <v>443</v>
      </c>
      <c r="AD47" s="164">
        <v>21.5606971397638</v>
      </c>
      <c r="AE47" s="231" t="s">
        <v>444</v>
      </c>
      <c r="AF47" s="164">
        <v>21.280373296986401</v>
      </c>
      <c r="AG47" s="233" t="s">
        <v>578</v>
      </c>
      <c r="AH47" s="135">
        <v>23.677573206353099</v>
      </c>
    </row>
    <row r="48" spans="1:34" x14ac:dyDescent="0.3">
      <c r="A48" s="136"/>
      <c r="B48" s="236" t="s">
        <v>445</v>
      </c>
      <c r="C48" s="167">
        <v>13.6103066953126</v>
      </c>
      <c r="D48" s="236" t="s">
        <v>446</v>
      </c>
      <c r="E48" s="167">
        <v>13.675972600576401</v>
      </c>
      <c r="F48" s="236" t="s">
        <v>447</v>
      </c>
      <c r="G48" s="167">
        <v>14.743861531698199</v>
      </c>
      <c r="H48" s="237" t="s">
        <v>448</v>
      </c>
      <c r="I48" s="167">
        <v>21.119974629379801</v>
      </c>
      <c r="J48" s="237" t="s">
        <v>449</v>
      </c>
      <c r="K48" s="167">
        <v>11.583750791012401</v>
      </c>
      <c r="L48" s="237" t="s">
        <v>450</v>
      </c>
      <c r="M48" s="167">
        <v>21.063182523673401</v>
      </c>
      <c r="N48" s="228"/>
      <c r="O48" s="170"/>
      <c r="P48" s="159"/>
      <c r="Q48" s="170"/>
      <c r="R48" s="159"/>
      <c r="S48" s="170"/>
      <c r="T48" s="159"/>
      <c r="U48" s="228"/>
      <c r="V48" s="141"/>
      <c r="W48" s="159"/>
      <c r="X48" s="170"/>
      <c r="Y48" s="159"/>
      <c r="Z48" s="170"/>
      <c r="AA48" s="159"/>
      <c r="AB48" s="228"/>
      <c r="AC48" s="236" t="s">
        <v>451</v>
      </c>
      <c r="AD48" s="167">
        <v>9.3332715250078593</v>
      </c>
      <c r="AE48" s="236" t="s">
        <v>452</v>
      </c>
      <c r="AF48" s="167">
        <v>8.8676781876071402</v>
      </c>
      <c r="AG48" s="141" t="s">
        <v>583</v>
      </c>
      <c r="AH48" s="128">
        <v>12.495931918973</v>
      </c>
    </row>
    <row r="49" spans="1:34" x14ac:dyDescent="0.3">
      <c r="A49" s="136"/>
      <c r="B49" s="236" t="s">
        <v>453</v>
      </c>
      <c r="C49" s="167">
        <v>33.133901103200699</v>
      </c>
      <c r="D49" s="236" t="s">
        <v>454</v>
      </c>
      <c r="E49" s="167">
        <v>33.1933148615554</v>
      </c>
      <c r="F49" s="236" t="s">
        <v>455</v>
      </c>
      <c r="G49" s="167">
        <v>32.969154214338403</v>
      </c>
      <c r="H49" s="237" t="s">
        <v>456</v>
      </c>
      <c r="I49" s="167">
        <v>28.1241005336387</v>
      </c>
      <c r="J49" s="237" t="s">
        <v>457</v>
      </c>
      <c r="K49" s="167">
        <v>26.110701118724698</v>
      </c>
      <c r="L49" s="237" t="s">
        <v>458</v>
      </c>
      <c r="M49" s="167">
        <v>28.136447778600498</v>
      </c>
      <c r="N49" s="228"/>
      <c r="O49" s="170"/>
      <c r="P49" s="159"/>
      <c r="Q49" s="170"/>
      <c r="R49" s="159"/>
      <c r="S49" s="170"/>
      <c r="T49" s="159"/>
      <c r="U49" s="228"/>
      <c r="V49" s="141"/>
      <c r="W49" s="159"/>
      <c r="X49" s="170"/>
      <c r="Y49" s="159"/>
      <c r="Z49" s="170"/>
      <c r="AA49" s="159"/>
      <c r="AB49" s="228"/>
      <c r="AC49" s="236" t="s">
        <v>459</v>
      </c>
      <c r="AD49" s="167">
        <v>20.1968006437037</v>
      </c>
      <c r="AE49" s="236" t="s">
        <v>460</v>
      </c>
      <c r="AF49" s="167">
        <v>19.473386425173501</v>
      </c>
      <c r="AG49" s="141" t="s">
        <v>579</v>
      </c>
      <c r="AH49" s="128">
        <v>27.927324837383601</v>
      </c>
    </row>
    <row r="50" spans="1:34" x14ac:dyDescent="0.3">
      <c r="A50" s="136"/>
      <c r="B50" s="236" t="s">
        <v>461</v>
      </c>
      <c r="C50" s="167">
        <v>23.309758553795099</v>
      </c>
      <c r="D50" s="236" t="s">
        <v>462</v>
      </c>
      <c r="E50" s="167">
        <v>23.2011983557131</v>
      </c>
      <c r="F50" s="236" t="s">
        <v>463</v>
      </c>
      <c r="G50" s="167">
        <v>22.798081993848498</v>
      </c>
      <c r="H50" s="237" t="s">
        <v>464</v>
      </c>
      <c r="I50" s="167">
        <v>13.687889080323</v>
      </c>
      <c r="J50" s="237" t="s">
        <v>465</v>
      </c>
      <c r="K50" s="167">
        <v>29.872838832705899</v>
      </c>
      <c r="L50" s="237" t="s">
        <v>466</v>
      </c>
      <c r="M50" s="167">
        <v>13.5945622230336</v>
      </c>
      <c r="N50" s="228"/>
      <c r="O50" s="170"/>
      <c r="P50" s="159"/>
      <c r="Q50" s="170"/>
      <c r="R50" s="159"/>
      <c r="S50" s="170"/>
      <c r="T50" s="159"/>
      <c r="U50" s="228"/>
      <c r="V50" s="141"/>
      <c r="W50" s="159"/>
      <c r="X50" s="170"/>
      <c r="Y50" s="159"/>
      <c r="Z50" s="170"/>
      <c r="AA50" s="159"/>
      <c r="AB50" s="228"/>
      <c r="AC50" s="236" t="s">
        <v>467</v>
      </c>
      <c r="AD50" s="167">
        <v>27.101080504790801</v>
      </c>
      <c r="AE50" s="236" t="s">
        <v>468</v>
      </c>
      <c r="AF50" s="167">
        <v>26.817464920070201</v>
      </c>
      <c r="AG50" s="141" t="s">
        <v>580</v>
      </c>
      <c r="AH50" s="128">
        <v>25.873540034098401</v>
      </c>
    </row>
    <row r="51" spans="1:34" x14ac:dyDescent="0.3">
      <c r="A51" s="136"/>
      <c r="B51" s="236" t="s">
        <v>469</v>
      </c>
      <c r="C51" s="167">
        <v>4.4055752686725604</v>
      </c>
      <c r="D51" s="236" t="s">
        <v>470</v>
      </c>
      <c r="E51" s="167">
        <v>4.4193630641233401</v>
      </c>
      <c r="F51" s="236" t="s">
        <v>471</v>
      </c>
      <c r="G51" s="167">
        <v>3.6177360375771701</v>
      </c>
      <c r="H51" s="237" t="s">
        <v>472</v>
      </c>
      <c r="I51" s="167">
        <v>14.0987387787112</v>
      </c>
      <c r="J51" s="237" t="s">
        <v>473</v>
      </c>
      <c r="K51" s="167">
        <v>17.519644085956902</v>
      </c>
      <c r="L51" s="237" t="s">
        <v>474</v>
      </c>
      <c r="M51" s="167">
        <v>14.143671712708599</v>
      </c>
      <c r="N51" s="228"/>
      <c r="O51" s="170"/>
      <c r="P51" s="159"/>
      <c r="Q51" s="170"/>
      <c r="R51" s="159"/>
      <c r="S51" s="170"/>
      <c r="T51" s="159"/>
      <c r="U51" s="228"/>
      <c r="V51" s="141"/>
      <c r="W51" s="159"/>
      <c r="X51" s="170"/>
      <c r="Y51" s="159"/>
      <c r="Z51" s="170"/>
      <c r="AA51" s="159"/>
      <c r="AB51" s="228"/>
      <c r="AC51" s="236" t="s">
        <v>475</v>
      </c>
      <c r="AD51" s="167">
        <v>18.136707997612799</v>
      </c>
      <c r="AE51" s="236" t="s">
        <v>476</v>
      </c>
      <c r="AF51" s="167">
        <v>19.479196537504201</v>
      </c>
      <c r="AG51" s="141" t="s">
        <v>581</v>
      </c>
      <c r="AH51" s="128">
        <v>7.4725919021072604</v>
      </c>
    </row>
    <row r="52" spans="1:34" ht="15" thickBot="1" x14ac:dyDescent="0.35">
      <c r="A52" s="145"/>
      <c r="B52" s="238" t="s">
        <v>477</v>
      </c>
      <c r="C52" s="239">
        <v>1.44541062426606</v>
      </c>
      <c r="D52" s="238" t="s">
        <v>478</v>
      </c>
      <c r="E52" s="239">
        <v>1.4311860795940801</v>
      </c>
      <c r="F52" s="238" t="s">
        <v>479</v>
      </c>
      <c r="G52" s="239">
        <v>1.5127730044762999</v>
      </c>
      <c r="H52" s="240" t="s">
        <v>207</v>
      </c>
      <c r="I52" s="239">
        <v>9.7633606678930107</v>
      </c>
      <c r="J52" s="240" t="s">
        <v>20</v>
      </c>
      <c r="K52" s="239">
        <v>9.7633606678930107</v>
      </c>
      <c r="L52" s="240" t="s">
        <v>333</v>
      </c>
      <c r="M52" s="239">
        <v>9.7633606678930107</v>
      </c>
      <c r="N52" s="87"/>
      <c r="O52" s="241"/>
      <c r="P52" s="160"/>
      <c r="Q52" s="241"/>
      <c r="R52" s="160"/>
      <c r="S52" s="241"/>
      <c r="T52" s="160"/>
      <c r="U52" s="87"/>
      <c r="V52" s="147"/>
      <c r="W52" s="160"/>
      <c r="X52" s="241"/>
      <c r="Y52" s="160"/>
      <c r="Z52" s="241"/>
      <c r="AA52" s="160"/>
      <c r="AB52" s="87"/>
      <c r="AC52" s="238" t="s">
        <v>480</v>
      </c>
      <c r="AD52" s="239">
        <v>3.6714421891208202</v>
      </c>
      <c r="AE52" s="238" t="s">
        <v>481</v>
      </c>
      <c r="AF52" s="239">
        <v>4.0819006326584599</v>
      </c>
      <c r="AG52" s="147" t="s">
        <v>582</v>
      </c>
      <c r="AH52" s="148">
        <v>2.5530381010845198</v>
      </c>
    </row>
    <row r="53" spans="1:34" ht="15" thickTop="1" x14ac:dyDescent="0.3">
      <c r="A53" s="126" t="s">
        <v>41</v>
      </c>
      <c r="B53" s="231" t="s">
        <v>482</v>
      </c>
      <c r="C53" s="164">
        <v>24.1043273933108</v>
      </c>
      <c r="D53" s="231" t="s">
        <v>483</v>
      </c>
      <c r="E53" s="164">
        <v>23.865706339219901</v>
      </c>
      <c r="F53" s="231" t="s">
        <v>484</v>
      </c>
      <c r="G53" s="164">
        <v>23.829991563771301</v>
      </c>
      <c r="H53" s="232" t="s">
        <v>485</v>
      </c>
      <c r="I53" s="164">
        <v>13.373237481853799</v>
      </c>
      <c r="J53" s="232" t="s">
        <v>486</v>
      </c>
      <c r="K53" s="164">
        <v>7.9633700545660604</v>
      </c>
      <c r="L53" s="232" t="s">
        <v>487</v>
      </c>
      <c r="M53" s="164">
        <v>13.405821508704101</v>
      </c>
      <c r="N53" s="154"/>
      <c r="O53" s="235"/>
      <c r="P53" s="234"/>
      <c r="Q53" s="235"/>
      <c r="R53" s="234"/>
      <c r="S53" s="235"/>
      <c r="T53" s="234"/>
      <c r="U53" s="154"/>
      <c r="V53" s="233"/>
      <c r="W53" s="234"/>
      <c r="X53" s="235"/>
      <c r="Y53" s="234"/>
      <c r="Z53" s="235"/>
      <c r="AA53" s="234"/>
      <c r="AB53" s="154"/>
      <c r="AC53" s="231" t="s">
        <v>168</v>
      </c>
      <c r="AD53" s="164">
        <v>21.5624454241504</v>
      </c>
      <c r="AE53" s="231" t="s">
        <v>488</v>
      </c>
      <c r="AF53" s="164">
        <v>21.216094687948999</v>
      </c>
      <c r="AG53" s="233" t="s">
        <v>584</v>
      </c>
      <c r="AH53" s="135">
        <v>23.672264814795501</v>
      </c>
    </row>
    <row r="54" spans="1:34" x14ac:dyDescent="0.3">
      <c r="A54" s="136"/>
      <c r="B54" s="236" t="s">
        <v>489</v>
      </c>
      <c r="C54" s="167">
        <v>13.677948361230399</v>
      </c>
      <c r="D54" s="236" t="s">
        <v>490</v>
      </c>
      <c r="E54" s="167">
        <v>13.417121235806</v>
      </c>
      <c r="F54" s="236" t="s">
        <v>491</v>
      </c>
      <c r="G54" s="167">
        <v>12.966908897506601</v>
      </c>
      <c r="H54" s="237" t="s">
        <v>492</v>
      </c>
      <c r="I54" s="167">
        <v>21.0304278983388</v>
      </c>
      <c r="J54" s="237" t="s">
        <v>493</v>
      </c>
      <c r="K54" s="167">
        <v>16.225176183964901</v>
      </c>
      <c r="L54" s="237" t="s">
        <v>494</v>
      </c>
      <c r="M54" s="167">
        <v>21.0644241623894</v>
      </c>
      <c r="N54" s="228"/>
      <c r="O54" s="170"/>
      <c r="P54" s="159"/>
      <c r="Q54" s="170"/>
      <c r="R54" s="159"/>
      <c r="S54" s="170"/>
      <c r="T54" s="159"/>
      <c r="U54" s="228"/>
      <c r="V54" s="141"/>
      <c r="W54" s="159"/>
      <c r="X54" s="170"/>
      <c r="Y54" s="159"/>
      <c r="Z54" s="170"/>
      <c r="AA54" s="159"/>
      <c r="AB54" s="228"/>
      <c r="AC54" s="236" t="s">
        <v>495</v>
      </c>
      <c r="AD54" s="167">
        <v>9.2580005193898707</v>
      </c>
      <c r="AE54" s="236" t="s">
        <v>496</v>
      </c>
      <c r="AF54" s="167">
        <v>9.1248874581963904</v>
      </c>
      <c r="AG54" s="141" t="s">
        <v>589</v>
      </c>
      <c r="AH54" s="128">
        <v>12.5233154481834</v>
      </c>
    </row>
    <row r="55" spans="1:34" x14ac:dyDescent="0.3">
      <c r="A55" s="136"/>
      <c r="B55" s="236" t="s">
        <v>497</v>
      </c>
      <c r="C55" s="167">
        <v>33.186712545261599</v>
      </c>
      <c r="D55" s="236" t="s">
        <v>498</v>
      </c>
      <c r="E55" s="167">
        <v>32.922392219127701</v>
      </c>
      <c r="F55" s="236" t="s">
        <v>499</v>
      </c>
      <c r="G55" s="167">
        <v>28.563966109083001</v>
      </c>
      <c r="H55" s="237" t="s">
        <v>500</v>
      </c>
      <c r="I55" s="167">
        <v>28.043521150441698</v>
      </c>
      <c r="J55" s="237" t="s">
        <v>501</v>
      </c>
      <c r="K55" s="167">
        <v>26.669259995569501</v>
      </c>
      <c r="L55" s="237" t="s">
        <v>502</v>
      </c>
      <c r="M55" s="167">
        <v>27.514087678681499</v>
      </c>
      <c r="N55" s="228"/>
      <c r="O55" s="170"/>
      <c r="P55" s="159"/>
      <c r="Q55" s="170"/>
      <c r="R55" s="159"/>
      <c r="S55" s="170"/>
      <c r="T55" s="159"/>
      <c r="U55" s="228"/>
      <c r="V55" s="141"/>
      <c r="W55" s="159"/>
      <c r="X55" s="170"/>
      <c r="Y55" s="159"/>
      <c r="Z55" s="170"/>
      <c r="AA55" s="159"/>
      <c r="AB55" s="228"/>
      <c r="AC55" s="236" t="s">
        <v>503</v>
      </c>
      <c r="AD55" s="167">
        <v>20.515903657978502</v>
      </c>
      <c r="AE55" s="236" t="s">
        <v>504</v>
      </c>
      <c r="AF55" s="167">
        <v>18.6309978977031</v>
      </c>
      <c r="AG55" s="141" t="s">
        <v>585</v>
      </c>
      <c r="AH55" s="128">
        <v>27.9669554534598</v>
      </c>
    </row>
    <row r="56" spans="1:34" x14ac:dyDescent="0.3">
      <c r="A56" s="136"/>
      <c r="B56" s="236" t="s">
        <v>505</v>
      </c>
      <c r="C56" s="167">
        <v>23.259363119077499</v>
      </c>
      <c r="D56" s="236" t="s">
        <v>506</v>
      </c>
      <c r="E56" s="167">
        <v>23.845992672120801</v>
      </c>
      <c r="F56" s="236" t="s">
        <v>507</v>
      </c>
      <c r="G56" s="167">
        <v>25.878889458951399</v>
      </c>
      <c r="H56" s="237" t="s">
        <v>508</v>
      </c>
      <c r="I56" s="167">
        <v>13.680255890890299</v>
      </c>
      <c r="J56" s="237" t="s">
        <v>509</v>
      </c>
      <c r="K56" s="167">
        <v>22.443647495257402</v>
      </c>
      <c r="L56" s="237" t="s">
        <v>510</v>
      </c>
      <c r="M56" s="167">
        <v>13.692619148532501</v>
      </c>
      <c r="N56" s="228"/>
      <c r="O56" s="170"/>
      <c r="P56" s="159"/>
      <c r="Q56" s="170"/>
      <c r="R56" s="159"/>
      <c r="S56" s="170"/>
      <c r="T56" s="159"/>
      <c r="U56" s="228"/>
      <c r="V56" s="141"/>
      <c r="W56" s="159"/>
      <c r="X56" s="170"/>
      <c r="Y56" s="159"/>
      <c r="Z56" s="170"/>
      <c r="AA56" s="159"/>
      <c r="AB56" s="228"/>
      <c r="AC56" s="236" t="s">
        <v>511</v>
      </c>
      <c r="AD56" s="167">
        <v>26.936047570891699</v>
      </c>
      <c r="AE56" s="236" t="s">
        <v>512</v>
      </c>
      <c r="AF56" s="167">
        <v>26.662109988473901</v>
      </c>
      <c r="AG56" s="141" t="s">
        <v>586</v>
      </c>
      <c r="AH56" s="128">
        <v>25.980247628921099</v>
      </c>
    </row>
    <row r="57" spans="1:34" x14ac:dyDescent="0.3">
      <c r="A57" s="136"/>
      <c r="B57" s="236" t="s">
        <v>513</v>
      </c>
      <c r="C57" s="167">
        <v>4.3262379568534799</v>
      </c>
      <c r="D57" s="236" t="s">
        <v>514</v>
      </c>
      <c r="E57" s="167">
        <v>4.5176014541312197</v>
      </c>
      <c r="F57" s="236" t="s">
        <v>515</v>
      </c>
      <c r="G57" s="167">
        <v>6.4601602035127001</v>
      </c>
      <c r="H57" s="237" t="s">
        <v>516</v>
      </c>
      <c r="I57" s="167">
        <v>14.109196910582201</v>
      </c>
      <c r="J57" s="237" t="s">
        <v>517</v>
      </c>
      <c r="K57" s="167">
        <v>16.935185602749002</v>
      </c>
      <c r="L57" s="237" t="s">
        <v>518</v>
      </c>
      <c r="M57" s="167">
        <v>14.559686833799301</v>
      </c>
      <c r="N57" s="228"/>
      <c r="O57" s="170"/>
      <c r="P57" s="159"/>
      <c r="Q57" s="170"/>
      <c r="R57" s="159"/>
      <c r="S57" s="170"/>
      <c r="T57" s="159"/>
      <c r="U57" s="228"/>
      <c r="V57" s="141"/>
      <c r="W57" s="159"/>
      <c r="X57" s="170"/>
      <c r="Y57" s="159"/>
      <c r="Z57" s="170"/>
      <c r="AA57" s="159"/>
      <c r="AB57" s="228"/>
      <c r="AC57" s="236" t="s">
        <v>519</v>
      </c>
      <c r="AD57" s="167">
        <v>18.0302277976791</v>
      </c>
      <c r="AE57" s="236" t="s">
        <v>520</v>
      </c>
      <c r="AF57" s="167">
        <v>19.847786411868199</v>
      </c>
      <c r="AG57" s="141" t="s">
        <v>587</v>
      </c>
      <c r="AH57" s="128">
        <v>7.3057707845494999</v>
      </c>
    </row>
    <row r="58" spans="1:34" ht="15" thickBot="1" x14ac:dyDescent="0.35">
      <c r="A58" s="145"/>
      <c r="B58" s="238" t="s">
        <v>521</v>
      </c>
      <c r="C58" s="239">
        <v>1.44541062426606</v>
      </c>
      <c r="D58" s="238" t="s">
        <v>522</v>
      </c>
      <c r="E58" s="239">
        <v>1.4311860795940801</v>
      </c>
      <c r="F58" s="238" t="s">
        <v>523</v>
      </c>
      <c r="G58" s="239">
        <v>2.3000837671747401</v>
      </c>
      <c r="H58" s="240" t="s">
        <v>207</v>
      </c>
      <c r="I58" s="239">
        <v>9.7633606678930107</v>
      </c>
      <c r="J58" s="240" t="s">
        <v>20</v>
      </c>
      <c r="K58" s="239">
        <v>9.7633606678930107</v>
      </c>
      <c r="L58" s="240" t="s">
        <v>333</v>
      </c>
      <c r="M58" s="239">
        <v>9.7633606678930107</v>
      </c>
      <c r="N58" s="87"/>
      <c r="O58" s="241"/>
      <c r="P58" s="160"/>
      <c r="Q58" s="241"/>
      <c r="R58" s="160"/>
      <c r="S58" s="241"/>
      <c r="T58" s="160"/>
      <c r="U58" s="87"/>
      <c r="V58" s="147"/>
      <c r="W58" s="160"/>
      <c r="X58" s="241"/>
      <c r="Y58" s="160"/>
      <c r="Z58" s="241"/>
      <c r="AA58" s="160"/>
      <c r="AB58" s="87"/>
      <c r="AC58" s="238" t="s">
        <v>524</v>
      </c>
      <c r="AD58" s="239">
        <v>3.69737502991013</v>
      </c>
      <c r="AE58" s="238" t="s">
        <v>525</v>
      </c>
      <c r="AF58" s="239">
        <v>4.5181235558093</v>
      </c>
      <c r="AG58" s="147" t="s">
        <v>588</v>
      </c>
      <c r="AH58" s="148">
        <v>2.5514458700904799</v>
      </c>
    </row>
    <row r="59" spans="1:34" ht="15" thickTop="1" x14ac:dyDescent="0.3">
      <c r="L59" s="251"/>
      <c r="S59" s="52"/>
      <c r="Z59" s="52"/>
    </row>
  </sheetData>
  <mergeCells count="28">
    <mergeCell ref="A53:A58"/>
    <mergeCell ref="A5:A10"/>
    <mergeCell ref="A11:A16"/>
    <mergeCell ref="A17:A22"/>
    <mergeCell ref="A23:A28"/>
    <mergeCell ref="A29:A34"/>
    <mergeCell ref="A35:A40"/>
    <mergeCell ref="V2:AA2"/>
    <mergeCell ref="X3:Y3"/>
    <mergeCell ref="Z3:AA3"/>
    <mergeCell ref="A41:A46"/>
    <mergeCell ref="A47:A52"/>
    <mergeCell ref="AG3:AH3"/>
    <mergeCell ref="AC2:AH2"/>
    <mergeCell ref="AC3:AD3"/>
    <mergeCell ref="AE3:AF3"/>
    <mergeCell ref="B2:M2"/>
    <mergeCell ref="O2:T2"/>
    <mergeCell ref="L3:M3"/>
    <mergeCell ref="O3:P3"/>
    <mergeCell ref="Q3:R3"/>
    <mergeCell ref="S3:T3"/>
    <mergeCell ref="B3:C3"/>
    <mergeCell ref="D3:E3"/>
    <mergeCell ref="F3:G3"/>
    <mergeCell ref="H3:I3"/>
    <mergeCell ref="J3:K3"/>
    <mergeCell ref="V3:W3"/>
  </mergeCells>
  <conditionalFormatting sqref="C5:C10">
    <cfRule type="dataBar" priority="20">
      <dataBar>
        <cfvo type="min"/>
        <cfvo type="max"/>
        <color rgb="FF638EC6"/>
      </dataBar>
      <extLst>
        <ext xmlns:x14="http://schemas.microsoft.com/office/spreadsheetml/2009/9/main" uri="{B025F937-C7B1-47D3-B67F-A62EFF666E3E}">
          <x14:id>{61F8FFC5-DB5E-432A-9434-CB5AC979E54A}</x14:id>
        </ext>
      </extLst>
    </cfRule>
  </conditionalFormatting>
  <conditionalFormatting sqref="E5:E10">
    <cfRule type="dataBar" priority="19">
      <dataBar>
        <cfvo type="min"/>
        <cfvo type="max"/>
        <color rgb="FF638EC6"/>
      </dataBar>
      <extLst>
        <ext xmlns:x14="http://schemas.microsoft.com/office/spreadsheetml/2009/9/main" uri="{B025F937-C7B1-47D3-B67F-A62EFF666E3E}">
          <x14:id>{9566C0BD-396D-4CA6-8502-54030C34BC8B}</x14:id>
        </ext>
      </extLst>
    </cfRule>
  </conditionalFormatting>
  <conditionalFormatting sqref="D5:D10">
    <cfRule type="colorScale" priority="18">
      <colorScale>
        <cfvo type="min"/>
        <cfvo type="percentile" val="50"/>
        <cfvo type="max"/>
        <color rgb="FFF8696B"/>
        <color rgb="FFFFEB84"/>
        <color rgb="FF63BE7B"/>
      </colorScale>
    </cfRule>
  </conditionalFormatting>
  <conditionalFormatting sqref="C11:C58">
    <cfRule type="dataBar" priority="17">
      <dataBar>
        <cfvo type="min"/>
        <cfvo type="max"/>
        <color rgb="FF638EC6"/>
      </dataBar>
      <extLst>
        <ext xmlns:x14="http://schemas.microsoft.com/office/spreadsheetml/2009/9/main" uri="{B025F937-C7B1-47D3-B67F-A62EFF666E3E}">
          <x14:id>{0225DFD7-4EA9-4462-BA74-6360575EE77F}</x14:id>
        </ext>
      </extLst>
    </cfRule>
  </conditionalFormatting>
  <conditionalFormatting sqref="E11:E58">
    <cfRule type="dataBar" priority="16">
      <dataBar>
        <cfvo type="min"/>
        <cfvo type="max"/>
        <color rgb="FF638EC6"/>
      </dataBar>
      <extLst>
        <ext xmlns:x14="http://schemas.microsoft.com/office/spreadsheetml/2009/9/main" uri="{B025F937-C7B1-47D3-B67F-A62EFF666E3E}">
          <x14:id>{7EE75572-3AD0-490A-BB63-491387F80D14}</x14:id>
        </ext>
      </extLst>
    </cfRule>
  </conditionalFormatting>
  <conditionalFormatting sqref="P29:P34">
    <cfRule type="dataBar" priority="15">
      <dataBar>
        <cfvo type="min"/>
        <cfvo type="max"/>
        <color rgb="FF008AEF"/>
      </dataBar>
      <extLst>
        <ext xmlns:x14="http://schemas.microsoft.com/office/spreadsheetml/2009/9/main" uri="{B025F937-C7B1-47D3-B67F-A62EFF666E3E}">
          <x14:id>{85F2A9F1-6405-4F22-80F4-D80C96BD071A}</x14:id>
        </ext>
      </extLst>
    </cfRule>
  </conditionalFormatting>
  <conditionalFormatting sqref="R29:R34">
    <cfRule type="dataBar" priority="14">
      <dataBar>
        <cfvo type="min"/>
        <cfvo type="max"/>
        <color rgb="FF63C384"/>
      </dataBar>
      <extLst>
        <ext xmlns:x14="http://schemas.microsoft.com/office/spreadsheetml/2009/9/main" uri="{B025F937-C7B1-47D3-B67F-A62EFF666E3E}">
          <x14:id>{A2092F94-02C6-4D86-823A-770381719F75}</x14:id>
        </ext>
      </extLst>
    </cfRule>
  </conditionalFormatting>
  <conditionalFormatting sqref="T29:T34">
    <cfRule type="dataBar" priority="13">
      <dataBar>
        <cfvo type="min"/>
        <cfvo type="max"/>
        <color rgb="FFFFB628"/>
      </dataBar>
      <extLst>
        <ext xmlns:x14="http://schemas.microsoft.com/office/spreadsheetml/2009/9/main" uri="{B025F937-C7B1-47D3-B67F-A62EFF666E3E}">
          <x14:id>{39904581-4E5E-4607-B690-A29CF51D3C9A}</x14:id>
        </ext>
      </extLst>
    </cfRule>
  </conditionalFormatting>
  <conditionalFormatting sqref="W29:W34">
    <cfRule type="dataBar" priority="12">
      <dataBar>
        <cfvo type="min"/>
        <cfvo type="max"/>
        <color rgb="FF008AEF"/>
      </dataBar>
      <extLst>
        <ext xmlns:x14="http://schemas.microsoft.com/office/spreadsheetml/2009/9/main" uri="{B025F937-C7B1-47D3-B67F-A62EFF666E3E}">
          <x14:id>{F1CF7794-C5C3-4E56-AEFF-AC1877606506}</x14:id>
        </ext>
      </extLst>
    </cfRule>
  </conditionalFormatting>
  <conditionalFormatting sqref="Y29:Y34">
    <cfRule type="dataBar" priority="11">
      <dataBar>
        <cfvo type="min"/>
        <cfvo type="max"/>
        <color rgb="FF63C384"/>
      </dataBar>
      <extLst>
        <ext xmlns:x14="http://schemas.microsoft.com/office/spreadsheetml/2009/9/main" uri="{B025F937-C7B1-47D3-B67F-A62EFF666E3E}">
          <x14:id>{48E69BE3-8607-4CD1-9536-8D6196088168}</x14:id>
        </ext>
      </extLst>
    </cfRule>
  </conditionalFormatting>
  <conditionalFormatting sqref="G5:G58">
    <cfRule type="dataBar" priority="10">
      <dataBar>
        <cfvo type="min"/>
        <cfvo type="max"/>
        <color theme="2" tint="-0.249977111117893"/>
      </dataBar>
      <extLst>
        <ext xmlns:x14="http://schemas.microsoft.com/office/spreadsheetml/2009/9/main" uri="{B025F937-C7B1-47D3-B67F-A62EFF666E3E}">
          <x14:id>{010F87C1-D4E2-4D2D-B960-D8E22EDD3DDC}</x14:id>
        </ext>
      </extLst>
    </cfRule>
  </conditionalFormatting>
  <conditionalFormatting sqref="I5:I58">
    <cfRule type="dataBar" priority="9">
      <dataBar>
        <cfvo type="min"/>
        <cfvo type="max"/>
        <color rgb="FF008AEF"/>
      </dataBar>
      <extLst>
        <ext xmlns:x14="http://schemas.microsoft.com/office/spreadsheetml/2009/9/main" uri="{B025F937-C7B1-47D3-B67F-A62EFF666E3E}">
          <x14:id>{187CE338-B108-4208-9CE1-2BD4B2C2D105}</x14:id>
        </ext>
      </extLst>
    </cfRule>
  </conditionalFormatting>
  <conditionalFormatting sqref="K5:K58">
    <cfRule type="dataBar" priority="8">
      <dataBar>
        <cfvo type="min"/>
        <cfvo type="max"/>
        <color rgb="FF63C384"/>
      </dataBar>
      <extLst>
        <ext xmlns:x14="http://schemas.microsoft.com/office/spreadsheetml/2009/9/main" uri="{B025F937-C7B1-47D3-B67F-A62EFF666E3E}">
          <x14:id>{1517722D-F1B4-4C3A-8A78-7573C17BEF75}</x14:id>
        </ext>
      </extLst>
    </cfRule>
  </conditionalFormatting>
  <conditionalFormatting sqref="M5:M58">
    <cfRule type="dataBar" priority="7">
      <dataBar>
        <cfvo type="min"/>
        <cfvo type="max"/>
        <color rgb="FFFFB628"/>
      </dataBar>
      <extLst>
        <ext xmlns:x14="http://schemas.microsoft.com/office/spreadsheetml/2009/9/main" uri="{B025F937-C7B1-47D3-B67F-A62EFF666E3E}">
          <x14:id>{0D4F5456-9630-4913-B26E-6F141C9FDE5B}</x14:id>
        </ext>
      </extLst>
    </cfRule>
  </conditionalFormatting>
  <conditionalFormatting sqref="AA29:AA34">
    <cfRule type="dataBar" priority="5">
      <dataBar>
        <cfvo type="min"/>
        <cfvo type="max"/>
        <color rgb="FFFFB628"/>
      </dataBar>
      <extLst>
        <ext xmlns:x14="http://schemas.microsoft.com/office/spreadsheetml/2009/9/main" uri="{B025F937-C7B1-47D3-B67F-A62EFF666E3E}">
          <x14:id>{EEA37044-DAEC-41E6-8C48-57CEB3DBCA3A}</x14:id>
        </ext>
      </extLst>
    </cfRule>
  </conditionalFormatting>
  <conditionalFormatting sqref="AD5:AD58">
    <cfRule type="dataBar" priority="4">
      <dataBar>
        <cfvo type="min"/>
        <cfvo type="max"/>
        <color rgb="FF638EC6"/>
      </dataBar>
      <extLst>
        <ext xmlns:x14="http://schemas.microsoft.com/office/spreadsheetml/2009/9/main" uri="{B025F937-C7B1-47D3-B67F-A62EFF666E3E}">
          <x14:id>{D959E8BF-82AA-49BD-8AA8-A08CB46F50C7}</x14:id>
        </ext>
      </extLst>
    </cfRule>
  </conditionalFormatting>
  <conditionalFormatting sqref="AF6:AF58">
    <cfRule type="dataBar" priority="3">
      <dataBar>
        <cfvo type="min"/>
        <cfvo type="max"/>
        <color rgb="FF638EC6"/>
      </dataBar>
      <extLst>
        <ext xmlns:x14="http://schemas.microsoft.com/office/spreadsheetml/2009/9/main" uri="{B025F937-C7B1-47D3-B67F-A62EFF666E3E}">
          <x14:id>{6104B7CD-686F-4278-89ED-DCB4A63827CF}</x14:id>
        </ext>
      </extLst>
    </cfRule>
  </conditionalFormatting>
  <conditionalFormatting sqref="AH5:AH58">
    <cfRule type="dataBar" priority="1">
      <dataBar>
        <cfvo type="min"/>
        <cfvo type="max"/>
        <color theme="2" tint="-0.249977111117893"/>
      </dataBar>
      <extLst>
        <ext xmlns:x14="http://schemas.microsoft.com/office/spreadsheetml/2009/9/main" uri="{B025F937-C7B1-47D3-B67F-A62EFF666E3E}">
          <x14:id>{95E420ED-50B9-4FAC-99D6-B0418010007C}</x14:id>
        </ext>
      </extLst>
    </cfRule>
    <cfRule type="dataBar" priority="2">
      <dataBar>
        <cfvo type="min"/>
        <cfvo type="max"/>
        <color rgb="FF638EC6"/>
      </dataBar>
      <extLst>
        <ext xmlns:x14="http://schemas.microsoft.com/office/spreadsheetml/2009/9/main" uri="{B025F937-C7B1-47D3-B67F-A62EFF666E3E}">
          <x14:id>{461A3569-E4F5-41DE-83F2-49C3C0A34B79}</x14:id>
        </ext>
      </extLst>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61F8FFC5-DB5E-432A-9434-CB5AC979E54A}">
            <x14:dataBar minLength="0" maxLength="100" border="1" negativeBarBorderColorSameAsPositive="0">
              <x14:cfvo type="autoMin"/>
              <x14:cfvo type="autoMax"/>
              <x14:borderColor rgb="FF638EC6"/>
              <x14:negativeFillColor rgb="FFFF0000"/>
              <x14:negativeBorderColor rgb="FFFF0000"/>
              <x14:axisColor rgb="FF000000"/>
            </x14:dataBar>
          </x14:cfRule>
          <xm:sqref>C5:C10</xm:sqref>
        </x14:conditionalFormatting>
        <x14:conditionalFormatting xmlns:xm="http://schemas.microsoft.com/office/excel/2006/main">
          <x14:cfRule type="dataBar" id="{9566C0BD-396D-4CA6-8502-54030C34BC8B}">
            <x14:dataBar minLength="0" maxLength="100" border="1" negativeBarBorderColorSameAsPositive="0">
              <x14:cfvo type="autoMin"/>
              <x14:cfvo type="autoMax"/>
              <x14:borderColor rgb="FF638EC6"/>
              <x14:negativeFillColor rgb="FFFF0000"/>
              <x14:negativeBorderColor rgb="FFFF0000"/>
              <x14:axisColor rgb="FF000000"/>
            </x14:dataBar>
          </x14:cfRule>
          <xm:sqref>E5:E10</xm:sqref>
        </x14:conditionalFormatting>
        <x14:conditionalFormatting xmlns:xm="http://schemas.microsoft.com/office/excel/2006/main">
          <x14:cfRule type="dataBar" id="{0225DFD7-4EA9-4462-BA74-6360575EE77F}">
            <x14:dataBar minLength="0" maxLength="100" border="1" negativeBarBorderColorSameAsPositive="0">
              <x14:cfvo type="autoMin"/>
              <x14:cfvo type="autoMax"/>
              <x14:borderColor rgb="FF638EC6"/>
              <x14:negativeFillColor rgb="FFFF0000"/>
              <x14:negativeBorderColor rgb="FFFF0000"/>
              <x14:axisColor rgb="FF000000"/>
            </x14:dataBar>
          </x14:cfRule>
          <xm:sqref>C11:C58</xm:sqref>
        </x14:conditionalFormatting>
        <x14:conditionalFormatting xmlns:xm="http://schemas.microsoft.com/office/excel/2006/main">
          <x14:cfRule type="dataBar" id="{7EE75572-3AD0-490A-BB63-491387F80D14}">
            <x14:dataBar minLength="0" maxLength="100" border="1" negativeBarBorderColorSameAsPositive="0">
              <x14:cfvo type="autoMin"/>
              <x14:cfvo type="autoMax"/>
              <x14:borderColor rgb="FF638EC6"/>
              <x14:negativeFillColor rgb="FFFF0000"/>
              <x14:negativeBorderColor rgb="FFFF0000"/>
              <x14:axisColor rgb="FF000000"/>
            </x14:dataBar>
          </x14:cfRule>
          <xm:sqref>E11:E58</xm:sqref>
        </x14:conditionalFormatting>
        <x14:conditionalFormatting xmlns:xm="http://schemas.microsoft.com/office/excel/2006/main">
          <x14:cfRule type="dataBar" id="{85F2A9F1-6405-4F22-80F4-D80C96BD071A}">
            <x14:dataBar minLength="0" maxLength="100" border="1" negativeBarBorderColorSameAsPositive="0">
              <x14:cfvo type="autoMin"/>
              <x14:cfvo type="autoMax"/>
              <x14:borderColor rgb="FF008AEF"/>
              <x14:negativeFillColor rgb="FFFF0000"/>
              <x14:negativeBorderColor rgb="FFFF0000"/>
              <x14:axisColor rgb="FF000000"/>
            </x14:dataBar>
          </x14:cfRule>
          <xm:sqref>P29:P34</xm:sqref>
        </x14:conditionalFormatting>
        <x14:conditionalFormatting xmlns:xm="http://schemas.microsoft.com/office/excel/2006/main">
          <x14:cfRule type="dataBar" id="{A2092F94-02C6-4D86-823A-770381719F75}">
            <x14:dataBar minLength="0" maxLength="100" border="1" negativeBarBorderColorSameAsPositive="0">
              <x14:cfvo type="autoMin"/>
              <x14:cfvo type="autoMax"/>
              <x14:borderColor rgb="FF63C384"/>
              <x14:negativeFillColor rgb="FFFF0000"/>
              <x14:negativeBorderColor rgb="FFFF0000"/>
              <x14:axisColor rgb="FF000000"/>
            </x14:dataBar>
          </x14:cfRule>
          <xm:sqref>R29:R34</xm:sqref>
        </x14:conditionalFormatting>
        <x14:conditionalFormatting xmlns:xm="http://schemas.microsoft.com/office/excel/2006/main">
          <x14:cfRule type="dataBar" id="{39904581-4E5E-4607-B690-A29CF51D3C9A}">
            <x14:dataBar minLength="0" maxLength="100" border="1" negativeBarBorderColorSameAsPositive="0">
              <x14:cfvo type="autoMin"/>
              <x14:cfvo type="autoMax"/>
              <x14:borderColor rgb="FFFFB628"/>
              <x14:negativeFillColor rgb="FFFF0000"/>
              <x14:negativeBorderColor rgb="FFFF0000"/>
              <x14:axisColor rgb="FF000000"/>
            </x14:dataBar>
          </x14:cfRule>
          <xm:sqref>T29:T34</xm:sqref>
        </x14:conditionalFormatting>
        <x14:conditionalFormatting xmlns:xm="http://schemas.microsoft.com/office/excel/2006/main">
          <x14:cfRule type="dataBar" id="{F1CF7794-C5C3-4E56-AEFF-AC1877606506}">
            <x14:dataBar minLength="0" maxLength="100" border="1" negativeBarBorderColorSameAsPositive="0">
              <x14:cfvo type="autoMin"/>
              <x14:cfvo type="autoMax"/>
              <x14:borderColor rgb="FF008AEF"/>
              <x14:negativeFillColor rgb="FFFF0000"/>
              <x14:negativeBorderColor rgb="FFFF0000"/>
              <x14:axisColor rgb="FF000000"/>
            </x14:dataBar>
          </x14:cfRule>
          <xm:sqref>W29:W34</xm:sqref>
        </x14:conditionalFormatting>
        <x14:conditionalFormatting xmlns:xm="http://schemas.microsoft.com/office/excel/2006/main">
          <x14:cfRule type="dataBar" id="{48E69BE3-8607-4CD1-9536-8D6196088168}">
            <x14:dataBar minLength="0" maxLength="100" border="1" negativeBarBorderColorSameAsPositive="0">
              <x14:cfvo type="autoMin"/>
              <x14:cfvo type="autoMax"/>
              <x14:borderColor rgb="FF63C384"/>
              <x14:negativeFillColor rgb="FFFF0000"/>
              <x14:negativeBorderColor rgb="FFFF0000"/>
              <x14:axisColor rgb="FF000000"/>
            </x14:dataBar>
          </x14:cfRule>
          <xm:sqref>Y29:Y34</xm:sqref>
        </x14:conditionalFormatting>
        <x14:conditionalFormatting xmlns:xm="http://schemas.microsoft.com/office/excel/2006/main">
          <x14:cfRule type="dataBar" id="{010F87C1-D4E2-4D2D-B960-D8E22EDD3DDC}">
            <x14:dataBar minLength="0" maxLength="100">
              <x14:cfvo type="autoMin"/>
              <x14:cfvo type="autoMax"/>
              <x14:negativeFillColor rgb="FFFF0000"/>
              <x14:axisColor rgb="FF000000"/>
            </x14:dataBar>
          </x14:cfRule>
          <xm:sqref>G5:G58</xm:sqref>
        </x14:conditionalFormatting>
        <x14:conditionalFormatting xmlns:xm="http://schemas.microsoft.com/office/excel/2006/main">
          <x14:cfRule type="dataBar" id="{187CE338-B108-4208-9CE1-2BD4B2C2D105}">
            <x14:dataBar minLength="0" maxLength="100" border="1" negativeBarBorderColorSameAsPositive="0">
              <x14:cfvo type="autoMin"/>
              <x14:cfvo type="autoMax"/>
              <x14:borderColor rgb="FF008AEF"/>
              <x14:negativeFillColor rgb="FFFF0000"/>
              <x14:negativeBorderColor rgb="FFFF0000"/>
              <x14:axisColor rgb="FF000000"/>
            </x14:dataBar>
          </x14:cfRule>
          <xm:sqref>I5:I58</xm:sqref>
        </x14:conditionalFormatting>
        <x14:conditionalFormatting xmlns:xm="http://schemas.microsoft.com/office/excel/2006/main">
          <x14:cfRule type="dataBar" id="{1517722D-F1B4-4C3A-8A78-7573C17BEF75}">
            <x14:dataBar minLength="0" maxLength="100" border="1" negativeBarBorderColorSameAsPositive="0">
              <x14:cfvo type="autoMin"/>
              <x14:cfvo type="autoMax"/>
              <x14:borderColor rgb="FF63C384"/>
              <x14:negativeFillColor rgb="FFFF0000"/>
              <x14:negativeBorderColor rgb="FFFF0000"/>
              <x14:axisColor rgb="FF000000"/>
            </x14:dataBar>
          </x14:cfRule>
          <xm:sqref>K5:K58</xm:sqref>
        </x14:conditionalFormatting>
        <x14:conditionalFormatting xmlns:xm="http://schemas.microsoft.com/office/excel/2006/main">
          <x14:cfRule type="dataBar" id="{0D4F5456-9630-4913-B26E-6F141C9FDE5B}">
            <x14:dataBar minLength="0" maxLength="100" border="1" negativeBarBorderColorSameAsPositive="0">
              <x14:cfvo type="autoMin"/>
              <x14:cfvo type="autoMax"/>
              <x14:borderColor rgb="FFFFB628"/>
              <x14:negativeFillColor rgb="FFFF0000"/>
              <x14:negativeBorderColor rgb="FFFF0000"/>
              <x14:axisColor rgb="FF000000"/>
            </x14:dataBar>
          </x14:cfRule>
          <xm:sqref>M5:M58</xm:sqref>
        </x14:conditionalFormatting>
        <x14:conditionalFormatting xmlns:xm="http://schemas.microsoft.com/office/excel/2006/main">
          <x14:cfRule type="dataBar" id="{EEA37044-DAEC-41E6-8C48-57CEB3DBCA3A}">
            <x14:dataBar minLength="0" maxLength="100" border="1" negativeBarBorderColorSameAsPositive="0">
              <x14:cfvo type="autoMin"/>
              <x14:cfvo type="autoMax"/>
              <x14:borderColor rgb="FFFFB628"/>
              <x14:negativeFillColor rgb="FFFF0000"/>
              <x14:negativeBorderColor rgb="FFFF0000"/>
              <x14:axisColor rgb="FF000000"/>
            </x14:dataBar>
          </x14:cfRule>
          <xm:sqref>AA29:AA34</xm:sqref>
        </x14:conditionalFormatting>
        <x14:conditionalFormatting xmlns:xm="http://schemas.microsoft.com/office/excel/2006/main">
          <x14:cfRule type="dataBar" id="{D959E8BF-82AA-49BD-8AA8-A08CB46F50C7}">
            <x14:dataBar minLength="0" maxLength="100" border="1" negativeBarBorderColorSameAsPositive="0">
              <x14:cfvo type="autoMin"/>
              <x14:cfvo type="autoMax"/>
              <x14:borderColor rgb="FF638EC6"/>
              <x14:negativeFillColor rgb="FFFF0000"/>
              <x14:negativeBorderColor rgb="FFFF0000"/>
              <x14:axisColor rgb="FF000000"/>
            </x14:dataBar>
          </x14:cfRule>
          <xm:sqref>AD5:AD58</xm:sqref>
        </x14:conditionalFormatting>
        <x14:conditionalFormatting xmlns:xm="http://schemas.microsoft.com/office/excel/2006/main">
          <x14:cfRule type="dataBar" id="{6104B7CD-686F-4278-89ED-DCB4A63827CF}">
            <x14:dataBar minLength="0" maxLength="100" border="1" negativeBarBorderColorSameAsPositive="0">
              <x14:cfvo type="autoMin"/>
              <x14:cfvo type="autoMax"/>
              <x14:borderColor rgb="FF638EC6"/>
              <x14:negativeFillColor rgb="FFFF0000"/>
              <x14:negativeBorderColor rgb="FFFF0000"/>
              <x14:axisColor rgb="FF000000"/>
            </x14:dataBar>
          </x14:cfRule>
          <xm:sqref>AF6:AF58</xm:sqref>
        </x14:conditionalFormatting>
        <x14:conditionalFormatting xmlns:xm="http://schemas.microsoft.com/office/excel/2006/main">
          <x14:cfRule type="dataBar" id="{95E420ED-50B9-4FAC-99D6-B0418010007C}">
            <x14:dataBar minLength="0" maxLength="100">
              <x14:cfvo type="autoMin"/>
              <x14:cfvo type="autoMax"/>
              <x14:negativeFillColor rgb="FFFF0000"/>
              <x14:axisColor rgb="FF000000"/>
            </x14:dataBar>
          </x14:cfRule>
          <x14:cfRule type="dataBar" id="{461A3569-E4F5-41DE-83F2-49C3C0A34B79}">
            <x14:dataBar minLength="0" maxLength="100" border="1" negativeBarBorderColorSameAsPositive="0">
              <x14:cfvo type="autoMin"/>
              <x14:cfvo type="autoMax"/>
              <x14:borderColor rgb="FF638EC6"/>
              <x14:negativeFillColor rgb="FFFF0000"/>
              <x14:negativeBorderColor rgb="FFFF0000"/>
              <x14:axisColor rgb="FF000000"/>
            </x14:dataBar>
          </x14:cfRule>
          <xm:sqref>AH5:AH58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CE0E1680EF2AA4CAA741549FAEC8301" ma:contentTypeVersion="4" ma:contentTypeDescription="Crée un document." ma:contentTypeScope="" ma:versionID="ef062796531380b521ce673ce0570032">
  <xsd:schema xmlns:xsd="http://www.w3.org/2001/XMLSchema" xmlns:xs="http://www.w3.org/2001/XMLSchema" xmlns:p="http://schemas.microsoft.com/office/2006/metadata/properties" xmlns:ns2="41f4efd1-1e14-42c2-909c-1e6c3a6834b3" targetNamespace="http://schemas.microsoft.com/office/2006/metadata/properties" ma:root="true" ma:fieldsID="0e3a6406f4eb90985386db5845462ad8" ns2:_="">
    <xsd:import namespace="41f4efd1-1e14-42c2-909c-1e6c3a6834b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f4efd1-1e14-42c2-909c-1e6c3a6834b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4456CE8-5DA0-41F9-B390-95858F70DD73}">
  <ds:schemaRefs>
    <ds:schemaRef ds:uri="http://schemas.microsoft.com/sharepoint/v3/contenttype/forms"/>
  </ds:schemaRefs>
</ds:datastoreItem>
</file>

<file path=customXml/itemProps2.xml><?xml version="1.0" encoding="utf-8"?>
<ds:datastoreItem xmlns:ds="http://schemas.openxmlformats.org/officeDocument/2006/customXml" ds:itemID="{E656A6CF-F0AC-4439-8C98-43056FB3F6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f4efd1-1e14-42c2-909c-1e6c3a683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EF3E1E-F3AC-44BA-BF36-295CF7E8581C}">
  <ds:schemaRefs>
    <ds:schemaRef ds:uri="http://schemas.openxmlformats.org/package/2006/metadata/core-properties"/>
    <ds:schemaRef ds:uri="http://schemas.microsoft.com/office/2006/metadata/properties"/>
    <ds:schemaRef ds:uri="http://schemas.microsoft.com/office/2006/documentManagement/types"/>
    <ds:schemaRef ds:uri="http://purl.org/dc/dcmitype/"/>
    <ds:schemaRef ds:uri="http://purl.org/dc/elements/1.1/"/>
    <ds:schemaRef ds:uri="http://schemas.microsoft.com/office/infopath/2007/PartnerControls"/>
    <ds:schemaRef ds:uri="http://www.w3.org/XML/1998/namespace"/>
    <ds:schemaRef ds:uri="http://purl.org/dc/terms/"/>
    <ds:schemaRef ds:uri="41f4efd1-1e14-42c2-909c-1e6c3a6834b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INDEX</vt:lpstr>
      <vt:lpstr>Table S2.1</vt:lpstr>
      <vt:lpstr>Table S2.2</vt:lpstr>
      <vt:lpstr>Table S2. 3</vt:lpstr>
      <vt:lpstr>Table S2.4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Christhel Andrade Diaz</dc:creator>
  <cp:keywords/>
  <dc:description/>
  <cp:lastModifiedBy>Christhel Andrade Diaz</cp:lastModifiedBy>
  <cp:revision/>
  <cp:lastPrinted>2021-10-21T15:54:16Z</cp:lastPrinted>
  <dcterms:created xsi:type="dcterms:W3CDTF">2021-09-10T11:47:53Z</dcterms:created>
  <dcterms:modified xsi:type="dcterms:W3CDTF">2022-03-01T08:37:02Z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0x0101003CE0E1680EF2AA4CAA741549FAEC8301</vt:lpwstr>
  </property>
</Properties>
</file>