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43B71D9-5B61-4FB2-A833-C697289D55D4}" xr6:coauthVersionLast="46" xr6:coauthVersionMax="46" xr10:uidLastSave="{00000000-0000-0000-0000-000000000000}"/>
  <bookViews>
    <workbookView xWindow="-108" yWindow="-108" windowWidth="23256" windowHeight="12576" tabRatio="777" firstSheet="1" activeTab="5" xr2:uid="{C818E1B9-6988-4988-B0D0-9568EA55BBE2}"/>
  </bookViews>
  <sheets>
    <sheet name="Overall (2)" sheetId="10" state="hidden" r:id="rId1"/>
    <sheet name="Overall" sheetId="11" r:id="rId2"/>
    <sheet name="OutPut" sheetId="4" r:id="rId3"/>
    <sheet name="ComplicationMgt (2)" sheetId="8" state="hidden" r:id="rId4"/>
    <sheet name="ComplicationMgt" sheetId="3" state="hidden" r:id="rId5"/>
    <sheet name="Clinicalbundle&amp;compl'n" sheetId="1" r:id="rId6"/>
    <sheet name="Cases" sheetId="5" state="hidden" r:id="rId7"/>
    <sheet name="ComplicationScore" sheetId="6" state="hidden" r:id="rId8"/>
    <sheet name="Treated" sheetId="7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1" l="1"/>
  <c r="I4" i="11"/>
  <c r="I3" i="11"/>
  <c r="H5" i="11"/>
  <c r="H4" i="11"/>
  <c r="H3" i="11"/>
  <c r="G5" i="11"/>
  <c r="G4" i="11"/>
  <c r="G3" i="11"/>
  <c r="F5" i="11"/>
  <c r="F4" i="11"/>
  <c r="F3" i="11"/>
  <c r="E5" i="11"/>
  <c r="E4" i="11"/>
  <c r="E3" i="11"/>
  <c r="D5" i="11"/>
  <c r="D4" i="11"/>
  <c r="D3" i="11"/>
  <c r="D7" i="4"/>
  <c r="D6" i="4"/>
  <c r="D5" i="4"/>
  <c r="D4" i="4"/>
  <c r="D3" i="4"/>
  <c r="D18" i="1"/>
  <c r="D17" i="1"/>
  <c r="D16" i="1"/>
  <c r="D15" i="1"/>
  <c r="D14" i="1"/>
  <c r="D13" i="1"/>
  <c r="D12" i="1"/>
  <c r="D9" i="1"/>
  <c r="D8" i="1"/>
  <c r="D7" i="1"/>
  <c r="D6" i="1"/>
  <c r="D5" i="1"/>
  <c r="D4" i="1"/>
  <c r="D3" i="1"/>
  <c r="J5" i="11" l="1"/>
  <c r="J4" i="11"/>
  <c r="J3" i="11"/>
  <c r="I20" i="10" l="1"/>
  <c r="H20" i="10"/>
  <c r="G22" i="10"/>
  <c r="H22" i="10" s="1"/>
  <c r="G21" i="10"/>
  <c r="I21" i="10" s="1"/>
  <c r="G20" i="10"/>
  <c r="G19" i="10"/>
  <c r="I19" i="10" s="1"/>
  <c r="G18" i="10"/>
  <c r="H18" i="10" s="1"/>
  <c r="G17" i="10"/>
  <c r="I17" i="10" s="1"/>
  <c r="G16" i="10"/>
  <c r="I16" i="10" s="1"/>
  <c r="G15" i="10"/>
  <c r="I15" i="10" s="1"/>
  <c r="G14" i="10"/>
  <c r="I14" i="10" s="1"/>
  <c r="J34" i="6"/>
  <c r="K19" i="6"/>
  <c r="K17" i="6"/>
  <c r="K15" i="6"/>
  <c r="K14" i="6"/>
  <c r="K12" i="6"/>
  <c r="K3" i="6"/>
  <c r="K4" i="6"/>
  <c r="K5" i="6"/>
  <c r="K6" i="6"/>
  <c r="K7" i="6"/>
  <c r="K2" i="6"/>
  <c r="K33" i="6"/>
  <c r="B34" i="6"/>
  <c r="C34" i="6"/>
  <c r="D34" i="6"/>
  <c r="E34" i="6"/>
  <c r="F34" i="6"/>
  <c r="B40" i="6"/>
  <c r="C40" i="6"/>
  <c r="D40" i="6"/>
  <c r="E40" i="6"/>
  <c r="F40" i="6"/>
  <c r="A40" i="6"/>
  <c r="K3" i="7"/>
  <c r="I3" i="7"/>
  <c r="J3" i="7"/>
  <c r="N3" i="7"/>
  <c r="H3" i="7"/>
  <c r="L13" i="5"/>
  <c r="B37" i="6"/>
  <c r="C37" i="6"/>
  <c r="D37" i="6"/>
  <c r="E37" i="6"/>
  <c r="F37" i="6"/>
  <c r="A37" i="6"/>
  <c r="A34" i="6"/>
  <c r="H3" i="6"/>
  <c r="I3" i="6" s="1"/>
  <c r="H4" i="6"/>
  <c r="I4" i="6" s="1"/>
  <c r="H5" i="6"/>
  <c r="I5" i="6" s="1"/>
  <c r="H6" i="6"/>
  <c r="I6" i="6" s="1"/>
  <c r="H7" i="6"/>
  <c r="I7" i="6" s="1"/>
  <c r="H8" i="6"/>
  <c r="H9" i="6"/>
  <c r="H10" i="6"/>
  <c r="H11" i="6"/>
  <c r="H12" i="6"/>
  <c r="I12" i="6" s="1"/>
  <c r="H13" i="6"/>
  <c r="H14" i="6"/>
  <c r="I14" i="6" s="1"/>
  <c r="H15" i="6"/>
  <c r="I15" i="6" s="1"/>
  <c r="H16" i="6"/>
  <c r="H17" i="6"/>
  <c r="I17" i="6" s="1"/>
  <c r="H18" i="6"/>
  <c r="H19" i="6"/>
  <c r="I19" i="6" s="1"/>
  <c r="H20" i="6"/>
  <c r="H21" i="6"/>
  <c r="H22" i="6"/>
  <c r="I22" i="6" s="1"/>
  <c r="K22" i="6" s="1"/>
  <c r="H23" i="6"/>
  <c r="H24" i="6"/>
  <c r="H25" i="6"/>
  <c r="H26" i="6"/>
  <c r="H27" i="6"/>
  <c r="H28" i="6"/>
  <c r="H29" i="6"/>
  <c r="H30" i="6"/>
  <c r="I30" i="6" s="1"/>
  <c r="K30" i="6" s="1"/>
  <c r="H31" i="6"/>
  <c r="H32" i="6"/>
  <c r="H33" i="6"/>
  <c r="I33" i="6" s="1"/>
  <c r="H2" i="6"/>
  <c r="I2" i="6" s="1"/>
  <c r="G33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2" i="6"/>
  <c r="I21" i="6" l="1"/>
  <c r="K21" i="6" s="1"/>
  <c r="I28" i="6"/>
  <c r="K28" i="6" s="1"/>
  <c r="I20" i="6"/>
  <c r="K20" i="6" s="1"/>
  <c r="I27" i="6"/>
  <c r="K27" i="6" s="1"/>
  <c r="I11" i="6"/>
  <c r="K11" i="6" s="1"/>
  <c r="H16" i="10"/>
  <c r="G34" i="6"/>
  <c r="I34" i="6"/>
  <c r="I26" i="6"/>
  <c r="K26" i="6" s="1"/>
  <c r="I18" i="6"/>
  <c r="K18" i="6" s="1"/>
  <c r="I10" i="6"/>
  <c r="K10" i="6" s="1"/>
  <c r="H34" i="6"/>
  <c r="I22" i="10"/>
  <c r="I29" i="6"/>
  <c r="K29" i="6" s="1"/>
  <c r="I25" i="6"/>
  <c r="K25" i="6" s="1"/>
  <c r="I9" i="6"/>
  <c r="K9" i="6" s="1"/>
  <c r="I13" i="6"/>
  <c r="K13" i="6" s="1"/>
  <c r="I32" i="6"/>
  <c r="K32" i="6" s="1"/>
  <c r="I24" i="6"/>
  <c r="K24" i="6" s="1"/>
  <c r="I16" i="6"/>
  <c r="K16" i="6" s="1"/>
  <c r="I8" i="6"/>
  <c r="K8" i="6" s="1"/>
  <c r="K34" i="6" s="1"/>
  <c r="I18" i="10"/>
  <c r="I31" i="6"/>
  <c r="K31" i="6" s="1"/>
  <c r="I23" i="6"/>
  <c r="K23" i="6" s="1"/>
  <c r="H21" i="10"/>
  <c r="H17" i="10"/>
  <c r="H14" i="10"/>
  <c r="H19" i="10"/>
  <c r="H15" i="10"/>
  <c r="I40" i="6"/>
  <c r="L41" i="5"/>
  <c r="J37" i="5"/>
  <c r="N13" i="5"/>
  <c r="M13" i="5"/>
  <c r="D10" i="1" l="1"/>
  <c r="E17" i="1"/>
  <c r="E9" i="1"/>
</calcChain>
</file>

<file path=xl/sharedStrings.xml><?xml version="1.0" encoding="utf-8"?>
<sst xmlns="http://schemas.openxmlformats.org/spreadsheetml/2006/main" count="366" uniqueCount="206">
  <si>
    <t>Process Quality items</t>
  </si>
  <si>
    <t xml:space="preserve">Proportion </t>
  </si>
  <si>
    <t>•Proportion of deliveries which danger signs assessed on admission (BP measured).</t>
  </si>
  <si>
    <t>•Proportion of deliveries which partograph started when cervical dilatation at least 4cm.</t>
  </si>
  <si>
    <t>•Proportion of mothers who received 10 IU IV/IM Oxytocin.</t>
  </si>
  <si>
    <t>•Proportion of newborn who had assessment (does the baby need special care and monitoring) – APGAR score.</t>
  </si>
  <si>
    <t>•Proportion of deliveries (newborns) who received immediate skin to skin and initiate breastfeeding within the 1st hour (measured by mother/baby bonding).</t>
  </si>
  <si>
    <t>•Proportion of deliveries (newborns) who received Vit K1.</t>
  </si>
  <si>
    <t>•Proportion of deliveries (newborns) who received Tetracycline Eye Ointment.</t>
  </si>
  <si>
    <t>•Proportion of women with pre-eclampsia who are treated with IV/IM MgS04</t>
  </si>
  <si>
    <t>•Proportion of pregnant women with pPRoM who are not in labor and are given oral erythromycin</t>
  </si>
  <si>
    <t>•Proportion of Postpartum Hemorrhage cases managed per protocol</t>
  </si>
  <si>
    <t>•Proportion of asphyxiated neonates who were resuscitated (with bag &amp; mask) and survived</t>
  </si>
  <si>
    <t xml:space="preserve">•Proportion of Sick Young infants treated for sepsis/VSD </t>
  </si>
  <si>
    <t xml:space="preserve">•Proportion of low birth weight or premature newborns for whom KMC was initiated after delivery </t>
  </si>
  <si>
    <r>
      <t>•</t>
    </r>
    <r>
      <rPr>
        <sz val="14"/>
        <color rgb="FF000000"/>
        <rFont val="Calibri"/>
      </rPr>
      <t>Proportion</t>
    </r>
    <r>
      <rPr>
        <b/>
        <sz val="14"/>
        <color rgb="FFFFFFFF"/>
        <rFont val="Calibri"/>
      </rPr>
      <t xml:space="preserve"> of women that received antenatal care four or more times during the current pregnancy.</t>
    </r>
  </si>
  <si>
    <r>
      <t>•</t>
    </r>
    <r>
      <rPr>
        <sz val="14"/>
        <color rgb="FF000000"/>
        <rFont val="Calibri"/>
      </rPr>
      <t>Proportion of pregnant women attending antenatal care clinics tested for syphilis.</t>
    </r>
  </si>
  <si>
    <r>
      <t>•</t>
    </r>
    <r>
      <rPr>
        <sz val="14"/>
        <color rgb="FF000000"/>
        <rFont val="Calibri"/>
      </rPr>
      <t>Proportion of births attended by skilled health personnel (midwife, nurse, health officer or doctor).</t>
    </r>
  </si>
  <si>
    <r>
      <t>•</t>
    </r>
    <r>
      <rPr>
        <sz val="14"/>
        <color rgb="FF000000"/>
        <rFont val="Calibri"/>
      </rPr>
      <t xml:space="preserve">Proportion of births that received post natal care at least once during the early post-partum period (within 48 hrs after delivery). </t>
    </r>
  </si>
  <si>
    <t>Output Quality items</t>
  </si>
  <si>
    <t>Complication amanagment</t>
  </si>
  <si>
    <t>Clinical care for MNH</t>
  </si>
  <si>
    <t>Overall complication management Mean Score</t>
  </si>
  <si>
    <t>Overall clinical care for MNH.</t>
  </si>
  <si>
    <t xml:space="preserve">    Total |</t>
  </si>
  <si>
    <t>pre-eclamps |</t>
  </si>
  <si>
    <t>P/E</t>
  </si>
  <si>
    <t>PROM</t>
  </si>
  <si>
    <t>PPH</t>
  </si>
  <si>
    <t xml:space="preserve"> cases for |</t>
  </si>
  <si>
    <t>ia/eclampsi |</t>
  </si>
  <si>
    <t xml:space="preserve">  12 months |</t>
  </si>
  <si>
    <t xml:space="preserve">  Total PPH |</t>
  </si>
  <si>
    <t>a cases for |</t>
  </si>
  <si>
    <t xml:space="preserve">          0 |         17       56.67       56.67</t>
  </si>
  <si>
    <t xml:space="preserve">   from sep |</t>
  </si>
  <si>
    <t xml:space="preserve">  cases for |</t>
  </si>
  <si>
    <t xml:space="preserve">          1 |          3       10.00       66.67</t>
  </si>
  <si>
    <t>2015 to Aug |</t>
  </si>
  <si>
    <t xml:space="preserve">          2 |          4       13.33       80.00</t>
  </si>
  <si>
    <t xml:space="preserve"> 2016 &amp; May |</t>
  </si>
  <si>
    <t xml:space="preserve">          3 |          1        3.33       83.33</t>
  </si>
  <si>
    <t xml:space="preserve">  16 to apr |</t>
  </si>
  <si>
    <t xml:space="preserve">  2016 &amp; Ma |      Freq.     Percent        Cum.</t>
  </si>
  <si>
    <t xml:space="preserve">          4 |          1        3.33       86.67</t>
  </si>
  <si>
    <t xml:space="preserve">    2017 fo |      Freq.     Percent        Cum.</t>
  </si>
  <si>
    <t>------------+-----------------------------------</t>
  </si>
  <si>
    <t xml:space="preserve">          5 |          1        3.33       90.00</t>
  </si>
  <si>
    <t xml:space="preserve">          8 |          1        3.33       93.33</t>
  </si>
  <si>
    <t xml:space="preserve">          0 |         19       63.33       63.33</t>
  </si>
  <si>
    <t xml:space="preserve">   2017 for |      Freq.     Percent        Cum.</t>
  </si>
  <si>
    <t xml:space="preserve">          9 |          1        3.33       96.67</t>
  </si>
  <si>
    <t xml:space="preserve">          1 |          6       20.00       83.33</t>
  </si>
  <si>
    <t xml:space="preserve">         51 |          1        3.33      100.00</t>
  </si>
  <si>
    <t xml:space="preserve">          2 |          3       10.00       93.33</t>
  </si>
  <si>
    <t>Total</t>
  </si>
  <si>
    <t xml:space="preserve">          6 |          1        3.33       96.67</t>
  </si>
  <si>
    <t xml:space="preserve">          1 |          4       13.33       70.00</t>
  </si>
  <si>
    <t xml:space="preserve">         19 |          1        3.33      100.00</t>
  </si>
  <si>
    <t xml:space="preserve">          2 |          1        3.33       73.33</t>
  </si>
  <si>
    <t xml:space="preserve">          3 |          2        6.67       80.00</t>
  </si>
  <si>
    <t xml:space="preserve">      Total |         30      100.00</t>
  </si>
  <si>
    <t xml:space="preserve">          7 |          1        3.33       83.33</t>
  </si>
  <si>
    <t xml:space="preserve">          8 |          1        3.33       86.67</t>
  </si>
  <si>
    <t xml:space="preserve">          9 |          1        3.33       90.00</t>
  </si>
  <si>
    <t xml:space="preserve">         12 |          1        3.33       93.33</t>
  </si>
  <si>
    <t xml:space="preserve">         26 |          1        3.33       96.67</t>
  </si>
  <si>
    <t xml:space="preserve">         30 |          1        3.33      100.00</t>
  </si>
  <si>
    <t xml:space="preserve">      Total |</t>
  </si>
  <si>
    <t xml:space="preserve">   Asphyxia |</t>
  </si>
  <si>
    <t>Asphyxia</t>
  </si>
  <si>
    <t>Sepsis</t>
  </si>
  <si>
    <t>LBW</t>
  </si>
  <si>
    <t>Total LBW |</t>
  </si>
  <si>
    <t xml:space="preserve">        and |</t>
  </si>
  <si>
    <t>pre-maturit |</t>
  </si>
  <si>
    <t xml:space="preserve">   y for 12 |</t>
  </si>
  <si>
    <t xml:space="preserve">        201 |      Freq.     Percent        Cum.</t>
  </si>
  <si>
    <t xml:space="preserve">  Total |</t>
  </si>
  <si>
    <t>months from |</t>
  </si>
  <si>
    <t xml:space="preserve">     Sepsis |</t>
  </si>
  <si>
    <t>sep 2015 to |</t>
  </si>
  <si>
    <t xml:space="preserve">          0 |         18       60.00       60.00</t>
  </si>
  <si>
    <t xml:space="preserve"> Aug 2016 &amp; |</t>
  </si>
  <si>
    <t xml:space="preserve">          1 |          4       13.33       73.33</t>
  </si>
  <si>
    <t>May 16 to a |      Freq.     Percent        Cum.</t>
  </si>
  <si>
    <t xml:space="preserve">          2 |          2        6.67       80.00</t>
  </si>
  <si>
    <t xml:space="preserve">          0 |         15       48.39       48.39</t>
  </si>
  <si>
    <t xml:space="preserve">          5 |          1        3.33       86.67</t>
  </si>
  <si>
    <t xml:space="preserve">          1 |          1        3.23       51.61</t>
  </si>
  <si>
    <t xml:space="preserve">         11 |          2        6.67       93.33</t>
  </si>
  <si>
    <t xml:space="preserve">          2 |          3        9.68       61.29</t>
  </si>
  <si>
    <t xml:space="preserve">         15 |          1        3.33       96.67</t>
  </si>
  <si>
    <t xml:space="preserve">      2017  |      Freq.     Percent        Cum.</t>
  </si>
  <si>
    <t xml:space="preserve">          3 |          2        6.45       67.74</t>
  </si>
  <si>
    <t xml:space="preserve">         36 |          1        3.33      100.00</t>
  </si>
  <si>
    <t xml:space="preserve">          4 |          1        3.23       70.97</t>
  </si>
  <si>
    <t xml:space="preserve">          0 |         26       86.67       86.67</t>
  </si>
  <si>
    <t xml:space="preserve">          5 |          1        3.23       74.19</t>
  </si>
  <si>
    <t xml:space="preserve">          1 |          2        6.67       93.33</t>
  </si>
  <si>
    <t xml:space="preserve">          6 |          1        3.23       77.42</t>
  </si>
  <si>
    <t xml:space="preserve">          5 |          1        3.33       96.67</t>
  </si>
  <si>
    <t xml:space="preserve">         11 |          1        3.23       80.65</t>
  </si>
  <si>
    <t xml:space="preserve">         13 |          1        3.33      100.00</t>
  </si>
  <si>
    <t xml:space="preserve">         12 |          1        3.23       83.87</t>
  </si>
  <si>
    <t xml:space="preserve">         19 |          1        3.23       87.10</t>
  </si>
  <si>
    <t xml:space="preserve">         24 |          1        3.23       90.32</t>
  </si>
  <si>
    <t xml:space="preserve">         46 |          1        3.23       93.55</t>
  </si>
  <si>
    <t xml:space="preserve">        307 |          1        3.23       96.77</t>
  </si>
  <si>
    <t xml:space="preserve">        906 |          1        3.23      100.00</t>
  </si>
  <si>
    <t xml:space="preserve">      Total |         31      100.00</t>
  </si>
  <si>
    <t>PreEclampsiaMgt</t>
  </si>
  <si>
    <t>PROMmgt</t>
  </si>
  <si>
    <t>PPHmgt</t>
  </si>
  <si>
    <t>AsphyxiaMgt</t>
  </si>
  <si>
    <t>SepsisMgt</t>
  </si>
  <si>
    <t>KMC</t>
  </si>
  <si>
    <t xml:space="preserve">Total </t>
  </si>
  <si>
    <t xml:space="preserve"> </t>
  </si>
  <si>
    <t xml:space="preserve">   Total |</t>
  </si>
  <si>
    <t xml:space="preserve"> treatement |</t>
  </si>
  <si>
    <t xml:space="preserve">     for 12 |</t>
  </si>
  <si>
    <t xml:space="preserve">  May 16 to |</t>
  </si>
  <si>
    <t xml:space="preserve">         ap |      Freq.     Percent        Cum.</t>
  </si>
  <si>
    <t xml:space="preserve">          1 |          4       13.33       76.67</t>
  </si>
  <si>
    <t xml:space="preserve">          2 |          1        3.33       80.00</t>
  </si>
  <si>
    <t xml:space="preserve">         12 |          2        6.67       96.67</t>
  </si>
  <si>
    <t xml:space="preserve">       apr  |      Freq.     Percent        Cum.</t>
  </si>
  <si>
    <t xml:space="preserve">          0 |         25       83.33       83.33</t>
  </si>
  <si>
    <t xml:space="preserve">          1 |          2        6.67       90.00</t>
  </si>
  <si>
    <t xml:space="preserve">          5 |          1        3.33       93.33</t>
  </si>
  <si>
    <t xml:space="preserve">         13 |          2        6.67      100.00</t>
  </si>
  <si>
    <t>Total KMC |</t>
  </si>
  <si>
    <t xml:space="preserve">   apr 2017 |</t>
  </si>
  <si>
    <t xml:space="preserve">  for Foger |      Freq.     Percent        Cum.</t>
  </si>
  <si>
    <t xml:space="preserve">          0 |         20       66.67       66.67</t>
  </si>
  <si>
    <t xml:space="preserve">          1 |          3       10.00       76.67</t>
  </si>
  <si>
    <t xml:space="preserve">          2 |          2        6.67       83.33</t>
  </si>
  <si>
    <t xml:space="preserve">          3 |          1        3.33       86.67</t>
  </si>
  <si>
    <t xml:space="preserve">          7 |          2        6.67       96.67</t>
  </si>
  <si>
    <t xml:space="preserve">         26 |          1        3.33      100.00</t>
  </si>
  <si>
    <t>a managment |</t>
  </si>
  <si>
    <t xml:space="preserve">  Aug 2016  |      Freq.     Percent        Cum.</t>
  </si>
  <si>
    <t xml:space="preserve">          0 |         20       68.97       68.97</t>
  </si>
  <si>
    <t xml:space="preserve">          1 |          5       17.24       86.21</t>
  </si>
  <si>
    <t xml:space="preserve">          2 |          1        3.45       89.66</t>
  </si>
  <si>
    <t xml:space="preserve">          4 |          1        3.45       93.10</t>
  </si>
  <si>
    <t xml:space="preserve">          8 |          1        3.45       96.55</t>
  </si>
  <si>
    <t xml:space="preserve">         38 |          1        3.45      100.00</t>
  </si>
  <si>
    <t xml:space="preserve">      Total |         29      100.00</t>
  </si>
  <si>
    <t>CompnScore</t>
  </si>
  <si>
    <t>Total PPROM |</t>
  </si>
  <si>
    <t xml:space="preserve">  managment |</t>
  </si>
  <si>
    <t xml:space="preserve">     apr 20 |      Freq.     Percent        Cum.</t>
  </si>
  <si>
    <t xml:space="preserve">          0 |         24       82.76       82.76</t>
  </si>
  <si>
    <t xml:space="preserve">          1 |          5       17.24      100.00</t>
  </si>
  <si>
    <t xml:space="preserve"> Total PPH |</t>
  </si>
  <si>
    <t xml:space="preserve">   apr 2017 |      Freq.     Percent        Cum.</t>
  </si>
  <si>
    <t xml:space="preserve">          0 |         26       89.66       89.66</t>
  </si>
  <si>
    <t xml:space="preserve">          3 |          1        3.45       93.10</t>
  </si>
  <si>
    <t xml:space="preserve">          4 |          1        3.45       96.55</t>
  </si>
  <si>
    <t xml:space="preserve">          5 |          1        3.45      100.00</t>
  </si>
  <si>
    <t>Treated</t>
  </si>
  <si>
    <t>Cases</t>
  </si>
  <si>
    <t># of HF who had cases</t>
  </si>
  <si>
    <t>Proportion by cases</t>
  </si>
  <si>
    <t>Proportion at STATA</t>
  </si>
  <si>
    <t>Overall Output Mean Score</t>
  </si>
  <si>
    <t>ClinicalService7</t>
  </si>
  <si>
    <t>Over all care for MNH</t>
  </si>
  <si>
    <t>Hospitals</t>
  </si>
  <si>
    <t>Health centers</t>
  </si>
  <si>
    <t>All facilities</t>
  </si>
  <si>
    <t>Quality Component</t>
  </si>
  <si>
    <t xml:space="preserve">Input </t>
  </si>
  <si>
    <t>Process</t>
  </si>
  <si>
    <t>Output</t>
  </si>
  <si>
    <t>Health Facility</t>
  </si>
  <si>
    <t>Not Satisfactory (if scored &gt;75%)
Number of Health facilities (%)</t>
  </si>
  <si>
    <t>2 (7.4)</t>
  </si>
  <si>
    <t>3 (60)</t>
  </si>
  <si>
    <t>5 (15.6)</t>
  </si>
  <si>
    <t>3 (11.1)</t>
  </si>
  <si>
    <t>2 (7.7)</t>
  </si>
  <si>
    <t>1 (33.3)</t>
  </si>
  <si>
    <t>3 (10.7)</t>
  </si>
  <si>
    <t>0 (0)</t>
  </si>
  <si>
    <t>25 (92.6)</t>
  </si>
  <si>
    <t>2 (40)</t>
  </si>
  <si>
    <t>27 (84.4)</t>
  </si>
  <si>
    <t>24 (88.9)</t>
  </si>
  <si>
    <t>5 (100)</t>
  </si>
  <si>
    <t>29 (90.6)</t>
  </si>
  <si>
    <t>3 (9.4)</t>
  </si>
  <si>
    <t>24 (92.3)</t>
  </si>
  <si>
    <t>2 (66.7)</t>
  </si>
  <si>
    <t>26 (89.7)</t>
  </si>
  <si>
    <t>Satisfactory (if scored &gt;=75%)
Number of Health facilities (%)</t>
  </si>
  <si>
    <t>All three components</t>
  </si>
  <si>
    <t>No HF is satisfactory in all of the three components.</t>
  </si>
  <si>
    <t>SD</t>
  </si>
  <si>
    <t>Proportion</t>
  </si>
  <si>
    <r>
      <t>Overall Input mean (</t>
    </r>
    <r>
      <rPr>
        <u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>SD) for MNH care</t>
    </r>
  </si>
  <si>
    <t>Overall Process mean(+SD) for MNH care</t>
  </si>
  <si>
    <t>Overall Output mean (+SD) for MNH care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</si>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</sst>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4"/>
      <name val="Arial"/>
    </font>
    <font>
      <sz val="14"/>
      <color rgb="FF000000"/>
      <name val="Calibri"/>
    </font>
    <font>
      <b/>
      <sz val="14"/>
      <color rgb="FFFFFFFF"/>
      <name val="Calibri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CFD5EA"/>
        <bgColor indexed="64"/>
      </patternFill>
    </fill>
    <fill>
      <patternFill patternType="solid">
        <fgColor rgb="FFE9EBF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left" vertical="center" wrapText="1" indent="4" readingOrder="1"/>
    </xf>
    <xf numFmtId="0" fontId="1" fillId="3" borderId="2" xfId="0" applyFont="1" applyFill="1" applyBorder="1" applyAlignment="1">
      <alignment horizontal="left" vertical="center" wrapText="1" indent="4" readingOrder="1"/>
    </xf>
    <xf numFmtId="0" fontId="1" fillId="4" borderId="3" xfId="0" applyFont="1" applyFill="1" applyBorder="1" applyAlignment="1">
      <alignment horizontal="left" vertical="center" wrapText="1" indent="4" readingOrder="1"/>
    </xf>
    <xf numFmtId="0" fontId="1" fillId="3" borderId="3" xfId="0" applyFont="1" applyFill="1" applyBorder="1" applyAlignment="1">
      <alignment horizontal="left" vertical="center" wrapText="1" indent="4" readingOrder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textRotation="90"/>
    </xf>
    <xf numFmtId="2" fontId="0" fillId="0" borderId="0" xfId="0" applyNumberFormat="1"/>
    <xf numFmtId="2" fontId="2" fillId="3" borderId="2" xfId="0" applyNumberFormat="1" applyFont="1" applyFill="1" applyBorder="1" applyAlignment="1">
      <alignment horizontal="left" vertical="center" wrapText="1" readingOrder="1"/>
    </xf>
    <xf numFmtId="0" fontId="0" fillId="5" borderId="0" xfId="0" applyFill="1"/>
    <xf numFmtId="0" fontId="0" fillId="0" borderId="0" xfId="0" applyAlignment="1">
      <alignment wrapText="1"/>
    </xf>
    <xf numFmtId="164" fontId="0" fillId="0" borderId="0" xfId="0" applyNumberFormat="1"/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5" xfId="0" applyFill="1" applyBorder="1"/>
    <xf numFmtId="164" fontId="3" fillId="2" borderId="1" xfId="0" applyNumberFormat="1" applyFont="1" applyFill="1" applyBorder="1" applyAlignment="1">
      <alignment horizontal="left" vertical="center" wrapText="1" readingOrder="1"/>
    </xf>
    <xf numFmtId="164" fontId="2" fillId="3" borderId="2" xfId="0" applyNumberFormat="1" applyFont="1" applyFill="1" applyBorder="1" applyAlignment="1">
      <alignment horizontal="left" vertical="center" wrapText="1" readingOrder="1"/>
    </xf>
    <xf numFmtId="164" fontId="2" fillId="4" borderId="3" xfId="0" applyNumberFormat="1" applyFont="1" applyFill="1" applyBorder="1" applyAlignment="1">
      <alignment horizontal="left" vertical="center" wrapText="1" readingOrder="1"/>
    </xf>
    <xf numFmtId="164" fontId="2" fillId="3" borderId="3" xfId="0" applyNumberFormat="1" applyFont="1" applyFill="1" applyBorder="1" applyAlignment="1">
      <alignment horizontal="left" vertical="center" wrapText="1" readingOrder="1"/>
    </xf>
    <xf numFmtId="0" fontId="0" fillId="0" borderId="0" xfId="0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Overall!$D$2</c:f>
              <c:strCache>
                <c:ptCount val="1"/>
                <c:pt idx="0">
                  <c:v>Hospitals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Overall!$G$3:$G$5</c:f>
                <c:numCache>
                  <c:formatCode>General</c:formatCode>
                  <c:ptCount val="3"/>
                  <c:pt idx="0">
                    <c:v>10.053370000000001</c:v>
                  </c:pt>
                  <c:pt idx="1">
                    <c:v>15.33292</c:v>
                  </c:pt>
                  <c:pt idx="2">
                    <c:v>24.650880000000001</c:v>
                  </c:pt>
                </c:numCache>
              </c:numRef>
            </c:plus>
            <c:minus>
              <c:numRef>
                <c:f>Overall!$G$3:$G$5</c:f>
                <c:numCache>
                  <c:formatCode>General</c:formatCode>
                  <c:ptCount val="3"/>
                  <c:pt idx="0">
                    <c:v>10.053370000000001</c:v>
                  </c:pt>
                  <c:pt idx="1">
                    <c:v>15.33292</c:v>
                  </c:pt>
                  <c:pt idx="2">
                    <c:v>24.650880000000001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Overall!$C$3:$C$5</c:f>
              <c:strCache>
                <c:ptCount val="3"/>
                <c:pt idx="0">
                  <c:v>Overall Input mean (+SD) for MNH care</c:v>
                </c:pt>
                <c:pt idx="1">
                  <c:v>Overall Process mean(+SD) for MNH care</c:v>
                </c:pt>
                <c:pt idx="2">
                  <c:v>Overall Output mean (+SD) for MNH care</c:v>
                </c:pt>
              </c:strCache>
            </c:strRef>
          </c:cat>
          <c:val>
            <c:numRef>
              <c:f>Overall!$D$3:$D$5</c:f>
              <c:numCache>
                <c:formatCode>General</c:formatCode>
                <c:ptCount val="3"/>
                <c:pt idx="0">
                  <c:v>79</c:v>
                </c:pt>
                <c:pt idx="1">
                  <c:v>57.999999999999993</c:v>
                </c:pt>
                <c:pt idx="2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E-4A22-BF73-80CAB32F0157}"/>
            </c:ext>
          </c:extLst>
        </c:ser>
        <c:ser>
          <c:idx val="1"/>
          <c:order val="1"/>
          <c:tx>
            <c:strRef>
              <c:f>Overall!$E$2</c:f>
              <c:strCache>
                <c:ptCount val="1"/>
                <c:pt idx="0">
                  <c:v>Health centers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Overall!$H$3:$H$5</c:f>
                <c:numCache>
                  <c:formatCode>General</c:formatCode>
                  <c:ptCount val="3"/>
                  <c:pt idx="0">
                    <c:v>11.317530000000001</c:v>
                  </c:pt>
                  <c:pt idx="1">
                    <c:v>27.17718</c:v>
                  </c:pt>
                  <c:pt idx="2">
                    <c:v>19.06635</c:v>
                  </c:pt>
                </c:numCache>
              </c:numRef>
            </c:plus>
            <c:minus>
              <c:numRef>
                <c:f>Overall!$H$3:$H$5</c:f>
                <c:numCache>
                  <c:formatCode>General</c:formatCode>
                  <c:ptCount val="3"/>
                  <c:pt idx="0">
                    <c:v>11.317530000000001</c:v>
                  </c:pt>
                  <c:pt idx="1">
                    <c:v>27.17718</c:v>
                  </c:pt>
                  <c:pt idx="2">
                    <c:v>19.06635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Overall!$C$3:$C$5</c:f>
              <c:strCache>
                <c:ptCount val="3"/>
                <c:pt idx="0">
                  <c:v>Overall Input mean (+SD) for MNH care</c:v>
                </c:pt>
                <c:pt idx="1">
                  <c:v>Overall Process mean(+SD) for MNH care</c:v>
                </c:pt>
                <c:pt idx="2">
                  <c:v>Overall Output mean (+SD) for MNH care</c:v>
                </c:pt>
              </c:strCache>
            </c:strRef>
          </c:cat>
          <c:val>
            <c:numRef>
              <c:f>Overall!$E$3:$E$5</c:f>
              <c:numCache>
                <c:formatCode>General</c:formatCode>
                <c:ptCount val="3"/>
                <c:pt idx="0">
                  <c:v>59</c:v>
                </c:pt>
                <c:pt idx="1">
                  <c:v>41</c:v>
                </c:pt>
                <c:pt idx="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BE-4A22-BF73-80CAB32F0157}"/>
            </c:ext>
          </c:extLst>
        </c:ser>
        <c:ser>
          <c:idx val="2"/>
          <c:order val="2"/>
          <c:tx>
            <c:strRef>
              <c:f>Overall!$F$2</c:f>
              <c:strCache>
                <c:ptCount val="1"/>
                <c:pt idx="0">
                  <c:v>All facilities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Overall!$I$3:$I$5</c:f>
                <c:numCache>
                  <c:formatCode>General</c:formatCode>
                  <c:ptCount val="3"/>
                  <c:pt idx="0">
                    <c:v>13.235659999999999</c:v>
                  </c:pt>
                  <c:pt idx="1">
                    <c:v>26.238640000000004</c:v>
                  </c:pt>
                  <c:pt idx="2">
                    <c:v>19.81249</c:v>
                  </c:pt>
                </c:numCache>
              </c:numRef>
            </c:plus>
            <c:minus>
              <c:numRef>
                <c:f>Overall!$I$3:$I$5</c:f>
                <c:numCache>
                  <c:formatCode>General</c:formatCode>
                  <c:ptCount val="3"/>
                  <c:pt idx="0">
                    <c:v>13.235659999999999</c:v>
                  </c:pt>
                  <c:pt idx="1">
                    <c:v>26.238640000000004</c:v>
                  </c:pt>
                  <c:pt idx="2">
                    <c:v>19.81249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Overall!$C$3:$C$5</c:f>
              <c:strCache>
                <c:ptCount val="3"/>
                <c:pt idx="0">
                  <c:v>Overall Input mean (+SD) for MNH care</c:v>
                </c:pt>
                <c:pt idx="1">
                  <c:v>Overall Process mean(+SD) for MNH care</c:v>
                </c:pt>
                <c:pt idx="2">
                  <c:v>Overall Output mean (+SD) for MNH care</c:v>
                </c:pt>
              </c:strCache>
            </c:strRef>
          </c:cat>
          <c:val>
            <c:numRef>
              <c:f>Overall!$F$3:$F$5</c:f>
              <c:numCache>
                <c:formatCode>0.0</c:formatCode>
                <c:ptCount val="3"/>
                <c:pt idx="0">
                  <c:v>62</c:v>
                </c:pt>
                <c:pt idx="1">
                  <c:v>43.413640000000001</c:v>
                </c:pt>
                <c:pt idx="2">
                  <c:v>48.009679999999996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BE-4A22-BF73-80CAB32F0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87173640"/>
        <c:axId val="487172000"/>
      </c:barChart>
      <c:catAx>
        <c:axId val="487173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172000"/>
        <c:crosses val="autoZero"/>
        <c:auto val="1"/>
        <c:lblAlgn val="ctr"/>
        <c:lblOffset val="100"/>
        <c:noMultiLvlLbl val="0"/>
      </c:catAx>
      <c:valAx>
        <c:axId val="48717200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high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173640"/>
        <c:crosses val="autoZero"/>
        <c:crossBetween val="between"/>
      </c:valAx>
      <c:spPr>
        <a:noFill/>
        <a:ln>
          <a:solidFill>
            <a:schemeClr val="accent1"/>
          </a:solidFill>
          <a:prstDash val="sysDot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OutPut!$D$2</c:f>
              <c:strCache>
                <c:ptCount val="1"/>
                <c:pt idx="0">
                  <c:v>Proportion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OutPut!$C$3:$C$7</c:f>
              <c:strCache>
                <c:ptCount val="5"/>
                <c:pt idx="0">
                  <c:v>•Proportion of women that received antenatal care four or more times during the current pregnancy.</c:v>
                </c:pt>
                <c:pt idx="1">
                  <c:v>•Proportion of pregnant women attending antenatal care clinics tested for syphilis.</c:v>
                </c:pt>
                <c:pt idx="2">
                  <c:v>•Proportion of births attended by skilled health personnel (midwife, nurse, health officer or doctor).</c:v>
                </c:pt>
                <c:pt idx="3">
                  <c:v>•Proportion of births that received post natal care at least once during the early post-partum period (within 48 hrs after delivery). </c:v>
                </c:pt>
                <c:pt idx="4">
                  <c:v>Overall Output Mean Score</c:v>
                </c:pt>
              </c:strCache>
            </c:strRef>
          </c:cat>
          <c:val>
            <c:numRef>
              <c:f>OutPut!$D$3:$D$7</c:f>
              <c:numCache>
                <c:formatCode>0.0</c:formatCode>
                <c:ptCount val="5"/>
                <c:pt idx="0">
                  <c:v>50.5</c:v>
                </c:pt>
                <c:pt idx="1">
                  <c:v>44.2</c:v>
                </c:pt>
                <c:pt idx="2">
                  <c:v>69.599999999999994</c:v>
                </c:pt>
                <c:pt idx="3">
                  <c:v>31.4</c:v>
                </c:pt>
                <c:pt idx="4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C-4C22-872C-A2356708B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587480600"/>
        <c:axId val="587476336"/>
      </c:barChart>
      <c:catAx>
        <c:axId val="5874806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476336"/>
        <c:crosses val="autoZero"/>
        <c:auto val="1"/>
        <c:lblAlgn val="ctr"/>
        <c:lblOffset val="100"/>
        <c:noMultiLvlLbl val="0"/>
      </c:catAx>
      <c:valAx>
        <c:axId val="587476336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48060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'ComplicationMgt (2)'!$D$2</c:f>
              <c:strCache>
                <c:ptCount val="1"/>
                <c:pt idx="0">
                  <c:v>Proportion by cases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'ComplicationMgt (2)'!$C$3:$C$9</c:f>
              <c:strCache>
                <c:ptCount val="7"/>
                <c:pt idx="0">
                  <c:v>•Proportion of women with pre-eclampsia who are treated with IV/IM MgS04</c:v>
                </c:pt>
                <c:pt idx="1">
                  <c:v>•Proportion of pregnant women with pPRoM who are not in labor and are given oral erythromycin</c:v>
                </c:pt>
                <c:pt idx="2">
                  <c:v>•Proportion of Postpartum Hemorrhage cases managed per protocol</c:v>
                </c:pt>
                <c:pt idx="3">
                  <c:v>•Proportion of asphyxiated neonates who were resuscitated (with bag &amp; mask) and survived</c:v>
                </c:pt>
                <c:pt idx="4">
                  <c:v>•Proportion of Sick Young infants treated for sepsis/VSD </c:v>
                </c:pt>
                <c:pt idx="5">
                  <c:v>•Proportion of low birth weight or premature newborns for whom KMC was initiated after delivery </c:v>
                </c:pt>
                <c:pt idx="6">
                  <c:v>Overall complication management Mean Score</c:v>
                </c:pt>
              </c:strCache>
            </c:strRef>
          </c:cat>
          <c:val>
            <c:numRef>
              <c:f>'ComplicationMgt (2)'!$D$3:$D$9</c:f>
              <c:numCache>
                <c:formatCode>0.00</c:formatCode>
                <c:ptCount val="7"/>
                <c:pt idx="0">
                  <c:v>0.62637362637362637</c:v>
                </c:pt>
                <c:pt idx="1">
                  <c:v>0.13513513513513514</c:v>
                </c:pt>
                <c:pt idx="2">
                  <c:v>0.11538461538461539</c:v>
                </c:pt>
                <c:pt idx="3">
                  <c:v>0.797752808988764</c:v>
                </c:pt>
                <c:pt idx="4">
                  <c:v>1</c:v>
                </c:pt>
                <c:pt idx="5">
                  <c:v>4.2128603104212861E-2</c:v>
                </c:pt>
                <c:pt idx="6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4A-49C4-A443-9CC33734A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587480600"/>
        <c:axId val="587476336"/>
      </c:barChart>
      <c:catAx>
        <c:axId val="5874806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476336"/>
        <c:crosses val="autoZero"/>
        <c:auto val="1"/>
        <c:lblAlgn val="ctr"/>
        <c:lblOffset val="100"/>
        <c:noMultiLvlLbl val="0"/>
      </c:catAx>
      <c:valAx>
        <c:axId val="587476336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48060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ComplicationMgt!$D$2</c:f>
              <c:strCache>
                <c:ptCount val="1"/>
                <c:pt idx="0">
                  <c:v>Proportion at STATA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ComplicationMgt!$C$3:$C$9</c:f>
              <c:strCache>
                <c:ptCount val="7"/>
                <c:pt idx="0">
                  <c:v>•Proportion of women with pre-eclampsia who are treated with IV/IM MgS04</c:v>
                </c:pt>
                <c:pt idx="1">
                  <c:v>•Proportion of pregnant women with pPRoM who are not in labor and are given oral erythromycin</c:v>
                </c:pt>
                <c:pt idx="2">
                  <c:v>•Proportion of Postpartum Hemorrhage cases managed per protocol</c:v>
                </c:pt>
                <c:pt idx="3">
                  <c:v>•Proportion of asphyxiated neonates who were resuscitated (with bag &amp; mask) and survived</c:v>
                </c:pt>
                <c:pt idx="4">
                  <c:v>•Proportion of Sick Young infants treated for sepsis/VSD </c:v>
                </c:pt>
                <c:pt idx="5">
                  <c:v>•Proportion of low birth weight or premature newborns for whom KMC was initiated after delivery </c:v>
                </c:pt>
                <c:pt idx="6">
                  <c:v>Overall complication management Mean Score</c:v>
                </c:pt>
              </c:strCache>
            </c:strRef>
          </c:cat>
          <c:val>
            <c:numRef>
              <c:f>ComplicationMgt!$D$3:$D$9</c:f>
              <c:numCache>
                <c:formatCode>0.00</c:formatCode>
                <c:ptCount val="7"/>
                <c:pt idx="0">
                  <c:v>0.63153594999999996</c:v>
                </c:pt>
                <c:pt idx="1">
                  <c:v>0.45</c:v>
                </c:pt>
                <c:pt idx="2">
                  <c:v>0.10763888333333334</c:v>
                </c:pt>
                <c:pt idx="3">
                  <c:v>0.85075756666666669</c:v>
                </c:pt>
                <c:pt idx="4">
                  <c:v>1</c:v>
                </c:pt>
                <c:pt idx="5">
                  <c:v>0.13981484666666669</c:v>
                </c:pt>
                <c:pt idx="6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FB-441E-A1A0-A13F21474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587480600"/>
        <c:axId val="587476336"/>
      </c:barChart>
      <c:catAx>
        <c:axId val="5874806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476336"/>
        <c:crosses val="autoZero"/>
        <c:auto val="1"/>
        <c:lblAlgn val="ctr"/>
        <c:lblOffset val="100"/>
        <c:noMultiLvlLbl val="0"/>
      </c:catAx>
      <c:valAx>
        <c:axId val="587476336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48060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'Clinicalbundle&amp;compl''n'!$D$2</c:f>
              <c:strCache>
                <c:ptCount val="1"/>
                <c:pt idx="0">
                  <c:v>Proportion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'Clinicalbundle&amp;compl''n'!$C$3:$C$18</c:f>
              <c:strCache>
                <c:ptCount val="16"/>
                <c:pt idx="0">
                  <c:v>•Proportion of deliveries which danger signs assessed on admission (BP measured).</c:v>
                </c:pt>
                <c:pt idx="1">
                  <c:v>•Proportion of deliveries which partograph started when cervical dilatation at least 4cm.</c:v>
                </c:pt>
                <c:pt idx="2">
                  <c:v>•Proportion of mothers who received 10 IU IV/IM Oxytocin.</c:v>
                </c:pt>
                <c:pt idx="3">
                  <c:v>•Proportion of newborn who had assessment (does the baby need special care and monitoring) – APGAR score.</c:v>
                </c:pt>
                <c:pt idx="4">
                  <c:v>•Proportion of deliveries (newborns) who received immediate skin to skin and initiate breastfeeding within the 1st hour (measured by mother/baby bonding).</c:v>
                </c:pt>
                <c:pt idx="5">
                  <c:v>•Proportion of deliveries (newborns) who received Vit K1.</c:v>
                </c:pt>
                <c:pt idx="6">
                  <c:v>•Proportion of deliveries (newborns) who received Tetracycline Eye Ointment.</c:v>
                </c:pt>
                <c:pt idx="7">
                  <c:v>Overall clinical care for MNH.</c:v>
                </c:pt>
                <c:pt idx="9">
                  <c:v>•Proportion of women with pre-eclampsia who are treated with IV/IM MgS04</c:v>
                </c:pt>
                <c:pt idx="10">
                  <c:v>•Proportion of pregnant women with pPRoM who are not in labor and are given oral erythromycin</c:v>
                </c:pt>
                <c:pt idx="11">
                  <c:v>•Proportion of Postpartum Hemorrhage cases managed per protocol</c:v>
                </c:pt>
                <c:pt idx="12">
                  <c:v>•Proportion of asphyxiated neonates who were resuscitated (with bag &amp; mask) and survived</c:v>
                </c:pt>
                <c:pt idx="13">
                  <c:v>•Proportion of Sick Young infants treated for sepsis/VSD </c:v>
                </c:pt>
                <c:pt idx="14">
                  <c:v>•Proportion of low birth weight or premature newborns for whom KMC was initiated after delivery </c:v>
                </c:pt>
                <c:pt idx="15">
                  <c:v>Overall complication management Mean Score</c:v>
                </c:pt>
              </c:strCache>
            </c:strRef>
          </c:cat>
          <c:val>
            <c:numRef>
              <c:f>'Clinicalbundle&amp;compl''n'!$D$3:$D$18</c:f>
              <c:numCache>
                <c:formatCode>0.0</c:formatCode>
                <c:ptCount val="16"/>
                <c:pt idx="0">
                  <c:v>52.800000000000004</c:v>
                </c:pt>
                <c:pt idx="1">
                  <c:v>55.1</c:v>
                </c:pt>
                <c:pt idx="2">
                  <c:v>54.6</c:v>
                </c:pt>
                <c:pt idx="3">
                  <c:v>57.499999999999993</c:v>
                </c:pt>
                <c:pt idx="4">
                  <c:v>35</c:v>
                </c:pt>
                <c:pt idx="5">
                  <c:v>37.799999999999997</c:v>
                </c:pt>
                <c:pt idx="6">
                  <c:v>46</c:v>
                </c:pt>
                <c:pt idx="7">
                  <c:v>48.4</c:v>
                </c:pt>
                <c:pt idx="9">
                  <c:v>63.2</c:v>
                </c:pt>
                <c:pt idx="10">
                  <c:v>45</c:v>
                </c:pt>
                <c:pt idx="11">
                  <c:v>10.8</c:v>
                </c:pt>
                <c:pt idx="12">
                  <c:v>85.1</c:v>
                </c:pt>
                <c:pt idx="13">
                  <c:v>100</c:v>
                </c:pt>
                <c:pt idx="14">
                  <c:v>14.000000000000002</c:v>
                </c:pt>
                <c:pt idx="15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1-489D-84DD-82BA65672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587480600"/>
        <c:axId val="587476336"/>
      </c:barChart>
      <c:catAx>
        <c:axId val="5874806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476336"/>
        <c:crosses val="autoZero"/>
        <c:auto val="1"/>
        <c:lblAlgn val="ctr"/>
        <c:lblOffset val="100"/>
        <c:noMultiLvlLbl val="0"/>
      </c:catAx>
      <c:valAx>
        <c:axId val="587476336"/>
        <c:scaling>
          <c:orientation val="minMax"/>
          <c:max val="100"/>
          <c:min val="0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480600"/>
        <c:crosses val="autoZero"/>
        <c:crossBetween val="between"/>
        <c:majorUnit val="10"/>
        <c:minorUnit val="2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6</xdr:row>
      <xdr:rowOff>9525</xdr:rowOff>
    </xdr:from>
    <xdr:to>
      <xdr:col>9</xdr:col>
      <xdr:colOff>9525</xdr:colOff>
      <xdr:row>22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AFD7A8-1275-4846-83F2-0F9497966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2666999</xdr:colOff>
      <xdr:row>7</xdr:row>
      <xdr:rowOff>28575</xdr:rowOff>
    </xdr:from>
    <xdr:to>
      <xdr:col>2</xdr:col>
      <xdr:colOff>8448674</xdr:colOff>
      <xdr:row>21</xdr:row>
      <xdr:rowOff>157163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033DF8-B3F1-4824-9A78-D1E4E51C3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3990974</xdr:colOff>
      <xdr:row>4</xdr:row>
      <xdr:rowOff>33337</xdr:rowOff>
    </xdr:from>
    <xdr:to>
      <xdr:col>3</xdr:col>
      <xdr:colOff>209549</xdr:colOff>
      <xdr:row>24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72BDE3-933A-4BBA-9E90-025C707A6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3990974</xdr:colOff>
      <xdr:row>4</xdr:row>
      <xdr:rowOff>33337</xdr:rowOff>
    </xdr:from>
    <xdr:to>
      <xdr:col>3</xdr:col>
      <xdr:colOff>209549</xdr:colOff>
      <xdr:row>24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2AF6D4-A53E-4B48-A2C3-A18060C27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2619374</xdr:colOff>
      <xdr:row>3</xdr:row>
      <xdr:rowOff>33337</xdr:rowOff>
    </xdr:from>
    <xdr:to>
      <xdr:col>2</xdr:col>
      <xdr:colOff>8401049</xdr:colOff>
      <xdr:row>26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D5EDDE-CEA0-4BA4-B391-7160A6D98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C308A-849A-416C-A10D-B77D09E77D90}">
  <dimension ref="C2:I22"/>
  <sheetViews>
    <sheetView topLeftCell="A2" workbookViewId="0">
      <selection activeCell="K10" sqref="K10"/>
    </sheetView>
  </sheetViews>
  <sheetFormatPr defaultRowHeight="14.4" x14ac:dyDescent="0.3"/>
  <cols>
    <col min="3" max="3" width="15.109375" customWidth="1"/>
    <col min="4" max="4" width="14.44140625" customWidth="1"/>
    <col min="5" max="5" width="28.6640625" customWidth="1"/>
    <col min="6" max="6" width="31.109375" customWidth="1"/>
    <col min="7" max="7" width="12" customWidth="1"/>
    <col min="8" max="8" width="9.33203125" bestFit="1" customWidth="1"/>
    <col min="9" max="9" width="9.5546875" bestFit="1" customWidth="1"/>
  </cols>
  <sheetData>
    <row r="2" spans="3:9" ht="37.5" customHeight="1" x14ac:dyDescent="0.3">
      <c r="C2" s="12" t="s">
        <v>173</v>
      </c>
      <c r="D2" s="12" t="s">
        <v>177</v>
      </c>
      <c r="E2" s="13" t="s">
        <v>197</v>
      </c>
      <c r="F2" s="13" t="s">
        <v>178</v>
      </c>
      <c r="G2" s="12" t="s">
        <v>55</v>
      </c>
    </row>
    <row r="3" spans="3:9" x14ac:dyDescent="0.3">
      <c r="C3" s="13" t="s">
        <v>174</v>
      </c>
      <c r="D3" s="12" t="s">
        <v>171</v>
      </c>
      <c r="E3" s="12" t="s">
        <v>179</v>
      </c>
      <c r="F3" s="12" t="s">
        <v>187</v>
      </c>
      <c r="G3" s="12">
        <v>27</v>
      </c>
    </row>
    <row r="4" spans="3:9" x14ac:dyDescent="0.3">
      <c r="C4" s="13"/>
      <c r="D4" s="12" t="s">
        <v>170</v>
      </c>
      <c r="E4" s="12" t="s">
        <v>180</v>
      </c>
      <c r="F4" s="12" t="s">
        <v>188</v>
      </c>
      <c r="G4" s="12">
        <v>5</v>
      </c>
    </row>
    <row r="5" spans="3:9" x14ac:dyDescent="0.3">
      <c r="C5" s="13"/>
      <c r="D5" s="12" t="s">
        <v>172</v>
      </c>
      <c r="E5" s="12" t="s">
        <v>181</v>
      </c>
      <c r="F5" s="12" t="s">
        <v>189</v>
      </c>
      <c r="G5" s="12">
        <v>32</v>
      </c>
    </row>
    <row r="6" spans="3:9" x14ac:dyDescent="0.3">
      <c r="C6" s="13" t="s">
        <v>175</v>
      </c>
      <c r="D6" s="12" t="s">
        <v>171</v>
      </c>
      <c r="E6" s="12" t="s">
        <v>182</v>
      </c>
      <c r="F6" s="12" t="s">
        <v>190</v>
      </c>
      <c r="G6" s="12">
        <v>27</v>
      </c>
    </row>
    <row r="7" spans="3:9" x14ac:dyDescent="0.3">
      <c r="C7" s="13"/>
      <c r="D7" s="12" t="s">
        <v>170</v>
      </c>
      <c r="E7" s="12" t="s">
        <v>186</v>
      </c>
      <c r="F7" s="12" t="s">
        <v>191</v>
      </c>
      <c r="G7" s="12">
        <v>5</v>
      </c>
    </row>
    <row r="8" spans="3:9" x14ac:dyDescent="0.3">
      <c r="C8" s="13"/>
      <c r="D8" s="12" t="s">
        <v>172</v>
      </c>
      <c r="E8" s="12" t="s">
        <v>193</v>
      </c>
      <c r="F8" s="12" t="s">
        <v>192</v>
      </c>
      <c r="G8" s="12">
        <v>32</v>
      </c>
    </row>
    <row r="9" spans="3:9" x14ac:dyDescent="0.3">
      <c r="C9" s="13" t="s">
        <v>176</v>
      </c>
      <c r="D9" s="12" t="s">
        <v>171</v>
      </c>
      <c r="E9" s="12" t="s">
        <v>183</v>
      </c>
      <c r="F9" s="12" t="s">
        <v>194</v>
      </c>
      <c r="G9" s="12">
        <v>26</v>
      </c>
    </row>
    <row r="10" spans="3:9" x14ac:dyDescent="0.3">
      <c r="C10" s="12"/>
      <c r="D10" s="12" t="s">
        <v>170</v>
      </c>
      <c r="E10" s="12" t="s">
        <v>184</v>
      </c>
      <c r="F10" s="12" t="s">
        <v>195</v>
      </c>
      <c r="G10" s="12">
        <v>3</v>
      </c>
    </row>
    <row r="11" spans="3:9" x14ac:dyDescent="0.3">
      <c r="C11" s="12"/>
      <c r="D11" s="12" t="s">
        <v>172</v>
      </c>
      <c r="E11" s="12" t="s">
        <v>185</v>
      </c>
      <c r="F11" s="12" t="s">
        <v>196</v>
      </c>
      <c r="G11" s="12">
        <v>29</v>
      </c>
    </row>
    <row r="12" spans="3:9" x14ac:dyDescent="0.3">
      <c r="C12" t="s">
        <v>198</v>
      </c>
      <c r="D12" s="12" t="s">
        <v>171</v>
      </c>
      <c r="E12" s="14" t="s">
        <v>199</v>
      </c>
    </row>
    <row r="13" spans="3:9" x14ac:dyDescent="0.3">
      <c r="D13" s="12" t="s">
        <v>170</v>
      </c>
      <c r="F13" t="s">
        <v>118</v>
      </c>
    </row>
    <row r="14" spans="3:9" x14ac:dyDescent="0.3">
      <c r="D14" s="12" t="s">
        <v>172</v>
      </c>
      <c r="E14">
        <v>2</v>
      </c>
      <c r="F14">
        <v>25</v>
      </c>
      <c r="G14">
        <f>E14+F14</f>
        <v>27</v>
      </c>
      <c r="H14" s="11">
        <f>E14/G14*100</f>
        <v>7.4074074074074066</v>
      </c>
      <c r="I14" s="11">
        <f>F14/G14*100</f>
        <v>92.592592592592595</v>
      </c>
    </row>
    <row r="15" spans="3:9" x14ac:dyDescent="0.3">
      <c r="D15" t="s">
        <v>118</v>
      </c>
      <c r="E15">
        <v>3</v>
      </c>
      <c r="F15">
        <v>2</v>
      </c>
      <c r="G15">
        <f t="shared" ref="G15:G22" si="0">E15+F15</f>
        <v>5</v>
      </c>
      <c r="H15" s="11">
        <f t="shared" ref="H15:H22" si="1">E15/G15*100</f>
        <v>60</v>
      </c>
      <c r="I15" s="11">
        <f t="shared" ref="I15:I22" si="2">F15/G15*100</f>
        <v>40</v>
      </c>
    </row>
    <row r="16" spans="3:9" x14ac:dyDescent="0.3">
      <c r="C16" t="s">
        <v>118</v>
      </c>
      <c r="E16">
        <v>5</v>
      </c>
      <c r="F16">
        <v>27</v>
      </c>
      <c r="G16">
        <f t="shared" si="0"/>
        <v>32</v>
      </c>
      <c r="H16" s="11">
        <f t="shared" si="1"/>
        <v>15.625</v>
      </c>
      <c r="I16" s="11">
        <f t="shared" si="2"/>
        <v>84.375</v>
      </c>
    </row>
    <row r="17" spans="5:9" x14ac:dyDescent="0.3">
      <c r="E17">
        <v>3</v>
      </c>
      <c r="F17">
        <v>24</v>
      </c>
      <c r="G17">
        <f t="shared" si="0"/>
        <v>27</v>
      </c>
      <c r="H17" s="11">
        <f t="shared" si="1"/>
        <v>11.111111111111111</v>
      </c>
      <c r="I17" s="11">
        <f t="shared" si="2"/>
        <v>88.888888888888886</v>
      </c>
    </row>
    <row r="18" spans="5:9" x14ac:dyDescent="0.3">
      <c r="E18">
        <v>0</v>
      </c>
      <c r="F18">
        <v>5</v>
      </c>
      <c r="G18">
        <f t="shared" si="0"/>
        <v>5</v>
      </c>
      <c r="H18" s="11">
        <f t="shared" si="1"/>
        <v>0</v>
      </c>
      <c r="I18" s="11">
        <f t="shared" si="2"/>
        <v>100</v>
      </c>
    </row>
    <row r="19" spans="5:9" x14ac:dyDescent="0.3">
      <c r="E19">
        <v>3</v>
      </c>
      <c r="F19">
        <v>29</v>
      </c>
      <c r="G19">
        <f t="shared" si="0"/>
        <v>32</v>
      </c>
      <c r="H19" s="11">
        <f t="shared" si="1"/>
        <v>9.375</v>
      </c>
      <c r="I19" s="11">
        <f t="shared" si="2"/>
        <v>90.625</v>
      </c>
    </row>
    <row r="20" spans="5:9" x14ac:dyDescent="0.3">
      <c r="E20">
        <v>2</v>
      </c>
      <c r="F20">
        <v>24</v>
      </c>
      <c r="G20">
        <f t="shared" si="0"/>
        <v>26</v>
      </c>
      <c r="H20" s="11">
        <f t="shared" si="1"/>
        <v>7.6923076923076925</v>
      </c>
      <c r="I20" s="11">
        <f t="shared" si="2"/>
        <v>92.307692307692307</v>
      </c>
    </row>
    <row r="21" spans="5:9" x14ac:dyDescent="0.3">
      <c r="E21">
        <v>1</v>
      </c>
      <c r="F21">
        <v>2</v>
      </c>
      <c r="G21">
        <f t="shared" si="0"/>
        <v>3</v>
      </c>
      <c r="H21" s="11">
        <f t="shared" si="1"/>
        <v>33.333333333333329</v>
      </c>
      <c r="I21" s="11">
        <f t="shared" si="2"/>
        <v>66.666666666666657</v>
      </c>
    </row>
    <row r="22" spans="5:9" x14ac:dyDescent="0.3">
      <c r="E22">
        <v>3</v>
      </c>
      <c r="F22">
        <v>26</v>
      </c>
      <c r="G22">
        <f t="shared" si="0"/>
        <v>29</v>
      </c>
      <c r="H22" s="11">
        <f t="shared" si="1"/>
        <v>10.344827586206897</v>
      </c>
      <c r="I22" s="11">
        <f t="shared" si="2"/>
        <v>89.65517241379311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56478-B129-4AE1-B24C-7932E763938F}">
  <dimension ref="C1:M13"/>
  <sheetViews>
    <sheetView workbookViewId="0">
      <selection activeCell="M14" sqref="M14"/>
    </sheetView>
  </sheetViews>
  <sheetFormatPr defaultRowHeight="14.4" x14ac:dyDescent="0.3"/>
  <cols>
    <col min="3" max="3" width="41" customWidth="1"/>
    <col min="4" max="5" width="13" customWidth="1"/>
    <col min="6" max="6" width="12" customWidth="1"/>
  </cols>
  <sheetData>
    <row r="1" spans="3:13" x14ac:dyDescent="0.3">
      <c r="D1" t="s">
        <v>201</v>
      </c>
      <c r="G1" t="s">
        <v>200</v>
      </c>
    </row>
    <row r="2" spans="3:13" x14ac:dyDescent="0.3">
      <c r="C2" t="s">
        <v>169</v>
      </c>
      <c r="D2" t="s">
        <v>170</v>
      </c>
      <c r="E2" t="s">
        <v>171</v>
      </c>
      <c r="F2" t="s">
        <v>172</v>
      </c>
      <c r="G2" t="s">
        <v>170</v>
      </c>
      <c r="H2" t="s">
        <v>171</v>
      </c>
      <c r="I2" t="s">
        <v>172</v>
      </c>
      <c r="J2" t="s">
        <v>205</v>
      </c>
    </row>
    <row r="3" spans="3:13" ht="15" thickBot="1" x14ac:dyDescent="0.35">
      <c r="C3" s="10" t="s">
        <v>202</v>
      </c>
      <c r="D3">
        <f>0.79*100</f>
        <v>79</v>
      </c>
      <c r="E3">
        <f>0.59*100</f>
        <v>59</v>
      </c>
      <c r="F3" s="11">
        <f>0.62*100</f>
        <v>62</v>
      </c>
      <c r="G3" s="7">
        <f>0.1005337*100</f>
        <v>10.053370000000001</v>
      </c>
      <c r="H3" s="7">
        <f>0.1131753*100</f>
        <v>11.317530000000001</v>
      </c>
      <c r="I3" s="7">
        <f>0.1323566*100</f>
        <v>13.235659999999999</v>
      </c>
      <c r="J3">
        <f>AVERAGE(G3:I3)</f>
        <v>11.53552</v>
      </c>
    </row>
    <row r="4" spans="3:13" ht="19.2" thickTop="1" thickBot="1" x14ac:dyDescent="0.35">
      <c r="C4" s="10" t="s">
        <v>203</v>
      </c>
      <c r="D4">
        <f>0.58*100</f>
        <v>57.999999999999993</v>
      </c>
      <c r="E4">
        <f>0.41*100</f>
        <v>41</v>
      </c>
      <c r="F4" s="16">
        <f>0.4341364*100</f>
        <v>43.413640000000001</v>
      </c>
      <c r="G4" s="7">
        <f>0.1533292*100</f>
        <v>15.33292</v>
      </c>
      <c r="H4" s="7">
        <f>0.2717718*100</f>
        <v>27.17718</v>
      </c>
      <c r="I4" s="8">
        <f>0.2623864*100</f>
        <v>26.238640000000004</v>
      </c>
      <c r="J4">
        <f t="shared" ref="J4:J5" si="0">AVERAGE(G4:I4)</f>
        <v>22.916246666666666</v>
      </c>
    </row>
    <row r="5" spans="3:13" x14ac:dyDescent="0.3">
      <c r="C5" s="10" t="s">
        <v>204</v>
      </c>
      <c r="D5">
        <f>0.62*100</f>
        <v>62</v>
      </c>
      <c r="E5">
        <f>0.46*100</f>
        <v>46</v>
      </c>
      <c r="F5" s="11">
        <f>0.4800968*100</f>
        <v>48.009679999999996</v>
      </c>
      <c r="G5" s="7">
        <f>0.2465088*100</f>
        <v>24.650880000000001</v>
      </c>
      <c r="H5" s="7">
        <f>0.1906635*100</f>
        <v>19.06635</v>
      </c>
      <c r="I5" s="7">
        <f>0.1981249*100</f>
        <v>19.81249</v>
      </c>
      <c r="J5">
        <f t="shared" si="0"/>
        <v>21.176573333333334</v>
      </c>
    </row>
    <row r="8" spans="3:13" x14ac:dyDescent="0.3">
      <c r="J8" t="s">
        <v>118</v>
      </c>
    </row>
    <row r="9" spans="3:13" x14ac:dyDescent="0.3">
      <c r="F9" t="s">
        <v>118</v>
      </c>
    </row>
    <row r="10" spans="3:13" x14ac:dyDescent="0.3">
      <c r="M10" t="s">
        <v>118</v>
      </c>
    </row>
    <row r="13" spans="3:13" x14ac:dyDescent="0.3">
      <c r="L13" t="s">
        <v>118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AD94-6365-4C5F-84E4-A757EBF27662}">
  <dimension ref="C2:D7"/>
  <sheetViews>
    <sheetView topLeftCell="B1" workbookViewId="0">
      <selection activeCell="D17" sqref="D17"/>
    </sheetView>
  </sheetViews>
  <sheetFormatPr defaultRowHeight="14.4" x14ac:dyDescent="0.3"/>
  <cols>
    <col min="3" max="3" width="143.44140625" customWidth="1"/>
    <col min="4" max="4" width="25.109375" customWidth="1"/>
  </cols>
  <sheetData>
    <row r="2" spans="3:4" ht="15" thickBot="1" x14ac:dyDescent="0.35">
      <c r="C2" t="s">
        <v>19</v>
      </c>
      <c r="D2" t="s">
        <v>1</v>
      </c>
    </row>
    <row r="3" spans="3:4" ht="18.600000000000001" thickBot="1" x14ac:dyDescent="0.35">
      <c r="C3" s="1" t="s">
        <v>15</v>
      </c>
      <c r="D3" s="15">
        <f>0.505*100</f>
        <v>50.5</v>
      </c>
    </row>
    <row r="4" spans="3:4" ht="19.2" thickTop="1" thickBot="1" x14ac:dyDescent="0.35">
      <c r="C4" s="2" t="s">
        <v>16</v>
      </c>
      <c r="D4" s="16">
        <f>0.442*100</f>
        <v>44.2</v>
      </c>
    </row>
    <row r="5" spans="3:4" ht="18.600000000000001" thickBot="1" x14ac:dyDescent="0.35">
      <c r="C5" s="3" t="s">
        <v>17</v>
      </c>
      <c r="D5" s="17">
        <f>0.696*100</f>
        <v>69.599999999999994</v>
      </c>
    </row>
    <row r="6" spans="3:4" ht="18.600000000000001" thickBot="1" x14ac:dyDescent="0.35">
      <c r="C6" s="4" t="s">
        <v>18</v>
      </c>
      <c r="D6" s="18">
        <f>0.314*100</f>
        <v>31.4</v>
      </c>
    </row>
    <row r="7" spans="3:4" x14ac:dyDescent="0.3">
      <c r="C7" t="s">
        <v>167</v>
      </c>
      <c r="D7" s="11">
        <f>0.48*100</f>
        <v>48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B87A1-9752-4EDA-967E-C0A71656C95E}">
  <dimension ref="C2:L9"/>
  <sheetViews>
    <sheetView workbookViewId="0">
      <selection activeCell="D10" sqref="D10"/>
    </sheetView>
  </sheetViews>
  <sheetFormatPr defaultRowHeight="14.4" x14ac:dyDescent="0.3"/>
  <cols>
    <col min="3" max="3" width="143.44140625" customWidth="1"/>
    <col min="4" max="4" width="25.109375" customWidth="1"/>
  </cols>
  <sheetData>
    <row r="2" spans="3:12" x14ac:dyDescent="0.3">
      <c r="C2" t="s">
        <v>0</v>
      </c>
      <c r="D2" t="s">
        <v>165</v>
      </c>
    </row>
    <row r="3" spans="3:12" x14ac:dyDescent="0.3">
      <c r="C3" t="s">
        <v>9</v>
      </c>
      <c r="D3" s="7">
        <v>0.62637362637362637</v>
      </c>
    </row>
    <row r="4" spans="3:12" x14ac:dyDescent="0.3">
      <c r="C4" t="s">
        <v>10</v>
      </c>
      <c r="D4" s="7">
        <v>0.13513513513513514</v>
      </c>
      <c r="G4">
        <v>0.62637362637362637</v>
      </c>
      <c r="H4">
        <v>0.13513513513513514</v>
      </c>
      <c r="I4">
        <v>0.11538461538461539</v>
      </c>
      <c r="J4">
        <v>0.797752808988764</v>
      </c>
      <c r="K4">
        <v>1</v>
      </c>
      <c r="L4">
        <v>4.2128603104212861E-2</v>
      </c>
    </row>
    <row r="5" spans="3:12" x14ac:dyDescent="0.3">
      <c r="C5" t="s">
        <v>11</v>
      </c>
      <c r="D5" s="7">
        <v>0.11538461538461539</v>
      </c>
    </row>
    <row r="6" spans="3:12" x14ac:dyDescent="0.3">
      <c r="C6" t="s">
        <v>12</v>
      </c>
      <c r="D6" s="7">
        <v>0.797752808988764</v>
      </c>
    </row>
    <row r="7" spans="3:12" x14ac:dyDescent="0.3">
      <c r="C7" t="s">
        <v>13</v>
      </c>
      <c r="D7" s="7">
        <v>1</v>
      </c>
    </row>
    <row r="8" spans="3:12" x14ac:dyDescent="0.3">
      <c r="C8" t="s">
        <v>14</v>
      </c>
      <c r="D8" s="7">
        <v>4.2128603104212861E-2</v>
      </c>
    </row>
    <row r="9" spans="3:12" x14ac:dyDescent="0.3">
      <c r="C9" t="s">
        <v>22</v>
      </c>
      <c r="D9" s="7">
        <v>0.38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16BD2-86FC-4098-8FB8-48F5654A2380}">
  <dimension ref="C2:D9"/>
  <sheetViews>
    <sheetView topLeftCell="C1" workbookViewId="0">
      <selection activeCell="E12" sqref="E12"/>
    </sheetView>
  </sheetViews>
  <sheetFormatPr defaultRowHeight="14.4" x14ac:dyDescent="0.3"/>
  <cols>
    <col min="3" max="3" width="143.44140625" customWidth="1"/>
    <col min="4" max="4" width="25.109375" customWidth="1"/>
  </cols>
  <sheetData>
    <row r="2" spans="3:4" x14ac:dyDescent="0.3">
      <c r="C2" t="s">
        <v>0</v>
      </c>
      <c r="D2" t="s">
        <v>166</v>
      </c>
    </row>
    <row r="3" spans="3:4" x14ac:dyDescent="0.3">
      <c r="C3" t="s">
        <v>9</v>
      </c>
      <c r="D3" s="7">
        <v>0.63153594999999996</v>
      </c>
    </row>
    <row r="4" spans="3:4" x14ac:dyDescent="0.3">
      <c r="C4" t="s">
        <v>10</v>
      </c>
      <c r="D4" s="7">
        <v>0.45</v>
      </c>
    </row>
    <row r="5" spans="3:4" x14ac:dyDescent="0.3">
      <c r="C5" t="s">
        <v>11</v>
      </c>
      <c r="D5" s="7">
        <v>0.10763888333333334</v>
      </c>
    </row>
    <row r="6" spans="3:4" x14ac:dyDescent="0.3">
      <c r="C6" t="s">
        <v>12</v>
      </c>
      <c r="D6" s="7">
        <v>0.85075756666666669</v>
      </c>
    </row>
    <row r="7" spans="3:4" x14ac:dyDescent="0.3">
      <c r="C7" t="s">
        <v>13</v>
      </c>
      <c r="D7" s="7">
        <v>1</v>
      </c>
    </row>
    <row r="8" spans="3:4" x14ac:dyDescent="0.3">
      <c r="C8" t="s">
        <v>14</v>
      </c>
      <c r="D8" s="7">
        <v>0.13981484666666669</v>
      </c>
    </row>
    <row r="9" spans="3:4" x14ac:dyDescent="0.3">
      <c r="C9" t="s">
        <v>22</v>
      </c>
      <c r="D9" s="7">
        <v>0.38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CB241-7022-46BA-897B-42E54F35CF08}">
  <dimension ref="B2:E18"/>
  <sheetViews>
    <sheetView tabSelected="1" topLeftCell="B1" workbookViewId="0">
      <selection activeCell="C24" sqref="C24"/>
    </sheetView>
  </sheetViews>
  <sheetFormatPr defaultRowHeight="14.4" x14ac:dyDescent="0.3"/>
  <cols>
    <col min="3" max="3" width="143.44140625" customWidth="1"/>
    <col min="4" max="4" width="25.109375" customWidth="1"/>
  </cols>
  <sheetData>
    <row r="2" spans="2:5" x14ac:dyDescent="0.3">
      <c r="C2" t="s">
        <v>0</v>
      </c>
      <c r="D2" t="s">
        <v>1</v>
      </c>
    </row>
    <row r="3" spans="2:5" ht="15" customHeight="1" x14ac:dyDescent="0.3">
      <c r="B3" s="19" t="s">
        <v>21</v>
      </c>
      <c r="C3" t="s">
        <v>2</v>
      </c>
      <c r="D3" s="11">
        <f>0.528*100</f>
        <v>52.800000000000004</v>
      </c>
    </row>
    <row r="4" spans="2:5" x14ac:dyDescent="0.3">
      <c r="B4" s="19"/>
      <c r="C4" t="s">
        <v>3</v>
      </c>
      <c r="D4" s="11">
        <f>0.551*100</f>
        <v>55.1</v>
      </c>
    </row>
    <row r="5" spans="2:5" x14ac:dyDescent="0.3">
      <c r="B5" s="19"/>
      <c r="C5" t="s">
        <v>4</v>
      </c>
      <c r="D5" s="11">
        <f>0.546*100</f>
        <v>54.6</v>
      </c>
    </row>
    <row r="6" spans="2:5" x14ac:dyDescent="0.3">
      <c r="B6" s="19"/>
      <c r="C6" t="s">
        <v>5</v>
      </c>
      <c r="D6" s="11">
        <f>0.575*100</f>
        <v>57.499999999999993</v>
      </c>
    </row>
    <row r="7" spans="2:5" x14ac:dyDescent="0.3">
      <c r="B7" s="19"/>
      <c r="C7" t="s">
        <v>6</v>
      </c>
      <c r="D7" s="11">
        <f>0.35*100</f>
        <v>35</v>
      </c>
    </row>
    <row r="8" spans="2:5" x14ac:dyDescent="0.3">
      <c r="B8" s="19"/>
      <c r="C8" t="s">
        <v>7</v>
      </c>
      <c r="D8" s="11">
        <f>0.378*100</f>
        <v>37.799999999999997</v>
      </c>
    </row>
    <row r="9" spans="2:5" x14ac:dyDescent="0.3">
      <c r="B9" s="19"/>
      <c r="C9" t="s">
        <v>8</v>
      </c>
      <c r="D9" s="11">
        <f>0.46*100</f>
        <v>46</v>
      </c>
      <c r="E9" s="7">
        <f>AVERAGE(D3:D9)</f>
        <v>48.4</v>
      </c>
    </row>
    <row r="10" spans="2:5" x14ac:dyDescent="0.3">
      <c r="B10" s="6"/>
      <c r="C10" t="s">
        <v>23</v>
      </c>
      <c r="D10" s="11">
        <f>AVERAGE(D3:D9)</f>
        <v>48.4</v>
      </c>
      <c r="E10" s="7"/>
    </row>
    <row r="11" spans="2:5" x14ac:dyDescent="0.3">
      <c r="C11" s="5"/>
      <c r="D11" s="11"/>
    </row>
    <row r="12" spans="2:5" x14ac:dyDescent="0.3">
      <c r="B12" s="19" t="s">
        <v>20</v>
      </c>
      <c r="C12" t="s">
        <v>9</v>
      </c>
      <c r="D12" s="11">
        <f>0.632*100</f>
        <v>63.2</v>
      </c>
    </row>
    <row r="13" spans="2:5" x14ac:dyDescent="0.3">
      <c r="B13" s="19"/>
      <c r="C13" t="s">
        <v>10</v>
      </c>
      <c r="D13" s="11">
        <f>0.45*100</f>
        <v>45</v>
      </c>
    </row>
    <row r="14" spans="2:5" x14ac:dyDescent="0.3">
      <c r="B14" s="19"/>
      <c r="C14" t="s">
        <v>11</v>
      </c>
      <c r="D14" s="11">
        <f>0.108*100</f>
        <v>10.8</v>
      </c>
    </row>
    <row r="15" spans="2:5" x14ac:dyDescent="0.3">
      <c r="B15" s="19"/>
      <c r="C15" t="s">
        <v>12</v>
      </c>
      <c r="D15" s="11">
        <f>0.851*100</f>
        <v>85.1</v>
      </c>
    </row>
    <row r="16" spans="2:5" x14ac:dyDescent="0.3">
      <c r="B16" s="19"/>
      <c r="C16" t="s">
        <v>13</v>
      </c>
      <c r="D16" s="11">
        <f>1*100</f>
        <v>100</v>
      </c>
    </row>
    <row r="17" spans="2:5" x14ac:dyDescent="0.3">
      <c r="B17" s="19"/>
      <c r="C17" t="s">
        <v>14</v>
      </c>
      <c r="D17" s="11">
        <f>0.14*100</f>
        <v>14.000000000000002</v>
      </c>
      <c r="E17" s="7">
        <f>AVERAGE(D12:D17)</f>
        <v>53.016666666666673</v>
      </c>
    </row>
    <row r="18" spans="2:5" x14ac:dyDescent="0.3">
      <c r="C18" t="s">
        <v>22</v>
      </c>
      <c r="D18" s="11">
        <f>0.38*100</f>
        <v>38</v>
      </c>
    </row>
  </sheetData>
  <mergeCells count="2">
    <mergeCell ref="B12:B17"/>
    <mergeCell ref="B3:B9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9304D-52F1-4117-A4B7-6E106DC5551A}">
  <dimension ref="A1:S52"/>
  <sheetViews>
    <sheetView workbookViewId="0">
      <selection activeCell="K44" sqref="K44"/>
    </sheetView>
  </sheetViews>
  <sheetFormatPr defaultRowHeight="14.4" x14ac:dyDescent="0.3"/>
  <sheetData>
    <row r="1" spans="1:19" x14ac:dyDescent="0.3">
      <c r="A1" t="s">
        <v>24</v>
      </c>
    </row>
    <row r="2" spans="1:19" x14ac:dyDescent="0.3">
      <c r="A2" t="s">
        <v>25</v>
      </c>
      <c r="L2" t="s">
        <v>26</v>
      </c>
      <c r="M2" t="s">
        <v>27</v>
      </c>
      <c r="N2" t="s">
        <v>28</v>
      </c>
      <c r="O2" t="s">
        <v>29</v>
      </c>
    </row>
    <row r="3" spans="1:19" x14ac:dyDescent="0.3">
      <c r="A3" t="s">
        <v>30</v>
      </c>
      <c r="N3">
        <v>0</v>
      </c>
      <c r="O3" t="s">
        <v>31</v>
      </c>
      <c r="S3" t="s">
        <v>32</v>
      </c>
    </row>
    <row r="4" spans="1:19" x14ac:dyDescent="0.3">
      <c r="A4" t="s">
        <v>33</v>
      </c>
      <c r="H4" t="s">
        <v>34</v>
      </c>
      <c r="L4">
        <v>0</v>
      </c>
      <c r="M4">
        <v>0</v>
      </c>
      <c r="N4">
        <v>4</v>
      </c>
      <c r="O4" t="s">
        <v>35</v>
      </c>
      <c r="S4" t="s">
        <v>36</v>
      </c>
    </row>
    <row r="5" spans="1:19" x14ac:dyDescent="0.3">
      <c r="A5" t="s">
        <v>31</v>
      </c>
      <c r="H5" t="s">
        <v>37</v>
      </c>
      <c r="L5">
        <v>3</v>
      </c>
      <c r="M5">
        <v>6</v>
      </c>
      <c r="N5">
        <v>2</v>
      </c>
      <c r="O5" t="s">
        <v>38</v>
      </c>
      <c r="S5" t="s">
        <v>31</v>
      </c>
    </row>
    <row r="6" spans="1:19" x14ac:dyDescent="0.3">
      <c r="A6" t="s">
        <v>35</v>
      </c>
      <c r="H6" t="s">
        <v>39</v>
      </c>
      <c r="L6">
        <v>8</v>
      </c>
      <c r="M6">
        <v>6</v>
      </c>
      <c r="N6">
        <v>6</v>
      </c>
      <c r="O6" t="s">
        <v>40</v>
      </c>
      <c r="S6" t="s">
        <v>35</v>
      </c>
    </row>
    <row r="7" spans="1:19" x14ac:dyDescent="0.3">
      <c r="A7" t="s">
        <v>38</v>
      </c>
      <c r="H7" t="s">
        <v>41</v>
      </c>
      <c r="L7">
        <v>3</v>
      </c>
      <c r="M7">
        <v>6</v>
      </c>
      <c r="N7">
        <v>7</v>
      </c>
      <c r="O7" t="s">
        <v>42</v>
      </c>
      <c r="S7" t="s">
        <v>38</v>
      </c>
    </row>
    <row r="8" spans="1:19" x14ac:dyDescent="0.3">
      <c r="A8" t="s">
        <v>43</v>
      </c>
      <c r="H8" t="s">
        <v>44</v>
      </c>
      <c r="L8">
        <v>4</v>
      </c>
      <c r="M8">
        <v>19</v>
      </c>
      <c r="N8">
        <v>8</v>
      </c>
      <c r="O8" t="s">
        <v>45</v>
      </c>
      <c r="S8" t="s">
        <v>40</v>
      </c>
    </row>
    <row r="9" spans="1:19" x14ac:dyDescent="0.3">
      <c r="A9" t="s">
        <v>46</v>
      </c>
      <c r="H9" t="s">
        <v>47</v>
      </c>
      <c r="L9">
        <v>5</v>
      </c>
      <c r="N9">
        <v>9</v>
      </c>
      <c r="O9" t="s">
        <v>46</v>
      </c>
      <c r="S9" t="s">
        <v>42</v>
      </c>
    </row>
    <row r="10" spans="1:19" x14ac:dyDescent="0.3">
      <c r="A10" t="s">
        <v>34</v>
      </c>
      <c r="H10" t="s">
        <v>48</v>
      </c>
      <c r="L10">
        <v>8</v>
      </c>
      <c r="N10">
        <v>12</v>
      </c>
      <c r="O10" t="s">
        <v>49</v>
      </c>
      <c r="S10" t="s">
        <v>50</v>
      </c>
    </row>
    <row r="11" spans="1:19" x14ac:dyDescent="0.3">
      <c r="A11" t="s">
        <v>37</v>
      </c>
      <c r="H11" t="s">
        <v>51</v>
      </c>
      <c r="L11">
        <v>9</v>
      </c>
      <c r="N11">
        <v>26</v>
      </c>
      <c r="O11" t="s">
        <v>52</v>
      </c>
      <c r="S11" t="s">
        <v>46</v>
      </c>
    </row>
    <row r="12" spans="1:19" x14ac:dyDescent="0.3">
      <c r="A12" t="s">
        <v>39</v>
      </c>
      <c r="H12" t="s">
        <v>53</v>
      </c>
      <c r="L12">
        <v>51</v>
      </c>
      <c r="N12">
        <v>30</v>
      </c>
      <c r="O12" t="s">
        <v>54</v>
      </c>
      <c r="S12" t="s">
        <v>34</v>
      </c>
    </row>
    <row r="13" spans="1:19" x14ac:dyDescent="0.3">
      <c r="A13" t="s">
        <v>41</v>
      </c>
      <c r="H13" t="s">
        <v>46</v>
      </c>
      <c r="K13" t="s">
        <v>55</v>
      </c>
      <c r="L13" s="9">
        <f>SUM(L4:L12)</f>
        <v>91</v>
      </c>
      <c r="M13" s="9">
        <f>SUM(M4:M12)</f>
        <v>37</v>
      </c>
      <c r="N13" s="9">
        <f>SUM(N3:N12)</f>
        <v>104</v>
      </c>
      <c r="O13" t="s">
        <v>56</v>
      </c>
      <c r="S13" t="s">
        <v>57</v>
      </c>
    </row>
    <row r="14" spans="1:19" x14ac:dyDescent="0.3">
      <c r="A14" t="s">
        <v>44</v>
      </c>
      <c r="O14" t="s">
        <v>58</v>
      </c>
      <c r="S14" t="s">
        <v>59</v>
      </c>
    </row>
    <row r="15" spans="1:19" x14ac:dyDescent="0.3">
      <c r="A15" t="s">
        <v>47</v>
      </c>
      <c r="O15" t="s">
        <v>46</v>
      </c>
      <c r="S15" t="s">
        <v>60</v>
      </c>
    </row>
    <row r="16" spans="1:19" x14ac:dyDescent="0.3">
      <c r="A16" t="s">
        <v>48</v>
      </c>
      <c r="O16" t="s">
        <v>61</v>
      </c>
      <c r="S16" t="s">
        <v>62</v>
      </c>
    </row>
    <row r="17" spans="1:19" x14ac:dyDescent="0.3">
      <c r="A17" t="s">
        <v>51</v>
      </c>
      <c r="S17" t="s">
        <v>63</v>
      </c>
    </row>
    <row r="18" spans="1:19" x14ac:dyDescent="0.3">
      <c r="A18" t="s">
        <v>53</v>
      </c>
      <c r="S18" t="s">
        <v>64</v>
      </c>
    </row>
    <row r="19" spans="1:19" x14ac:dyDescent="0.3">
      <c r="A19" t="s">
        <v>46</v>
      </c>
      <c r="S19" t="s">
        <v>65</v>
      </c>
    </row>
    <row r="20" spans="1:19" x14ac:dyDescent="0.3">
      <c r="A20" t="s">
        <v>61</v>
      </c>
      <c r="S20" t="s">
        <v>66</v>
      </c>
    </row>
    <row r="21" spans="1:19" x14ac:dyDescent="0.3">
      <c r="S21" t="s">
        <v>67</v>
      </c>
    </row>
    <row r="22" spans="1:19" x14ac:dyDescent="0.3">
      <c r="S22" t="s">
        <v>46</v>
      </c>
    </row>
    <row r="23" spans="1:19" x14ac:dyDescent="0.3">
      <c r="S23" t="s">
        <v>61</v>
      </c>
    </row>
    <row r="24" spans="1:19" x14ac:dyDescent="0.3">
      <c r="A24" t="s">
        <v>68</v>
      </c>
    </row>
    <row r="25" spans="1:19" x14ac:dyDescent="0.3">
      <c r="A25" t="s">
        <v>69</v>
      </c>
    </row>
    <row r="26" spans="1:19" x14ac:dyDescent="0.3">
      <c r="A26" t="s">
        <v>36</v>
      </c>
    </row>
    <row r="27" spans="1:19" x14ac:dyDescent="0.3">
      <c r="A27" t="s">
        <v>31</v>
      </c>
      <c r="J27" t="s">
        <v>70</v>
      </c>
      <c r="K27" t="s">
        <v>71</v>
      </c>
      <c r="L27" t="s">
        <v>72</v>
      </c>
    </row>
    <row r="28" spans="1:19" x14ac:dyDescent="0.3">
      <c r="A28" t="s">
        <v>35</v>
      </c>
      <c r="L28">
        <v>1</v>
      </c>
      <c r="O28" t="s">
        <v>73</v>
      </c>
    </row>
    <row r="29" spans="1:19" x14ac:dyDescent="0.3">
      <c r="A29" t="s">
        <v>38</v>
      </c>
      <c r="J29">
        <v>0</v>
      </c>
      <c r="K29">
        <v>0</v>
      </c>
      <c r="L29">
        <v>6</v>
      </c>
      <c r="O29" t="s">
        <v>74</v>
      </c>
    </row>
    <row r="30" spans="1:19" x14ac:dyDescent="0.3">
      <c r="A30" t="s">
        <v>40</v>
      </c>
      <c r="J30">
        <v>4</v>
      </c>
      <c r="L30">
        <v>6</v>
      </c>
      <c r="O30" t="s">
        <v>75</v>
      </c>
    </row>
    <row r="31" spans="1:19" x14ac:dyDescent="0.3">
      <c r="A31" t="s">
        <v>42</v>
      </c>
      <c r="J31">
        <v>4</v>
      </c>
      <c r="L31">
        <v>4</v>
      </c>
      <c r="O31" t="s">
        <v>76</v>
      </c>
    </row>
    <row r="32" spans="1:19" x14ac:dyDescent="0.3">
      <c r="A32" t="s">
        <v>77</v>
      </c>
      <c r="E32" t="s">
        <v>24</v>
      </c>
      <c r="J32">
        <v>3</v>
      </c>
      <c r="L32">
        <v>5</v>
      </c>
      <c r="O32" t="s">
        <v>79</v>
      </c>
    </row>
    <row r="33" spans="1:15" x14ac:dyDescent="0.3">
      <c r="A33" t="s">
        <v>46</v>
      </c>
      <c r="E33" t="s">
        <v>80</v>
      </c>
      <c r="J33">
        <v>5</v>
      </c>
      <c r="L33">
        <v>6</v>
      </c>
      <c r="O33" t="s">
        <v>81</v>
      </c>
    </row>
    <row r="34" spans="1:15" x14ac:dyDescent="0.3">
      <c r="A34" t="s">
        <v>82</v>
      </c>
      <c r="E34" t="s">
        <v>120</v>
      </c>
      <c r="J34">
        <v>22</v>
      </c>
      <c r="L34">
        <v>11</v>
      </c>
      <c r="O34" t="s">
        <v>83</v>
      </c>
    </row>
    <row r="35" spans="1:15" x14ac:dyDescent="0.3">
      <c r="A35" t="s">
        <v>84</v>
      </c>
      <c r="E35" t="s">
        <v>121</v>
      </c>
      <c r="J35">
        <v>15</v>
      </c>
      <c r="L35">
        <v>12</v>
      </c>
      <c r="O35" t="s">
        <v>85</v>
      </c>
    </row>
    <row r="36" spans="1:15" x14ac:dyDescent="0.3">
      <c r="A36" t="s">
        <v>86</v>
      </c>
      <c r="E36" t="s">
        <v>79</v>
      </c>
      <c r="J36">
        <v>36</v>
      </c>
      <c r="L36">
        <v>19</v>
      </c>
      <c r="O36" t="s">
        <v>46</v>
      </c>
    </row>
    <row r="37" spans="1:15" x14ac:dyDescent="0.3">
      <c r="A37" t="s">
        <v>41</v>
      </c>
      <c r="E37" t="s">
        <v>81</v>
      </c>
      <c r="I37" t="s">
        <v>55</v>
      </c>
      <c r="J37" s="9">
        <f>SUM(J29:J36)</f>
        <v>89</v>
      </c>
      <c r="K37" s="9">
        <v>20</v>
      </c>
      <c r="L37">
        <v>24</v>
      </c>
      <c r="O37" t="s">
        <v>87</v>
      </c>
    </row>
    <row r="38" spans="1:15" x14ac:dyDescent="0.3">
      <c r="A38" t="s">
        <v>88</v>
      </c>
      <c r="E38" t="s">
        <v>83</v>
      </c>
      <c r="L38">
        <v>46</v>
      </c>
      <c r="O38" t="s">
        <v>89</v>
      </c>
    </row>
    <row r="39" spans="1:15" x14ac:dyDescent="0.3">
      <c r="A39" t="s">
        <v>90</v>
      </c>
      <c r="E39" t="s">
        <v>122</v>
      </c>
      <c r="L39">
        <v>307</v>
      </c>
      <c r="O39" t="s">
        <v>91</v>
      </c>
    </row>
    <row r="40" spans="1:15" x14ac:dyDescent="0.3">
      <c r="A40" t="s">
        <v>92</v>
      </c>
      <c r="E40" t="s">
        <v>127</v>
      </c>
      <c r="L40">
        <v>906</v>
      </c>
      <c r="O40" t="s">
        <v>94</v>
      </c>
    </row>
    <row r="41" spans="1:15" x14ac:dyDescent="0.3">
      <c r="A41" t="s">
        <v>95</v>
      </c>
      <c r="E41" t="s">
        <v>46</v>
      </c>
      <c r="L41" s="9">
        <f>SUM(L28:L40)</f>
        <v>1353</v>
      </c>
      <c r="O41" t="s">
        <v>96</v>
      </c>
    </row>
    <row r="42" spans="1:15" x14ac:dyDescent="0.3">
      <c r="A42" t="s">
        <v>46</v>
      </c>
      <c r="E42" t="s">
        <v>128</v>
      </c>
      <c r="O42" t="s">
        <v>98</v>
      </c>
    </row>
    <row r="43" spans="1:15" x14ac:dyDescent="0.3">
      <c r="A43" t="s">
        <v>61</v>
      </c>
      <c r="E43" t="s">
        <v>129</v>
      </c>
      <c r="O43" t="s">
        <v>100</v>
      </c>
    </row>
    <row r="44" spans="1:15" x14ac:dyDescent="0.3">
      <c r="E44" t="s">
        <v>130</v>
      </c>
      <c r="O44" t="s">
        <v>102</v>
      </c>
    </row>
    <row r="45" spans="1:15" x14ac:dyDescent="0.3">
      <c r="E45" t="s">
        <v>131</v>
      </c>
      <c r="O45" t="s">
        <v>104</v>
      </c>
    </row>
    <row r="46" spans="1:15" x14ac:dyDescent="0.3">
      <c r="E46" t="s">
        <v>46</v>
      </c>
      <c r="O46" t="s">
        <v>105</v>
      </c>
    </row>
    <row r="47" spans="1:15" x14ac:dyDescent="0.3">
      <c r="E47" t="s">
        <v>61</v>
      </c>
      <c r="O47" t="s">
        <v>106</v>
      </c>
    </row>
    <row r="48" spans="1:15" x14ac:dyDescent="0.3">
      <c r="O48" t="s">
        <v>107</v>
      </c>
    </row>
    <row r="49" spans="15:15" x14ac:dyDescent="0.3">
      <c r="O49" t="s">
        <v>108</v>
      </c>
    </row>
    <row r="50" spans="15:15" x14ac:dyDescent="0.3">
      <c r="O50" t="s">
        <v>109</v>
      </c>
    </row>
    <row r="51" spans="15:15" x14ac:dyDescent="0.3">
      <c r="O51" t="s">
        <v>46</v>
      </c>
    </row>
    <row r="52" spans="15:15" x14ac:dyDescent="0.3">
      <c r="O52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33DFD-6939-4BE9-8D6C-E2FA81B8EDE1}">
  <dimension ref="A1:P40"/>
  <sheetViews>
    <sheetView workbookViewId="0">
      <selection activeCell="V15" sqref="V15"/>
    </sheetView>
  </sheetViews>
  <sheetFormatPr defaultRowHeight="14.4" x14ac:dyDescent="0.3"/>
  <sheetData>
    <row r="1" spans="1:13" x14ac:dyDescent="0.3">
      <c r="A1" t="s">
        <v>111</v>
      </c>
      <c r="B1" t="s">
        <v>112</v>
      </c>
      <c r="C1" t="s">
        <v>113</v>
      </c>
      <c r="D1" t="s">
        <v>114</v>
      </c>
      <c r="E1" t="s">
        <v>115</v>
      </c>
      <c r="F1" t="s">
        <v>116</v>
      </c>
      <c r="G1" t="s">
        <v>117</v>
      </c>
      <c r="I1" t="s">
        <v>150</v>
      </c>
      <c r="J1" t="s">
        <v>168</v>
      </c>
    </row>
    <row r="2" spans="1:13" x14ac:dyDescent="0.3">
      <c r="G2">
        <f>SUM(A2:F2)</f>
        <v>0</v>
      </c>
      <c r="H2">
        <f>COUNT(A2:F2)</f>
        <v>0</v>
      </c>
      <c r="I2" t="str">
        <f>IF(H2=0,"",G2/H2)</f>
        <v/>
      </c>
      <c r="J2">
        <v>0.57142859999999995</v>
      </c>
      <c r="K2">
        <f>J2</f>
        <v>0.57142859999999995</v>
      </c>
    </row>
    <row r="3" spans="1:13" x14ac:dyDescent="0.3">
      <c r="G3">
        <f t="shared" ref="G3:G32" si="0">SUM(A3:F3)</f>
        <v>0</v>
      </c>
      <c r="H3">
        <f t="shared" ref="H3:H34" si="1">COUNT(A3:F3)</f>
        <v>0</v>
      </c>
      <c r="I3" t="str">
        <f t="shared" ref="I3:I33" si="2">IF(H3=0,"",G3/H3)</f>
        <v/>
      </c>
      <c r="J3">
        <v>0.38095240000000002</v>
      </c>
      <c r="K3">
        <f t="shared" ref="K3:K7" si="3">J3</f>
        <v>0.38095240000000002</v>
      </c>
    </row>
    <row r="4" spans="1:13" x14ac:dyDescent="0.3">
      <c r="G4">
        <f t="shared" si="0"/>
        <v>0</v>
      </c>
      <c r="H4">
        <f t="shared" si="1"/>
        <v>0</v>
      </c>
      <c r="I4" t="str">
        <f t="shared" si="2"/>
        <v/>
      </c>
      <c r="J4">
        <v>0.70476190000000005</v>
      </c>
      <c r="K4">
        <f t="shared" si="3"/>
        <v>0.70476190000000005</v>
      </c>
    </row>
    <row r="5" spans="1:13" x14ac:dyDescent="0.3">
      <c r="G5">
        <f t="shared" si="0"/>
        <v>0</v>
      </c>
      <c r="H5">
        <f t="shared" si="1"/>
        <v>0</v>
      </c>
      <c r="I5" t="str">
        <f t="shared" si="2"/>
        <v/>
      </c>
      <c r="J5">
        <v>0.59761909999999996</v>
      </c>
      <c r="K5">
        <f t="shared" si="3"/>
        <v>0.59761909999999996</v>
      </c>
      <c r="M5" t="s">
        <v>118</v>
      </c>
    </row>
    <row r="6" spans="1:13" x14ac:dyDescent="0.3">
      <c r="G6">
        <f t="shared" si="0"/>
        <v>0</v>
      </c>
      <c r="H6">
        <f t="shared" si="1"/>
        <v>0</v>
      </c>
      <c r="I6" t="str">
        <f t="shared" si="2"/>
        <v/>
      </c>
      <c r="J6">
        <v>0.9357143</v>
      </c>
      <c r="K6">
        <f t="shared" si="3"/>
        <v>0.9357143</v>
      </c>
    </row>
    <row r="7" spans="1:13" x14ac:dyDescent="0.3">
      <c r="G7">
        <f t="shared" si="0"/>
        <v>0</v>
      </c>
      <c r="H7">
        <f t="shared" si="1"/>
        <v>0</v>
      </c>
      <c r="I7" t="str">
        <f t="shared" si="2"/>
        <v/>
      </c>
      <c r="J7">
        <v>0</v>
      </c>
      <c r="K7">
        <f t="shared" si="3"/>
        <v>0</v>
      </c>
    </row>
    <row r="8" spans="1:13" x14ac:dyDescent="0.3">
      <c r="A8">
        <v>1</v>
      </c>
      <c r="B8">
        <v>1</v>
      </c>
      <c r="C8">
        <v>0.625</v>
      </c>
      <c r="D8">
        <v>1</v>
      </c>
      <c r="E8">
        <v>1</v>
      </c>
      <c r="F8">
        <v>0.56521739999999998</v>
      </c>
      <c r="G8">
        <f t="shared" si="0"/>
        <v>5.1902173999999999</v>
      </c>
      <c r="H8">
        <f t="shared" si="1"/>
        <v>6</v>
      </c>
      <c r="I8">
        <f t="shared" si="2"/>
        <v>0.86503623333333335</v>
      </c>
      <c r="J8">
        <v>0.74047620000000003</v>
      </c>
      <c r="K8">
        <f t="shared" ref="K8:K32" si="4">(I8+J8)/2</f>
        <v>0.80275621666666663</v>
      </c>
    </row>
    <row r="9" spans="1:13" x14ac:dyDescent="0.3">
      <c r="A9">
        <v>0.5</v>
      </c>
      <c r="D9">
        <v>0</v>
      </c>
      <c r="F9">
        <v>0.58333330000000005</v>
      </c>
      <c r="G9">
        <f t="shared" si="0"/>
        <v>1.0833333000000001</v>
      </c>
      <c r="H9">
        <f t="shared" si="1"/>
        <v>3</v>
      </c>
      <c r="I9">
        <f t="shared" si="2"/>
        <v>0.36111110000000002</v>
      </c>
      <c r="J9">
        <v>0.48333330000000002</v>
      </c>
      <c r="K9">
        <f t="shared" si="4"/>
        <v>0.42222219999999999</v>
      </c>
    </row>
    <row r="10" spans="1:13" x14ac:dyDescent="0.3">
      <c r="F10">
        <v>0.3333333</v>
      </c>
      <c r="G10">
        <f t="shared" si="0"/>
        <v>0.3333333</v>
      </c>
      <c r="H10">
        <f t="shared" si="1"/>
        <v>1</v>
      </c>
      <c r="I10">
        <f t="shared" si="2"/>
        <v>0.3333333</v>
      </c>
      <c r="J10">
        <v>0</v>
      </c>
      <c r="K10">
        <f t="shared" si="4"/>
        <v>0.16666665</v>
      </c>
    </row>
    <row r="11" spans="1:13" x14ac:dyDescent="0.3">
      <c r="A11">
        <v>1</v>
      </c>
      <c r="D11">
        <v>0.5</v>
      </c>
      <c r="E11">
        <v>1</v>
      </c>
      <c r="F11">
        <v>0</v>
      </c>
      <c r="G11">
        <f t="shared" si="0"/>
        <v>2.5</v>
      </c>
      <c r="H11">
        <f t="shared" si="1"/>
        <v>4</v>
      </c>
      <c r="I11">
        <f t="shared" si="2"/>
        <v>0.625</v>
      </c>
      <c r="J11">
        <v>0.68809520000000002</v>
      </c>
      <c r="K11">
        <f t="shared" si="4"/>
        <v>0.65654760000000001</v>
      </c>
    </row>
    <row r="12" spans="1:13" x14ac:dyDescent="0.3">
      <c r="G12">
        <f t="shared" si="0"/>
        <v>0</v>
      </c>
      <c r="H12">
        <f t="shared" si="1"/>
        <v>0</v>
      </c>
      <c r="I12" t="str">
        <f t="shared" si="2"/>
        <v/>
      </c>
      <c r="J12">
        <v>0</v>
      </c>
      <c r="K12">
        <f t="shared" ref="K12" si="5">J12</f>
        <v>0</v>
      </c>
    </row>
    <row r="13" spans="1:13" x14ac:dyDescent="0.3">
      <c r="A13">
        <v>1</v>
      </c>
      <c r="B13">
        <v>1</v>
      </c>
      <c r="D13">
        <v>1.0909089999999999</v>
      </c>
      <c r="E13">
        <v>1</v>
      </c>
      <c r="F13">
        <v>0.2</v>
      </c>
      <c r="G13">
        <f t="shared" si="0"/>
        <v>4.2909090000000001</v>
      </c>
      <c r="H13">
        <f t="shared" si="1"/>
        <v>5</v>
      </c>
      <c r="I13">
        <f t="shared" si="2"/>
        <v>0.85818179999999999</v>
      </c>
      <c r="J13">
        <v>0.90714280000000003</v>
      </c>
      <c r="K13">
        <f t="shared" si="4"/>
        <v>0.88266230000000001</v>
      </c>
    </row>
    <row r="14" spans="1:13" x14ac:dyDescent="0.3">
      <c r="G14">
        <f t="shared" si="0"/>
        <v>0</v>
      </c>
      <c r="H14">
        <f t="shared" si="1"/>
        <v>0</v>
      </c>
      <c r="I14" t="str">
        <f t="shared" si="2"/>
        <v/>
      </c>
      <c r="J14">
        <v>0.65714280000000003</v>
      </c>
      <c r="K14">
        <f t="shared" ref="K14:K15" si="6">J14</f>
        <v>0.65714280000000003</v>
      </c>
    </row>
    <row r="15" spans="1:13" x14ac:dyDescent="0.3">
      <c r="G15">
        <f t="shared" si="0"/>
        <v>0</v>
      </c>
      <c r="H15">
        <f t="shared" si="1"/>
        <v>0</v>
      </c>
      <c r="I15" t="str">
        <f t="shared" si="2"/>
        <v/>
      </c>
      <c r="J15">
        <v>0.4166667</v>
      </c>
      <c r="K15">
        <f t="shared" si="6"/>
        <v>0.4166667</v>
      </c>
    </row>
    <row r="16" spans="1:13" x14ac:dyDescent="0.3">
      <c r="F16">
        <v>0</v>
      </c>
      <c r="G16">
        <f t="shared" si="0"/>
        <v>0</v>
      </c>
      <c r="H16">
        <f t="shared" si="1"/>
        <v>1</v>
      </c>
      <c r="I16">
        <f t="shared" si="2"/>
        <v>0</v>
      </c>
      <c r="J16">
        <v>0.5380952</v>
      </c>
      <c r="K16">
        <f t="shared" si="4"/>
        <v>0.2690476</v>
      </c>
    </row>
    <row r="17" spans="1:16" x14ac:dyDescent="0.3">
      <c r="G17">
        <f t="shared" si="0"/>
        <v>0</v>
      </c>
      <c r="H17">
        <f t="shared" si="1"/>
        <v>0</v>
      </c>
      <c r="I17" t="str">
        <f t="shared" si="2"/>
        <v/>
      </c>
      <c r="J17">
        <v>0</v>
      </c>
      <c r="K17">
        <f t="shared" ref="K17" si="7">J17</f>
        <v>0</v>
      </c>
    </row>
    <row r="18" spans="1:16" x14ac:dyDescent="0.3">
      <c r="C18">
        <v>0</v>
      </c>
      <c r="E18">
        <v>1</v>
      </c>
      <c r="G18">
        <f t="shared" si="0"/>
        <v>1</v>
      </c>
      <c r="H18">
        <f t="shared" si="1"/>
        <v>2</v>
      </c>
      <c r="I18">
        <f t="shared" si="2"/>
        <v>0.5</v>
      </c>
      <c r="J18">
        <v>0.24761900000000001</v>
      </c>
      <c r="K18">
        <f t="shared" si="4"/>
        <v>0.37380950000000002</v>
      </c>
    </row>
    <row r="19" spans="1:16" x14ac:dyDescent="0.3">
      <c r="G19">
        <f t="shared" si="0"/>
        <v>0</v>
      </c>
      <c r="H19">
        <f t="shared" si="1"/>
        <v>0</v>
      </c>
      <c r="I19" t="str">
        <f t="shared" si="2"/>
        <v/>
      </c>
      <c r="J19">
        <v>0</v>
      </c>
      <c r="K19">
        <f t="shared" ref="K19" si="8">J19</f>
        <v>0</v>
      </c>
    </row>
    <row r="20" spans="1:16" x14ac:dyDescent="0.3">
      <c r="A20">
        <v>0</v>
      </c>
      <c r="C20">
        <v>0</v>
      </c>
      <c r="G20">
        <f t="shared" si="0"/>
        <v>0</v>
      </c>
      <c r="H20">
        <f t="shared" si="1"/>
        <v>2</v>
      </c>
      <c r="I20">
        <f t="shared" si="2"/>
        <v>0</v>
      </c>
      <c r="J20">
        <v>0.5071428</v>
      </c>
      <c r="K20">
        <f t="shared" si="4"/>
        <v>0.2535714</v>
      </c>
    </row>
    <row r="21" spans="1:16" x14ac:dyDescent="0.3">
      <c r="A21">
        <v>1</v>
      </c>
      <c r="B21">
        <v>0</v>
      </c>
      <c r="C21">
        <v>0.3333333</v>
      </c>
      <c r="D21">
        <v>1</v>
      </c>
      <c r="G21">
        <f t="shared" si="0"/>
        <v>2.3333333000000001</v>
      </c>
      <c r="H21">
        <f t="shared" si="1"/>
        <v>4</v>
      </c>
      <c r="I21">
        <f t="shared" si="2"/>
        <v>0.58333332500000001</v>
      </c>
      <c r="J21">
        <v>0.71666669999999999</v>
      </c>
      <c r="K21">
        <f t="shared" si="4"/>
        <v>0.65000001250000006</v>
      </c>
    </row>
    <row r="22" spans="1:16" x14ac:dyDescent="0.3">
      <c r="A22">
        <v>0.3333333</v>
      </c>
      <c r="B22">
        <v>0</v>
      </c>
      <c r="D22">
        <v>1</v>
      </c>
      <c r="F22">
        <v>0</v>
      </c>
      <c r="G22">
        <f t="shared" si="0"/>
        <v>1.3333333000000001</v>
      </c>
      <c r="H22">
        <f t="shared" si="1"/>
        <v>4</v>
      </c>
      <c r="I22">
        <f t="shared" si="2"/>
        <v>0.33333332500000001</v>
      </c>
      <c r="J22">
        <v>0.30952380000000002</v>
      </c>
      <c r="K22">
        <f t="shared" si="4"/>
        <v>0.32142856250000001</v>
      </c>
    </row>
    <row r="23" spans="1:16" x14ac:dyDescent="0.3">
      <c r="A23">
        <v>0</v>
      </c>
      <c r="B23">
        <v>0.5</v>
      </c>
      <c r="C23">
        <v>0</v>
      </c>
      <c r="D23">
        <v>0.81818179999999996</v>
      </c>
      <c r="F23">
        <v>0.18181820000000001</v>
      </c>
      <c r="G23">
        <f t="shared" si="0"/>
        <v>1.5</v>
      </c>
      <c r="H23">
        <f t="shared" si="1"/>
        <v>5</v>
      </c>
      <c r="I23">
        <f t="shared" si="2"/>
        <v>0.3</v>
      </c>
      <c r="J23">
        <v>0</v>
      </c>
      <c r="K23">
        <f t="shared" si="4"/>
        <v>0.15</v>
      </c>
    </row>
    <row r="24" spans="1:16" x14ac:dyDescent="0.3">
      <c r="B24">
        <v>0</v>
      </c>
      <c r="C24">
        <v>0</v>
      </c>
      <c r="F24">
        <v>0</v>
      </c>
      <c r="G24">
        <f t="shared" si="0"/>
        <v>0</v>
      </c>
      <c r="H24">
        <f t="shared" si="1"/>
        <v>3</v>
      </c>
      <c r="I24">
        <f t="shared" si="2"/>
        <v>0</v>
      </c>
      <c r="J24">
        <v>0.70476190000000005</v>
      </c>
      <c r="K24">
        <f t="shared" si="4"/>
        <v>0.35238095000000003</v>
      </c>
      <c r="P24" t="s">
        <v>118</v>
      </c>
    </row>
    <row r="25" spans="1:16" x14ac:dyDescent="0.3">
      <c r="B25">
        <v>0</v>
      </c>
      <c r="C25">
        <v>0</v>
      </c>
      <c r="G25">
        <f t="shared" si="0"/>
        <v>0</v>
      </c>
      <c r="H25">
        <f t="shared" si="1"/>
        <v>2</v>
      </c>
      <c r="I25">
        <f t="shared" si="2"/>
        <v>0</v>
      </c>
      <c r="J25">
        <v>0.55952380000000002</v>
      </c>
      <c r="K25">
        <f t="shared" si="4"/>
        <v>0.27976190000000001</v>
      </c>
    </row>
    <row r="26" spans="1:16" x14ac:dyDescent="0.3">
      <c r="A26">
        <v>0</v>
      </c>
      <c r="D26">
        <v>1</v>
      </c>
      <c r="G26">
        <f t="shared" si="0"/>
        <v>1</v>
      </c>
      <c r="H26">
        <f t="shared" si="1"/>
        <v>2</v>
      </c>
      <c r="I26">
        <f t="shared" si="2"/>
        <v>0.5</v>
      </c>
      <c r="J26">
        <v>8.0952399999999994E-2</v>
      </c>
      <c r="K26">
        <f t="shared" si="4"/>
        <v>0.29047620000000002</v>
      </c>
    </row>
    <row r="27" spans="1:16" x14ac:dyDescent="0.3">
      <c r="A27">
        <v>1</v>
      </c>
      <c r="C27">
        <v>0</v>
      </c>
      <c r="D27">
        <v>1</v>
      </c>
      <c r="F27">
        <v>0</v>
      </c>
      <c r="G27">
        <f t="shared" si="0"/>
        <v>2</v>
      </c>
      <c r="H27">
        <f t="shared" si="1"/>
        <v>4</v>
      </c>
      <c r="I27">
        <f t="shared" si="2"/>
        <v>0.5</v>
      </c>
      <c r="J27">
        <v>0.68809520000000002</v>
      </c>
      <c r="K27">
        <f t="shared" si="4"/>
        <v>0.59404760000000001</v>
      </c>
    </row>
    <row r="28" spans="1:16" x14ac:dyDescent="0.3">
      <c r="C28">
        <v>0</v>
      </c>
      <c r="F28">
        <v>0</v>
      </c>
      <c r="G28">
        <f t="shared" si="0"/>
        <v>0</v>
      </c>
      <c r="H28">
        <f t="shared" si="1"/>
        <v>2</v>
      </c>
      <c r="I28">
        <f t="shared" si="2"/>
        <v>0</v>
      </c>
      <c r="J28">
        <v>0.56190479999999998</v>
      </c>
      <c r="K28">
        <f t="shared" si="4"/>
        <v>0.28095239999999999</v>
      </c>
    </row>
    <row r="29" spans="1:16" x14ac:dyDescent="0.3">
      <c r="A29">
        <v>1</v>
      </c>
      <c r="B29">
        <v>1</v>
      </c>
      <c r="C29">
        <v>0</v>
      </c>
      <c r="D29">
        <v>0.8</v>
      </c>
      <c r="F29">
        <v>0.125</v>
      </c>
      <c r="G29">
        <f t="shared" si="0"/>
        <v>2.9249999999999998</v>
      </c>
      <c r="H29">
        <f t="shared" si="1"/>
        <v>5</v>
      </c>
      <c r="I29">
        <f t="shared" si="2"/>
        <v>0.58499999999999996</v>
      </c>
      <c r="J29">
        <v>0.86666670000000001</v>
      </c>
      <c r="K29">
        <f t="shared" si="4"/>
        <v>0.72583335000000004</v>
      </c>
    </row>
    <row r="30" spans="1:16" x14ac:dyDescent="0.3">
      <c r="B30">
        <v>0</v>
      </c>
      <c r="C30">
        <v>0</v>
      </c>
      <c r="F30">
        <v>0</v>
      </c>
      <c r="G30">
        <f t="shared" si="0"/>
        <v>0</v>
      </c>
      <c r="H30">
        <f t="shared" si="1"/>
        <v>3</v>
      </c>
      <c r="I30">
        <f t="shared" si="2"/>
        <v>0</v>
      </c>
      <c r="J30">
        <v>0.70952380000000004</v>
      </c>
      <c r="K30">
        <f t="shared" si="4"/>
        <v>0.35476190000000002</v>
      </c>
    </row>
    <row r="31" spans="1:16" x14ac:dyDescent="0.3">
      <c r="D31">
        <v>1</v>
      </c>
      <c r="F31">
        <v>0.1052632</v>
      </c>
      <c r="G31">
        <f t="shared" si="0"/>
        <v>1.1052632</v>
      </c>
      <c r="H31">
        <f t="shared" si="1"/>
        <v>2</v>
      </c>
      <c r="I31">
        <f t="shared" si="2"/>
        <v>0.5526316</v>
      </c>
      <c r="J31">
        <v>0.87380950000000002</v>
      </c>
      <c r="K31">
        <f t="shared" si="4"/>
        <v>0.71322054999999995</v>
      </c>
    </row>
    <row r="32" spans="1:16" x14ac:dyDescent="0.3">
      <c r="A32">
        <v>0.74509809999999999</v>
      </c>
      <c r="B32">
        <v>1</v>
      </c>
      <c r="C32">
        <v>0.3333333</v>
      </c>
      <c r="D32">
        <v>1</v>
      </c>
      <c r="F32">
        <v>3.2572999999999999E-3</v>
      </c>
      <c r="G32">
        <f t="shared" si="0"/>
        <v>3.0816886999999999</v>
      </c>
      <c r="H32">
        <f t="shared" si="1"/>
        <v>5</v>
      </c>
      <c r="I32">
        <f t="shared" si="2"/>
        <v>0.61633773999999997</v>
      </c>
      <c r="J32">
        <v>0.53095239999999999</v>
      </c>
      <c r="K32">
        <f t="shared" si="4"/>
        <v>0.57364506999999998</v>
      </c>
    </row>
    <row r="33" spans="1:13" x14ac:dyDescent="0.3">
      <c r="G33">
        <f>SUM(A33:F33)</f>
        <v>0</v>
      </c>
      <c r="H33">
        <f t="shared" si="1"/>
        <v>0</v>
      </c>
      <c r="I33" t="str">
        <f t="shared" si="2"/>
        <v/>
      </c>
      <c r="J33">
        <v>0.51428569999999996</v>
      </c>
      <c r="K33">
        <f>J33</f>
        <v>0.51428569999999996</v>
      </c>
    </row>
    <row r="34" spans="1:13" x14ac:dyDescent="0.3">
      <c r="A34">
        <f>AVERAGE(A2:A33)</f>
        <v>0.63153594999999996</v>
      </c>
      <c r="B34">
        <f t="shared" ref="B34:F34" si="9">AVERAGE(B2:B33)</f>
        <v>0.45</v>
      </c>
      <c r="C34">
        <f t="shared" si="9"/>
        <v>0.10763888333333334</v>
      </c>
      <c r="D34">
        <f t="shared" si="9"/>
        <v>0.85075756666666669</v>
      </c>
      <c r="E34">
        <f t="shared" si="9"/>
        <v>1</v>
      </c>
      <c r="F34">
        <f t="shared" si="9"/>
        <v>0.13981484666666669</v>
      </c>
      <c r="G34">
        <f>AVERAGE(G2:G33)</f>
        <v>0.92738785937500001</v>
      </c>
      <c r="H34">
        <f t="shared" si="1"/>
        <v>6</v>
      </c>
      <c r="I34">
        <f>AVERAGE(I2:I33)</f>
        <v>0.37566492116666661</v>
      </c>
      <c r="J34">
        <f t="shared" ref="J34:K34" si="10">AVERAGE(J2:J33)</f>
        <v>0.48415178124999991</v>
      </c>
      <c r="K34">
        <f t="shared" si="10"/>
        <v>0.4341363581770834</v>
      </c>
    </row>
    <row r="36" spans="1:13" x14ac:dyDescent="0.3">
      <c r="A36" t="s">
        <v>111</v>
      </c>
      <c r="B36" t="s">
        <v>112</v>
      </c>
      <c r="C36" t="s">
        <v>113</v>
      </c>
      <c r="D36" t="s">
        <v>114</v>
      </c>
      <c r="E36" t="s">
        <v>115</v>
      </c>
      <c r="F36" t="s">
        <v>116</v>
      </c>
      <c r="M36" t="s">
        <v>118</v>
      </c>
    </row>
    <row r="37" spans="1:13" x14ac:dyDescent="0.3">
      <c r="A37">
        <f>COUNT(A2:A33)</f>
        <v>12</v>
      </c>
      <c r="B37">
        <f t="shared" ref="B37:F37" si="11">COUNT(B2:B33)</f>
        <v>10</v>
      </c>
      <c r="C37">
        <f t="shared" si="11"/>
        <v>12</v>
      </c>
      <c r="D37">
        <f t="shared" si="11"/>
        <v>12</v>
      </c>
      <c r="E37">
        <f t="shared" si="11"/>
        <v>4</v>
      </c>
      <c r="F37">
        <f t="shared" si="11"/>
        <v>15</v>
      </c>
      <c r="G37" t="s">
        <v>164</v>
      </c>
    </row>
    <row r="38" spans="1:13" x14ac:dyDescent="0.3">
      <c r="A38">
        <v>91</v>
      </c>
      <c r="B38">
        <v>37</v>
      </c>
      <c r="C38">
        <v>104</v>
      </c>
      <c r="D38">
        <v>89</v>
      </c>
      <c r="E38">
        <v>20</v>
      </c>
      <c r="F38">
        <v>1353</v>
      </c>
      <c r="G38" t="s">
        <v>163</v>
      </c>
    </row>
    <row r="39" spans="1:13" x14ac:dyDescent="0.3">
      <c r="A39">
        <v>57</v>
      </c>
      <c r="B39">
        <v>5</v>
      </c>
      <c r="C39">
        <v>12</v>
      </c>
      <c r="D39">
        <v>71</v>
      </c>
      <c r="E39">
        <v>20</v>
      </c>
      <c r="F39">
        <v>57</v>
      </c>
      <c r="G39" t="s">
        <v>162</v>
      </c>
    </row>
    <row r="40" spans="1:13" x14ac:dyDescent="0.3">
      <c r="A40">
        <f>A39/A38</f>
        <v>0.62637362637362637</v>
      </c>
      <c r="B40">
        <f t="shared" ref="B40:F40" si="12">B39/B38</f>
        <v>0.13513513513513514</v>
      </c>
      <c r="C40">
        <f t="shared" si="12"/>
        <v>0.11538461538461539</v>
      </c>
      <c r="D40">
        <f t="shared" si="12"/>
        <v>0.797752808988764</v>
      </c>
      <c r="E40">
        <f t="shared" si="12"/>
        <v>1</v>
      </c>
      <c r="F40">
        <f t="shared" si="12"/>
        <v>4.2128603104212861E-2</v>
      </c>
      <c r="H40" t="s">
        <v>118</v>
      </c>
      <c r="I40">
        <f>AVERAGE(A40:F40)</f>
        <v>0.45279579816439225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C2637-08C5-4EEC-8B63-B99F435D67BA}">
  <dimension ref="A1:S38"/>
  <sheetViews>
    <sheetView workbookViewId="0">
      <selection activeCell="F11" sqref="F11"/>
    </sheetView>
  </sheetViews>
  <sheetFormatPr defaultRowHeight="14.4" x14ac:dyDescent="0.3"/>
  <sheetData>
    <row r="1" spans="1:19" x14ac:dyDescent="0.3">
      <c r="A1" t="s">
        <v>119</v>
      </c>
    </row>
    <row r="2" spans="1:19" x14ac:dyDescent="0.3">
      <c r="A2" t="s">
        <v>69</v>
      </c>
      <c r="H2" t="s">
        <v>111</v>
      </c>
      <c r="I2" t="s">
        <v>112</v>
      </c>
      <c r="J2" t="s">
        <v>113</v>
      </c>
      <c r="K2" t="s">
        <v>114</v>
      </c>
      <c r="L2" t="s">
        <v>115</v>
      </c>
      <c r="M2" t="s">
        <v>116</v>
      </c>
    </row>
    <row r="3" spans="1:19" x14ac:dyDescent="0.3">
      <c r="A3" t="s">
        <v>120</v>
      </c>
      <c r="H3" s="9">
        <f>SUM(H4:H10)</f>
        <v>57</v>
      </c>
      <c r="I3" s="9">
        <f t="shared" ref="I3:J3" si="0">SUM(I4:I10)</f>
        <v>5</v>
      </c>
      <c r="J3" s="9">
        <f t="shared" si="0"/>
        <v>12</v>
      </c>
      <c r="K3" s="9">
        <f>SUM(K4:K10)</f>
        <v>71</v>
      </c>
      <c r="L3" s="9">
        <v>20</v>
      </c>
      <c r="M3" s="9">
        <v>57</v>
      </c>
      <c r="N3">
        <f t="shared" ref="N3" si="1">SUM(N4:N10)</f>
        <v>57</v>
      </c>
      <c r="S3" t="s">
        <v>156</v>
      </c>
    </row>
    <row r="4" spans="1:19" x14ac:dyDescent="0.3">
      <c r="A4" t="s">
        <v>121</v>
      </c>
      <c r="H4">
        <v>5</v>
      </c>
      <c r="I4">
        <v>5</v>
      </c>
      <c r="J4">
        <v>3</v>
      </c>
      <c r="K4">
        <v>4</v>
      </c>
      <c r="N4">
        <v>3</v>
      </c>
      <c r="S4" t="s">
        <v>152</v>
      </c>
    </row>
    <row r="5" spans="1:19" x14ac:dyDescent="0.3">
      <c r="A5" t="s">
        <v>79</v>
      </c>
      <c r="H5">
        <v>2</v>
      </c>
      <c r="J5">
        <v>4</v>
      </c>
      <c r="K5">
        <v>2</v>
      </c>
      <c r="N5">
        <v>6</v>
      </c>
      <c r="S5" t="s">
        <v>121</v>
      </c>
    </row>
    <row r="6" spans="1:19" x14ac:dyDescent="0.3">
      <c r="A6" t="s">
        <v>81</v>
      </c>
      <c r="H6">
        <v>4</v>
      </c>
      <c r="J6">
        <v>5</v>
      </c>
      <c r="K6">
        <v>3</v>
      </c>
      <c r="M6" t="s">
        <v>24</v>
      </c>
      <c r="N6">
        <v>3</v>
      </c>
      <c r="S6" t="s">
        <v>79</v>
      </c>
    </row>
    <row r="7" spans="1:19" x14ac:dyDescent="0.3">
      <c r="A7" t="s">
        <v>83</v>
      </c>
      <c r="H7">
        <v>8</v>
      </c>
      <c r="I7" t="s">
        <v>132</v>
      </c>
      <c r="K7">
        <v>5</v>
      </c>
      <c r="M7" t="s">
        <v>25</v>
      </c>
      <c r="N7">
        <v>5</v>
      </c>
      <c r="S7" t="s">
        <v>81</v>
      </c>
    </row>
    <row r="8" spans="1:19" x14ac:dyDescent="0.3">
      <c r="A8" t="s">
        <v>122</v>
      </c>
      <c r="H8">
        <v>38</v>
      </c>
      <c r="I8" t="s">
        <v>121</v>
      </c>
      <c r="K8">
        <v>9</v>
      </c>
      <c r="M8" t="s">
        <v>30</v>
      </c>
      <c r="N8">
        <v>14</v>
      </c>
      <c r="S8" t="s">
        <v>83</v>
      </c>
    </row>
    <row r="9" spans="1:19" x14ac:dyDescent="0.3">
      <c r="A9" t="s">
        <v>123</v>
      </c>
      <c r="I9" t="s">
        <v>79</v>
      </c>
      <c r="K9">
        <v>12</v>
      </c>
      <c r="M9" t="s">
        <v>141</v>
      </c>
      <c r="N9">
        <v>26</v>
      </c>
      <c r="S9" t="s">
        <v>122</v>
      </c>
    </row>
    <row r="10" spans="1:19" x14ac:dyDescent="0.3">
      <c r="A10" t="s">
        <v>46</v>
      </c>
      <c r="I10" t="s">
        <v>81</v>
      </c>
      <c r="K10">
        <v>36</v>
      </c>
      <c r="M10" t="s">
        <v>121</v>
      </c>
      <c r="S10" t="s">
        <v>157</v>
      </c>
    </row>
    <row r="11" spans="1:19" x14ac:dyDescent="0.3">
      <c r="A11" t="s">
        <v>49</v>
      </c>
      <c r="I11" t="s">
        <v>83</v>
      </c>
      <c r="M11" t="s">
        <v>79</v>
      </c>
      <c r="S11" t="s">
        <v>46</v>
      </c>
    </row>
    <row r="12" spans="1:19" x14ac:dyDescent="0.3">
      <c r="A12" t="s">
        <v>124</v>
      </c>
      <c r="I12" t="s">
        <v>122</v>
      </c>
      <c r="M12" t="s">
        <v>81</v>
      </c>
      <c r="S12" t="s">
        <v>158</v>
      </c>
    </row>
    <row r="13" spans="1:19" x14ac:dyDescent="0.3">
      <c r="A13" t="s">
        <v>125</v>
      </c>
      <c r="I13" t="s">
        <v>133</v>
      </c>
      <c r="M13" t="s">
        <v>142</v>
      </c>
      <c r="Q13" t="s">
        <v>151</v>
      </c>
      <c r="S13" t="s">
        <v>159</v>
      </c>
    </row>
    <row r="14" spans="1:19" x14ac:dyDescent="0.3">
      <c r="A14" t="s">
        <v>41</v>
      </c>
      <c r="I14" t="s">
        <v>134</v>
      </c>
      <c r="M14" t="s">
        <v>46</v>
      </c>
      <c r="Q14" t="s">
        <v>152</v>
      </c>
      <c r="S14" t="s">
        <v>160</v>
      </c>
    </row>
    <row r="15" spans="1:19" x14ac:dyDescent="0.3">
      <c r="A15" t="s">
        <v>88</v>
      </c>
      <c r="I15" t="s">
        <v>46</v>
      </c>
      <c r="M15" t="s">
        <v>143</v>
      </c>
      <c r="Q15" t="s">
        <v>121</v>
      </c>
      <c r="S15" t="s">
        <v>161</v>
      </c>
    </row>
    <row r="16" spans="1:19" x14ac:dyDescent="0.3">
      <c r="A16" t="s">
        <v>64</v>
      </c>
      <c r="I16" t="s">
        <v>135</v>
      </c>
      <c r="M16" t="s">
        <v>144</v>
      </c>
      <c r="Q16" t="s">
        <v>79</v>
      </c>
      <c r="S16" t="s">
        <v>46</v>
      </c>
    </row>
    <row r="17" spans="1:19" x14ac:dyDescent="0.3">
      <c r="A17" t="s">
        <v>126</v>
      </c>
      <c r="I17" t="s">
        <v>136</v>
      </c>
      <c r="M17" t="s">
        <v>145</v>
      </c>
      <c r="Q17" t="s">
        <v>81</v>
      </c>
      <c r="S17" t="s">
        <v>149</v>
      </c>
    </row>
    <row r="18" spans="1:19" x14ac:dyDescent="0.3">
      <c r="A18" t="s">
        <v>95</v>
      </c>
      <c r="I18" t="s">
        <v>137</v>
      </c>
      <c r="M18" t="s">
        <v>146</v>
      </c>
      <c r="Q18" t="s">
        <v>83</v>
      </c>
    </row>
    <row r="19" spans="1:19" x14ac:dyDescent="0.3">
      <c r="A19" t="s">
        <v>46</v>
      </c>
      <c r="I19" t="s">
        <v>138</v>
      </c>
      <c r="M19" t="s">
        <v>147</v>
      </c>
      <c r="Q19" t="s">
        <v>122</v>
      </c>
    </row>
    <row r="20" spans="1:19" x14ac:dyDescent="0.3">
      <c r="A20" t="s">
        <v>61</v>
      </c>
      <c r="I20" t="s">
        <v>47</v>
      </c>
      <c r="M20" t="s">
        <v>148</v>
      </c>
      <c r="Q20" t="s">
        <v>153</v>
      </c>
    </row>
    <row r="21" spans="1:19" x14ac:dyDescent="0.3">
      <c r="I21" t="s">
        <v>139</v>
      </c>
      <c r="M21" t="s">
        <v>46</v>
      </c>
      <c r="Q21" t="s">
        <v>46</v>
      </c>
    </row>
    <row r="22" spans="1:19" x14ac:dyDescent="0.3">
      <c r="I22" t="s">
        <v>140</v>
      </c>
      <c r="M22" t="s">
        <v>149</v>
      </c>
      <c r="Q22" t="s">
        <v>154</v>
      </c>
    </row>
    <row r="23" spans="1:19" x14ac:dyDescent="0.3">
      <c r="D23" t="s">
        <v>78</v>
      </c>
      <c r="I23" t="s">
        <v>46</v>
      </c>
      <c r="Q23" t="s">
        <v>155</v>
      </c>
    </row>
    <row r="24" spans="1:19" x14ac:dyDescent="0.3">
      <c r="D24" t="s">
        <v>80</v>
      </c>
      <c r="I24" t="s">
        <v>61</v>
      </c>
      <c r="Q24" t="s">
        <v>46</v>
      </c>
    </row>
    <row r="25" spans="1:19" x14ac:dyDescent="0.3">
      <c r="D25" t="s">
        <v>36</v>
      </c>
      <c r="Q25" t="s">
        <v>149</v>
      </c>
    </row>
    <row r="26" spans="1:19" x14ac:dyDescent="0.3">
      <c r="D26" t="s">
        <v>31</v>
      </c>
    </row>
    <row r="27" spans="1:19" x14ac:dyDescent="0.3">
      <c r="D27" t="s">
        <v>35</v>
      </c>
    </row>
    <row r="28" spans="1:19" x14ac:dyDescent="0.3">
      <c r="D28" t="s">
        <v>38</v>
      </c>
    </row>
    <row r="29" spans="1:19" x14ac:dyDescent="0.3">
      <c r="D29" t="s">
        <v>40</v>
      </c>
    </row>
    <row r="30" spans="1:19" x14ac:dyDescent="0.3">
      <c r="D30" t="s">
        <v>42</v>
      </c>
    </row>
    <row r="31" spans="1:19" x14ac:dyDescent="0.3">
      <c r="D31" t="s">
        <v>93</v>
      </c>
    </row>
    <row r="32" spans="1:19" x14ac:dyDescent="0.3">
      <c r="D32" t="s">
        <v>46</v>
      </c>
    </row>
    <row r="33" spans="4:4" x14ac:dyDescent="0.3">
      <c r="D33" t="s">
        <v>97</v>
      </c>
    </row>
    <row r="34" spans="4:4" x14ac:dyDescent="0.3">
      <c r="D34" t="s">
        <v>99</v>
      </c>
    </row>
    <row r="35" spans="4:4" x14ac:dyDescent="0.3">
      <c r="D35" t="s">
        <v>101</v>
      </c>
    </row>
    <row r="36" spans="4:4" x14ac:dyDescent="0.3">
      <c r="D36" t="s">
        <v>103</v>
      </c>
    </row>
    <row r="37" spans="4:4" x14ac:dyDescent="0.3">
      <c r="D37" t="s">
        <v>46</v>
      </c>
    </row>
    <row r="38" spans="4:4" x14ac:dyDescent="0.3">
      <c r="D3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Overall (2)</vt:lpstr>
      <vt:lpstr>Overall</vt:lpstr>
      <vt:lpstr>OutPut</vt:lpstr>
      <vt:lpstr>ComplicationMgt (2)</vt:lpstr>
      <vt:lpstr>ComplicationMgt</vt:lpstr>
      <vt:lpstr>Clinicalbundle&amp;compl'n</vt:lpstr>
      <vt:lpstr>Cases</vt:lpstr>
      <vt:lpstr>ComplicationScore</vt:lpstr>
      <vt:lpstr>Treated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dell</cp:lastModifiedBy>
  <cp:lastPrinted>2019-03-09T12:05:29Z</cp:lastPrinted>
  <dcterms:created xsi:type="dcterms:W3CDTF">2019-03-09T07:50:28Z</dcterms:created>
  <dcterms:modified xsi:type="dcterms:W3CDTF">2021-01-16T20:34:26Z</dcterms:modified>
</cp:coreProperties>
</file>