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Onshoreoffshore wind" sheetId="1" r:id="rId4"/>
    <sheet state="visible" name="Onshoreoffshore wind refs and c" sheetId="2" r:id="rId5"/>
    <sheet state="visible" name="Solar" sheetId="3" r:id="rId6"/>
    <sheet state="visible" name="Solar refs and calcs" sheetId="4" r:id="rId7"/>
    <sheet state="visible" name="Fossil fuels" sheetId="5" r:id="rId8"/>
    <sheet state="visible" name="Fossil fuels refs and calcs" sheetId="6" r:id="rId9"/>
    <sheet state="visible" name="Nuclear" sheetId="7" r:id="rId10"/>
    <sheet state="visible" name="Nuclear refs and calcs" sheetId="8" r:id="rId11"/>
    <sheet state="visible" name="Hydro" sheetId="9" r:id="rId12"/>
    <sheet state="visible" name="Hydro refs and calcs" sheetId="10" r:id="rId13"/>
    <sheet state="visible" name="Geothermal" sheetId="11" r:id="rId14"/>
    <sheet state="visible" name="Geothermal refs and calcs" sheetId="12" r:id="rId15"/>
    <sheet state="visible" name="Concrete assumptions" sheetId="13" r:id="rId16"/>
  </sheets>
  <definedNames/>
  <calcPr/>
</workbook>
</file>

<file path=xl/sharedStrings.xml><?xml version="1.0" encoding="utf-8"?>
<sst xmlns="http://schemas.openxmlformats.org/spreadsheetml/2006/main" count="1537" uniqueCount="779">
  <si>
    <t>Material</t>
  </si>
  <si>
    <t>Onshore_DD_PMG</t>
  </si>
  <si>
    <t>Onshore_AG</t>
  </si>
  <si>
    <t>Offshore_DD_PMG</t>
  </si>
  <si>
    <t>Offshore_AG</t>
  </si>
  <si>
    <t>Ag</t>
  </si>
  <si>
    <t>Al</t>
  </si>
  <si>
    <t>13200 (Garrett + Ronde 2011);</t>
  </si>
  <si>
    <t>4900 (Razdan + Garrett 2015a); 5080 (Razdan + Garrett 2015b);</t>
  </si>
  <si>
    <t>1000, 898, 898, 556 (Chipindula et al 2018); 2140 (Elsam Engineering 2004);</t>
  </si>
  <si>
    <t>Cd</t>
  </si>
  <si>
    <t>Co</t>
  </si>
  <si>
    <t>Concrete</t>
  </si>
  <si>
    <t>375440 (Garrett + Ronde 2011); 402000 (Wilburn 2011);</t>
  </si>
  <si>
    <t>401340 (Razdan + Garrett 2015a); 456720 (Razdan + Garrett 2015b); 402000 (Wilburn 2011);</t>
  </si>
  <si>
    <t>1375 (Elsam Engineering 2004);</t>
  </si>
  <si>
    <t>Cu</t>
  </si>
  <si>
    <t>3320 (Garrett + Ronde 2011); 3000 (Wilburn 2011); 4700 (Habib + Wenzel 2016); 5761, 2994, 6759, 2540, 3538 (BBF Associates 2011);</t>
  </si>
  <si>
    <t>1700 (Razdan + Garrett 2015a); 1740 (Razdan + Garrett 2015b); 1850 (Garcia-Olivares et al 2012); 4982 (Habib + Wenzel 2016);</t>
  </si>
  <si>
    <t>10000 (Garcia-Olivares et al 2012); 9580 (Falconer, 2009); 1650, 5218, 5218, 9601 (Chipindula et al 2018); 2337 (Elsam Engineering 2004);</t>
  </si>
  <si>
    <t>Dy</t>
  </si>
  <si>
    <t>12 (DOE 2011); 28 (Hoenderdaal et al 2013);</t>
  </si>
  <si>
    <t>12 (DOE 2011), 28 (Hoenderdaal et al 2013);</t>
  </si>
  <si>
    <t>Ga</t>
  </si>
  <si>
    <t>In</t>
  </si>
  <si>
    <t>Li</t>
  </si>
  <si>
    <t>Mn</t>
  </si>
  <si>
    <t>Nd</t>
  </si>
  <si>
    <t>186 (DOE 2011), 216 (Wilburn 2011); 198 (Hoenderdaal et al 2013);</t>
  </si>
  <si>
    <t>Ni</t>
  </si>
  <si>
    <t>377 (Fizaine + Court 2015)</t>
  </si>
  <si>
    <t>Pt</t>
  </si>
  <si>
    <t>Se</t>
  </si>
  <si>
    <t>Steel</t>
  </si>
  <si>
    <t>122780 (Garrett + Ronde 2011); 123000 (Wilburn 2011);</t>
  </si>
  <si>
    <t>120480 (Razdan + Garrett 2015a); 130480 (Razdan + Garrett 2015b); 123000 (Wilburn 2011);</t>
  </si>
  <si>
    <t>147576, 803094, 917224, 530417 (Chipindula et al 2018); 193257 (Elsam Engineering 2004);</t>
  </si>
  <si>
    <t>Te</t>
  </si>
  <si>
    <t>Cement</t>
  </si>
  <si>
    <t>38717, 60070 (Garrett + Ronde 2011); 41456, 64320 (Wilburn 2011);</t>
  </si>
  <si>
    <t>41388, 64214 (Razdan + Garrett 2015a); 47099, 73075 (Razdan + Garrett 2015b); 41456, 64320 (Wilburn 2011);</t>
  </si>
  <si>
    <t>142, 220 (Elsam Engineering 2004)</t>
  </si>
  <si>
    <t>Fiberglass</t>
  </si>
  <si>
    <t>9580 (Garrett + Ronde 2011); 6800 (Wilburn 2011);</t>
  </si>
  <si>
    <t>8980 (Razdan + Garrett 2015a); 7400 (Razdan + Garrett 2015b); 6800 (Wilburn 2011);</t>
  </si>
  <si>
    <t>5823, 5833, 5833, 10551 (Chipindula et al 2018); 10921 (Elsam Engineering 2004);</t>
  </si>
  <si>
    <t>Assuming that for onshore wind turbines, material use of non-RE materials is the same for DD vs AG types unless explicitly stated in source. Likewise for offshore turbines.</t>
  </si>
  <si>
    <t>Assuming that onshore and offshore PM turbines have similar intensitites of rare earth usage</t>
  </si>
  <si>
    <t>GREEN = final values</t>
  </si>
  <si>
    <t>RED = rejected values</t>
  </si>
  <si>
    <t>2015 Razdan + Garrett (a)</t>
  </si>
  <si>
    <t>found cited in NREL 2015 Table 30: https://www.nrel.gov/docs/fy17osti/66861.pdf</t>
  </si>
  <si>
    <t>Life Cycle Assessment of Electricity Production from an onshore V100-2.0 MW Wind Plant</t>
  </si>
  <si>
    <t>https://www.vestas.com/~/media/vestas/about/sustainability/pdfs/lcav10020mw181215.pdf</t>
  </si>
  <si>
    <t>Numbers taken from Table 6, summed across turbines, foundations, cables, switchgears, and transformer</t>
  </si>
  <si>
    <t>Metric tons for a 50MW power plant of V100-2.0 MW onshore turbines, no permanent magnets</t>
  </si>
  <si>
    <t>tons</t>
  </si>
  <si>
    <t>tons/GW</t>
  </si>
  <si>
    <t>Notes</t>
  </si>
  <si>
    <t>Concrete C12, C30, C45, amounts unspecified. LCA used C12/15 and C30/37, also employing the latter for C45</t>
  </si>
  <si>
    <t>Conversion of tons concrete to tons cement</t>
  </si>
  <si>
    <t>Concrete volume (m^3)</t>
  </si>
  <si>
    <t>Steel/cast steel/sintered steel, sum of Unalloyed, low alloyed and Highly alloyed, plus cast iron</t>
  </si>
  <si>
    <t>Assuming 1600 kg/m^3</t>
  </si>
  <si>
    <t>Copper</t>
  </si>
  <si>
    <t>Assuming 2500 kg/m^3</t>
  </si>
  <si>
    <t>Copper alloys</t>
  </si>
  <si>
    <t>Sum of Copper and Copper alloys</t>
  </si>
  <si>
    <t>Cement (kg)</t>
  </si>
  <si>
    <t>Cement (tons)</t>
  </si>
  <si>
    <t>Aluminum and Aluminum alloys</t>
  </si>
  <si>
    <t>1600 kg/m^3 density and 165 kg/m^3 cement content</t>
  </si>
  <si>
    <t>Fiberglass (ceramic/glass)</t>
  </si>
  <si>
    <t>2500 kg/m^3 density and 400 kg/m^3 cement content</t>
  </si>
  <si>
    <t>2015 Razdan + Garrett (b)</t>
  </si>
  <si>
    <t>Life Cycle Assessment of Electricity Production from an onshore V110-2.0 MW Wind Plant</t>
  </si>
  <si>
    <t>https://www.vestas.com/~/media/vestas/about/sustainability/pdfs/lcav11020mw181215.pdf</t>
  </si>
  <si>
    <t>Metric tons for a 50MW power plant of V110-2.0 MW onshore turbines, no permanent magnets</t>
  </si>
  <si>
    <t>Steel/cast steel/sintered steel, sum of Unalloyed, low alloyed and Highly alloyed</t>
  </si>
  <si>
    <t>2011 Garrett + Ronde</t>
  </si>
  <si>
    <t>Life Cycle Assessment of Electricity Production from a V90-2.0MW Gridstreamer Wind Plant</t>
  </si>
  <si>
    <t>https://www.vestas.com/~/media/vestas/about/sustainability/pdfs/lca_v902mw_version1.pdf</t>
  </si>
  <si>
    <t>Numbers taken from Table 5, summed across turbines, foundations, cables, switchgears, and transformer</t>
  </si>
  <si>
    <t>Metric tons for a 50MW power plant of V90-2.0MW onshore turbines, containing permanent magnets</t>
  </si>
  <si>
    <t>Steel, sum of Unalloyed, low alloyed and Highly alloyed</t>
  </si>
  <si>
    <t>2011 Department of Energy</t>
  </si>
  <si>
    <t>2010 report found cited in Elshkaki and Graedel 2014, Table 1: https://www.sciencedirect.com/science/article/abs/pii/S0306261914010125</t>
  </si>
  <si>
    <t>Critical Materials Strategy</t>
  </si>
  <si>
    <t>using updated 2011 report instead</t>
  </si>
  <si>
    <t>https://www.energy.gov/sites/prod/files/2019/06/f63/DOE_CMS2011_FINAL_Full_1.pdf</t>
  </si>
  <si>
    <t>Numbers taken from page 154</t>
  </si>
  <si>
    <t>kgs per MW generation (600kg total magnet weight per MW for a PM direct drive system) converted to tons per GW generation</t>
  </si>
  <si>
    <t>from Arnold Magnetics RFI submission to DOE, 2011 (original source not found), 31% Nd content number from Electron Energy Corporation RFI submission to DOE (not found)</t>
  </si>
  <si>
    <t>This is highly consistent with weight of "magnets" in Garrett + Ronde 2011 above</t>
  </si>
  <si>
    <t>this is the low-end estimate, high-end estimate would be 24 (2-4% Dy range)</t>
  </si>
  <si>
    <t>Garcia-Olivares et al 2012</t>
  </si>
  <si>
    <t>A global renewable mix with proven technologies and common materials</t>
  </si>
  <si>
    <t>https://doi.org/10.1016/j.enpol.2011.11.018</t>
  </si>
  <si>
    <t>Numbers for Copper from Section 3.4 and Appendix C, Al from Section 3.6 and Appendix C, using 3MW non-PM Vestas V90 as model</t>
  </si>
  <si>
    <t>Metric tons/MW converted to metric tons/GW, accounting for both turbine, grid connection, transformer, etc...</t>
  </si>
  <si>
    <t>standard onshore, tons/GW</t>
  </si>
  <si>
    <t>standard offshore, tons/GW</t>
  </si>
  <si>
    <t>original approximate calculation, these are a little rough but match fairly well with Vestas numbers</t>
  </si>
  <si>
    <t>Aluminum</t>
  </si>
  <si>
    <t>seems far too low, excluding Al from this study</t>
  </si>
  <si>
    <t>Wilburn, 2011</t>
  </si>
  <si>
    <t>Wind Energy in the US and Materials Required for the Land-Based Wind Turbine Industry From 2010 Through 2030</t>
  </si>
  <si>
    <t>https://pubs.usgs.gov/sir/2011/5036/sir2011-5036.pdf</t>
  </si>
  <si>
    <t>Numbers from Table 5 on page 12, based on next-gen onshore wind projections</t>
  </si>
  <si>
    <t>kg/MW converted to metric tons/GW</t>
  </si>
  <si>
    <t>Steel + cast iron</t>
  </si>
  <si>
    <t>Not explicitly stated to include associated infrastructure, but checks out with Vestas LCAs</t>
  </si>
  <si>
    <t>Calculation based on Hatch
(2009) and Lifton (2009), assuming a PM turbine</t>
  </si>
  <si>
    <t>Hoenderdaal, S., Espinoza, L.T., Marscheider-Weidemann, F. and Graus, W., 2013. Can a dysprosium shortage threaten green energy technologies?. Energy, 49, pp.344-355.</t>
  </si>
  <si>
    <t>https://www.sciencedirect.com/science/article/abs/pii/S0360544212008055</t>
  </si>
  <si>
    <t>Numbers from Table 3, average of figures from collected interviews with industry experts</t>
  </si>
  <si>
    <t>Arnolds Magnetics, Avalon Inc., TechMetalsResearch, IMCOA, University of St. Polten, Chinese Society of Rare Earths, Less Common Metals Ltd., Magnet Motor GmpH, Ames Laboratory and the US: Department of Energy.</t>
  </si>
  <si>
    <t>Habib and Wenzel 2016</t>
  </si>
  <si>
    <t>cited in Månberger and Stenqvist, Global metal flows in the renewable energy transition: Exploring the effects
of substitutes, technological mix and development</t>
  </si>
  <si>
    <t>Reviewing resource criticality assessment from a dynamic and technology specific perspective – using the case of direct-drive wind turbines.</t>
  </si>
  <si>
    <t>https://www.sciencedirect.com/science/article/abs/pii/S0959652615009920</t>
  </si>
  <si>
    <t>Numbers from Table 2, assembled with input from manufacturers</t>
  </si>
  <si>
    <t>Nd and Dy demand based partly on Habib and Wenzel 2014 (https://www.sciencedirect.com/science/article/abs/pii/S0959652614003837)</t>
  </si>
  <si>
    <t>DD PM</t>
  </si>
  <si>
    <t>PM-free gearbox</t>
  </si>
  <si>
    <t>cite Habib and Wenzel 2014, which cites (Bauer et al., 2011; Hatch, 2011; Kleijn and Van der Voet, 2010; Speirs et al., 2013a) for Nd and Dy numbers</t>
  </si>
  <si>
    <t>Bauer et al 2011 is DOE, can't find Hatch report. The rest are all themselves literature figures</t>
  </si>
  <si>
    <t>BBF Associates, “Market study: current and projected wind and solar renewable electric generating capacity and resulting copper demand”. 2011.</t>
  </si>
  <si>
    <t>https://copperalliance.org/wp-content/uploads/2017/03/Projected-wind-solar-copper-demand-1.pdf</t>
  </si>
  <si>
    <t>Numbers for solar from Table 2, wind on Table 1</t>
  </si>
  <si>
    <t>Most sites were constructed prior to 2010</t>
  </si>
  <si>
    <t>Numbers converted from lbs/MW to tons/GW</t>
  </si>
  <si>
    <t>ONSHORE</t>
  </si>
  <si>
    <t>Meadow Lake, IN Phase II plant (99 MW; 66x1.5MW turbines)</t>
  </si>
  <si>
    <t>Designed 100 MW (50x2MW Vestas)</t>
  </si>
  <si>
    <t>Rattlesnake Rd, OR 102.9 MW (49x2.1MW)</t>
  </si>
  <si>
    <t>Meridian Way KS 105MW (35x3MW)</t>
  </si>
  <si>
    <t>Lone Star TX 400MW (200x2MW)</t>
  </si>
  <si>
    <t>Date opened</t>
  </si>
  <si>
    <t>Phase II: June 2010</t>
  </si>
  <si>
    <t>I. K. Falconer (Univ. of Exeter), Metals Required for the UK’s Low Carbon Energy System: The case of copper usage in wind farms, University of Exeter, 2009</t>
  </si>
  <si>
    <t>OFFSHORE</t>
  </si>
  <si>
    <t>offshore wind</t>
  </si>
  <si>
    <t>based upon data from 14 planned or operating wind farms</t>
  </si>
  <si>
    <t>Fizaine + Court 2015, Appendix A</t>
  </si>
  <si>
    <t>Renewable electricity producing technologies and metal depletion: A sensitivity analysis using the EROI</t>
  </si>
  <si>
    <t>https://www.sciencedirect.com/science/article/abs/pii/S0921800914003681</t>
  </si>
  <si>
    <t>Numbers converted from tons/MW to tons/GW, rounded to nearest ton/GW</t>
  </si>
  <si>
    <t>Onshore wind</t>
  </si>
  <si>
    <t>Offshore wind</t>
  </si>
  <si>
    <t>Ostensibly from Ashby, M.F., 2013. Materials and the Environment: Eco-informed Material Choice.
Butterworth-Heinemann, Elsevier, 2nd edition (628 pp.) and from EDF private data, cannot conclusively confirm either</t>
  </si>
  <si>
    <t>offshore figure seems really low... perhaps not whole-plant in scope</t>
  </si>
  <si>
    <t>these seem to incorporate some hidden assumptions for onshore/offshore PM/PM-free</t>
  </si>
  <si>
    <t>Chipindula et al 2018</t>
  </si>
  <si>
    <t>Life Cycle Environmental Impact of Onshore and Offshore Wind Farms in Texas</t>
  </si>
  <si>
    <t>https://tethys.pnnl.gov/publications/life-cycle-environmental-impact-onshore-offshore-wind-farms-texas</t>
  </si>
  <si>
    <t>ASSUMPTION FOR PLANT-WIDE MATERIALS ESTIMATES</t>
  </si>
  <si>
    <t>Table A1</t>
  </si>
  <si>
    <t>Conversion to tons/GW</t>
  </si>
  <si>
    <t>if including transmission infrastructure estimates from Elsam 2004 report</t>
  </si>
  <si>
    <t>kilograms</t>
  </si>
  <si>
    <t>2 MW offshore shallow-water turbine</t>
  </si>
  <si>
    <t>2.3 MW offshore shallow-water turbine</t>
  </si>
  <si>
    <t>2.3MW offshore deep-water turbine</t>
  </si>
  <si>
    <t>5 MW offshore deep-water turbine</t>
  </si>
  <si>
    <t>2MW offshore, tons/GW</t>
  </si>
  <si>
    <t>2.3MW offshore, tons/GW</t>
  </si>
  <si>
    <t>5MW offshore, tons/GW</t>
  </si>
  <si>
    <t>Fiberglass or carbon fiber</t>
  </si>
  <si>
    <t>Cast iron in rotor</t>
  </si>
  <si>
    <t>Cast iron in nacelle</t>
  </si>
  <si>
    <t>Steel in rotor</t>
  </si>
  <si>
    <t>does not include associated infrastructure, so these are low estimates</t>
  </si>
  <si>
    <t>Steel in nacelle</t>
  </si>
  <si>
    <t>Copper in nacelle</t>
  </si>
  <si>
    <t>Al in nacelle</t>
  </si>
  <si>
    <t>Steel in tower</t>
  </si>
  <si>
    <t>Steel in foundation</t>
  </si>
  <si>
    <t>Concrete in foundation</t>
  </si>
  <si>
    <t>Total steel + cast iron</t>
  </si>
  <si>
    <t>Life cycle assessment of offshore and onshore sited wind power plants based on Vestas V90-3.0 MW turbines</t>
  </si>
  <si>
    <t>https://www.vestas.com/~/media/vestas/about/sustainability/pdfs/lca_v90_june_2006.ashx</t>
  </si>
  <si>
    <t>Table 4, excluding onshore wind findings as these are well older than 2010 (2006)</t>
  </si>
  <si>
    <t>Vestas V90 3MW turbines, non-PM design</t>
  </si>
  <si>
    <t>kg/turbine</t>
  </si>
  <si>
    <t>Offshore turbine</t>
  </si>
  <si>
    <t>kg/farm for transmission</t>
  </si>
  <si>
    <t>kg total for a 1000 MW farm</t>
  </si>
  <si>
    <t>metric tons/GW</t>
  </si>
  <si>
    <t>Al, Cu both seem quite low, and steel and concrete values are not given anywhere - excluding this study</t>
  </si>
  <si>
    <t>Life Cycle Assessment of offshore and onshore sited wind farms.</t>
  </si>
  <si>
    <t>translated from the Danish Elsam Engineering report 186768 of March 2004 written in Danish</t>
  </si>
  <si>
    <t>https://www.vestas.com/~/media/vestas/about/sustainability/pdfs/lca_v80_2004_uk.ashx#:~:text=Vestas%20Wind%20Systems%20A%2FS%20financed%20its%20own%20participation%20in,farms%20through%20their%20life%20cycles.</t>
  </si>
  <si>
    <t>Table 5.3, assuming Vestas V80 2MW offshore turbine, excluding onshore wind findings as these are well older than 2010 (2006)</t>
  </si>
  <si>
    <t>Steel+high-strength steel+cast iron</t>
  </si>
  <si>
    <t>I'm assuming that these are non-PM turbines</t>
  </si>
  <si>
    <t>Glass fibre</t>
  </si>
  <si>
    <t>CSI_PV</t>
  </si>
  <si>
    <t>CIGS</t>
  </si>
  <si>
    <t>CDTE</t>
  </si>
  <si>
    <t>ASIGE</t>
  </si>
  <si>
    <t>CSP</t>
  </si>
  <si>
    <t>10 (Manberger + Stenqvist 2018)</t>
  </si>
  <si>
    <t>trough: 13, tower: 16 (Pihl et al 2012);</t>
  </si>
  <si>
    <t>38500 (Bodeker et al 2010); 8500 (Jean et al 2015); 19000 (Mason et al 2006); 19000 (IRENA 2017);</t>
  </si>
  <si>
    <t>31300 (Bodeker et al 2010); 6885 (Jean et al 2015); 15390 (Mason et al 2006); 15390 (IRENA 2017)</t>
  </si>
  <si>
    <t>trough: 0, tower: 11000 (Pihl et al 2012);</t>
  </si>
  <si>
    <t>17, 62, 138 (Kavlak et al 2015); 29 (Jean et al., 2015);</t>
  </si>
  <si>
    <t>63000 (Jean et al 2015); 65700 (Mason et al 2006); 47000 (IRENA 2017);</t>
  </si>
  <si>
    <t>trough: 2607500, tower: 750960 (Pihl et al 2012);</t>
  </si>
  <si>
    <t>7000 (BBF Associates 2011); 4900 (Jean et al 2015); 7530 (Mason et al 2006); 7000 (IRENA 2017);</t>
  </si>
  <si>
    <t>trough: 3200, tower: 1400 (Pihl et al 2012);</t>
  </si>
  <si>
    <t>2, 4, 9 (Kavlak et al 2015); 9 (Jean et al., 2015);</t>
  </si>
  <si>
    <t>7, 13, 28 (Kavlak et al 2015); 15 (Jean et al., 2015);</t>
  </si>
  <si>
    <t>trough: 2000, tower: 5700 (Pihl et al 2012);</t>
  </si>
  <si>
    <t>1 (Frischknecht et al 2015)</t>
  </si>
  <si>
    <t>trough: 940, tower: 1800 (Pihl et al 2012);</t>
  </si>
  <si>
    <t>17, 41, 161 (Kavlak et al 2015); 20 (Jean et al., 2015);</t>
  </si>
  <si>
    <t>73000 (Jean et al 2015); 55900 (Mason et al 2006); 56000 (IRENA 2017)</t>
  </si>
  <si>
    <t>trough: 240000, tower: 400000 (Pihl et al 2012);</t>
  </si>
  <si>
    <t>19, 70, 156 (Kavlak et al 2015); 31 (Jean et al., 2015);</t>
  </si>
  <si>
    <t>6497, 10080 (DOE 2005); 6775, 10512 (Mason et al 2006); 4847, 7520 (IRENA 2017);</t>
  </si>
  <si>
    <t>250000, 72000 (Pihl et al 2012)</t>
  </si>
  <si>
    <t>Si</t>
  </si>
  <si>
    <t>638, 2882, 6629 (Kavlak et al., 2015); 1460, 2020 (Jean et al., 2015); 7000 (IRENA 2017); 2930, 3450 (Frischknecht et al., 2020)</t>
  </si>
  <si>
    <t>58 (Jean et al., 2015)</t>
  </si>
  <si>
    <t>Glass</t>
  </si>
  <si>
    <t>50000 (Jean et al., 2015); 70000 (IRENA 2017); 66700 (Rigby et al., 2011); 53,400 (Fthenakis et al., 2011)</t>
  </si>
  <si>
    <t>130000, 110,000 (Pihl et al., 2012)</t>
  </si>
  <si>
    <t>Am assuming that usage of copper, steel, and concrete/cement, and glass in thin-film is identical to that of conventional PV</t>
  </si>
  <si>
    <t>Am assuming that Aluminum use in thin-film solar frames is 81% of that for conventional PV, based on Bodeker et al 2010</t>
  </si>
  <si>
    <t>Assuming that for conventional and thin-film solar, bulk material use intensity (Al, Cu, steel, concrete) is the same across all types unless explicitly stated in source.</t>
  </si>
  <si>
    <t>Will list parabolic and central tower CSP as separate estimates within a single CSP category</t>
  </si>
  <si>
    <t>Kavlak et al 2015</t>
  </si>
  <si>
    <t>Metal production requirements for rapid photovoltaics deployment</t>
  </si>
  <si>
    <t>https://pubs.rsc.org/en/content/articlelanding/2015/ee/c5ee00585j#!divAbstract</t>
  </si>
  <si>
    <t xml:space="preserve">Numbers taken from Table 2, </t>
  </si>
  <si>
    <t>c-Si</t>
  </si>
  <si>
    <t>17,62,138</t>
  </si>
  <si>
    <t>direct calculations, low/middle/high estimates</t>
  </si>
  <si>
    <t>2,4,9</t>
  </si>
  <si>
    <t>Dominish et al 2019 opted to use high values for Ga and In, medium values for Se, Cd, Te as these matched other studies well</t>
  </si>
  <si>
    <t>7,13,28</t>
  </si>
  <si>
    <t>17,41,161</t>
  </si>
  <si>
    <t>19,70,156</t>
  </si>
  <si>
    <t>638, 2882, 6629</t>
  </si>
  <si>
    <t>The Warren Centre, 2016</t>
  </si>
  <si>
    <t>The Copper Technology Roadmap 2030: Asia’s growing appetite for copper</t>
  </si>
  <si>
    <t>https://thewarrencentre.org.au/wp-content/uploads/2016/08/wc3488-1-The-Copper-Technology-Roadmap-2030.pdf</t>
  </si>
  <si>
    <t>numbers from page 65 for solar, page 67 for wind</t>
  </si>
  <si>
    <t>tons/GW (converted from tons/MW)</t>
  </si>
  <si>
    <t>Solar</t>
  </si>
  <si>
    <t>Wind</t>
  </si>
  <si>
    <t>Estimated from cumulative solar installation of 70 GW by 2011, consuming 350000 tons of Cu</t>
  </si>
  <si>
    <t>Solar - source is citing Creara Energy Expert 2015, but this appears to be a mis-cite. Estimating Infrastructure Requirements for a Near 100% Renewable Electricity Scenario in 2050 https://www.slideshare.net/sustenergy/estimating-infrastructure-requirements-for-a-near-100-renewable-electricity-scenario-in-2050</t>
  </si>
  <si>
    <t>Wind - estimated from cumulative installation of Cu in wind of 714000 tons for cumulative wind deployment of 238 GW by 2011</t>
  </si>
  <si>
    <t>Wind sources: IMF 2013: In our hands, Earth's precious resources. https://www.imf.org/external/pubs/ft/fandd/2013/09/picture.htm (Minerals of the Future, Glenn Gottselig); Global Wind Energy Council, 2016. Global Wind Statistics 2015.</t>
  </si>
  <si>
    <t xml:space="preserve">Solar sources: International Renewable Energy Agency Solar Photovoltaics Technology Brief E11 – January 2013 IEA-ETSAP and IRENA,
https://www.irena.org/DocumentDownloads/Publications/IRENA-ETSAP%20Tech%20Brief%20E11%20Solar%20PV.pdf </t>
  </si>
  <si>
    <t>Bodeker et al 2010</t>
  </si>
  <si>
    <t>Aluminium and Renewable Energy Systems - Prospects for the Sustainable Generation of Electricity and Heat</t>
  </si>
  <si>
    <t>http://www.world-aluminium.org/media/filer_public/2013/01/15/fl0000407.pdf</t>
  </si>
  <si>
    <t>numbers from Table 26 for solar PV ground, Table 49 for CSP</t>
  </si>
  <si>
    <t>Framed module</t>
  </si>
  <si>
    <t>Frameless CdTe module</t>
  </si>
  <si>
    <t>Independent estimates, cannot confirm scope includes associated infrastructure other than panels - likely not, but Al in other infra will be minimal</t>
  </si>
  <si>
    <t>using the frameless CdTe figure for all thin-film types</t>
  </si>
  <si>
    <t>Springerville, AZ 6.4 MW utility-scale solar plant</t>
  </si>
  <si>
    <t>Report notes future potential to substitute Cu for Al</t>
  </si>
  <si>
    <t>PV single Si</t>
  </si>
  <si>
    <t>PV multi Si</t>
  </si>
  <si>
    <t>PV a Si</t>
  </si>
  <si>
    <t>PV CIGS</t>
  </si>
  <si>
    <t>PV CdTe</t>
  </si>
  <si>
    <t>Cannot confirm scope includes associated infrastructure other than panels, likely not</t>
  </si>
  <si>
    <t>Cr</t>
  </si>
  <si>
    <t>Numbers differ to a fair degree from other estimates - am excluding this study</t>
  </si>
  <si>
    <t>Mo</t>
  </si>
  <si>
    <t>Pihl et al 2012</t>
  </si>
  <si>
    <t>Material constraints for concentrating solar thermal power</t>
  </si>
  <si>
    <t>https://www.sciencedirect.com/science/article/abs/pii/S036054421200374X</t>
  </si>
  <si>
    <t>Numbers from Table 3, sourced from original personal communications</t>
  </si>
  <si>
    <t>CSP trough</t>
  </si>
  <si>
    <t>CSP tower</t>
  </si>
  <si>
    <t>tons concrete:</t>
  </si>
  <si>
    <t>This is cement, not concrete. No grade given.</t>
  </si>
  <si>
    <r>
      <rPr/>
      <t xml:space="preserve">Assuming a mix of as in Flury et al 2012: </t>
    </r>
    <r>
      <rPr>
        <color rgb="FF1155CC"/>
        <u/>
      </rPr>
      <t>http://esu-services.ch/fileadmin/download/publicLCI/flury-2012-hydroelectric-power-generation.pdf</t>
    </r>
  </si>
  <si>
    <t>1 m^3 of concrete has 2000 kg gravel, 127 kg water, 230 kg cement</t>
  </si>
  <si>
    <t>Assume 1 m^3 of concrete weighs 2.4 metric tons</t>
  </si>
  <si>
    <t>Mg</t>
  </si>
  <si>
    <t>multiply cement mass by 10.4347826 for concrete mass</t>
  </si>
  <si>
    <t>tons cement:</t>
  </si>
  <si>
    <t>Iron</t>
  </si>
  <si>
    <t>seems to assume that iron is an input for steel, rather than a structural requirement... yet numbers seem off for that compared to steel</t>
  </si>
  <si>
    <t>Silicon sand</t>
  </si>
  <si>
    <t>input for glass</t>
  </si>
  <si>
    <t>2018 Månberger and Stenqvist, Global metal flows in the renewable energy transition: Exploring the effects</t>
  </si>
  <si>
    <t>https://www.sciencedirect.com/science/article/pii/S0301421518302726#ec0005</t>
  </si>
  <si>
    <t>Number for silver use in conventional PV from page 228</t>
  </si>
  <si>
    <t>Other numbers in this study cite some of the papers above</t>
  </si>
  <si>
    <t>Independent calculation based on Elshkaki and Graedel 2013 (https://www.sciencedirect.com/science/article/abs/pii/S0959652613004575) and VDMA, 2017. International Technology Roadmap for Photovoltaic (ITRPV). German Engineering Federation (VDMA), Frankfurt am Main.</t>
  </si>
  <si>
    <t>Authors arrived at a range of 10-20 t/GW assuming 20% cell efficiency and 1000 W/m2 and picked lower value.</t>
  </si>
  <si>
    <t xml:space="preserve">Jean, J., Brown, P. R., Jaffe, R. L., Buonassisi, T., &amp; Bulović, V. (2015). Pathways for solar photovoltaics. Energy &amp; Environmental Science, 8(4), 1200–1219. doi:10.1039/c4ee04073b </t>
  </si>
  <si>
    <t>https://pubs.rsc.org/en/content/articlelanding/2015/ee/c4ee04073b#!divAbstract</t>
  </si>
  <si>
    <t>Numbers from Figure 7, Figure 9, data obtained from authors via email</t>
  </si>
  <si>
    <t>t/GW</t>
  </si>
  <si>
    <t>CdTe</t>
  </si>
  <si>
    <t>c-Si (sc-Si and mc-Si)</t>
  </si>
  <si>
    <t>a-Si</t>
  </si>
  <si>
    <t>likely panels only, not plant-wide</t>
  </si>
  <si>
    <t>US NREL DOE, 2005</t>
  </si>
  <si>
    <t>https://www.nrel.gov/docs/fy05osti/37656.pdf</t>
  </si>
  <si>
    <t xml:space="preserve">Steel </t>
  </si>
  <si>
    <t>I'm assuming that these were arrived at by dividing the ranges of materials in the original DOE publication by the 4.1 TW of PV capacity installed...</t>
  </si>
  <si>
    <t>1460, 2020</t>
  </si>
  <si>
    <t>Life-Cycle Analysis Results of Geothermal Systems in Comparison to Other Power Systems</t>
  </si>
  <si>
    <t>https://www.energy.gov/sites/prod/files/2014/02/f7/lifecycle_analysis_of_geothermal_systems.pdf</t>
  </si>
  <si>
    <t>mt/MW</t>
  </si>
  <si>
    <t>Notes:</t>
  </si>
  <si>
    <t>Pacca 2002</t>
  </si>
  <si>
    <t>Mason 2006</t>
  </si>
  <si>
    <t>Phylipsen 1995</t>
  </si>
  <si>
    <t>de Wild 2005</t>
  </si>
  <si>
    <t>Authors point out that Pacca and Horvath 2002 numbers are high, while Phylipsen and de Wild do not appear to consider material inputs beyond panels</t>
  </si>
  <si>
    <t>Capacity (MW)</t>
  </si>
  <si>
    <t>mt/GW</t>
  </si>
  <si>
    <t>Mason 2006 estimate matches up well with other figure for Springerville, AZ</t>
  </si>
  <si>
    <t>https://pubs.acs.org/doi/abs/10.1021/es0155884</t>
  </si>
  <si>
    <t>https://onlinelibrary.wiley.com/doi/abs/10.1002/pip.652</t>
  </si>
  <si>
    <t>Table 2</t>
  </si>
  <si>
    <t>Energy payback and life‐cycle CO2 emissions of the BOS in an optimized 3·5 MW PV installation</t>
  </si>
  <si>
    <t>Table 1</t>
  </si>
  <si>
    <t>Frischknecht, R., Fthenakis, V., Kim, H.C., Raugei, M., Sinha, P., Stucki, M., 2015. Life Cycle Inventories and Life Cycle Assessments of Photovoltaic Systems.</t>
  </si>
  <si>
    <t>https://www.bnl.gov/pv/files/pdf/226_Task12_LifeCycle_Inventories.pdf</t>
  </si>
  <si>
    <t>page 31</t>
  </si>
  <si>
    <t>For a 1.6 sq meter c-Si PV module with a 210 Wp module power, 0.00026 kg of Ni are used.</t>
  </si>
  <si>
    <t>1 GW/ 210 W = 4761905</t>
  </si>
  <si>
    <t>4761905*0.00026=1238 kg / GW, not including associated infrastructure</t>
  </si>
  <si>
    <t>Lists no nickel usage for CdTe solar modules</t>
  </si>
  <si>
    <t xml:space="preserve">1 t Ni per GW c-Si matches numbers presented in Elshkaki, A., &amp; Graedel, T. E. (2013). Dynamic analysis of the global metals flows and stocks in electricity generation technologies. Journal of Cleaner Production, 59, 260–273. doi:10.1016/j.jclepro.2013.07.003 </t>
  </si>
  <si>
    <t>https://www.sciencedirect.com/science/article/abs/pii/S0959652613004575?via%3Dihub</t>
  </si>
  <si>
    <t>IRENA 2017</t>
  </si>
  <si>
    <t>https://www.irena.org/-/media/Files/IRENA/Agency/Publication/2017/Jun/IRENA_Leveraging_for_Solar_PV_2017.pdf</t>
  </si>
  <si>
    <t>Plastic</t>
  </si>
  <si>
    <t>Silicon</t>
  </si>
  <si>
    <t>4847, 7520 (IRENA 2017);</t>
  </si>
  <si>
    <t>Rigby P, Fillon B, Gombert A, Herrero Rueda J, Kiel E, Mellikov E, et al.
Scientific Assessment in support of the Materials Roadmap enabling Low
Carbon Energy Technologies Photovoltaic Technology 2011.</t>
  </si>
  <si>
    <t>https://publications.jrc.ec.europa.eu/repository/handle/JRC67978</t>
  </si>
  <si>
    <t>C-Si requires 66,700 tonnes of 4.0 mm glass per GWp of 15% efficient modules</t>
  </si>
  <si>
    <t>TFPV it requires 160,000 tonnes of glass per GWp</t>
  </si>
  <si>
    <t>Fthenakis et al., 2011</t>
  </si>
  <si>
    <t>should be able to calculate Si and glass</t>
  </si>
  <si>
    <t>this is based on older processes, Si probably not a good figure. Let's use Wp per m^2 values from Frischknecht et al. 2020 below, with a ballpark figure of 10 kg glass per m^2 of c-Si panel from this study, Table 5.1.6</t>
  </si>
  <si>
    <t>Wp per m^2</t>
  </si>
  <si>
    <t>Average</t>
  </si>
  <si>
    <t>R. Frischknecht, P. Stolz, L. Krebs, M. de Wild-Scholten, P. Sinha, V. Fthenakis, H. C. Kim, M. Raugei, M. Stucki, 2020, Life Cycle Inventories and Life Cycle Assessment of Photovoltaic Systems, International Energy Agency (IEA) PVPS Task 12, Report T12-19:2020.</t>
  </si>
  <si>
    <t>https://treeze.ch/fileadmin/user_upload/downloads/Publications/Case_Studies/Energy/IEA-PVPS-LCI-report-2020-20201208.pdf</t>
  </si>
  <si>
    <t>% weight Si per module</t>
  </si>
  <si>
    <t>Weight of unframed module per m^2</t>
  </si>
  <si>
    <t>tons/MW</t>
  </si>
  <si>
    <t>Mono-Si</t>
  </si>
  <si>
    <t>11 kg</t>
  </si>
  <si>
    <t>Multi-Si</t>
  </si>
  <si>
    <t>11.1 kg</t>
  </si>
  <si>
    <t>Coal</t>
  </si>
  <si>
    <t>NGCC</t>
  </si>
  <si>
    <t>Biomass</t>
  </si>
  <si>
    <t>Coal+CCS</t>
  </si>
  <si>
    <t>NGCC+CCS</t>
  </si>
  <si>
    <t>Biomass+CCS</t>
  </si>
  <si>
    <t>0 (White and Kulcinski 1998);</t>
  </si>
  <si>
    <t>624 (Tahara et al 1997); 419 (Spath et al 1999); 255 (White and Kulcinski 1998); 281 (El-Bassioni 1980);</t>
  </si>
  <si>
    <t>230 (Tahara et al 1997); 204 (Spath and Mann 2000);</t>
  </si>
  <si>
    <t>1300 (Sullivan et al 2010);</t>
  </si>
  <si>
    <t>0 (El-Bassioni 1980);</t>
  </si>
  <si>
    <t>178320 (Tahara et al 1997); 158758 (Spath et al 1999); 74257 (White and Kulcinski 1998); 77793, 112485 (El-Bassioni 1980); 102517 (Albers et al 1976);</t>
  </si>
  <si>
    <t>71270 (Tahara et al 1997); 97749 (Spath and Mann 2000);</t>
  </si>
  <si>
    <t>159000 (Sullivan et al 2010);</t>
  </si>
  <si>
    <t>272830 (Tahara et al 1997), 242900 (Spath et al 1999); 113613 (White and Kulcinski 1998); 118105, 172102 (El-Bassioni 1980); 156851 (Albers et al 1976);</t>
  </si>
  <si>
    <t>109043 (Tahara et al 1997); 149556 (Spath and Mann 2000);</t>
  </si>
  <si>
    <t>243270 (Sullivan et al 2010);</t>
  </si>
  <si>
    <t>454 (White and Kulcinski 1998); 500, 538 (El-Bassioni 1980); 471 (Albers et al 1976);</t>
  </si>
  <si>
    <t>454, 500, 538, 471</t>
  </si>
  <si>
    <t>545 (White and Kulcinski 1998); 600, 645 (El-Bassioni 1980); 565 (Albers et al 1976);</t>
  </si>
  <si>
    <t>545, 600, 645, 565</t>
  </si>
  <si>
    <t>112 (White and Kulcinski 1998); 124 (El-Bassioni 1980); 199 (Albers et al 1976);</t>
  </si>
  <si>
    <t>112, 124, 199</t>
  </si>
  <si>
    <t>10 (White and Kulcinski 1998); 11 (El-Bassioni 1980); 8 (Albers et al 1976);</t>
  </si>
  <si>
    <t>10, 11, or 8</t>
  </si>
  <si>
    <t>62200 (Tahara et al 1997); 51340 (Spath et al 1999); 44425 (El-Bassioni 1980);</t>
  </si>
  <si>
    <t>51130 (Tahara et al 1997); 31030 (Spath and Mann 2000);</t>
  </si>
  <si>
    <t>52000 (Sullivan et al 2010);</t>
  </si>
  <si>
    <t>95166 (Tahara et al 1997); 78550 (Spath et al 1999); 61648 (White and Kulcinski); 67695 (El-Bassioni 1980);</t>
  </si>
  <si>
    <t>78229 (Tahara et al 1997); 47476 (Spath and Mann 2000);</t>
  </si>
  <si>
    <t>79560 (Sullivan et al 2010);</t>
  </si>
  <si>
    <t>18389, 28531 (Tahara et al 1997); 16372, 25401 (Spath et al 1999); 7658, 11881 (White and Kulcinski 1998); 4668, 6749, 11315, 16361 (El-Bassioni 1980); 10572, 16403 (Albers et al 1976)</t>
  </si>
  <si>
    <t>7350, 11403 (Tahara et al 1997); 10080, 15640 (Spath + Mann 2000)</t>
  </si>
  <si>
    <t>16397, 25440 (Sullivan et al 2010)</t>
  </si>
  <si>
    <t>28135, 43653 (Tahara et al 1997); 25049, 38864 (Spath et al 1999); 11716, 18178 (White and Kulcinski 1998); 7141, 10326, 17313, 25033 (El-Bassioni 1980); 16175, 25096 (Albers et al 1976)</t>
  </si>
  <si>
    <t>8067, 17447 (Tahara et al 1997); 15423, 23929 (Spath + Mann 2000)</t>
  </si>
  <si>
    <t>25087, 38923 (Sullivan et al 2010);</t>
  </si>
  <si>
    <t>Cu, Mn, Ni currently using numbers from coal</t>
  </si>
  <si>
    <t>based on similarity to coal in scale and design, using numbers for coal where no independent sources available</t>
  </si>
  <si>
    <t>using Singh et al 2015 increase factor for Steel, concrete (same as steel) and Cu, assuming identical inputs as coal for all other materials</t>
  </si>
  <si>
    <t>for biomass thermal: based on similarity to coal in scale and design, using numbers for coal where no independent sources available</t>
  </si>
  <si>
    <t>for natural gas: for Cu, Mn, Ni am currently using numbers from coal</t>
  </si>
  <si>
    <t>for CCS: am using Singh et al 2015 derived multiplicative factor for Steel, concrete (same as steel) and Cu, assuming identical inputs as coal for all other materials</t>
  </si>
  <si>
    <t>(38) Singh, B.; Bouman, E. A.; Strømman, A. H.; Hertwich, E. G. Material use for electricity generation with carbon dioxide capture and storage: Extending life cycle analysis indices for material accounting. Resour. Conserv. Recycl. 2015, 100, 49–57.</t>
  </si>
  <si>
    <t>https://www.sciencedirect.com/science/article/abs/pii/S0921344915000555</t>
  </si>
  <si>
    <t>considering a 600MW hard coal plant with Monoethanolamine (MEA) CO2 capture, hypothetically in western Europe</t>
  </si>
  <si>
    <t>Numbers from tables 2 and 3</t>
  </si>
  <si>
    <t>kg/kWh</t>
  </si>
  <si>
    <t>Conventional coal</t>
  </si>
  <si>
    <t>Conventional coal _ CCS</t>
  </si>
  <si>
    <t>kg, total lifetime</t>
  </si>
  <si>
    <t>Study assumptions: 25 year lifetime, 8000 full load hours per year, 42% efficiency without CCS, 41% efficiency with CCS</t>
  </si>
  <si>
    <t xml:space="preserve">8000 hours/year is an unusually high capacity factor - will use </t>
  </si>
  <si>
    <t>600MW is 600000 kW</t>
  </si>
  <si>
    <t>Power production per year assuming 57% capacity factor (kWh)</t>
  </si>
  <si>
    <t>Increase with CCS</t>
  </si>
  <si>
    <t>Power production over 25 year lifetime (kWh)</t>
  </si>
  <si>
    <t>am using increase factor associated with CCS infrastructure, but not derived numbers</t>
  </si>
  <si>
    <t>Power production over 25 year lifetime (GWh)</t>
  </si>
  <si>
    <t>Could assume 50% increase in steel usage, 20% increase in copper usage for all CCS?</t>
  </si>
  <si>
    <t>Tahara et al 1997, cited in Pacca and Horvath 2002, cited in Sullivan et al 2010</t>
  </si>
  <si>
    <t>EVALUATION OF CO2 PAYBACK TIME OF POWER PLANTS BY LCA</t>
  </si>
  <si>
    <t>NG-CC</t>
  </si>
  <si>
    <t>With CCS, based on Singh increase factor</t>
  </si>
  <si>
    <t>https://www.sciencedirect.com/science/article/abs/pii/S0196890497000058</t>
  </si>
  <si>
    <t>Cannot locate, but source cited is UCHIYAMA, Y., YAMAMOTO, H., Energy Analysis on Power Generation Plants, CRIEPIEconomic Research Center, Rep. No. Y90015 (1991)</t>
  </si>
  <si>
    <t>1000 MW</t>
  </si>
  <si>
    <t>Sullivan et al 2010</t>
  </si>
  <si>
    <t>"We were unable to find any life cycle assessment studies of conventional biomass power plants that included plant infrastructure data. One study addressed a biomass gasification-to-electricity plant (Mann and Spath 1997); however, as no such facility is in operation at this time, it is not included herein. Instead, we have combined results of two studies to represent a conventional thermoelectric biomass-to-electricity plant. Because biomassto-electricity plants are thermoelectric systems, we employ coal plant data (Spath et al. 1999) for the material requirements as a suitable surrogate representation. Having based our material requirements on large coal plants, we recognize that our estimated MPRs for the biomass plant with a comparatively low power capacity may be underestimated somewhat, as larger plants need less material per MW output than do smaller ones. For the purposes of this study, we believe this approach provides a reasonable approximation. For the material composition needs of the additional equipment used for biomass preparation, material data from Heller et al. (2004) were used. MPRs are given in Table 2c. Henceforth, our modeled biomass direct-fired boiler power system is denoted Biomass-88, for an 88-MW plant."</t>
  </si>
  <si>
    <t>Steel+iron</t>
  </si>
  <si>
    <t>Biomass-88</t>
  </si>
  <si>
    <t>Biomass w CCS based on Singh et al 2015 factors</t>
  </si>
  <si>
    <t>independent estimate based partially on Spath et al 1999, see note above</t>
  </si>
  <si>
    <t>Spath, P.L., M.K. Mann, and D.R. Kerr, 1999, ―Life Cycle Assessment of Coal-Fired Power Production,‖ NREL/TP-570-25119.</t>
  </si>
  <si>
    <t>https://www.nrel.gov/docs/fy99osti/25119.pdf</t>
  </si>
  <si>
    <t>Table 18, cites DynCorp, 1995, Meridian 1989, 360MW plant</t>
  </si>
  <si>
    <t>tons/GW or kg/MW capacity</t>
  </si>
  <si>
    <t>Sensitivity (Table 42)</t>
  </si>
  <si>
    <t>DynCorp EENSP, Inc. (1995). Assessment of the Environmental Benefits of Renewables Deployment: A Total Fuel Cycle Analysis of the Greenhouse Gas Impacts of Renewable Generation Technologies in Regional Utility Systems. Prepared for the National Renewable Energy Laboratory, contract no. DE-AC02-83CH10093, May.</t>
  </si>
  <si>
    <t>CANNOT FIND</t>
  </si>
  <si>
    <t>Meridian Corporation. (1989). Energy System Emissions and Material Requirements, for the U.S. Department of Energy, Deputy Assistant Secretary for Renewable Energy, Washington, D.C., February.</t>
  </si>
  <si>
    <t xml:space="preserve">White, S.W., and G.L. Kulcinski, 1998a, ―Birth to Death Analysis of the Energy Payback Ratio and CO2 Gas Emission Rates From Coal, Fission, Wind and DT Fusion Electrical Power Plants,‖ UWFDM-1063. </t>
  </si>
  <si>
    <t>https://www.sciencedirect.com/science/article/abs/pii/S0920379600001587</t>
  </si>
  <si>
    <t>Table 4, citing reference 11 for coal, reference 12 for fission</t>
  </si>
  <si>
    <t>Fission</t>
  </si>
  <si>
    <t>carbon/low alloy + stainless steel</t>
  </si>
  <si>
    <t>ref 11:</t>
  </si>
  <si>
    <t>A.A. El-Bassioni, A methodology and a preliminary data base for examining the health risks of electricity generation from uranium and coal fuels, Oak Ridge National Laboratory, NUREG/CR-1539, August (1980).</t>
  </si>
  <si>
    <t>ref 12:</t>
  </si>
  <si>
    <t>R.H. Bryan, I.T. Dudley, Estimated quantities of materials contained in a 1000 MW(e) PWR Power Plant, Oak Ridge National Laboratory, TM-4515, June (1974).</t>
  </si>
  <si>
    <t>Spath, P.L., and M.K. Mann, 2000, ―Life Cycle Assessment of a Natural Gas Combined-Cycle Power Generation System,‖ NREL/TP-570-27715.</t>
  </si>
  <si>
    <t>https://www.nrel.gov/docs/fy00osti/27715.pdf</t>
  </si>
  <si>
    <t>Table 2, citing DynCorp 1995</t>
  </si>
  <si>
    <t>NG-CC, CCS using Singh et al 2015 factors</t>
  </si>
  <si>
    <t>(9) Moss, R. L.; Tzimas, E.; Willis, P.; Arendorf, J.; Thompson, P.; Chapman, A.; Morley, N.; Sims, E.; Bryson, R.; Peason, J. Critical metals in the path towards the decarbonisation of the EU energy sector. Assessing rare metals as supply-chain bottlenecks in low-carbon energy technologies. JRC Report EUR. 2013.</t>
  </si>
  <si>
    <t>https://setis.ec.europa.eu/sites/default/files/reports/CriticalMetalsinStrategicEnergyTechnologies-def.pdf</t>
  </si>
  <si>
    <t>kg/MW</t>
  </si>
  <si>
    <t>CCS</t>
  </si>
  <si>
    <t>mostly independent estimates based on similar infrastructure</t>
  </si>
  <si>
    <t>https://www.osti.gov/servlets/purl/5100383</t>
  </si>
  <si>
    <t>Coal, CCS</t>
  </si>
  <si>
    <t>Table 4.21</t>
  </si>
  <si>
    <t>Coal, 800 MWe</t>
  </si>
  <si>
    <t>Coal, tons/GW</t>
  </si>
  <si>
    <t>low, using Singh et al 2015 factors</t>
  </si>
  <si>
    <t>high, using Singh et al 2015 factors</t>
  </si>
  <si>
    <t>"lncludes material to manufacture major equipment items."</t>
  </si>
  <si>
    <t>Conversion to tons of cement</t>
  </si>
  <si>
    <t>400-430 (c)</t>
  </si>
  <si>
    <t>(b)Federal Energy Administration, 11 Project Independence Blue Print Final Task Force Report: Facilities, 11 November 1974.</t>
  </si>
  <si>
    <t>500 to 537.5</t>
  </si>
  <si>
    <t>Coal, low</t>
  </si>
  <si>
    <t>Coal, high</t>
  </si>
  <si>
    <t>Coal w CCS low, using Singh et al 2015 factors</t>
  </si>
  <si>
    <t>Coal w CCS high, using Singh et al 2015 factors</t>
  </si>
  <si>
    <t>Concrete (CUBIC YARDS)</t>
  </si>
  <si>
    <t>37000 (d)-53500</t>
  </si>
  <si>
    <t>https://www.osti.gov/servlets/purl/7269803</t>
  </si>
  <si>
    <t>Concrete, metric tons (assuming 2.75 metric tons/m^3</t>
  </si>
  <si>
    <t>77793 to 112485</t>
  </si>
  <si>
    <t>kg of cement, assuming cement content of 165 g/m^3</t>
  </si>
  <si>
    <t>Steel+steel pipe &amp; tube+stainless steel+steel forgings</t>
  </si>
  <si>
    <t>Concrete, cubic meters</t>
  </si>
  <si>
    <t>kg of cement, assuming cement content of 400 g/m^3</t>
  </si>
  <si>
    <t>using original figures for concrete volume, in cubic meters</t>
  </si>
  <si>
    <t>(c)J.P. Albers et al., "Demand for Non-fuel Minerals and Materials by U.S. Energy Industry 1975-1990," Geological Survey, U.S. Department of the Interior, 1976.</t>
  </si>
  <si>
    <t>(d)Tennessee Valley Authority, "The Bull Run Steam Plant," .Technical Report 38, 1967.</t>
  </si>
  <si>
    <t>J.P. Albers et al., "Demand for Non-fuel Minerals and Materials by U.S. Energy Industry 1975-1990," Geological Survey, U.S. Department of the Interior, 1976.</t>
  </si>
  <si>
    <t>https://pubs.er.usgs.gov/publication/pp1006AB</t>
  </si>
  <si>
    <t>Table 13, column A, 900 MWe steam turbine fossil fuel (coal?) plant</t>
  </si>
  <si>
    <t>Coal w CCS using Singh et al 2015 factors</t>
  </si>
  <si>
    <t>metric tons</t>
  </si>
  <si>
    <t>using Singh et al 2015 factors</t>
  </si>
  <si>
    <t>Nuclear</t>
  </si>
  <si>
    <t>1 (Bryan + Dudley 1974); 1 (El-Bassioni 1980); 1 (USNRC, 1977);</t>
  </si>
  <si>
    <t>18 (Bryan + Dudley 1974); 54, 45 (El-Bassioni 1980); 33 (USNRC, 1977);</t>
  </si>
  <si>
    <t>0 (USNRC, 1977);</t>
  </si>
  <si>
    <t>381200, 351481 (Peterson et al 2005); 179684 (Bryan + Dudley 1974); 190000 (El-Bassioni 1980);</t>
  </si>
  <si>
    <t>1345 (Fizaine + Court 2015); 726 (Bryan + Dudley 1974); 907, 2000 (El-Bassioni 1980); 1481 (USNRC, 1977);</t>
  </si>
  <si>
    <t>467 (Bryan + Dudley 1974); 209, 400 (El-Bassioni 1980); 296 (USNRC, 1977);</t>
  </si>
  <si>
    <t>300 (Fizaine + Court 2015); 484 (Bryan + Dudley 1974); 49, 100 (El-Bassioni 1980); 74 (USNRC, 1977);</t>
  </si>
  <si>
    <t>44821, 43206 (Peterson et al 2005); 36068 (Bryan + Dudley 1974); 10000 (El-Bassioni 1980); 7407 (USNRC, 1977); 50400 (Andreades et al 2014)</t>
  </si>
  <si>
    <t>22872, 55447, 21089, 51125 (Peterson et al 2005); 30133 (Bryan + Dudley 1974); 19600, 30400 (El-Bassioni 1980); 39590, 61424 (Andreades et al 2014)</t>
  </si>
  <si>
    <t>Per Peterson et al (2005):</t>
  </si>
  <si>
    <t>Metal And Concrete Inputs For Several Nuclear Power Plants</t>
  </si>
  <si>
    <t>https://pdfs.semanticscholar.org/519e/a5c55a312f3f45ccfcc4a093a941366c6658.pdf</t>
  </si>
  <si>
    <t>1380 MWe ABWR in Table 3, 1500 MWe ESBWR in Table 4, 1600 MWe EPR in Table 5, 286 MW GR-MHR in Table 6, 1235 MW AHTR-IT in Table 7</t>
  </si>
  <si>
    <t>1380 MWe ABWR</t>
  </si>
  <si>
    <t>1500 MWe ESBWR</t>
  </si>
  <si>
    <t>1600 MWe EPR</t>
  </si>
  <si>
    <t>286 MWe GT-MHR</t>
  </si>
  <si>
    <t>1235 MW AHTR-IT</t>
  </si>
  <si>
    <t>Cement (tons/GW)</t>
  </si>
  <si>
    <t>"The 1970’s PWR non-structural steel mass was scaled to estimate the EPR equipment steel mass, using the same scaling factor defined earlier. A similar procedure is used to estimate the ABWR and ESBWR non-rebar steel, but with modifications made to incorporate BWR differences, including removing the steam generator account, directly calculating the mass of the larger BWR reactor pressure vessel, and accommodating the ESBWR’s passive safeguard system. For the GT-MHR and AHTR, reactor equipment inputs are calculated according to the design documents [6, 8]. For the PBMR, nuclear equipment inputs are scaled from GT-MHR according to power output."</t>
  </si>
  <si>
    <t>Total metal</t>
  </si>
  <si>
    <t>"For steel masses, estimates of structural steel quantities are not as accurate as the concrete volume
estimates for the corresponding structure, due to the uncertainty in the rebar mass fraction in reinforced
concrete. Also, while the scaled data used to compute steel quantities used in plant equipment provide a
useful figure, they are not as accurate as a detailed evaluation of the steel input for separate systems
would be. "</t>
  </si>
  <si>
    <t>Concrete, metric tons (assuming 2.75 metric tons/m^3)</t>
  </si>
  <si>
    <t>Essentially, these are scaled estimates using Bryan and Dudley 1974 and United Engineers and Constructors Inc "Pressurized Water Reactor Plant" (the latter of which Bryan and Dudley 1974 used)</t>
  </si>
  <si>
    <t>Steel and iron, metric tons as a fraction of total metal, assuming 97.5%</t>
  </si>
  <si>
    <t>Treating these as valid estimates, as they reflect different reactor types in service</t>
  </si>
  <si>
    <t>Concrete, tons/GW</t>
  </si>
  <si>
    <t>Steel, tons/GW</t>
  </si>
  <si>
    <t>Operational</t>
  </si>
  <si>
    <t>Not yet built</t>
  </si>
  <si>
    <t>in development</t>
  </si>
  <si>
    <t>From Results and discussion:</t>
  </si>
  <si>
    <t>Steel (MT/MWe)</t>
  </si>
  <si>
    <t>Concrete (m^3/MWe)</t>
  </si>
  <si>
    <t>Based on tables:</t>
  </si>
  <si>
    <t>Nuclear power (PWR)</t>
  </si>
  <si>
    <t>https://inis.iaea.org/collection/NCLCollectionStore/_Public/05/148/5148861.pdf</t>
  </si>
  <si>
    <t>Cites reference 1 for many cases, for others equipment catalogs, personal communications, technical journals consulted</t>
  </si>
  <si>
    <t>Typical 1000 MW PWR, Table 1 - composite materials</t>
  </si>
  <si>
    <t>Carbon steel + stainless steel + galvanized iron</t>
  </si>
  <si>
    <t>Concrete - CUBIC YARDS</t>
  </si>
  <si>
    <t>179681.06 metric tons according to Appendix B</t>
  </si>
  <si>
    <t>&lt;1</t>
  </si>
  <si>
    <r>
      <rPr>
        <rFont val="Arial"/>
        <color rgb="FF000000"/>
        <sz val="12.0"/>
      </rPr>
      <t xml:space="preserve">metric </t>
    </r>
    <r>
      <rPr>
        <rFont val="Arial"/>
        <color rgb="FF1155CC"/>
        <sz val="12.0"/>
        <u/>
      </rPr>
      <t>tons.GW</t>
    </r>
  </si>
  <si>
    <t>Typical 1000 MW PWR, Table 2 - basic constituent materials</t>
  </si>
  <si>
    <t>Assumed constituents in Appendix C</t>
  </si>
  <si>
    <t>tons of cement / GW</t>
  </si>
  <si>
    <t>Concrete: Cement 16.77, coarse aggregate 50.29, fine aggregate 25.52 by weight %</t>
  </si>
  <si>
    <t>1. United Engineers and Constructors Inc., "Pressurized Water Reactor Plant," 1000-MWe Central Station Power Plants Investment Cost Study, Vol.1, USAEC Report WASH-1230 (Vol. I), June 1972.</t>
  </si>
  <si>
    <t>https://books.google.com/books/about/Pressurized_Water_Reactor_Plant.html?id=dzFIAQAAMAAJ</t>
  </si>
  <si>
    <t>probably derived from Estimate of Cost</t>
  </si>
  <si>
    <t>breakdown by system in Appendix B</t>
  </si>
  <si>
    <t>Table 4 and Table A11 for nuclear, Table 8 and Appendix A.2.5 for CCS</t>
  </si>
  <si>
    <t>Reactors to be built in Europe were assumed to be either Westinghouse AP1000 or Areva EPR designs. Therefore wherever possible, material inventories were obtained from documents concerning these designs: www.areva.com, www.ukap1000application.com</t>
  </si>
  <si>
    <t>Solar bakes in an assumed mix, wind bakes in an assumed mix, neither includes associated infrastructure</t>
  </si>
  <si>
    <t>tons/MWe</t>
  </si>
  <si>
    <t>tons/GWe</t>
  </si>
  <si>
    <t>Trojan plant, may not include all infrastruxture</t>
  </si>
  <si>
    <t>low</t>
  </si>
  <si>
    <t>AP1000, in control rods</t>
  </si>
  <si>
    <t>AP1000</t>
  </si>
  <si>
    <t>Table 3.59:</t>
  </si>
  <si>
    <t>metric tons for a 1000 MW plant</t>
  </si>
  <si>
    <t>PWR</t>
  </si>
  <si>
    <t>BWR</t>
  </si>
  <si>
    <t>1000 MWe Model LWR (based on a 2:1 ratio of PWR to BWR requirements, for a range of values the average was utilized. Values rounded, represent a 30 year lifetime of the plant)</t>
  </si>
  <si>
    <t>BWR (c)</t>
  </si>
  <si>
    <t>BWR (d)</t>
  </si>
  <si>
    <t>18-45 (a,f)</t>
  </si>
  <si>
    <t>45-54 (d,c)</t>
  </si>
  <si>
    <t>Am using numbers for BWR columns only, treating ranges of values as two separate estimates</t>
  </si>
  <si>
    <t>&lt;1 (a,f)</t>
  </si>
  <si>
    <t>&lt;1 (d)</t>
  </si>
  <si>
    <t>1.9e5 (c)</t>
  </si>
  <si>
    <t>1.8et</t>
  </si>
  <si>
    <t>726-2000 (a,f)</t>
  </si>
  <si>
    <t>907-2000 (c,d)</t>
  </si>
  <si>
    <t>400-467 (f,a)</t>
  </si>
  <si>
    <t>209-400 (c,d)</t>
  </si>
  <si>
    <t>100-484 (f,a)</t>
  </si>
  <si>
    <t>49-100 (c,d)</t>
  </si>
  <si>
    <t>&lt;1 (f,a)</t>
  </si>
  <si>
    <t>1 (d)</t>
  </si>
  <si>
    <t>1-5.4e5 (f,g)</t>
  </si>
  <si>
    <t>1.0e4 (d)</t>
  </si>
  <si>
    <t xml:space="preserve">(a)R. H. Bryan and I. T. Dudley, 11 Estimated Quantities of Materials
Contained in a1000-MWe PWR Power Plant, 11 ORNL-TM-4515, June 1974. </t>
  </si>
  <si>
    <t>only using BWR numbers, since PWR numbers are from Bryan and Dudley which is already included</t>
  </si>
  <si>
    <t>CANNOT FIND ONLINE - (b)Federal Energy Administration, 11 P~oject Independence Blueprint.Task · . Force Report/Nuclear Energy, 11 Final Task Force Report, 1974.</t>
  </si>
  <si>
    <t xml:space="preserve">(c)J. P. Albers, et al., 11 Demand and.Supply of Non-Fuel Minerals and
Materials for the United States Energy Industry, 1975-90, 11 USGS
Professional Paper 1006-~, 1976. </t>
  </si>
  <si>
    <t>(d)u.s. Nuclear Regulatory Commission, 11 Phipps Bend Nuclear Plant Units 1 and 2, Proposed by the Tennessee Valley Authority, 11 Final Environmental Statement, NUREG-0168, February 1977.</t>
  </si>
  <si>
    <t>(f)U.S. Nu~lear Regulatory Commission, 11Yellow Creek Nuclear Plant Units 1 and 2, Proposed by the Tennessee Valley Authority, 11 Final Environmental Statement, November 1977.</t>
  </si>
  <si>
    <t>g)U. S. Department of Energy, 11Technology for Commercial Radioactive Waste Management, II DOE/ET-0028, vo·l. 1, May 1979 ..</t>
  </si>
  <si>
    <t>U.S. Nuclear Regulatory Commission, Yellow Creek Nuclear Plant Units 1 and 2, Proposed by the Tennessee Valley Authority, Final Environmental Statement, November 1977.</t>
  </si>
  <si>
    <t>https://catalog.hathitrust.org/Record/101828841</t>
  </si>
  <si>
    <t>page 220, section 10.3.3, assembled from "various sources" for a two-unit plant with same power rating as Yellow Creek</t>
  </si>
  <si>
    <t>PWR, ~2700 MWe</t>
  </si>
  <si>
    <t>tons/GW (rounded to nearest integer)</t>
  </si>
  <si>
    <t>seems low</t>
  </si>
  <si>
    <t>CANNOT FIND ONLINE - U.S. Nuclear Regulatory Commission, Phipps Bend Nuclear Plant Units 1 and 2, Proposed by the Tennessee Valley Authority, Final Environmental Statement, NUREG-0168, February 1977</t>
  </si>
  <si>
    <t>J. P. Albers et al., Demand and Supply of Non-Fuel Minerals and Materials for the United States Energy Industry, 1975-90, USGS Professional Paper 1006, 1976.</t>
  </si>
  <si>
    <t>Table 24</t>
  </si>
  <si>
    <t>metric tons for a plant of 1000 MWe capacity</t>
  </si>
  <si>
    <t>Adapted from Bryan and Dudley 1974, p5</t>
  </si>
  <si>
    <t>US DOE Quadrennial Energy Tech Review, 2015</t>
  </si>
  <si>
    <t>https://www.energy.gov/sites/prod/files/2017/03/f34/qtr-2015-chapter10.pdf</t>
  </si>
  <si>
    <t>Table 10.4</t>
  </si>
  <si>
    <t>Inputs per power delivered (tonnes material/TWh)</t>
  </si>
  <si>
    <t>Nuclear PWR</t>
  </si>
  <si>
    <t>Excluding from consideration, as exact source is unclear and use of these numbers requires guessing the DOE's implicit lifetime and capacity assumptions</t>
  </si>
  <si>
    <t xml:space="preserve">cite source 52: Ibid, where source 51 is Argonne National Laboratory. “GREET 2 2014.” 2014. Available at: https://greet.es.anl.gov. </t>
  </si>
  <si>
    <t>Technical Description of the “Mark 1” Pebble-Bed Fluoride-Salt-Cooled High-Temperature Reactor (PB-FHR) Power Plant</t>
  </si>
  <si>
    <t>Andreades et al</t>
  </si>
  <si>
    <t>converted from 1000 kg/MWe to tons/GWe</t>
  </si>
  <si>
    <t>Mk 1 PB-FHR (100 MWe), scaled to 1GW</t>
  </si>
  <si>
    <t>Carbon steel + High alloy and stainless steel</t>
  </si>
  <si>
    <t>Mk 1 PB-FHR (100 MWe)</t>
  </si>
  <si>
    <t>Storage</t>
  </si>
  <si>
    <t>ROR</t>
  </si>
  <si>
    <t>52 (Pacca + Horvath 2002);</t>
  </si>
  <si>
    <t>10533000 (Flury + Frischknecht 2012); 7644000 (Pacca  + Horvath 2002); 552000 (Hondo 2005); 6680000 (Rule 2009);</t>
  </si>
  <si>
    <t>5766000 (Flury + Frischknecht 2012);</t>
  </si>
  <si>
    <t>1500 (Fizaine + Court 2015);</t>
  </si>
  <si>
    <t>2970 (Flury + Frischknecht 2012); 1502 (Rule 2009); 1050 (Fizaine + Court 2015)</t>
  </si>
  <si>
    <t>2970 (Flury + Frischknecht 2012);</t>
  </si>
  <si>
    <t>250 (Fizaine + Court 2015);</t>
  </si>
  <si>
    <t>78000 (Flury + Frischknecht 2012); 24800 (Pacca  + Horvath 2002); 54500 (Rule 2009);</t>
  </si>
  <si>
    <t>177000 (Flury + Frischknecht 2012);</t>
  </si>
  <si>
    <t>1086216, 1685280, 594619, 922560 Flury + Frischknecht 2012; 788288, 1223040 (Pacca + Horvath 2002); 688875, 1068800 (Rule 2009)</t>
  </si>
  <si>
    <t>Flury + Frischknecht 2012</t>
  </si>
  <si>
    <t>Intensity [ton/GW]</t>
  </si>
  <si>
    <t>in g/kWh</t>
  </si>
  <si>
    <t>kWh/GWh</t>
  </si>
  <si>
    <t>http://esu-services.ch/fileadmin/download/publicLCI/flury-2012-hydroelectric-power-generation.pdf</t>
  </si>
  <si>
    <t>Storage Power Station</t>
  </si>
  <si>
    <t>Run of River</t>
  </si>
  <si>
    <t xml:space="preserve">Material </t>
  </si>
  <si>
    <t>Run of River (RoR)</t>
  </si>
  <si>
    <t>Storaged</t>
  </si>
  <si>
    <t>ton/g</t>
  </si>
  <si>
    <t>Assumed Life</t>
  </si>
  <si>
    <t>150 years</t>
  </si>
  <si>
    <t>Assumed plant size</t>
  </si>
  <si>
    <t>95 MW</t>
  </si>
  <si>
    <t>Copper (Cu)</t>
  </si>
  <si>
    <t xml:space="preserve">Assumed production </t>
  </si>
  <si>
    <t>190GWh/year</t>
  </si>
  <si>
    <t>Hondo 2005</t>
  </si>
  <si>
    <t>Rule 2009</t>
  </si>
  <si>
    <t>n/a</t>
  </si>
  <si>
    <t>69 (seems very low)</t>
  </si>
  <si>
    <t>seems quite low, omitting these</t>
  </si>
  <si>
    <t>Hydro</t>
  </si>
  <si>
    <t>Three gorges dam (sanity check, not included in study)</t>
  </si>
  <si>
    <t>Concrete (kg)</t>
  </si>
  <si>
    <t>27.2 million m3 concrete</t>
  </si>
  <si>
    <t xml:space="preserve"> 463,000 tons steel</t>
  </si>
  <si>
    <t>https://www.britannica.com/topic/Three-Gorges-Dam</t>
  </si>
  <si>
    <t>Three Gorges Dam is 22.5 GW</t>
  </si>
  <si>
    <t>http://www.china-embassy.org/eng/zt/sxgc/t36512.htm</t>
  </si>
  <si>
    <t>Steel (tons/GW)</t>
  </si>
  <si>
    <t>Hydrothermal_flash</t>
  </si>
  <si>
    <t>Hydrothermal_binary</t>
  </si>
  <si>
    <t>EGS</t>
  </si>
  <si>
    <t>0 (Sullivan et al 2010); 2386 (Karlsdottir et al 2015); 10198 (Tosti et al 2020);1447.6 (Basosi et al 2020);</t>
  </si>
  <si>
    <t>1600 (Sullivan et al 2010);</t>
  </si>
  <si>
    <t>45200, 42600 (Sullivan et al 2010); 9729 (Pratiwi et al 2018);</t>
  </si>
  <si>
    <t>Asphalt</t>
  </si>
  <si>
    <t>38338.0 (Karlsdottir et al 2015);</t>
  </si>
  <si>
    <t>348108 (Pratiwi et al 2018);</t>
  </si>
  <si>
    <t>Bentonite</t>
  </si>
  <si>
    <t>77000 (Sullivan et al 2010); 35504 (Tosti et al 2020);48146.2 (Basosi et al 2020);</t>
  </si>
  <si>
    <t>34000 (Sullivan et al 2010);</t>
  </si>
  <si>
    <t>283000, 282000 (Sullivan et al 2010); 27297 (Pratiwi et al 2018)</t>
  </si>
  <si>
    <t>232000 (Sullivan et al 2010); 76061 (Karlsdottir et al 2015); 311984 (Tosti et al 2020);271666 (Basosi et al 2020);</t>
  </si>
  <si>
    <t>87400 (Sullivan et al 2010);</t>
  </si>
  <si>
    <t>988000, 987000 (Sullivan et al 2010); 196486 (Pratiwi et al 2018);</t>
  </si>
  <si>
    <t>459000 (Sullivan et al 2010);</t>
  </si>
  <si>
    <t>460000, 460000 (Sullivan et al 2010);</t>
  </si>
  <si>
    <t>597.4 (Karlsdottir et al 2015); 18885 (Tosti et al 2020);2517.5 (Basosi et al 2020);</t>
  </si>
  <si>
    <t>Fe</t>
  </si>
  <si>
    <t>1600 (Sullivan et al 2010); 1298.5 (Basosi et al 2020);</t>
  </si>
  <si>
    <t>4280 (Sullivan et al 2010);</t>
  </si>
  <si>
    <t>3900, 2800 (Sullivan et al 2010);</t>
  </si>
  <si>
    <t>Glass Fiber Reinforced Plastic</t>
  </si>
  <si>
    <t>2149.2 (Karlsdottir et al 2015);</t>
  </si>
  <si>
    <t>Mineral wool</t>
  </si>
  <si>
    <t>7602.6 (Karlsdottir et al 2015);</t>
  </si>
  <si>
    <t>732.8 (Karlsdottir et al 2015); 313  (Tosti et al 2020);38610.75 (Basosi et al 2020);</t>
  </si>
  <si>
    <t>1548 (Tosti et al 2020);</t>
  </si>
  <si>
    <t>Stainless Steel</t>
  </si>
  <si>
    <t>3914.5  (Karlsdottir et al 2015);</t>
  </si>
  <si>
    <t>295000 (Sullivan et al 2010); 136433+3914.5=140347.5 (Karlsdottir et al 2015); 124933 (Tosti et al 2020); 147420 (Basosi et al 2020);</t>
  </si>
  <si>
    <t>356000 (Sullivan et al 2010);</t>
  </si>
  <si>
    <t>1206000, 1175000 (Sullivan et al 2010); 912972 (Pratiwi et al 2018);</t>
  </si>
  <si>
    <t>Conventional Geothermal Flash</t>
  </si>
  <si>
    <t>***SINGLE PLANT***</t>
  </si>
  <si>
    <t>303.3 MWe+133MWth plant</t>
  </si>
  <si>
    <t>30 year life</t>
  </si>
  <si>
    <t>87% CF</t>
  </si>
  <si>
    <t>349.5 million MJ</t>
  </si>
  <si>
    <t>https://link.springer.com/article/10.1007/s11367-014-0842-y</t>
  </si>
  <si>
    <t>Elec (g/kWh)</t>
  </si>
  <si>
    <t>Thermal (g/MJ)</t>
  </si>
  <si>
    <t>Total Material demand from Elec (tons)</t>
  </si>
  <si>
    <t>Total Material demand from Heat (tons)</t>
  </si>
  <si>
    <t>Lifetime Elec (kWh)</t>
  </si>
  <si>
    <t>Portland Cement</t>
  </si>
  <si>
    <t>Lifetime Heat (MJ)</t>
  </si>
  <si>
    <t>91441 kj/s</t>
  </si>
  <si>
    <t xml:space="preserve">Aluminum </t>
  </si>
  <si>
    <t>Hydrothermal (10MW) Binary</t>
  </si>
  <si>
    <t>Hydrothermal (50MW) Flash</t>
  </si>
  <si>
    <t>EGS (20MW)</t>
  </si>
  <si>
    <t>EGS (50MW)</t>
  </si>
  <si>
    <t>https://www.mdpi.com/1996-1073/13/11/2839</t>
  </si>
  <si>
    <t>Cap</t>
  </si>
  <si>
    <t>61MWe</t>
  </si>
  <si>
    <t>21.1MWth</t>
  </si>
  <si>
    <t>Energy</t>
  </si>
  <si>
    <t>21760 GWhE</t>
  </si>
  <si>
    <t>1280 GWhth</t>
  </si>
  <si>
    <t>Tosti et al 2020</t>
  </si>
  <si>
    <t>flash</t>
  </si>
  <si>
    <t>Tons (total)</t>
  </si>
  <si>
    <t>Tons/GWe</t>
  </si>
  <si>
    <t>Gravel</t>
  </si>
  <si>
    <t>Sodium Hydroxide</t>
  </si>
  <si>
    <t>Selenium</t>
  </si>
  <si>
    <t>Pentane</t>
  </si>
  <si>
    <t>PVC</t>
  </si>
  <si>
    <t>Production wells</t>
  </si>
  <si>
    <t>Basosi et al 2020</t>
  </si>
  <si>
    <t>20MWe (single plant flash)</t>
  </si>
  <si>
    <t>Tons total</t>
  </si>
  <si>
    <t>tons/gw</t>
  </si>
  <si>
    <t>https://www.mdpi.com/2071-1050/12/7/2786</t>
  </si>
  <si>
    <t>Production wells (kg)</t>
  </si>
  <si>
    <t>Reinjection wells (kg)</t>
  </si>
  <si>
    <t>Drilling platform (kg)</t>
  </si>
  <si>
    <t>Steam adduction pipeline (kg)</t>
  </si>
  <si>
    <t>Turbine and alternator (kg)</t>
  </si>
  <si>
    <t>Compressors (kg)</t>
  </si>
  <si>
    <t>Building (kg)</t>
  </si>
  <si>
    <t>Cast Iron</t>
  </si>
  <si>
    <t>All components</t>
  </si>
  <si>
    <t>Sum of all components</t>
  </si>
  <si>
    <t>Steel (including cast iron, chromium steel, etc...)</t>
  </si>
  <si>
    <t>1458476+228971+43000+163736+313398+9800+600+76400+8080+68250+18000+8190+11500+170000+150000+220000</t>
  </si>
  <si>
    <t>Pratiwi et al 2018</t>
  </si>
  <si>
    <t>https://www.sciencedirect.com/science/article/pii/S0375650517302912</t>
  </si>
  <si>
    <t>Capacity [MWe]</t>
  </si>
  <si>
    <t>Calcium Carbonante</t>
  </si>
  <si>
    <t>Expanded Shale, Clay, and Slate Institute</t>
  </si>
  <si>
    <t>ESCSI, 2007</t>
  </si>
  <si>
    <t>Chapter 6: Physical properties of structural lightweight concrete</t>
  </si>
  <si>
    <t>https://www.escsi.org/wp-content/themes/escsi/assets/images/6%20Chapter%206%20Physical%20Properties%20of%20SLWC%20Complete.pdf</t>
  </si>
  <si>
    <t>Assumed range of concrete densities for concrete of strengths ranging from &lt;15 to 35 MPa</t>
  </si>
  <si>
    <t>1600 to 2500 kg/m^3</t>
  </si>
  <si>
    <t>Xi, F., Davis, S., Ciais, P. et al. Substantial global carbon uptake by cement carbonation. Nature Geosci 9, 880–883 (2016). https://doi.org/10.1038/ngeo2840</t>
  </si>
  <si>
    <t>https://www.nature.com/articles/ngeo2840</t>
  </si>
  <si>
    <t>Based on Supplementary Data 6, the average use of cement of different strength classes for 33 dam, power station, dock, and infrastructure projects in China was:</t>
  </si>
  <si>
    <t>percent</t>
  </si>
  <si>
    <t>&gt;35 MPa</t>
  </si>
  <si>
    <t>24 to 35 MPa</t>
  </si>
  <si>
    <t>16 to 23 MPa</t>
  </si>
  <si>
    <t>15 MPa or less</t>
  </si>
  <si>
    <t>From Supplementary Table 2, cement content of concrete by strength class ranges as follows:</t>
  </si>
  <si>
    <t>cement content per m^3 concrete (kg/m^3)</t>
  </si>
  <si>
    <t>300 to 670</t>
  </si>
  <si>
    <t>280 to 400</t>
  </si>
  <si>
    <t>240 to 390</t>
  </si>
  <si>
    <t>165 to 288</t>
  </si>
  <si>
    <t>If converting from tons of concrete to tons of cement</t>
  </si>
  <si>
    <t>If converting from m^3 of concrete to tons of cement</t>
  </si>
  <si>
    <t>If starting with tons of cement</t>
  </si>
  <si>
    <t>1. Assume concrete ranges from &lt;15 to 35 MPa, with density ranging from 1600 to 2500 kg/m^3</t>
  </si>
  <si>
    <t>1. Follow steps 3-5 as outlined to the left</t>
  </si>
  <si>
    <t>1. Report figure as a single estimate of cement used / GW</t>
  </si>
  <si>
    <t>2. Calculate range of concrete volume based on density range immediately above</t>
  </si>
  <si>
    <t>3. Calculate weight of cement used assuming cement content of 165 to 400 kg/m^3</t>
  </si>
  <si>
    <t>4. Report high and low bounds of range of mass of cement used as two different estimates from the same source</t>
  </si>
  <si>
    <t>5. Assume an even distribution across all estimates for the Monte Carlo simulation</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</si>
</sst>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0000"/>
    <numFmt numFmtId="165" formatCode="#,##0.000"/>
  </numFmts>
  <fonts count="33">
    <font>
      <sz val="10.0"/>
      <color rgb="FF000000"/>
      <name val="Arial"/>
    </font>
    <font>
      <sz val="12.0"/>
      <color rgb="FF000000"/>
      <name val="Calibri"/>
    </font>
    <font>
      <sz val="12.0"/>
      <color rgb="FF000000"/>
      <name val="Arial"/>
    </font>
    <font>
      <color theme="1"/>
      <name val="Arial"/>
    </font>
    <font>
      <u/>
      <color rgb="FF0000FF"/>
    </font>
    <font>
      <u/>
      <sz val="11.0"/>
      <color rgb="FF0C7DBB"/>
      <name val="Arial"/>
    </font>
    <font>
      <u/>
      <color rgb="FF1155CC"/>
    </font>
    <font>
      <i/>
      <sz val="12.0"/>
      <color rgb="FF000000"/>
      <name val="-apple-system"/>
    </font>
    <font>
      <sz val="11.0"/>
      <color rgb="FF000000"/>
      <name val="Arial"/>
    </font>
    <font>
      <sz val="11.0"/>
      <color rgb="FF000000"/>
      <name val="Inconsolata"/>
    </font>
    <font>
      <color rgb="FF505050"/>
      <name val="Arial"/>
    </font>
    <font>
      <u/>
      <color rgb="FF0000FF"/>
    </font>
    <font>
      <color rgb="FF222222"/>
      <name val="Arial"/>
    </font>
    <font>
      <sz val="12.0"/>
      <color rgb="FF1C1D1E"/>
      <name val="Arial"/>
    </font>
    <font>
      <u/>
      <color rgb="FF0000FF"/>
    </font>
    <font>
      <sz val="11.0"/>
      <color rgb="FF1155CC"/>
      <name val="Inconsolata"/>
    </font>
    <font>
      <color rgb="FF000000"/>
      <name val="Roboto"/>
    </font>
    <font>
      <b/>
      <sz val="11.0"/>
      <color rgb="FF000000"/>
      <name val="Arial"/>
    </font>
    <font>
      <b/>
      <u/>
      <sz val="11.0"/>
      <color rgb="FF000000"/>
      <name val="Arial"/>
    </font>
    <font>
      <b/>
      <i/>
      <u/>
      <color theme="1"/>
      <name val="Arial"/>
    </font>
    <font>
      <u/>
      <color rgb="FF1155CC"/>
      <name val="Arial"/>
    </font>
    <font>
      <color rgb="FF000000"/>
      <name val="Arial"/>
    </font>
    <font>
      <u/>
      <sz val="11.0"/>
      <color rgb="FF000000"/>
      <name val="Arial"/>
    </font>
    <font>
      <u/>
      <sz val="12.0"/>
      <color rgb="FF000000"/>
      <name val="Calibri"/>
    </font>
    <font>
      <u/>
      <sz val="12.0"/>
      <color rgb="FF000000"/>
      <name val="Arial"/>
    </font>
    <font>
      <sz val="12.0"/>
      <color theme="1"/>
      <name val="Arial"/>
    </font>
    <font>
      <sz val="11.0"/>
      <color rgb="FF4D5156"/>
      <name val="Roboto"/>
    </font>
    <font>
      <sz val="11.0"/>
      <color rgb="FF202122"/>
      <name val="Arial"/>
    </font>
    <font>
      <u/>
      <color rgb="FF1155CC"/>
      <name val="Arial"/>
    </font>
    <font>
      <u/>
      <color rgb="FF1155CC"/>
    </font>
    <font>
      <u/>
      <sz val="11.0"/>
      <color rgb="FF0000FF"/>
      <name val="Slack-Lato"/>
    </font>
    <font>
      <b/>
      <color theme="1"/>
      <name val="Arial"/>
    </font>
    <font>
      <sz val="12.0"/>
      <color rgb="FF222222"/>
      <name val="-apple-system"/>
    </font>
  </fonts>
  <fills count="10">
    <fill>
      <patternFill patternType="none"/>
    </fill>
    <fill>
      <patternFill patternType="lightGray"/>
    </fill>
    <fill>
      <patternFill patternType="solid">
        <fgColor rgb="FFD9EAD3"/>
        <bgColor rgb="FFD9EAD3"/>
      </patternFill>
    </fill>
    <fill>
      <patternFill patternType="solid">
        <fgColor rgb="FFF4CCCC"/>
        <bgColor rgb="FFF4CCCC"/>
      </patternFill>
    </fill>
    <fill>
      <patternFill patternType="solid">
        <fgColor rgb="FFB6D7A8"/>
        <bgColor rgb="FFB6D7A8"/>
      </patternFill>
    </fill>
    <fill>
      <patternFill patternType="solid">
        <fgColor rgb="FFFFFFFF"/>
        <bgColor rgb="FFFFFFFF"/>
      </patternFill>
    </fill>
    <fill>
      <patternFill patternType="solid">
        <fgColor rgb="FFD0E0E3"/>
        <bgColor rgb="FFD0E0E3"/>
      </patternFill>
    </fill>
    <fill>
      <patternFill patternType="solid">
        <fgColor theme="0"/>
        <bgColor theme="0"/>
      </patternFill>
    </fill>
    <fill>
      <patternFill patternType="solid">
        <fgColor rgb="FFEA9999"/>
        <bgColor rgb="FFEA9999"/>
      </patternFill>
    </fill>
    <fill>
      <patternFill patternType="solid">
        <fgColor rgb="FFC9DAF8"/>
        <bgColor rgb="FFC9DAF8"/>
      </patternFill>
    </fill>
  </fills>
  <borders count="2">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81">
    <xf borderId="0" fillId="0" fontId="0" numFmtId="0" xfId="0" applyAlignment="1" applyFont="1">
      <alignment readingOrder="0" shrinkToFit="0" vertical="bottom" wrapText="0"/>
    </xf>
    <xf borderId="0" fillId="0" fontId="1" numFmtId="0" xfId="0" applyAlignment="1" applyFont="1">
      <alignment readingOrder="0" shrinkToFit="0" vertical="bottom" wrapText="0"/>
    </xf>
    <xf borderId="0" fillId="0" fontId="1" numFmtId="0" xfId="0" applyAlignment="1" applyFont="1">
      <alignment horizontal="right" readingOrder="0" shrinkToFit="0" vertical="bottom" wrapText="0"/>
    </xf>
    <xf borderId="0" fillId="0" fontId="2" numFmtId="0" xfId="0" applyAlignment="1" applyFont="1">
      <alignment readingOrder="0" shrinkToFit="0" vertical="bottom" wrapText="0"/>
    </xf>
    <xf borderId="0" fillId="0" fontId="1" numFmtId="0" xfId="0" applyAlignment="1" applyFont="1">
      <alignment vertical="bottom"/>
    </xf>
    <xf borderId="0" fillId="0" fontId="2" numFmtId="0" xfId="0" applyAlignment="1" applyFont="1">
      <alignment vertical="bottom"/>
    </xf>
    <xf borderId="0" fillId="0" fontId="3" numFmtId="0" xfId="0" applyAlignment="1" applyFont="1">
      <alignment vertical="bottom"/>
    </xf>
    <xf borderId="1" fillId="0" fontId="3" numFmtId="0" xfId="0" applyAlignment="1" applyBorder="1" applyFont="1">
      <alignment vertical="bottom"/>
    </xf>
    <xf borderId="0" fillId="0" fontId="3" numFmtId="0" xfId="0" applyAlignment="1" applyFont="1">
      <alignment readingOrder="0"/>
    </xf>
    <xf borderId="0" fillId="2" fontId="3" numFmtId="0" xfId="0" applyAlignment="1" applyFill="1" applyFont="1">
      <alignment readingOrder="0"/>
    </xf>
    <xf borderId="0" fillId="3" fontId="3" numFmtId="0" xfId="0" applyAlignment="1" applyFill="1" applyFont="1">
      <alignment readingOrder="0"/>
    </xf>
    <xf borderId="0" fillId="0" fontId="4" numFmtId="0" xfId="0" applyAlignment="1" applyFont="1">
      <alignment readingOrder="0"/>
    </xf>
    <xf borderId="0" fillId="2" fontId="3" numFmtId="0" xfId="0" applyFont="1"/>
    <xf borderId="0" fillId="0" fontId="3" numFmtId="0" xfId="0" applyFont="1"/>
    <xf borderId="0" fillId="4" fontId="3" numFmtId="0" xfId="0" applyAlignment="1" applyFill="1" applyFont="1">
      <alignment readingOrder="0"/>
    </xf>
    <xf borderId="0" fillId="0" fontId="5" numFmtId="0" xfId="0" applyAlignment="1" applyFont="1">
      <alignment readingOrder="0"/>
    </xf>
    <xf borderId="0" fillId="0" fontId="6" numFmtId="0" xfId="0" applyAlignment="1" applyFont="1">
      <alignment readingOrder="0"/>
    </xf>
    <xf borderId="0" fillId="2" fontId="3" numFmtId="3" xfId="0" applyAlignment="1" applyFont="1" applyNumberFormat="1">
      <alignment readingOrder="0"/>
    </xf>
    <xf borderId="0" fillId="5" fontId="7" numFmtId="0" xfId="0" applyAlignment="1" applyFill="1" applyFont="1">
      <alignment readingOrder="0"/>
    </xf>
    <xf borderId="0" fillId="5" fontId="8" numFmtId="0" xfId="0" applyAlignment="1" applyFont="1">
      <alignment readingOrder="0"/>
    </xf>
    <xf borderId="0" fillId="6" fontId="3" numFmtId="0" xfId="0" applyAlignment="1" applyFill="1" applyFont="1">
      <alignment readingOrder="0"/>
    </xf>
    <xf borderId="0" fillId="6" fontId="3" numFmtId="0" xfId="0" applyFont="1"/>
    <xf borderId="0" fillId="3" fontId="3" numFmtId="0" xfId="0" applyFont="1"/>
    <xf borderId="0" fillId="0" fontId="3" numFmtId="0" xfId="0" applyAlignment="1" applyFont="1">
      <alignment readingOrder="0" vertical="bottom"/>
    </xf>
    <xf borderId="0" fillId="0" fontId="9" numFmtId="0" xfId="0" applyAlignment="1" applyFont="1">
      <alignment readingOrder="0"/>
    </xf>
    <xf borderId="0" fillId="0" fontId="10" numFmtId="0" xfId="0" applyAlignment="1" applyFont="1">
      <alignment readingOrder="0"/>
    </xf>
    <xf borderId="0" fillId="0" fontId="11" numFmtId="0" xfId="0" applyAlignment="1" applyFont="1">
      <alignment readingOrder="0"/>
    </xf>
    <xf borderId="0" fillId="0" fontId="2" numFmtId="0" xfId="0" applyAlignment="1" applyFont="1">
      <alignment horizontal="right" readingOrder="0" shrinkToFit="0" vertical="bottom" wrapText="0"/>
    </xf>
    <xf borderId="0" fillId="0" fontId="8" numFmtId="0" xfId="0" applyAlignment="1" applyFont="1">
      <alignment readingOrder="0"/>
    </xf>
    <xf borderId="0" fillId="5" fontId="12" numFmtId="0" xfId="0" applyAlignment="1" applyFont="1">
      <alignment readingOrder="0"/>
    </xf>
    <xf borderId="0" fillId="0" fontId="3" numFmtId="0" xfId="0" applyAlignment="1" applyFont="1">
      <alignment readingOrder="0"/>
    </xf>
    <xf borderId="0" fillId="3" fontId="3" numFmtId="0" xfId="0" applyAlignment="1" applyFont="1">
      <alignment readingOrder="0"/>
    </xf>
    <xf borderId="0" fillId="2" fontId="3" numFmtId="0" xfId="0" applyAlignment="1" applyFont="1">
      <alignment readingOrder="0"/>
    </xf>
    <xf borderId="0" fillId="5" fontId="13" numFmtId="0" xfId="0" applyAlignment="1" applyFont="1">
      <alignment readingOrder="0"/>
    </xf>
    <xf borderId="0" fillId="2" fontId="14" numFmtId="0" xfId="0" applyAlignment="1" applyFont="1">
      <alignment readingOrder="0"/>
    </xf>
    <xf borderId="0" fillId="5" fontId="15" numFmtId="0" xfId="0" applyFont="1"/>
    <xf borderId="0" fillId="0" fontId="3" numFmtId="0" xfId="0" applyAlignment="1" applyFont="1">
      <alignment vertical="bottom"/>
    </xf>
    <xf borderId="1" fillId="0" fontId="3" numFmtId="0" xfId="0" applyAlignment="1" applyBorder="1" applyFont="1">
      <alignment vertical="bottom"/>
    </xf>
    <xf borderId="0" fillId="5" fontId="16" numFmtId="0" xfId="0" applyAlignment="1" applyFont="1">
      <alignment readingOrder="0"/>
    </xf>
    <xf borderId="0" fillId="0" fontId="17" numFmtId="0" xfId="0" applyAlignment="1" applyFont="1">
      <alignment readingOrder="0"/>
    </xf>
    <xf borderId="0" fillId="0" fontId="18" numFmtId="0" xfId="0" applyAlignment="1" applyFont="1">
      <alignment readingOrder="0"/>
    </xf>
    <xf borderId="0" fillId="0" fontId="17" numFmtId="0" xfId="0" applyFont="1"/>
    <xf borderId="0" fillId="0" fontId="2" numFmtId="0" xfId="0" applyAlignment="1" applyFont="1">
      <alignment readingOrder="0" shrinkToFit="0" vertical="bottom" wrapText="0"/>
    </xf>
    <xf borderId="0" fillId="0" fontId="3" numFmtId="0" xfId="0" applyAlignment="1" applyFont="1">
      <alignment readingOrder="0"/>
    </xf>
    <xf borderId="0" fillId="0" fontId="19" numFmtId="0" xfId="0" applyAlignment="1" applyFont="1">
      <alignment readingOrder="0"/>
    </xf>
    <xf borderId="0" fillId="2" fontId="2" numFmtId="0" xfId="0" applyAlignment="1" applyFont="1">
      <alignment readingOrder="0" shrinkToFit="0" vertical="bottom" wrapText="0"/>
    </xf>
    <xf borderId="0" fillId="2" fontId="3" numFmtId="0" xfId="0" applyAlignment="1" applyFont="1">
      <alignment readingOrder="0"/>
    </xf>
    <xf borderId="0" fillId="0" fontId="20" numFmtId="0" xfId="0" applyAlignment="1" applyFont="1">
      <alignment readingOrder="0"/>
    </xf>
    <xf borderId="0" fillId="5" fontId="21" numFmtId="0" xfId="0" applyAlignment="1" applyFont="1">
      <alignment horizontal="left" readingOrder="0"/>
    </xf>
    <xf borderId="0" fillId="0" fontId="22" numFmtId="0" xfId="0" applyAlignment="1" applyFont="1">
      <alignment readingOrder="0"/>
    </xf>
    <xf borderId="0" fillId="0" fontId="16" numFmtId="0" xfId="0" applyAlignment="1" applyFont="1">
      <alignment readingOrder="0"/>
    </xf>
    <xf borderId="0" fillId="0" fontId="1" numFmtId="0" xfId="0" applyAlignment="1" applyFont="1">
      <alignment readingOrder="0" shrinkToFit="0" vertical="bottom" wrapText="0"/>
    </xf>
    <xf borderId="0" fillId="0" fontId="23" numFmtId="0" xfId="0" applyAlignment="1" applyFont="1">
      <alignment readingOrder="0" shrinkToFit="0" vertical="bottom" wrapText="0"/>
    </xf>
    <xf borderId="0" fillId="3" fontId="2" numFmtId="0" xfId="0" applyAlignment="1" applyFont="1">
      <alignment readingOrder="0" shrinkToFit="0" vertical="bottom" wrapText="0"/>
    </xf>
    <xf borderId="0" fillId="0" fontId="3" numFmtId="11" xfId="0" applyFont="1" applyNumberFormat="1"/>
    <xf borderId="0" fillId="0" fontId="3" numFmtId="11" xfId="0" applyAlignment="1" applyFont="1" applyNumberFormat="1">
      <alignment readingOrder="0"/>
    </xf>
    <xf borderId="0" fillId="2" fontId="3" numFmtId="11" xfId="0" applyAlignment="1" applyFont="1" applyNumberFormat="1">
      <alignment readingOrder="0"/>
    </xf>
    <xf borderId="0" fillId="2" fontId="3" numFmtId="11" xfId="0" applyFont="1" applyNumberFormat="1"/>
    <xf borderId="0" fillId="0" fontId="24" numFmtId="0" xfId="0" applyAlignment="1" applyFont="1">
      <alignment readingOrder="0"/>
    </xf>
    <xf borderId="0" fillId="0" fontId="25" numFmtId="0" xfId="0" applyFont="1"/>
    <xf borderId="0" fillId="0" fontId="25" numFmtId="0" xfId="0" applyAlignment="1" applyFont="1">
      <alignment readingOrder="0"/>
    </xf>
    <xf borderId="0" fillId="7" fontId="2" numFmtId="0" xfId="0" applyAlignment="1" applyFill="1" applyFont="1">
      <alignment readingOrder="0" shrinkToFit="0" vertical="bottom" wrapText="0"/>
    </xf>
    <xf borderId="0" fillId="0" fontId="3" numFmtId="3" xfId="0" applyAlignment="1" applyFont="1" applyNumberFormat="1">
      <alignment readingOrder="0"/>
    </xf>
    <xf borderId="0" fillId="0" fontId="3" numFmtId="4" xfId="0" applyFont="1" applyNumberFormat="1"/>
    <xf borderId="0" fillId="0" fontId="3" numFmtId="164" xfId="0" applyFont="1" applyNumberFormat="1"/>
    <xf borderId="0" fillId="0" fontId="3" numFmtId="164" xfId="0" applyAlignment="1" applyFont="1" applyNumberFormat="1">
      <alignment readingOrder="0"/>
    </xf>
    <xf borderId="0" fillId="0" fontId="3" numFmtId="3" xfId="0" applyFont="1" applyNumberFormat="1"/>
    <xf borderId="0" fillId="8" fontId="3" numFmtId="3" xfId="0" applyAlignment="1" applyFill="1" applyFont="1" applyNumberFormat="1">
      <alignment readingOrder="0"/>
    </xf>
    <xf borderId="0" fillId="0" fontId="3" numFmtId="4" xfId="0" applyAlignment="1" applyFont="1" applyNumberFormat="1">
      <alignment readingOrder="0"/>
    </xf>
    <xf borderId="0" fillId="5" fontId="26" numFmtId="0" xfId="0" applyAlignment="1" applyFont="1">
      <alignment horizontal="left" readingOrder="0"/>
    </xf>
    <xf borderId="0" fillId="5" fontId="27" numFmtId="3" xfId="0" applyAlignment="1" applyFont="1" applyNumberFormat="1">
      <alignment readingOrder="0"/>
    </xf>
    <xf borderId="0" fillId="9" fontId="28" numFmtId="0" xfId="0" applyAlignment="1" applyFill="1" applyFont="1">
      <alignment readingOrder="0"/>
    </xf>
    <xf borderId="0" fillId="0" fontId="3" numFmtId="165" xfId="0" applyFont="1" applyNumberFormat="1"/>
    <xf borderId="0" fillId="0" fontId="25" numFmtId="0" xfId="0" applyAlignment="1" applyFont="1">
      <alignment horizontal="left" readingOrder="0"/>
    </xf>
    <xf borderId="0" fillId="0" fontId="2" numFmtId="0" xfId="0" applyAlignment="1" applyFont="1">
      <alignment horizontal="left" readingOrder="0" shrinkToFit="0" vertical="bottom" wrapText="0"/>
    </xf>
    <xf borderId="0" fillId="0" fontId="29" numFmtId="0" xfId="0" applyAlignment="1" applyFont="1">
      <alignment readingOrder="0" shrinkToFit="0" wrapText="0"/>
    </xf>
    <xf borderId="0" fillId="2" fontId="3" numFmtId="4" xfId="0" applyFont="1" applyNumberFormat="1"/>
    <xf borderId="0" fillId="7" fontId="3" numFmtId="0" xfId="0" applyAlignment="1" applyFont="1">
      <alignment readingOrder="0"/>
    </xf>
    <xf borderId="0" fillId="5" fontId="30" numFmtId="0" xfId="0" applyAlignment="1" applyFont="1">
      <alignment horizontal="left" readingOrder="0"/>
    </xf>
    <xf borderId="0" fillId="0" fontId="31" numFmtId="0" xfId="0" applyAlignment="1" applyFont="1">
      <alignment readingOrder="0"/>
    </xf>
    <xf borderId="0" fillId="5" fontId="32" numFmtId="0" xfId="0" applyAlignment="1" applyFon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6" Type="http://schemas.openxmlformats.org/officeDocument/2006/relationships/worksheet" Target="worksheets/sheet13.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hyperlink" Target="http://esu-services.ch/fileadmin/download/publicLCI/flury-2012-hydroelectric-power-generation.pdf" TargetMode="External"/><Relationship Id="rId2" Type="http://schemas.openxmlformats.org/officeDocument/2006/relationships/hyperlink" Target="https://www.energy.gov/sites/prod/files/2014/02/f7/lifecycle_analysis_of_geothermal_systems.pdf" TargetMode="External"/><Relationship Id="rId3" Type="http://schemas.openxmlformats.org/officeDocument/2006/relationships/hyperlink" Target="https://www.sciencedirect.com/science/article/abs/pii/S0921800914003681" TargetMode="External"/><Relationship Id="rId4" Type="http://schemas.openxmlformats.org/officeDocument/2006/relationships/hyperlink" Target="https://www.britannica.com/topic/Three-Gorges-Dam" TargetMode="External"/><Relationship Id="rId5" Type="http://schemas.openxmlformats.org/officeDocument/2006/relationships/hyperlink" Target="http://www.china-embassy.org/eng/zt/sxgc/t36512.htm" TargetMode="External"/><Relationship Id="rId6"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hyperlink" Target="https://link.springer.com/article/10.1007/s11367-014-0842-y" TargetMode="External"/><Relationship Id="rId2" Type="http://schemas.openxmlformats.org/officeDocument/2006/relationships/hyperlink" Target="https://www.energy.gov/sites/prod/files/2014/02/f7/lifecycle_analysis_of_geothermal_systems.pdf" TargetMode="External"/><Relationship Id="rId3" Type="http://schemas.openxmlformats.org/officeDocument/2006/relationships/hyperlink" Target="https://www.mdpi.com/1996-1073/13/11/2839" TargetMode="External"/><Relationship Id="rId4" Type="http://schemas.openxmlformats.org/officeDocument/2006/relationships/hyperlink" Target="https://www.mdpi.com/2071-1050/12/7/2786" TargetMode="External"/><Relationship Id="rId5" Type="http://schemas.openxmlformats.org/officeDocument/2006/relationships/hyperlink" Target="https://www.sciencedirect.com/science/article/pii/S0375650517302912" TargetMode="External"/><Relationship Id="rId6"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hyperlink" Target="https://www.escsi.org/wp-content/themes/escsi/assets/images/6%20Chapter%206%20Physical%20Properties%20of%20SLWC%20Complete.pdf" TargetMode="External"/><Relationship Id="rId2" Type="http://schemas.openxmlformats.org/officeDocument/2006/relationships/hyperlink" Target="https://www.nature.com/articles/ngeo2840" TargetMode="External"/><Relationship Id="rId3"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1" Type="http://schemas.openxmlformats.org/officeDocument/2006/relationships/hyperlink" Target="https://tethys.pnnl.gov/publications/life-cycle-environmental-impact-onshore-offshore-wind-farms-texas" TargetMode="External"/><Relationship Id="rId10" Type="http://schemas.openxmlformats.org/officeDocument/2006/relationships/hyperlink" Target="https://www.sciencedirect.com/science/article/abs/pii/S0921800914003681" TargetMode="External"/><Relationship Id="rId13" Type="http://schemas.openxmlformats.org/officeDocument/2006/relationships/hyperlink" Target="https://www.vestas.com/~/media/vestas/about/sustainability/pdfs/lca_v80_2004_uk.ashx" TargetMode="External"/><Relationship Id="rId12" Type="http://schemas.openxmlformats.org/officeDocument/2006/relationships/hyperlink" Target="https://www.vestas.com/~/media/vestas/about/sustainability/pdfs/lca_v90_june_2006.ashx" TargetMode="External"/><Relationship Id="rId1" Type="http://schemas.openxmlformats.org/officeDocument/2006/relationships/hyperlink" Target="https://www.vestas.com/~/media/vestas/about/sustainability/pdfs/lcav10020mw181215.pdf" TargetMode="External"/><Relationship Id="rId2" Type="http://schemas.openxmlformats.org/officeDocument/2006/relationships/hyperlink" Target="https://www.vestas.com/~/media/vestas/about/sustainability/pdfs/lcav11020mw181215.pdf" TargetMode="External"/><Relationship Id="rId3" Type="http://schemas.openxmlformats.org/officeDocument/2006/relationships/hyperlink" Target="https://www.vestas.com/~/media/vestas/about/sustainability/pdfs/lca_v902mw_version1.pdf" TargetMode="External"/><Relationship Id="rId4" Type="http://schemas.openxmlformats.org/officeDocument/2006/relationships/hyperlink" Target="https://www.energy.gov/sites/prod/files/2019/06/f63/DOE_CMS2011_FINAL_Full_1.pdf" TargetMode="External"/><Relationship Id="rId9" Type="http://schemas.openxmlformats.org/officeDocument/2006/relationships/hyperlink" Target="https://copperalliance.org/wp-content/uploads/2017/03/Projected-wind-solar-copper-demand-1.pdf" TargetMode="External"/><Relationship Id="rId14" Type="http://schemas.openxmlformats.org/officeDocument/2006/relationships/drawing" Target="../drawings/drawing2.xml"/><Relationship Id="rId5" Type="http://schemas.openxmlformats.org/officeDocument/2006/relationships/hyperlink" Target="https://doi.org/10.1016/j.enpol.2011.11.018" TargetMode="External"/><Relationship Id="rId6" Type="http://schemas.openxmlformats.org/officeDocument/2006/relationships/hyperlink" Target="https://pubs.usgs.gov/sir/2011/5036/sir2011-5036.pdf" TargetMode="External"/><Relationship Id="rId7" Type="http://schemas.openxmlformats.org/officeDocument/2006/relationships/hyperlink" Target="https://www.sciencedirect.com/science/article/abs/pii/S0360544212008055" TargetMode="External"/><Relationship Id="rId8" Type="http://schemas.openxmlformats.org/officeDocument/2006/relationships/hyperlink" Target="https://www.sciencedirect.com/science/article/abs/pii/S0959652615009920"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1" Type="http://schemas.openxmlformats.org/officeDocument/2006/relationships/hyperlink" Target="https://pubs.acs.org/doi/abs/10.1021/es0155884" TargetMode="External"/><Relationship Id="rId10" Type="http://schemas.openxmlformats.org/officeDocument/2006/relationships/hyperlink" Target="https://www.nrel.gov/docs/fy05osti/37656.pdf" TargetMode="External"/><Relationship Id="rId13" Type="http://schemas.openxmlformats.org/officeDocument/2006/relationships/hyperlink" Target="https://www.bnl.gov/pv/files/pdf/226_Task12_LifeCycle_Inventories.pdf" TargetMode="External"/><Relationship Id="rId12" Type="http://schemas.openxmlformats.org/officeDocument/2006/relationships/hyperlink" Target="https://onlinelibrary.wiley.com/doi/abs/10.1002/pip.652" TargetMode="External"/><Relationship Id="rId1" Type="http://schemas.openxmlformats.org/officeDocument/2006/relationships/hyperlink" Target="https://pubs.rsc.org/en/content/articlelanding/2015/ee/c5ee00585j" TargetMode="External"/><Relationship Id="rId2" Type="http://schemas.openxmlformats.org/officeDocument/2006/relationships/hyperlink" Target="https://thewarrencentre.org.au/wp-content/uploads/2016/08/wc3488-1-The-Copper-Technology-Roadmap-2030.pdf" TargetMode="External"/><Relationship Id="rId3" Type="http://schemas.openxmlformats.org/officeDocument/2006/relationships/hyperlink" Target="http://www.world-aluminium.org/media/filer_public/2013/01/15/fl0000407.pdf" TargetMode="External"/><Relationship Id="rId4" Type="http://schemas.openxmlformats.org/officeDocument/2006/relationships/hyperlink" Target="https://copperalliance.org/wp-content/uploads/2017/03/Projected-wind-solar-copper-demand-1.pdf" TargetMode="External"/><Relationship Id="rId9" Type="http://schemas.openxmlformats.org/officeDocument/2006/relationships/hyperlink" Target="https://pubs.rsc.org/en/content/articlelanding/2015/ee/c4ee04073b" TargetMode="External"/><Relationship Id="rId15" Type="http://schemas.openxmlformats.org/officeDocument/2006/relationships/hyperlink" Target="https://www.irena.org/-/media/Files/IRENA/Agency/Publication/2017/Jun/IRENA_Leveraging_for_Solar_PV_2017.pdf" TargetMode="External"/><Relationship Id="rId14" Type="http://schemas.openxmlformats.org/officeDocument/2006/relationships/hyperlink" Target="https://www.sciencedirect.com/science/article/abs/pii/S0959652613004575?via%3Dihub" TargetMode="External"/><Relationship Id="rId17" Type="http://schemas.openxmlformats.org/officeDocument/2006/relationships/hyperlink" Target="https://www.bnl.gov/pv/files/pdf/226_Task12_LifeCycle_Inventories.pdf" TargetMode="External"/><Relationship Id="rId16" Type="http://schemas.openxmlformats.org/officeDocument/2006/relationships/hyperlink" Target="https://publications.jrc.ec.europa.eu/repository/handle/JRC67978" TargetMode="External"/><Relationship Id="rId5" Type="http://schemas.openxmlformats.org/officeDocument/2006/relationships/hyperlink" Target="https://www.sciencedirect.com/science/article/abs/pii/S0921800914003681" TargetMode="External"/><Relationship Id="rId19" Type="http://schemas.openxmlformats.org/officeDocument/2006/relationships/drawing" Target="../drawings/drawing4.xml"/><Relationship Id="rId6" Type="http://schemas.openxmlformats.org/officeDocument/2006/relationships/hyperlink" Target="https://www.sciencedirect.com/science/article/abs/pii/S036054421200374X" TargetMode="External"/><Relationship Id="rId18" Type="http://schemas.openxmlformats.org/officeDocument/2006/relationships/hyperlink" Target="https://treeze.ch/fileadmin/user_upload/downloads/Publications/Case_Studies/Energy/IEA-PVPS-LCI-report-2020-20201208.pdf" TargetMode="External"/><Relationship Id="rId7" Type="http://schemas.openxmlformats.org/officeDocument/2006/relationships/hyperlink" Target="http://esu-services.ch/fileadmin/download/publicLCI/flury-2012-hydroelectric-power-generation.pdf" TargetMode="External"/><Relationship Id="rId8" Type="http://schemas.openxmlformats.org/officeDocument/2006/relationships/hyperlink" Target="https://www.sciencedirect.com/science/article/pii/S0301421518302726"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1" Type="http://schemas.openxmlformats.org/officeDocument/2006/relationships/drawing" Target="../drawings/drawing6.xml"/><Relationship Id="rId10" Type="http://schemas.openxmlformats.org/officeDocument/2006/relationships/hyperlink" Target="https://pubs.er.usgs.gov/publication/pp1006AB" TargetMode="External"/><Relationship Id="rId1" Type="http://schemas.openxmlformats.org/officeDocument/2006/relationships/hyperlink" Target="https://www.sciencedirect.com/science/article/abs/pii/S0921344915000555" TargetMode="External"/><Relationship Id="rId2" Type="http://schemas.openxmlformats.org/officeDocument/2006/relationships/hyperlink" Target="https://www.sciencedirect.com/science/article/abs/pii/S0196890497000058" TargetMode="External"/><Relationship Id="rId3" Type="http://schemas.openxmlformats.org/officeDocument/2006/relationships/hyperlink" Target="https://www.energy.gov/sites/prod/files/2014/02/f7/lifecycle_analysis_of_geothermal_systems.pdf" TargetMode="External"/><Relationship Id="rId4" Type="http://schemas.openxmlformats.org/officeDocument/2006/relationships/hyperlink" Target="https://www.nrel.gov/docs/fy99osti/25119.pdf" TargetMode="External"/><Relationship Id="rId9" Type="http://schemas.openxmlformats.org/officeDocument/2006/relationships/hyperlink" Target="https://www.osti.gov/servlets/purl/7269803" TargetMode="External"/><Relationship Id="rId5" Type="http://schemas.openxmlformats.org/officeDocument/2006/relationships/hyperlink" Target="https://www.sciencedirect.com/science/article/abs/pii/S0920379600001587" TargetMode="External"/><Relationship Id="rId6" Type="http://schemas.openxmlformats.org/officeDocument/2006/relationships/hyperlink" Target="https://www.nrel.gov/docs/fy00osti/27715.pdf" TargetMode="External"/><Relationship Id="rId7" Type="http://schemas.openxmlformats.org/officeDocument/2006/relationships/hyperlink" Target="https://setis.ec.europa.eu/sites/default/files/reports/CriticalMetalsinStrategicEnergyTechnologies-def.pdf" TargetMode="External"/><Relationship Id="rId8" Type="http://schemas.openxmlformats.org/officeDocument/2006/relationships/hyperlink" Target="https://www.osti.gov/servlets/purl/5100383"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1" Type="http://schemas.openxmlformats.org/officeDocument/2006/relationships/hyperlink" Target="https://www.energy.gov/sites/prod/files/2017/03/f34/qtr-2015-chapter10.pdf" TargetMode="External"/><Relationship Id="rId10" Type="http://schemas.openxmlformats.org/officeDocument/2006/relationships/hyperlink" Target="https://catalog.hathitrust.org/Record/101828841" TargetMode="External"/><Relationship Id="rId12" Type="http://schemas.openxmlformats.org/officeDocument/2006/relationships/drawing" Target="../drawings/drawing8.xml"/><Relationship Id="rId1" Type="http://schemas.openxmlformats.org/officeDocument/2006/relationships/hyperlink" Target="https://pdfs.semanticscholar.org/519e/a5c55a312f3f45ccfcc4a093a941366c6658.pdf" TargetMode="External"/><Relationship Id="rId2" Type="http://schemas.openxmlformats.org/officeDocument/2006/relationships/hyperlink" Target="https://pdfs.semanticscholar.org/519e/a5c55a312f3f45ccfcc4a093a941366c6658.pdf" TargetMode="External"/><Relationship Id="rId3" Type="http://schemas.openxmlformats.org/officeDocument/2006/relationships/hyperlink" Target="https://www.sciencedirect.com/science/article/abs/pii/S0921800914003681" TargetMode="External"/><Relationship Id="rId4" Type="http://schemas.openxmlformats.org/officeDocument/2006/relationships/hyperlink" Target="https://www.sciencedirect.com/science/article/abs/pii/S0920379600001587" TargetMode="External"/><Relationship Id="rId9" Type="http://schemas.openxmlformats.org/officeDocument/2006/relationships/hyperlink" Target="https://www.osti.gov/servlets/purl/5100383" TargetMode="External"/><Relationship Id="rId5" Type="http://schemas.openxmlformats.org/officeDocument/2006/relationships/hyperlink" Target="https://inis.iaea.org/collection/NCLCollectionStore/_Public/05/148/5148861.pdf" TargetMode="External"/><Relationship Id="rId6" Type="http://schemas.openxmlformats.org/officeDocument/2006/relationships/hyperlink" Target="http://tons.gw/" TargetMode="External"/><Relationship Id="rId7" Type="http://schemas.openxmlformats.org/officeDocument/2006/relationships/hyperlink" Target="https://books.google.com/books/about/Pressurized_Water_Reactor_Plant.html?id=dzFIAQAAMAAJ" TargetMode="External"/><Relationship Id="rId8" Type="http://schemas.openxmlformats.org/officeDocument/2006/relationships/hyperlink" Target="https://setis.ec.europa.eu/sites/default/files/reports/CriticalMetalsinStrategicEnergyTechnologies-def.pdf" TargetMode="Externa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topLeftCell="B1" activePane="topRight" state="frozen"/>
      <selection activeCell="C2" sqref="C2" pane="topRight"/>
    </sheetView>
  </sheetViews>
  <sheetFormatPr customHeight="1" defaultColWidth="14.43" defaultRowHeight="15.75"/>
  <cols>
    <col customWidth="1" min="2" max="2" width="22.14"/>
    <col customWidth="1" min="3" max="3" width="29.0"/>
    <col customWidth="1" min="4" max="4" width="24.43"/>
  </cols>
  <sheetData>
    <row r="1">
      <c r="A1" s="1" t="s">
        <v>0</v>
      </c>
      <c r="B1" s="1" t="s">
        <v>1</v>
      </c>
      <c r="C1" s="1" t="s">
        <v>2</v>
      </c>
      <c r="D1" s="1" t="s">
        <v>3</v>
      </c>
      <c r="E1" s="1" t="s">
        <v>4</v>
      </c>
    </row>
    <row r="2">
      <c r="A2" s="1" t="s">
        <v>5</v>
      </c>
      <c r="B2" s="2">
        <v>0.0</v>
      </c>
      <c r="C2" s="2">
        <v>0.0</v>
      </c>
      <c r="D2" s="2">
        <v>0.0</v>
      </c>
      <c r="E2" s="2">
        <v>0.0</v>
      </c>
    </row>
    <row r="3">
      <c r="A3" s="1" t="s">
        <v>6</v>
      </c>
      <c r="B3" s="1" t="s">
        <v>7</v>
      </c>
      <c r="C3" s="1" t="s">
        <v>8</v>
      </c>
      <c r="D3" s="1" t="s">
        <v>9</v>
      </c>
      <c r="E3" s="1" t="s">
        <v>9</v>
      </c>
    </row>
    <row r="4">
      <c r="A4" s="1" t="s">
        <v>10</v>
      </c>
      <c r="B4" s="2">
        <v>0.0</v>
      </c>
      <c r="C4" s="2">
        <v>0.0</v>
      </c>
      <c r="D4" s="2">
        <v>0.0</v>
      </c>
      <c r="E4" s="2">
        <v>0.0</v>
      </c>
    </row>
    <row r="5">
      <c r="A5" s="1" t="s">
        <v>11</v>
      </c>
      <c r="B5" s="2">
        <v>0.0</v>
      </c>
      <c r="C5" s="2">
        <v>0.0</v>
      </c>
      <c r="D5" s="2">
        <v>0.0</v>
      </c>
      <c r="E5" s="3"/>
    </row>
    <row r="6">
      <c r="A6" s="1" t="s">
        <v>12</v>
      </c>
      <c r="B6" s="3" t="s">
        <v>13</v>
      </c>
      <c r="C6" s="1" t="s">
        <v>14</v>
      </c>
      <c r="D6" s="1" t="s">
        <v>15</v>
      </c>
      <c r="E6" s="1" t="s">
        <v>15</v>
      </c>
    </row>
    <row r="7">
      <c r="A7" s="1" t="s">
        <v>16</v>
      </c>
      <c r="B7" s="3" t="s">
        <v>17</v>
      </c>
      <c r="C7" s="1" t="s">
        <v>18</v>
      </c>
      <c r="D7" s="3" t="s">
        <v>19</v>
      </c>
      <c r="E7" s="1" t="s">
        <v>19</v>
      </c>
    </row>
    <row r="8">
      <c r="A8" s="1" t="s">
        <v>20</v>
      </c>
      <c r="B8" s="3" t="s">
        <v>21</v>
      </c>
      <c r="C8" s="2">
        <v>0.0</v>
      </c>
      <c r="D8" s="1" t="s">
        <v>22</v>
      </c>
      <c r="E8" s="2">
        <v>0.0</v>
      </c>
    </row>
    <row r="9">
      <c r="A9" s="1" t="s">
        <v>23</v>
      </c>
      <c r="B9" s="2">
        <v>0.0</v>
      </c>
      <c r="C9" s="2">
        <v>0.0</v>
      </c>
      <c r="D9" s="2">
        <v>0.0</v>
      </c>
      <c r="E9" s="2">
        <v>0.0</v>
      </c>
    </row>
    <row r="10">
      <c r="A10" s="1" t="s">
        <v>24</v>
      </c>
      <c r="B10" s="2">
        <v>0.0</v>
      </c>
      <c r="C10" s="2">
        <v>0.0</v>
      </c>
      <c r="D10" s="2">
        <v>0.0</v>
      </c>
      <c r="E10" s="2">
        <v>0.0</v>
      </c>
    </row>
    <row r="11">
      <c r="A11" s="1" t="s">
        <v>25</v>
      </c>
      <c r="B11" s="2">
        <v>0.0</v>
      </c>
      <c r="C11" s="2">
        <v>0.0</v>
      </c>
      <c r="D11" s="2">
        <v>0.0</v>
      </c>
      <c r="E11" s="2">
        <v>0.0</v>
      </c>
    </row>
    <row r="12">
      <c r="A12" s="1" t="s">
        <v>26</v>
      </c>
      <c r="B12" s="2">
        <v>0.0</v>
      </c>
      <c r="C12" s="2">
        <v>0.0</v>
      </c>
      <c r="D12" s="2">
        <v>0.0</v>
      </c>
      <c r="E12" s="2">
        <v>0.0</v>
      </c>
    </row>
    <row r="13">
      <c r="A13" s="1" t="s">
        <v>27</v>
      </c>
      <c r="B13" s="1" t="s">
        <v>28</v>
      </c>
      <c r="C13" s="2">
        <v>0.0</v>
      </c>
      <c r="D13" s="1" t="s">
        <v>28</v>
      </c>
      <c r="E13" s="2">
        <v>0.0</v>
      </c>
    </row>
    <row r="14">
      <c r="A14" s="1" t="s">
        <v>29</v>
      </c>
      <c r="B14" s="1" t="s">
        <v>30</v>
      </c>
      <c r="C14" s="1" t="s">
        <v>30</v>
      </c>
      <c r="D14" s="1" t="s">
        <v>30</v>
      </c>
      <c r="E14" s="1" t="s">
        <v>30</v>
      </c>
    </row>
    <row r="15">
      <c r="A15" s="1" t="s">
        <v>31</v>
      </c>
      <c r="B15" s="2">
        <v>0.0</v>
      </c>
      <c r="C15" s="2">
        <v>0.0</v>
      </c>
      <c r="D15" s="2">
        <v>0.0</v>
      </c>
      <c r="E15" s="2">
        <v>0.0</v>
      </c>
    </row>
    <row r="16">
      <c r="A16" s="1" t="s">
        <v>32</v>
      </c>
      <c r="B16" s="2">
        <v>0.0</v>
      </c>
      <c r="C16" s="2">
        <v>0.0</v>
      </c>
      <c r="D16" s="2">
        <v>0.0</v>
      </c>
      <c r="E16" s="2">
        <v>0.0</v>
      </c>
    </row>
    <row r="17">
      <c r="A17" s="1" t="s">
        <v>33</v>
      </c>
      <c r="B17" s="1" t="s">
        <v>34</v>
      </c>
      <c r="C17" s="1" t="s">
        <v>35</v>
      </c>
      <c r="D17" s="1" t="s">
        <v>36</v>
      </c>
      <c r="E17" s="1" t="s">
        <v>36</v>
      </c>
    </row>
    <row r="18">
      <c r="A18" s="1" t="s">
        <v>37</v>
      </c>
      <c r="B18" s="2">
        <v>0.0</v>
      </c>
      <c r="C18" s="2">
        <v>0.0</v>
      </c>
      <c r="D18" s="2">
        <v>0.0</v>
      </c>
      <c r="E18" s="2">
        <v>0.0</v>
      </c>
    </row>
    <row r="19">
      <c r="A19" s="4" t="s">
        <v>38</v>
      </c>
      <c r="B19" s="5" t="s">
        <v>39</v>
      </c>
      <c r="C19" s="4" t="s">
        <v>40</v>
      </c>
      <c r="D19" s="6" t="s">
        <v>41</v>
      </c>
      <c r="E19" s="7" t="s">
        <v>41</v>
      </c>
    </row>
    <row r="20">
      <c r="A20" s="3" t="s">
        <v>42</v>
      </c>
      <c r="B20" s="1" t="s">
        <v>43</v>
      </c>
      <c r="C20" s="1" t="s">
        <v>44</v>
      </c>
      <c r="D20" s="1" t="s">
        <v>45</v>
      </c>
      <c r="E20" s="1" t="s">
        <v>45</v>
      </c>
    </row>
    <row r="21">
      <c r="A21" s="3"/>
    </row>
  </sheetData>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topLeftCell="B1" activePane="topRight" state="frozen"/>
      <selection activeCell="C2" sqref="C2" pane="topRight"/>
    </sheetView>
  </sheetViews>
  <sheetFormatPr customHeight="1" defaultColWidth="14.43" defaultRowHeight="15.75"/>
  <cols>
    <col customWidth="1" min="1" max="1" width="33.29"/>
    <col customWidth="1" min="2" max="2" width="33.0"/>
    <col customWidth="1" min="3" max="3" width="20.71"/>
    <col customWidth="1" min="8" max="8" width="22.86"/>
  </cols>
  <sheetData>
    <row r="1">
      <c r="A1" s="9" t="s">
        <v>48</v>
      </c>
      <c r="B1" s="8"/>
      <c r="E1" s="8"/>
      <c r="H1" s="8"/>
      <c r="I1" s="8"/>
      <c r="L1" s="8"/>
    </row>
    <row r="2">
      <c r="A2" s="10" t="s">
        <v>49</v>
      </c>
      <c r="B2" s="8"/>
      <c r="E2" s="8"/>
      <c r="H2" s="8"/>
      <c r="I2" s="8"/>
      <c r="L2" s="8"/>
    </row>
    <row r="3">
      <c r="A3" s="8"/>
      <c r="B3" s="8"/>
      <c r="E3" s="8"/>
      <c r="H3" s="8"/>
      <c r="I3" s="8"/>
      <c r="L3" s="8"/>
    </row>
    <row r="4">
      <c r="A4" s="8" t="s">
        <v>625</v>
      </c>
      <c r="B4" s="8"/>
      <c r="E4" s="8"/>
      <c r="H4" s="8"/>
      <c r="I4" s="8"/>
      <c r="L4" s="8"/>
    </row>
    <row r="5">
      <c r="A5" s="8" t="s">
        <v>626</v>
      </c>
      <c r="E5" s="8" t="s">
        <v>627</v>
      </c>
      <c r="H5" s="8" t="s">
        <v>628</v>
      </c>
      <c r="I5" s="8">
        <f>10^6</f>
        <v>1000000</v>
      </c>
      <c r="L5" s="8" t="s">
        <v>61</v>
      </c>
    </row>
    <row r="6">
      <c r="A6" s="11" t="s">
        <v>629</v>
      </c>
      <c r="E6" s="8"/>
      <c r="F6" s="8"/>
      <c r="H6" s="8"/>
      <c r="I6" s="8"/>
      <c r="K6" s="8" t="s">
        <v>60</v>
      </c>
      <c r="L6" s="8" t="s">
        <v>630</v>
      </c>
      <c r="M6" s="8" t="s">
        <v>631</v>
      </c>
    </row>
    <row r="7">
      <c r="A7" s="8" t="s">
        <v>632</v>
      </c>
      <c r="B7" s="8" t="s">
        <v>630</v>
      </c>
      <c r="C7" s="8" t="s">
        <v>633</v>
      </c>
      <c r="E7" s="8" t="s">
        <v>634</v>
      </c>
      <c r="F7" s="8" t="s">
        <v>631</v>
      </c>
      <c r="H7" s="8" t="s">
        <v>635</v>
      </c>
      <c r="I7" s="55">
        <f>1/10^6</f>
        <v>0.000001</v>
      </c>
      <c r="K7" s="8" t="s">
        <v>63</v>
      </c>
      <c r="L7" s="13">
        <f t="shared" ref="L7:M7" si="1">B8/1.6</f>
        <v>6583125</v>
      </c>
      <c r="M7" s="13">
        <f t="shared" si="1"/>
        <v>3603750</v>
      </c>
    </row>
    <row r="8">
      <c r="A8" s="8" t="s">
        <v>12</v>
      </c>
      <c r="B8" s="62">
        <f t="shared" ref="B8:C8" si="2">E8*150*190/0.095</f>
        <v>10533000</v>
      </c>
      <c r="C8" s="62">
        <f t="shared" si="2"/>
        <v>5766000</v>
      </c>
      <c r="D8" s="63"/>
      <c r="E8" s="13">
        <f>3.42+1.89+29.8</f>
        <v>35.11</v>
      </c>
      <c r="F8" s="13">
        <f>1.88+16.3+1.04</f>
        <v>19.22</v>
      </c>
      <c r="H8" s="8" t="s">
        <v>636</v>
      </c>
      <c r="I8" s="8" t="s">
        <v>637</v>
      </c>
      <c r="K8" s="8" t="s">
        <v>65</v>
      </c>
      <c r="L8" s="13">
        <f t="shared" ref="L8:M8" si="3">B8/2.5</f>
        <v>4213200</v>
      </c>
      <c r="M8" s="13">
        <f t="shared" si="3"/>
        <v>2306400</v>
      </c>
    </row>
    <row r="9">
      <c r="A9" s="8" t="s">
        <v>311</v>
      </c>
      <c r="B9" s="62">
        <f t="shared" ref="B9:C9" si="4">E9*150*190/0.095</f>
        <v>78000</v>
      </c>
      <c r="C9" s="62">
        <f t="shared" si="4"/>
        <v>177000</v>
      </c>
      <c r="D9" s="63"/>
      <c r="E9" s="8">
        <v>0.26</v>
      </c>
      <c r="F9" s="13">
        <f>0.15+0.41+0.03</f>
        <v>0.59</v>
      </c>
      <c r="H9" s="8" t="s">
        <v>638</v>
      </c>
      <c r="I9" s="8" t="s">
        <v>639</v>
      </c>
      <c r="L9" s="8" t="s">
        <v>68</v>
      </c>
      <c r="N9" s="8" t="s">
        <v>69</v>
      </c>
    </row>
    <row r="10">
      <c r="A10" s="8" t="s">
        <v>640</v>
      </c>
      <c r="B10" s="62">
        <f t="shared" ref="B10:C10" si="5">E10*150*190/0.095</f>
        <v>2970</v>
      </c>
      <c r="C10" s="62">
        <f t="shared" si="5"/>
        <v>2970</v>
      </c>
      <c r="D10" s="63"/>
      <c r="E10" s="13">
        <f t="shared" ref="E10:F10" si="6">9.9*10^-3</f>
        <v>0.0099</v>
      </c>
      <c r="F10" s="13">
        <f t="shared" si="6"/>
        <v>0.0099</v>
      </c>
      <c r="H10" s="8" t="s">
        <v>641</v>
      </c>
      <c r="I10" s="8" t="s">
        <v>642</v>
      </c>
      <c r="L10" s="8" t="s">
        <v>630</v>
      </c>
      <c r="M10" s="8" t="s">
        <v>631</v>
      </c>
      <c r="N10" s="8" t="s">
        <v>630</v>
      </c>
      <c r="O10" s="8" t="s">
        <v>631</v>
      </c>
    </row>
    <row r="11">
      <c r="C11" s="64"/>
      <c r="D11" s="63"/>
      <c r="K11" s="8" t="s">
        <v>71</v>
      </c>
      <c r="L11" s="13">
        <f t="shared" ref="L11:M11" si="7">L7*165</f>
        <v>1086215625</v>
      </c>
      <c r="M11" s="13">
        <f t="shared" si="7"/>
        <v>594618750</v>
      </c>
      <c r="N11" s="12">
        <f t="shared" ref="N11:O11" si="8">L11/1000</f>
        <v>1086215.625</v>
      </c>
      <c r="O11" s="12">
        <f t="shared" si="8"/>
        <v>594618.75</v>
      </c>
    </row>
    <row r="12">
      <c r="A12" s="11" t="s">
        <v>315</v>
      </c>
      <c r="B12" s="8" t="s">
        <v>318</v>
      </c>
      <c r="C12" s="65" t="s">
        <v>643</v>
      </c>
      <c r="D12" s="8" t="s">
        <v>644</v>
      </c>
      <c r="G12" s="8" t="s">
        <v>61</v>
      </c>
      <c r="K12" s="8" t="s">
        <v>73</v>
      </c>
      <c r="L12" s="13">
        <f t="shared" ref="L12:M12" si="9">L8*400</f>
        <v>1685280000</v>
      </c>
      <c r="M12" s="13">
        <f t="shared" si="9"/>
        <v>922560000</v>
      </c>
      <c r="N12" s="12">
        <f t="shared" ref="N12:O12" si="10">L12/1000</f>
        <v>1685280</v>
      </c>
      <c r="O12" s="12">
        <f t="shared" si="10"/>
        <v>922560</v>
      </c>
    </row>
    <row r="13">
      <c r="A13" s="8" t="s">
        <v>103</v>
      </c>
      <c r="B13" s="66">
        <v>52.0</v>
      </c>
      <c r="C13" s="62" t="s">
        <v>645</v>
      </c>
      <c r="D13" s="62" t="s">
        <v>645</v>
      </c>
      <c r="F13" s="8" t="s">
        <v>60</v>
      </c>
      <c r="G13" s="8" t="s">
        <v>318</v>
      </c>
      <c r="H13" s="65" t="s">
        <v>643</v>
      </c>
      <c r="I13" s="8" t="s">
        <v>644</v>
      </c>
    </row>
    <row r="14">
      <c r="A14" s="8" t="s">
        <v>12</v>
      </c>
      <c r="B14" s="66">
        <v>7644000.0</v>
      </c>
      <c r="C14" s="66">
        <v>552000.0</v>
      </c>
      <c r="D14" s="66">
        <v>6680000.0</v>
      </c>
      <c r="F14" s="8" t="s">
        <v>63</v>
      </c>
      <c r="G14" s="13">
        <f t="shared" ref="G14:I14" si="11">B14/1.6</f>
        <v>4777500</v>
      </c>
      <c r="H14" s="13">
        <f t="shared" si="11"/>
        <v>345000</v>
      </c>
      <c r="I14" s="13">
        <f t="shared" si="11"/>
        <v>4175000</v>
      </c>
    </row>
    <row r="15">
      <c r="A15" s="8" t="s">
        <v>64</v>
      </c>
      <c r="B15" s="67" t="s">
        <v>646</v>
      </c>
      <c r="C15" s="62" t="s">
        <v>645</v>
      </c>
      <c r="D15" s="66">
        <v>1502.0</v>
      </c>
      <c r="F15" s="8" t="s">
        <v>65</v>
      </c>
      <c r="G15" s="13">
        <f t="shared" ref="G15:I15" si="12">B14/2.5</f>
        <v>3057600</v>
      </c>
      <c r="H15" s="13">
        <f t="shared" si="12"/>
        <v>220800</v>
      </c>
      <c r="I15" s="13">
        <f t="shared" si="12"/>
        <v>2672000</v>
      </c>
    </row>
    <row r="16">
      <c r="A16" s="8" t="s">
        <v>33</v>
      </c>
      <c r="B16" s="66">
        <v>24800.0</v>
      </c>
      <c r="C16" s="62" t="s">
        <v>645</v>
      </c>
      <c r="D16" s="66">
        <v>54500.0</v>
      </c>
      <c r="G16" s="8" t="s">
        <v>68</v>
      </c>
      <c r="J16" s="8" t="s">
        <v>69</v>
      </c>
    </row>
    <row r="17">
      <c r="G17" s="8" t="s">
        <v>318</v>
      </c>
      <c r="H17" s="65" t="s">
        <v>643</v>
      </c>
      <c r="I17" s="8" t="s">
        <v>644</v>
      </c>
      <c r="J17" s="8" t="s">
        <v>318</v>
      </c>
      <c r="K17" s="65" t="s">
        <v>643</v>
      </c>
      <c r="L17" s="8" t="s">
        <v>644</v>
      </c>
    </row>
    <row r="18">
      <c r="A18" s="8" t="s">
        <v>144</v>
      </c>
      <c r="F18" s="8" t="s">
        <v>71</v>
      </c>
      <c r="G18" s="13">
        <f t="shared" ref="G18:I18" si="13">G14*165</f>
        <v>788287500</v>
      </c>
      <c r="H18" s="13">
        <f t="shared" si="13"/>
        <v>56925000</v>
      </c>
      <c r="I18" s="13">
        <f t="shared" si="13"/>
        <v>688875000</v>
      </c>
      <c r="J18" s="12">
        <f t="shared" ref="J18:L18" si="14">G18/1000</f>
        <v>788287.5</v>
      </c>
      <c r="K18" s="22">
        <f t="shared" si="14"/>
        <v>56925</v>
      </c>
      <c r="L18" s="12">
        <f t="shared" si="14"/>
        <v>688875</v>
      </c>
    </row>
    <row r="19">
      <c r="A19" s="8" t="s">
        <v>145</v>
      </c>
      <c r="F19" s="8" t="s">
        <v>73</v>
      </c>
      <c r="G19" s="13">
        <f t="shared" ref="G19:I19" si="15">G15*400</f>
        <v>1223040000</v>
      </c>
      <c r="H19" s="13">
        <f t="shared" si="15"/>
        <v>88320000</v>
      </c>
      <c r="I19" s="13">
        <f t="shared" si="15"/>
        <v>1068800000</v>
      </c>
      <c r="J19" s="12">
        <f t="shared" ref="J19:L19" si="16">G19/1000</f>
        <v>1223040</v>
      </c>
      <c r="K19" s="22">
        <f t="shared" si="16"/>
        <v>88320</v>
      </c>
      <c r="L19" s="12">
        <f t="shared" si="16"/>
        <v>1068800</v>
      </c>
    </row>
    <row r="20">
      <c r="A20" s="11" t="s">
        <v>146</v>
      </c>
      <c r="K20" s="10" t="s">
        <v>647</v>
      </c>
    </row>
    <row r="21">
      <c r="A21" s="8" t="s">
        <v>147</v>
      </c>
    </row>
    <row r="22">
      <c r="A22" s="42"/>
      <c r="B22" s="8" t="s">
        <v>648</v>
      </c>
    </row>
    <row r="23">
      <c r="A23" s="8" t="s">
        <v>274</v>
      </c>
      <c r="B23" s="8">
        <v>1500.0</v>
      </c>
    </row>
    <row r="24">
      <c r="A24" s="42" t="s">
        <v>16</v>
      </c>
      <c r="B24" s="8">
        <v>1050.0</v>
      </c>
    </row>
    <row r="25">
      <c r="A25" s="42" t="s">
        <v>276</v>
      </c>
      <c r="B25" s="8">
        <v>250.0</v>
      </c>
    </row>
    <row r="26">
      <c r="A26" s="8"/>
      <c r="B26" s="68"/>
    </row>
    <row r="29">
      <c r="A29" s="8" t="s">
        <v>649</v>
      </c>
      <c r="C29" s="8" t="s">
        <v>650</v>
      </c>
    </row>
    <row r="30">
      <c r="A30" s="69" t="s">
        <v>651</v>
      </c>
      <c r="B30" s="8" t="s">
        <v>63</v>
      </c>
      <c r="C30" s="13">
        <f>27200000*1600</f>
        <v>43520000000</v>
      </c>
    </row>
    <row r="31">
      <c r="A31" s="70" t="s">
        <v>652</v>
      </c>
      <c r="B31" s="8" t="s">
        <v>65</v>
      </c>
      <c r="C31" s="13">
        <f>27200000*2500</f>
        <v>68000000000</v>
      </c>
    </row>
    <row r="32">
      <c r="A32" s="16" t="s">
        <v>653</v>
      </c>
      <c r="C32" s="8" t="s">
        <v>68</v>
      </c>
      <c r="D32" s="8" t="s">
        <v>69</v>
      </c>
      <c r="E32" s="8" t="s">
        <v>515</v>
      </c>
      <c r="F32" s="8" t="s">
        <v>654</v>
      </c>
    </row>
    <row r="33">
      <c r="A33" s="11" t="s">
        <v>655</v>
      </c>
      <c r="B33" s="8" t="s">
        <v>71</v>
      </c>
      <c r="C33" s="13">
        <f>27200000*165</f>
        <v>4488000000</v>
      </c>
      <c r="D33" s="13">
        <f t="shared" ref="D33:D34" si="17">C33/1000</f>
        <v>4488000</v>
      </c>
      <c r="E33" s="13">
        <f t="shared" ref="E33:E34" si="18">D33/22.5</f>
        <v>199466.6667</v>
      </c>
    </row>
    <row r="34">
      <c r="B34" s="8" t="s">
        <v>73</v>
      </c>
      <c r="C34" s="13">
        <f>27200000*400</f>
        <v>10880000000</v>
      </c>
      <c r="D34" s="13">
        <f t="shared" si="17"/>
        <v>10880000</v>
      </c>
      <c r="E34" s="13">
        <f t="shared" si="18"/>
        <v>483555.5556</v>
      </c>
    </row>
    <row r="36">
      <c r="C36" s="8" t="s">
        <v>656</v>
      </c>
    </row>
    <row r="37">
      <c r="C37" s="13">
        <f>463000/22.5</f>
        <v>20577.77778</v>
      </c>
    </row>
    <row r="39">
      <c r="A39" s="71"/>
    </row>
    <row r="40">
      <c r="C40" s="38"/>
      <c r="D40" s="38"/>
      <c r="E40" s="38"/>
      <c r="F40" s="38"/>
      <c r="I40" s="38"/>
      <c r="J40" s="38"/>
      <c r="K40" s="38"/>
      <c r="L40" s="38"/>
    </row>
    <row r="41">
      <c r="B41" s="55"/>
      <c r="C41" s="55"/>
      <c r="D41" s="55"/>
      <c r="E41" s="55"/>
      <c r="F41" s="55"/>
      <c r="H41" s="72"/>
      <c r="I41" s="72"/>
      <c r="J41" s="72"/>
      <c r="K41" s="72"/>
      <c r="L41" s="72"/>
    </row>
    <row r="42">
      <c r="B42" s="55"/>
      <c r="H42" s="72"/>
      <c r="I42" s="72"/>
      <c r="J42" s="72"/>
      <c r="K42" s="72"/>
      <c r="L42" s="72"/>
    </row>
    <row r="43">
      <c r="B43" s="55"/>
      <c r="C43" s="55"/>
      <c r="F43" s="55"/>
      <c r="H43" s="72"/>
      <c r="I43" s="72"/>
      <c r="J43" s="72"/>
      <c r="K43" s="72"/>
      <c r="L43" s="72"/>
    </row>
    <row r="44">
      <c r="B44" s="55"/>
      <c r="C44" s="55"/>
      <c r="D44" s="55"/>
      <c r="E44" s="55"/>
      <c r="F44" s="55"/>
      <c r="H44" s="72"/>
      <c r="I44" s="72"/>
      <c r="J44" s="72"/>
      <c r="K44" s="72"/>
      <c r="L44" s="72"/>
    </row>
    <row r="45">
      <c r="E45" s="55"/>
      <c r="F45" s="55"/>
      <c r="H45" s="72"/>
      <c r="I45" s="72"/>
      <c r="J45" s="72"/>
      <c r="K45" s="72"/>
      <c r="L45" s="72"/>
    </row>
    <row r="46">
      <c r="B46" s="55"/>
      <c r="C46" s="55"/>
      <c r="D46" s="55"/>
      <c r="E46" s="55"/>
      <c r="H46" s="72"/>
      <c r="I46" s="72"/>
      <c r="J46" s="72"/>
      <c r="K46" s="72"/>
      <c r="L46" s="72"/>
    </row>
    <row r="47">
      <c r="B47" s="55"/>
      <c r="C47" s="55"/>
      <c r="D47" s="55"/>
      <c r="E47" s="55"/>
      <c r="F47" s="55"/>
      <c r="H47" s="72"/>
      <c r="I47" s="72"/>
      <c r="J47" s="72"/>
      <c r="K47" s="72"/>
      <c r="L47" s="72"/>
    </row>
    <row r="50">
      <c r="D50" s="55"/>
    </row>
    <row r="59">
      <c r="A59" s="8"/>
    </row>
  </sheetData>
  <hyperlinks>
    <hyperlink r:id="rId1" ref="A6"/>
    <hyperlink r:id="rId2" ref="A12"/>
    <hyperlink r:id="rId3" ref="A20"/>
    <hyperlink r:id="rId4" ref="A32"/>
    <hyperlink r:id="rId5" ref="A33"/>
  </hyperlinks>
  <drawing r:id="rId6"/>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2" max="2" width="41.14"/>
    <col customWidth="1" min="3" max="3" width="33.14"/>
    <col customWidth="1" min="4" max="5" width="18.43"/>
  </cols>
  <sheetData>
    <row r="1">
      <c r="A1" s="3" t="s">
        <v>0</v>
      </c>
      <c r="B1" s="3" t="s">
        <v>657</v>
      </c>
      <c r="C1" s="3" t="s">
        <v>658</v>
      </c>
      <c r="D1" s="3" t="s">
        <v>659</v>
      </c>
      <c r="E1" s="1"/>
    </row>
    <row r="2">
      <c r="A2" s="60" t="s">
        <v>6</v>
      </c>
      <c r="B2" s="73" t="s">
        <v>660</v>
      </c>
      <c r="C2" s="73" t="s">
        <v>661</v>
      </c>
      <c r="D2" s="73" t="s">
        <v>662</v>
      </c>
      <c r="E2" s="2"/>
    </row>
    <row r="3">
      <c r="A3" s="60" t="s">
        <v>663</v>
      </c>
      <c r="B3" s="74" t="s">
        <v>664</v>
      </c>
      <c r="C3" s="74"/>
      <c r="D3" s="74" t="s">
        <v>665</v>
      </c>
      <c r="E3" s="1"/>
    </row>
    <row r="4">
      <c r="A4" s="60" t="s">
        <v>666</v>
      </c>
      <c r="B4" s="73" t="s">
        <v>667</v>
      </c>
      <c r="C4" s="73" t="s">
        <v>668</v>
      </c>
      <c r="D4" s="73" t="s">
        <v>669</v>
      </c>
      <c r="E4" s="2"/>
    </row>
    <row r="5">
      <c r="A5" s="60" t="s">
        <v>38</v>
      </c>
      <c r="B5" s="73" t="s">
        <v>670</v>
      </c>
      <c r="C5" s="73" t="s">
        <v>671</v>
      </c>
      <c r="D5" s="73" t="s">
        <v>672</v>
      </c>
      <c r="E5" s="3"/>
    </row>
    <row r="6">
      <c r="A6" s="60" t="s">
        <v>12</v>
      </c>
      <c r="B6" s="73" t="s">
        <v>376</v>
      </c>
      <c r="C6" s="73" t="s">
        <v>673</v>
      </c>
      <c r="D6" s="73" t="s">
        <v>674</v>
      </c>
      <c r="E6" s="1"/>
    </row>
    <row r="7">
      <c r="A7" s="60" t="s">
        <v>16</v>
      </c>
      <c r="B7" s="73" t="s">
        <v>675</v>
      </c>
      <c r="C7" s="50"/>
      <c r="D7" s="74"/>
      <c r="E7" s="1"/>
    </row>
    <row r="8">
      <c r="A8" s="60" t="s">
        <v>676</v>
      </c>
      <c r="B8" s="73" t="s">
        <v>677</v>
      </c>
      <c r="C8" s="73" t="s">
        <v>678</v>
      </c>
      <c r="D8" s="73" t="s">
        <v>679</v>
      </c>
      <c r="E8" s="2"/>
    </row>
    <row r="9">
      <c r="A9" s="60" t="s">
        <v>680</v>
      </c>
      <c r="B9" s="74" t="s">
        <v>681</v>
      </c>
      <c r="C9" s="74"/>
      <c r="D9" s="74"/>
      <c r="E9" s="2"/>
    </row>
    <row r="10">
      <c r="A10" s="60" t="s">
        <v>682</v>
      </c>
      <c r="B10" s="74" t="s">
        <v>683</v>
      </c>
      <c r="C10" s="74"/>
      <c r="D10" s="74"/>
      <c r="E10" s="27"/>
    </row>
    <row r="11">
      <c r="A11" s="60" t="s">
        <v>342</v>
      </c>
      <c r="B11" s="74" t="s">
        <v>684</v>
      </c>
      <c r="C11" s="74"/>
      <c r="D11" s="74"/>
      <c r="E11" s="2"/>
    </row>
    <row r="12">
      <c r="A12" s="60" t="s">
        <v>32</v>
      </c>
      <c r="B12" s="74" t="s">
        <v>685</v>
      </c>
      <c r="C12" s="74"/>
      <c r="D12" s="74"/>
      <c r="E12" s="2"/>
    </row>
    <row r="13">
      <c r="A13" s="60" t="s">
        <v>686</v>
      </c>
      <c r="B13" s="74" t="s">
        <v>687</v>
      </c>
      <c r="C13" s="74"/>
      <c r="D13" s="74"/>
      <c r="E13" s="2"/>
    </row>
    <row r="14">
      <c r="A14" s="60" t="s">
        <v>33</v>
      </c>
      <c r="B14" s="74" t="s">
        <v>688</v>
      </c>
      <c r="C14" s="74" t="s">
        <v>689</v>
      </c>
      <c r="D14" s="73" t="s">
        <v>690</v>
      </c>
      <c r="E14" s="1"/>
    </row>
    <row r="15">
      <c r="C15" s="1"/>
      <c r="D15" s="1"/>
      <c r="E15" s="2"/>
    </row>
    <row r="16">
      <c r="C16" s="2"/>
      <c r="D16" s="2"/>
      <c r="E16" s="2"/>
    </row>
    <row r="17">
      <c r="C17" s="1"/>
      <c r="D17" s="1"/>
      <c r="E17" s="1"/>
    </row>
    <row r="18">
      <c r="A18" s="1"/>
      <c r="B18" s="2"/>
      <c r="C18" s="2"/>
      <c r="D18" s="2"/>
      <c r="E18" s="2"/>
    </row>
    <row r="20">
      <c r="A20" s="3"/>
    </row>
  </sheetData>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18.43"/>
    <col customWidth="1" min="2" max="2" width="31.29"/>
    <col customWidth="1" min="3" max="3" width="19.71"/>
    <col customWidth="1" min="7" max="7" width="29.57"/>
    <col customWidth="1" min="8" max="8" width="31.14"/>
    <col customWidth="1" min="9" max="9" width="29.0"/>
  </cols>
  <sheetData>
    <row r="1">
      <c r="A1" s="8" t="s">
        <v>626</v>
      </c>
    </row>
    <row r="2">
      <c r="A2" s="8" t="s">
        <v>632</v>
      </c>
      <c r="B2" s="8" t="s">
        <v>691</v>
      </c>
      <c r="C2" s="8" t="s">
        <v>692</v>
      </c>
      <c r="H2" s="8" t="s">
        <v>693</v>
      </c>
      <c r="I2" s="8" t="s">
        <v>694</v>
      </c>
      <c r="J2" s="8" t="s">
        <v>695</v>
      </c>
      <c r="K2" s="8" t="s">
        <v>696</v>
      </c>
    </row>
    <row r="3">
      <c r="A3" s="75" t="s">
        <v>697</v>
      </c>
      <c r="E3" s="8" t="s">
        <v>698</v>
      </c>
      <c r="F3" s="8" t="s">
        <v>699</v>
      </c>
      <c r="G3" s="8" t="s">
        <v>700</v>
      </c>
      <c r="H3" s="8" t="s">
        <v>701</v>
      </c>
      <c r="J3" s="8" t="s">
        <v>702</v>
      </c>
      <c r="L3" s="63">
        <f>349*30*10^6</f>
        <v>10470000000</v>
      </c>
    </row>
    <row r="4">
      <c r="A4" s="8" t="s">
        <v>703</v>
      </c>
      <c r="B4" s="63">
        <f t="shared" ref="B4:B12" si="1">G4/0.3033+H4/0.133</f>
        <v>76061.26345</v>
      </c>
      <c r="E4" s="8">
        <v>0.29</v>
      </c>
      <c r="F4" s="55">
        <v>0.015</v>
      </c>
      <c r="G4" s="63">
        <f t="shared" ref="G4:G12" si="2">$J$4*E4/10^6</f>
        <v>20110.13665</v>
      </c>
      <c r="H4" s="63">
        <f t="shared" ref="H4:H11" si="3">F4*$J$7/10^6</f>
        <v>1297.657519</v>
      </c>
      <c r="J4" s="66">
        <f>30*8760*0.87*303.3*1000</f>
        <v>69345298800</v>
      </c>
    </row>
    <row r="5">
      <c r="A5" s="8" t="s">
        <v>33</v>
      </c>
      <c r="B5" s="63">
        <f t="shared" si="1"/>
        <v>136433.4665</v>
      </c>
      <c r="E5" s="8">
        <v>0.5</v>
      </c>
      <c r="F5" s="55">
        <v>0.034</v>
      </c>
      <c r="G5" s="63">
        <f t="shared" si="2"/>
        <v>34672.6494</v>
      </c>
      <c r="H5" s="63">
        <f t="shared" si="3"/>
        <v>2941.357044</v>
      </c>
    </row>
    <row r="6">
      <c r="A6" s="8" t="s">
        <v>686</v>
      </c>
      <c r="B6" s="63">
        <f t="shared" si="1"/>
        <v>3914.450814</v>
      </c>
      <c r="E6" s="55">
        <v>0.012</v>
      </c>
      <c r="F6" s="55">
        <v>0.0018</v>
      </c>
      <c r="G6" s="63">
        <f t="shared" si="2"/>
        <v>832.1435856</v>
      </c>
      <c r="H6" s="63">
        <f t="shared" si="3"/>
        <v>155.7189023</v>
      </c>
      <c r="J6" s="8" t="s">
        <v>704</v>
      </c>
      <c r="K6" s="8" t="s">
        <v>705</v>
      </c>
    </row>
    <row r="7">
      <c r="A7" s="8" t="s">
        <v>706</v>
      </c>
      <c r="B7" s="63">
        <f t="shared" si="1"/>
        <v>2386.301402</v>
      </c>
      <c r="E7" s="55">
        <v>0.0091</v>
      </c>
      <c r="F7" s="55">
        <v>4.7E-4</v>
      </c>
      <c r="G7" s="63">
        <f t="shared" si="2"/>
        <v>631.0422191</v>
      </c>
      <c r="H7" s="63">
        <f t="shared" si="3"/>
        <v>40.6599356</v>
      </c>
      <c r="J7" s="63">
        <f>91441/1000*3600*8760*30</f>
        <v>86510501280</v>
      </c>
    </row>
    <row r="8">
      <c r="A8" s="8" t="s">
        <v>64</v>
      </c>
      <c r="B8" s="63">
        <f t="shared" si="1"/>
        <v>597.4128387</v>
      </c>
      <c r="E8" s="55">
        <v>0.0023</v>
      </c>
      <c r="F8" s="55">
        <v>1.1E-4</v>
      </c>
      <c r="G8" s="63">
        <f t="shared" si="2"/>
        <v>159.4941872</v>
      </c>
      <c r="H8" s="63">
        <f t="shared" si="3"/>
        <v>9.516155141</v>
      </c>
    </row>
    <row r="9">
      <c r="A9" s="8" t="s">
        <v>682</v>
      </c>
      <c r="B9" s="63">
        <f t="shared" si="1"/>
        <v>7602.552155</v>
      </c>
      <c r="E9" s="55">
        <v>0.032</v>
      </c>
      <c r="F9" s="55">
        <v>4.4E-4</v>
      </c>
      <c r="G9" s="63">
        <f t="shared" si="2"/>
        <v>2219.049562</v>
      </c>
      <c r="H9" s="63">
        <f t="shared" si="3"/>
        <v>38.06462056</v>
      </c>
    </row>
    <row r="10">
      <c r="A10" s="8" t="s">
        <v>663</v>
      </c>
      <c r="B10" s="63">
        <f t="shared" si="1"/>
        <v>38337.98822</v>
      </c>
      <c r="E10" s="8">
        <v>0.16</v>
      </c>
      <c r="F10" s="55">
        <v>0.0027</v>
      </c>
      <c r="G10" s="63">
        <f t="shared" si="2"/>
        <v>11095.24781</v>
      </c>
      <c r="H10" s="63">
        <f t="shared" si="3"/>
        <v>233.5783535</v>
      </c>
    </row>
    <row r="11">
      <c r="A11" s="8" t="s">
        <v>342</v>
      </c>
      <c r="B11" s="63">
        <f t="shared" si="1"/>
        <v>732.8060188</v>
      </c>
      <c r="E11" s="55">
        <v>0.0032</v>
      </c>
      <c r="F11" s="55">
        <v>1.8E-6</v>
      </c>
      <c r="G11" s="63">
        <f t="shared" si="2"/>
        <v>221.9049562</v>
      </c>
      <c r="H11" s="63">
        <f t="shared" si="3"/>
        <v>0.1557189023</v>
      </c>
      <c r="L11" s="13">
        <f>192*433/1000</f>
        <v>83.136</v>
      </c>
    </row>
    <row r="12">
      <c r="A12" s="8" t="s">
        <v>680</v>
      </c>
      <c r="B12" s="63">
        <f t="shared" si="1"/>
        <v>2149.1784</v>
      </c>
      <c r="E12" s="55">
        <v>0.0094</v>
      </c>
      <c r="F12" s="8" t="s">
        <v>645</v>
      </c>
      <c r="G12" s="63">
        <f t="shared" si="2"/>
        <v>651.8458087</v>
      </c>
      <c r="H12" s="63"/>
      <c r="L12" s="8">
        <f>22058*433/1000</f>
        <v>9551.114</v>
      </c>
    </row>
    <row r="13">
      <c r="L13" s="13">
        <f>L12+L11</f>
        <v>9634.25</v>
      </c>
    </row>
    <row r="15">
      <c r="A15" s="9" t="s">
        <v>48</v>
      </c>
    </row>
    <row r="16">
      <c r="A16" s="10" t="s">
        <v>49</v>
      </c>
    </row>
    <row r="17">
      <c r="A17" s="47"/>
    </row>
    <row r="18">
      <c r="A18" s="16" t="s">
        <v>315</v>
      </c>
    </row>
    <row r="19">
      <c r="B19" s="62" t="s">
        <v>707</v>
      </c>
      <c r="C19" s="62" t="s">
        <v>708</v>
      </c>
      <c r="D19" s="8" t="s">
        <v>709</v>
      </c>
      <c r="E19" s="8" t="s">
        <v>710</v>
      </c>
    </row>
    <row r="20">
      <c r="A20" s="8" t="s">
        <v>103</v>
      </c>
      <c r="B20" s="66">
        <v>46100.0</v>
      </c>
      <c r="C20" s="66">
        <v>0.0</v>
      </c>
      <c r="D20" s="66">
        <v>45200.0</v>
      </c>
      <c r="E20" s="66">
        <v>42600.0</v>
      </c>
    </row>
    <row r="21">
      <c r="A21" s="8" t="s">
        <v>12</v>
      </c>
      <c r="B21" s="66">
        <v>459000.0</v>
      </c>
      <c r="C21" s="66">
        <v>159000.0</v>
      </c>
      <c r="D21" s="66">
        <v>460000.0</v>
      </c>
      <c r="E21" s="66">
        <v>460000.0</v>
      </c>
    </row>
    <row r="22">
      <c r="A22" s="8" t="s">
        <v>38</v>
      </c>
      <c r="B22" s="66">
        <v>87400.0</v>
      </c>
      <c r="C22" s="66">
        <v>232000.0</v>
      </c>
      <c r="D22" s="66">
        <v>988000.0</v>
      </c>
      <c r="E22" s="66">
        <v>987000.0</v>
      </c>
    </row>
    <row r="23">
      <c r="A23" s="8" t="s">
        <v>666</v>
      </c>
      <c r="B23" s="66">
        <v>34000.0</v>
      </c>
      <c r="C23" s="66">
        <v>77000.0</v>
      </c>
      <c r="D23" s="66">
        <v>283000.0</v>
      </c>
      <c r="E23" s="66">
        <v>282000.0</v>
      </c>
    </row>
    <row r="24">
      <c r="A24" s="8" t="s">
        <v>291</v>
      </c>
      <c r="B24" s="66">
        <v>4280.0</v>
      </c>
      <c r="C24" s="66">
        <v>1600.0</v>
      </c>
      <c r="D24" s="66">
        <v>3900.0</v>
      </c>
      <c r="E24" s="66">
        <v>2800.0</v>
      </c>
    </row>
    <row r="25">
      <c r="A25" s="8" t="s">
        <v>33</v>
      </c>
      <c r="B25" s="66">
        <v>356000.0</v>
      </c>
      <c r="C25" s="66">
        <v>295000.0</v>
      </c>
      <c r="D25" s="66">
        <v>1206000.0</v>
      </c>
      <c r="E25" s="66">
        <v>1175000.0</v>
      </c>
    </row>
    <row r="27">
      <c r="A27" s="11" t="s">
        <v>711</v>
      </c>
      <c r="B27" s="8" t="s">
        <v>712</v>
      </c>
      <c r="C27" s="8" t="s">
        <v>713</v>
      </c>
      <c r="D27" s="8" t="s">
        <v>714</v>
      </c>
      <c r="E27" s="8" t="s">
        <v>715</v>
      </c>
      <c r="F27" s="8" t="s">
        <v>716</v>
      </c>
      <c r="G27" s="8" t="s">
        <v>717</v>
      </c>
    </row>
    <row r="28">
      <c r="A28" s="8" t="s">
        <v>718</v>
      </c>
      <c r="C28" s="8" t="s">
        <v>719</v>
      </c>
    </row>
    <row r="29">
      <c r="B29" s="8" t="s">
        <v>410</v>
      </c>
      <c r="C29" s="8" t="s">
        <v>720</v>
      </c>
      <c r="D29" s="8" t="s">
        <v>721</v>
      </c>
    </row>
    <row r="30">
      <c r="A30" s="8" t="s">
        <v>38</v>
      </c>
      <c r="B30" s="13">
        <f>0.00081+0.000016</f>
        <v>0.000826</v>
      </c>
      <c r="C30" s="13">
        <f t="shared" ref="C30:C39" si="4">(21760+1280)*10^6*B30/1000</f>
        <v>19031.04</v>
      </c>
      <c r="D30" s="76">
        <f t="shared" ref="D30:D39" si="5">C30/0.061</f>
        <v>311984.2623</v>
      </c>
    </row>
    <row r="31">
      <c r="A31" s="8" t="s">
        <v>33</v>
      </c>
      <c r="B31" s="13">
        <f>0.00033+0.00000077</f>
        <v>0.00033077</v>
      </c>
      <c r="C31" s="13">
        <f t="shared" si="4"/>
        <v>7620.9408</v>
      </c>
      <c r="D31" s="76">
        <f t="shared" si="5"/>
        <v>124933.4557</v>
      </c>
    </row>
    <row r="32">
      <c r="A32" s="8" t="s">
        <v>722</v>
      </c>
      <c r="B32" s="13">
        <f>0.00025+0.0000032</f>
        <v>0.0002532</v>
      </c>
      <c r="C32" s="13">
        <f t="shared" si="4"/>
        <v>5833.728</v>
      </c>
      <c r="D32" s="63">
        <f t="shared" si="5"/>
        <v>95634.88525</v>
      </c>
    </row>
    <row r="33">
      <c r="A33" s="8" t="s">
        <v>666</v>
      </c>
      <c r="B33" s="13">
        <f>0.000094</f>
        <v>0.000094</v>
      </c>
      <c r="C33" s="13">
        <f t="shared" si="4"/>
        <v>2165.76</v>
      </c>
      <c r="D33" s="63">
        <f t="shared" si="5"/>
        <v>35504.2623</v>
      </c>
    </row>
    <row r="34">
      <c r="A34" s="8" t="s">
        <v>64</v>
      </c>
      <c r="B34" s="8">
        <f>0.00005</f>
        <v>0.00005</v>
      </c>
      <c r="C34" s="13">
        <f t="shared" si="4"/>
        <v>1152</v>
      </c>
      <c r="D34" s="76">
        <f t="shared" si="5"/>
        <v>18885.2459</v>
      </c>
    </row>
    <row r="35">
      <c r="A35" s="8" t="s">
        <v>723</v>
      </c>
      <c r="B35" s="8">
        <f>0.000035</f>
        <v>0.000035</v>
      </c>
      <c r="C35" s="13">
        <f t="shared" si="4"/>
        <v>806.4</v>
      </c>
      <c r="D35" s="63">
        <f t="shared" si="5"/>
        <v>13219.67213</v>
      </c>
    </row>
    <row r="36">
      <c r="A36" s="8" t="s">
        <v>103</v>
      </c>
      <c r="B36" s="8">
        <f>0.000027</f>
        <v>0.000027</v>
      </c>
      <c r="C36" s="13">
        <f t="shared" si="4"/>
        <v>622.08</v>
      </c>
      <c r="D36" s="76">
        <f t="shared" si="5"/>
        <v>10198.03279</v>
      </c>
    </row>
    <row r="37">
      <c r="A37" s="8" t="s">
        <v>724</v>
      </c>
      <c r="B37" s="13">
        <f>0.0000041</f>
        <v>0.0000041</v>
      </c>
      <c r="C37" s="13">
        <f t="shared" si="4"/>
        <v>94.464</v>
      </c>
      <c r="D37" s="63">
        <f t="shared" si="5"/>
        <v>1548.590164</v>
      </c>
    </row>
    <row r="38">
      <c r="A38" s="8" t="s">
        <v>725</v>
      </c>
      <c r="B38" s="13">
        <f>0.0000028</f>
        <v>0.0000028</v>
      </c>
      <c r="C38" s="13">
        <f t="shared" si="4"/>
        <v>64.512</v>
      </c>
      <c r="D38" s="63">
        <f t="shared" si="5"/>
        <v>1057.57377</v>
      </c>
    </row>
    <row r="39">
      <c r="A39" s="8" t="s">
        <v>726</v>
      </c>
      <c r="B39" s="13">
        <f>0.00000083</f>
        <v>0.00000083</v>
      </c>
      <c r="C39" s="13">
        <f t="shared" si="4"/>
        <v>19.1232</v>
      </c>
      <c r="D39" s="63">
        <f t="shared" si="5"/>
        <v>313.495082</v>
      </c>
    </row>
    <row r="40">
      <c r="D40" s="8"/>
      <c r="E40" s="8"/>
    </row>
    <row r="41">
      <c r="E41" s="8"/>
    </row>
    <row r="42">
      <c r="B42" s="8" t="s">
        <v>727</v>
      </c>
    </row>
    <row r="43">
      <c r="A43" s="8" t="s">
        <v>728</v>
      </c>
      <c r="B43" s="8" t="s">
        <v>729</v>
      </c>
      <c r="C43" s="8"/>
      <c r="D43" s="8"/>
      <c r="E43" s="8"/>
      <c r="G43" s="8"/>
      <c r="H43" s="8"/>
      <c r="J43" s="8" t="s">
        <v>730</v>
      </c>
      <c r="K43" s="8" t="s">
        <v>731</v>
      </c>
    </row>
    <row r="44">
      <c r="A44" s="11" t="s">
        <v>732</v>
      </c>
    </row>
    <row r="45">
      <c r="A45" s="8"/>
      <c r="B45" s="8" t="s">
        <v>733</v>
      </c>
      <c r="C45" s="8" t="s">
        <v>734</v>
      </c>
      <c r="D45" s="8" t="s">
        <v>735</v>
      </c>
      <c r="E45" s="8" t="s">
        <v>736</v>
      </c>
      <c r="F45" s="8" t="s">
        <v>737</v>
      </c>
      <c r="G45" s="8" t="s">
        <v>738</v>
      </c>
      <c r="H45" s="8" t="s">
        <v>739</v>
      </c>
    </row>
    <row r="46">
      <c r="A46" s="8" t="s">
        <v>703</v>
      </c>
      <c r="B46" s="8">
        <v>1737190.0</v>
      </c>
      <c r="C46" s="8">
        <v>272972.0</v>
      </c>
      <c r="D46" s="8">
        <v>1230000.0</v>
      </c>
      <c r="F46" s="77">
        <v>1555660.0</v>
      </c>
      <c r="H46" s="8">
        <v>637500.0</v>
      </c>
      <c r="J46" s="13">
        <f t="shared" ref="J46:J51" si="6">sum(B46:H46)/1000</f>
        <v>5433.322</v>
      </c>
      <c r="K46" s="13">
        <f t="shared" ref="K46:K51" si="7">J46/(20/1000)</f>
        <v>271666.1</v>
      </c>
    </row>
    <row r="47">
      <c r="A47" s="8" t="s">
        <v>666</v>
      </c>
      <c r="B47" s="8">
        <v>832324.0</v>
      </c>
      <c r="C47" s="8">
        <v>130600.0</v>
      </c>
      <c r="J47" s="13">
        <f t="shared" si="6"/>
        <v>962.924</v>
      </c>
      <c r="K47" s="13">
        <f t="shared" si="7"/>
        <v>48146.2</v>
      </c>
    </row>
    <row r="48">
      <c r="A48" s="8" t="s">
        <v>103</v>
      </c>
      <c r="D48" s="8">
        <v>9000.0</v>
      </c>
      <c r="E48" s="8">
        <v>12962.0</v>
      </c>
      <c r="G48" s="8">
        <v>5680.0</v>
      </c>
      <c r="H48" s="8">
        <f>500+810</f>
        <v>1310</v>
      </c>
      <c r="J48" s="13">
        <f t="shared" si="6"/>
        <v>28.952</v>
      </c>
      <c r="K48" s="13">
        <f t="shared" si="7"/>
        <v>1447.6</v>
      </c>
    </row>
    <row r="49">
      <c r="A49" s="8" t="s">
        <v>64</v>
      </c>
      <c r="F49" s="8">
        <v>4000.0</v>
      </c>
      <c r="G49" s="8">
        <v>16200.0</v>
      </c>
      <c r="H49" s="8">
        <f>150+30000</f>
        <v>30150</v>
      </c>
      <c r="J49" s="13">
        <f t="shared" si="6"/>
        <v>50.35</v>
      </c>
      <c r="K49" s="13">
        <f t="shared" si="7"/>
        <v>2517.5</v>
      </c>
    </row>
    <row r="50">
      <c r="A50" s="8" t="s">
        <v>740</v>
      </c>
      <c r="F50" s="8">
        <v>13400.0</v>
      </c>
      <c r="G50" s="8">
        <v>12120.0</v>
      </c>
      <c r="H50" s="8">
        <v>450.0</v>
      </c>
      <c r="J50" s="13">
        <f t="shared" si="6"/>
        <v>25.97</v>
      </c>
      <c r="K50" s="13">
        <f t="shared" si="7"/>
        <v>1298.5</v>
      </c>
    </row>
    <row r="51">
      <c r="A51" s="8" t="s">
        <v>342</v>
      </c>
      <c r="D51" s="8">
        <v>1250.0</v>
      </c>
      <c r="E51" s="8">
        <v>36565.0</v>
      </c>
      <c r="H51" s="8">
        <f>81900+637500+15000</f>
        <v>734400</v>
      </c>
      <c r="J51" s="13">
        <f t="shared" si="6"/>
        <v>772.215</v>
      </c>
      <c r="K51" s="13">
        <f t="shared" si="7"/>
        <v>38610.75</v>
      </c>
    </row>
    <row r="52">
      <c r="A52" s="8"/>
      <c r="B52" s="8"/>
      <c r="C52" s="8"/>
      <c r="D52" s="8"/>
    </row>
    <row r="53">
      <c r="A53" s="8"/>
      <c r="B53" s="8" t="s">
        <v>741</v>
      </c>
      <c r="C53" s="8" t="s">
        <v>742</v>
      </c>
      <c r="D53" s="8" t="s">
        <v>57</v>
      </c>
    </row>
    <row r="54">
      <c r="A54" s="8" t="s">
        <v>743</v>
      </c>
      <c r="B54" s="8" t="s">
        <v>744</v>
      </c>
      <c r="C54" s="13">
        <f>1458476+228971+43000+163736+313398+9800+600+76400+8080+68250+18000+8190+11500+170000+150000+220000</f>
        <v>2948401</v>
      </c>
      <c r="D54" s="12">
        <f>(C54/1000)/(20/1000)</f>
        <v>147420.05</v>
      </c>
    </row>
    <row r="57">
      <c r="A57" s="8" t="s">
        <v>745</v>
      </c>
      <c r="B57" s="8" t="s">
        <v>659</v>
      </c>
    </row>
    <row r="58">
      <c r="A58" s="16" t="s">
        <v>746</v>
      </c>
      <c r="C58" s="8" t="s">
        <v>721</v>
      </c>
      <c r="D58" s="8">
        <v>3.7</v>
      </c>
      <c r="E58" s="8" t="s">
        <v>747</v>
      </c>
    </row>
    <row r="59">
      <c r="A59" s="8" t="s">
        <v>663</v>
      </c>
      <c r="B59" s="13">
        <f>747+541</f>
        <v>1288</v>
      </c>
      <c r="C59" s="13">
        <f t="shared" ref="C59:C64" si="8">B59/($D$58/1000)</f>
        <v>348108.1081</v>
      </c>
    </row>
    <row r="60">
      <c r="A60" s="8" t="s">
        <v>666</v>
      </c>
      <c r="B60" s="13">
        <f>98+3</f>
        <v>101</v>
      </c>
      <c r="C60" s="13">
        <f t="shared" si="8"/>
        <v>27297.2973</v>
      </c>
    </row>
    <row r="61">
      <c r="A61" s="8" t="s">
        <v>748</v>
      </c>
      <c r="B61" s="13">
        <f>89+0</f>
        <v>89</v>
      </c>
      <c r="C61" s="13">
        <f t="shared" si="8"/>
        <v>24054.05405</v>
      </c>
    </row>
    <row r="62">
      <c r="A62" s="8" t="s">
        <v>33</v>
      </c>
      <c r="B62" s="13">
        <f>528+391+77+1999+291+33+59</f>
        <v>3378</v>
      </c>
      <c r="C62" s="13">
        <f t="shared" si="8"/>
        <v>912972.973</v>
      </c>
    </row>
    <row r="63">
      <c r="A63" s="8" t="s">
        <v>703</v>
      </c>
      <c r="B63" s="13">
        <f>448+128+119+32</f>
        <v>727</v>
      </c>
      <c r="C63" s="13">
        <f t="shared" si="8"/>
        <v>196486.4865</v>
      </c>
    </row>
    <row r="64">
      <c r="A64" s="8" t="s">
        <v>103</v>
      </c>
      <c r="B64" s="13">
        <f>11+25+0</f>
        <v>36</v>
      </c>
      <c r="C64" s="13">
        <f t="shared" si="8"/>
        <v>9729.72973</v>
      </c>
    </row>
  </sheetData>
  <hyperlinks>
    <hyperlink r:id="rId1" ref="A3"/>
    <hyperlink r:id="rId2" ref="A18"/>
    <hyperlink r:id="rId3" ref="A27"/>
    <hyperlink r:id="rId4" ref="A44"/>
    <hyperlink r:id="rId5" ref="A58"/>
  </hyperlinks>
  <drawing r:id="rId6"/>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sheetData>
    <row r="1">
      <c r="A1" s="8" t="s">
        <v>749</v>
      </c>
    </row>
    <row r="2">
      <c r="A2" s="8" t="s">
        <v>750</v>
      </c>
    </row>
    <row r="3">
      <c r="A3" s="8" t="s">
        <v>751</v>
      </c>
    </row>
    <row r="4">
      <c r="A4" s="78" t="s">
        <v>752</v>
      </c>
    </row>
    <row r="5">
      <c r="A5" s="79" t="s">
        <v>753</v>
      </c>
    </row>
    <row r="6">
      <c r="A6" s="9" t="s">
        <v>754</v>
      </c>
    </row>
    <row r="8">
      <c r="A8" s="80" t="s">
        <v>755</v>
      </c>
    </row>
    <row r="9">
      <c r="A9" s="16" t="s">
        <v>756</v>
      </c>
    </row>
    <row r="10">
      <c r="A10" s="79" t="s">
        <v>757</v>
      </c>
    </row>
    <row r="11">
      <c r="B11" s="8" t="s">
        <v>758</v>
      </c>
    </row>
    <row r="12">
      <c r="A12" s="8" t="s">
        <v>759</v>
      </c>
      <c r="B12" s="9">
        <v>0.4</v>
      </c>
    </row>
    <row r="13">
      <c r="A13" s="8" t="s">
        <v>760</v>
      </c>
      <c r="B13" s="9">
        <v>54.7</v>
      </c>
    </row>
    <row r="14">
      <c r="A14" s="8" t="s">
        <v>761</v>
      </c>
      <c r="B14" s="9">
        <v>13.1</v>
      </c>
    </row>
    <row r="15">
      <c r="A15" s="8" t="s">
        <v>762</v>
      </c>
      <c r="B15" s="9">
        <v>31.8</v>
      </c>
    </row>
    <row r="17">
      <c r="A17" s="79" t="s">
        <v>763</v>
      </c>
    </row>
    <row r="18">
      <c r="B18" s="8" t="s">
        <v>764</v>
      </c>
    </row>
    <row r="19">
      <c r="A19" s="8" t="s">
        <v>759</v>
      </c>
      <c r="B19" s="9" t="s">
        <v>765</v>
      </c>
    </row>
    <row r="20">
      <c r="A20" s="8" t="s">
        <v>760</v>
      </c>
      <c r="B20" s="9" t="s">
        <v>766</v>
      </c>
    </row>
    <row r="21">
      <c r="A21" s="8" t="s">
        <v>761</v>
      </c>
      <c r="B21" s="9" t="s">
        <v>767</v>
      </c>
    </row>
    <row r="22">
      <c r="A22" s="8" t="s">
        <v>762</v>
      </c>
      <c r="B22" s="9" t="s">
        <v>768</v>
      </c>
    </row>
    <row r="24">
      <c r="A24" s="8" t="s">
        <v>769</v>
      </c>
      <c r="G24" s="8" t="s">
        <v>770</v>
      </c>
      <c r="K24" s="8" t="s">
        <v>771</v>
      </c>
    </row>
    <row r="25">
      <c r="A25" s="8" t="s">
        <v>772</v>
      </c>
      <c r="G25" s="8" t="s">
        <v>773</v>
      </c>
      <c r="K25" s="8" t="s">
        <v>774</v>
      </c>
    </row>
    <row r="26">
      <c r="A26" s="8" t="s">
        <v>775</v>
      </c>
    </row>
    <row r="27">
      <c r="A27" s="8" t="s">
        <v>776</v>
      </c>
    </row>
    <row r="28">
      <c r="A28" s="8" t="s">
        <v>777</v>
      </c>
    </row>
    <row r="29">
      <c r="A29" s="8" t="s">
        <v>778</v>
      </c>
    </row>
  </sheetData>
  <hyperlinks>
    <hyperlink r:id="rId1" ref="A4"/>
    <hyperlink r:id="rId2" ref="A9"/>
  </hyperlinks>
  <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6" max="6" width="19.29"/>
  </cols>
  <sheetData>
    <row r="1">
      <c r="A1" s="8" t="s">
        <v>46</v>
      </c>
      <c r="C1" s="8"/>
    </row>
    <row r="2">
      <c r="A2" s="8" t="s">
        <v>47</v>
      </c>
      <c r="C2" s="8"/>
    </row>
    <row r="3">
      <c r="A3" s="9" t="s">
        <v>48</v>
      </c>
      <c r="C3" s="8"/>
    </row>
    <row r="4">
      <c r="A4" s="10" t="s">
        <v>49</v>
      </c>
      <c r="C4" s="8"/>
    </row>
    <row r="5">
      <c r="A5" s="8"/>
      <c r="C5" s="8"/>
    </row>
    <row r="6">
      <c r="A6" s="8" t="s">
        <v>50</v>
      </c>
      <c r="C6" s="8" t="s">
        <v>51</v>
      </c>
    </row>
    <row r="7">
      <c r="A7" s="8" t="s">
        <v>52</v>
      </c>
    </row>
    <row r="8">
      <c r="A8" s="11" t="s">
        <v>53</v>
      </c>
    </row>
    <row r="9">
      <c r="A9" s="8" t="s">
        <v>54</v>
      </c>
    </row>
    <row r="10">
      <c r="A10" s="8" t="s">
        <v>55</v>
      </c>
    </row>
    <row r="11">
      <c r="B11" s="8" t="s">
        <v>56</v>
      </c>
      <c r="C11" s="8" t="s">
        <v>57</v>
      </c>
      <c r="D11" s="8" t="s">
        <v>58</v>
      </c>
    </row>
    <row r="12">
      <c r="A12" s="8" t="s">
        <v>12</v>
      </c>
      <c r="B12" s="8">
        <v>20067.0</v>
      </c>
      <c r="C12" s="12">
        <f t="shared" ref="C12:C18" si="1">B12*20</f>
        <v>401340</v>
      </c>
      <c r="D12" s="8" t="s">
        <v>59</v>
      </c>
      <c r="E12" s="8" t="s">
        <v>60</v>
      </c>
      <c r="F12" s="8" t="s">
        <v>61</v>
      </c>
    </row>
    <row r="13">
      <c r="A13" s="8" t="s">
        <v>62</v>
      </c>
      <c r="B13" s="8">
        <f>5360+664</f>
        <v>6024</v>
      </c>
      <c r="C13" s="12">
        <f t="shared" si="1"/>
        <v>120480</v>
      </c>
      <c r="E13" s="8" t="s">
        <v>63</v>
      </c>
      <c r="F13" s="13">
        <f>C12/1.6</f>
        <v>250837.5</v>
      </c>
    </row>
    <row r="14">
      <c r="A14" s="8" t="s">
        <v>64</v>
      </c>
      <c r="B14" s="8">
        <v>83.0</v>
      </c>
      <c r="C14" s="12">
        <f t="shared" si="1"/>
        <v>1660</v>
      </c>
      <c r="E14" s="8" t="s">
        <v>65</v>
      </c>
      <c r="F14" s="13">
        <f>C12/2.5</f>
        <v>160536</v>
      </c>
    </row>
    <row r="15">
      <c r="A15" s="8" t="s">
        <v>66</v>
      </c>
      <c r="B15" s="8">
        <v>2.0</v>
      </c>
      <c r="C15" s="12">
        <f t="shared" si="1"/>
        <v>40</v>
      </c>
    </row>
    <row r="16">
      <c r="A16" s="8" t="s">
        <v>67</v>
      </c>
      <c r="B16" s="8">
        <v>85.0</v>
      </c>
      <c r="C16" s="12">
        <f t="shared" si="1"/>
        <v>1700</v>
      </c>
      <c r="F16" s="8" t="s">
        <v>68</v>
      </c>
      <c r="G16" s="8" t="s">
        <v>69</v>
      </c>
    </row>
    <row r="17">
      <c r="A17" s="8" t="s">
        <v>70</v>
      </c>
      <c r="B17" s="8">
        <v>245.0</v>
      </c>
      <c r="C17" s="12">
        <f t="shared" si="1"/>
        <v>4900</v>
      </c>
      <c r="E17" s="8" t="s">
        <v>71</v>
      </c>
      <c r="F17" s="13">
        <f>F13*165</f>
        <v>41388187.5</v>
      </c>
      <c r="G17" s="12">
        <f t="shared" ref="G17:G18" si="2">F17/1000</f>
        <v>41388.1875</v>
      </c>
    </row>
    <row r="18">
      <c r="A18" s="8" t="s">
        <v>72</v>
      </c>
      <c r="B18" s="8">
        <v>449.0</v>
      </c>
      <c r="C18" s="12">
        <f t="shared" si="1"/>
        <v>8980</v>
      </c>
      <c r="E18" s="8" t="s">
        <v>73</v>
      </c>
      <c r="F18" s="13">
        <f>F14*400</f>
        <v>64214400</v>
      </c>
      <c r="G18" s="12">
        <f t="shared" si="2"/>
        <v>64214.4</v>
      </c>
    </row>
    <row r="19" ht="18.75" customHeight="1">
      <c r="A19" s="8"/>
      <c r="C19" s="8"/>
    </row>
    <row r="20" ht="18.75" customHeight="1">
      <c r="A20" s="8"/>
      <c r="C20" s="8"/>
    </row>
    <row r="21" ht="18.75" customHeight="1">
      <c r="A21" s="8"/>
      <c r="C21" s="8"/>
    </row>
    <row r="22" ht="18.75" customHeight="1">
      <c r="A22" s="8"/>
      <c r="C22" s="8"/>
    </row>
    <row r="23" ht="18.75" customHeight="1">
      <c r="A23" s="8" t="s">
        <v>74</v>
      </c>
      <c r="C23" s="8" t="s">
        <v>51</v>
      </c>
    </row>
    <row r="24">
      <c r="A24" s="8" t="s">
        <v>75</v>
      </c>
    </row>
    <row r="25">
      <c r="A25" s="11" t="s">
        <v>76</v>
      </c>
    </row>
    <row r="26">
      <c r="A26" s="8" t="s">
        <v>54</v>
      </c>
    </row>
    <row r="27">
      <c r="A27" s="8" t="s">
        <v>77</v>
      </c>
      <c r="B27" s="8"/>
      <c r="C27" s="8"/>
      <c r="D27" s="8"/>
    </row>
    <row r="28">
      <c r="B28" s="8" t="s">
        <v>56</v>
      </c>
      <c r="C28" s="8" t="s">
        <v>57</v>
      </c>
      <c r="D28" s="8" t="s">
        <v>58</v>
      </c>
      <c r="E28" s="8" t="s">
        <v>60</v>
      </c>
      <c r="F28" s="8" t="s">
        <v>61</v>
      </c>
    </row>
    <row r="29">
      <c r="A29" s="8" t="s">
        <v>12</v>
      </c>
      <c r="B29" s="8">
        <v>22836.0</v>
      </c>
      <c r="C29" s="12">
        <f t="shared" ref="C29:C35" si="3">B29*20</f>
        <v>456720</v>
      </c>
      <c r="D29" s="8" t="s">
        <v>59</v>
      </c>
      <c r="E29" s="8" t="s">
        <v>63</v>
      </c>
      <c r="F29" s="13">
        <f>C29/1.6</f>
        <v>285450</v>
      </c>
    </row>
    <row r="30">
      <c r="A30" s="8" t="s">
        <v>78</v>
      </c>
      <c r="B30" s="8">
        <f>5860+664</f>
        <v>6524</v>
      </c>
      <c r="C30" s="12">
        <f t="shared" si="3"/>
        <v>130480</v>
      </c>
      <c r="E30" s="8" t="s">
        <v>65</v>
      </c>
      <c r="F30" s="13">
        <f>C29/2.5</f>
        <v>182688</v>
      </c>
    </row>
    <row r="31">
      <c r="A31" s="8" t="s">
        <v>64</v>
      </c>
      <c r="B31" s="8">
        <v>85.0</v>
      </c>
      <c r="C31" s="12">
        <f t="shared" si="3"/>
        <v>1700</v>
      </c>
    </row>
    <row r="32">
      <c r="A32" s="8" t="s">
        <v>66</v>
      </c>
      <c r="B32" s="8">
        <v>2.0</v>
      </c>
      <c r="C32" s="12">
        <f t="shared" si="3"/>
        <v>40</v>
      </c>
      <c r="F32" s="8" t="s">
        <v>68</v>
      </c>
      <c r="G32" s="8" t="s">
        <v>69</v>
      </c>
    </row>
    <row r="33">
      <c r="A33" s="8" t="s">
        <v>67</v>
      </c>
      <c r="B33" s="8">
        <v>87.0</v>
      </c>
      <c r="C33" s="12">
        <f t="shared" si="3"/>
        <v>1740</v>
      </c>
      <c r="E33" s="8" t="s">
        <v>71</v>
      </c>
      <c r="F33" s="13">
        <f>F29*165</f>
        <v>47099250</v>
      </c>
      <c r="G33" s="12">
        <f t="shared" ref="G33:G34" si="4">F33/1000</f>
        <v>47099.25</v>
      </c>
    </row>
    <row r="34">
      <c r="A34" s="8" t="s">
        <v>70</v>
      </c>
      <c r="B34" s="8">
        <v>254.0</v>
      </c>
      <c r="C34" s="12">
        <f t="shared" si="3"/>
        <v>5080</v>
      </c>
      <c r="E34" s="8" t="s">
        <v>73</v>
      </c>
      <c r="F34" s="13">
        <f>F30*400</f>
        <v>73075200</v>
      </c>
      <c r="G34" s="12">
        <f t="shared" si="4"/>
        <v>73075.2</v>
      </c>
    </row>
    <row r="35">
      <c r="A35" s="8" t="s">
        <v>72</v>
      </c>
      <c r="B35" s="8">
        <v>370.0</v>
      </c>
      <c r="C35" s="12">
        <f t="shared" si="3"/>
        <v>7400</v>
      </c>
    </row>
    <row r="39">
      <c r="A39" s="8" t="s">
        <v>79</v>
      </c>
      <c r="C39" s="8" t="s">
        <v>51</v>
      </c>
    </row>
    <row r="40">
      <c r="A40" s="8" t="s">
        <v>80</v>
      </c>
    </row>
    <row r="41">
      <c r="A41" s="11" t="s">
        <v>81</v>
      </c>
    </row>
    <row r="42">
      <c r="A42" s="8" t="s">
        <v>82</v>
      </c>
    </row>
    <row r="43">
      <c r="A43" s="8" t="s">
        <v>83</v>
      </c>
    </row>
    <row r="44">
      <c r="B44" s="8" t="s">
        <v>56</v>
      </c>
      <c r="C44" s="8" t="s">
        <v>57</v>
      </c>
      <c r="D44" s="8" t="s">
        <v>58</v>
      </c>
      <c r="E44" s="8" t="s">
        <v>60</v>
      </c>
      <c r="F44" s="8" t="s">
        <v>61</v>
      </c>
    </row>
    <row r="45">
      <c r="A45" s="8" t="s">
        <v>12</v>
      </c>
      <c r="B45" s="8">
        <v>18772.0</v>
      </c>
      <c r="C45" s="12">
        <f t="shared" ref="C45:C51" si="5">B45*20</f>
        <v>375440</v>
      </c>
      <c r="D45" s="8" t="s">
        <v>59</v>
      </c>
      <c r="E45" s="8" t="s">
        <v>63</v>
      </c>
      <c r="F45" s="13">
        <f>C45/1.6</f>
        <v>234650</v>
      </c>
    </row>
    <row r="46">
      <c r="A46" s="8" t="s">
        <v>84</v>
      </c>
      <c r="B46" s="8">
        <v>6139.0</v>
      </c>
      <c r="C46" s="12">
        <f t="shared" si="5"/>
        <v>122780</v>
      </c>
      <c r="E46" s="8" t="s">
        <v>65</v>
      </c>
      <c r="F46" s="13">
        <f>C45/2.5</f>
        <v>150176</v>
      </c>
    </row>
    <row r="47">
      <c r="A47" s="8" t="s">
        <v>64</v>
      </c>
      <c r="B47" s="8">
        <v>166.0</v>
      </c>
      <c r="C47" s="12">
        <f t="shared" si="5"/>
        <v>3320</v>
      </c>
    </row>
    <row r="48">
      <c r="A48" s="8" t="s">
        <v>66</v>
      </c>
      <c r="B48" s="8">
        <v>0.0</v>
      </c>
      <c r="C48" s="12">
        <f t="shared" si="5"/>
        <v>0</v>
      </c>
      <c r="F48" s="8" t="s">
        <v>68</v>
      </c>
      <c r="G48" s="8" t="s">
        <v>69</v>
      </c>
    </row>
    <row r="49">
      <c r="A49" s="8" t="s">
        <v>67</v>
      </c>
      <c r="B49" s="8">
        <v>166.0</v>
      </c>
      <c r="C49" s="12">
        <f t="shared" si="5"/>
        <v>3320</v>
      </c>
      <c r="E49" s="8" t="s">
        <v>71</v>
      </c>
      <c r="F49" s="13">
        <f>F45*165</f>
        <v>38717250</v>
      </c>
      <c r="G49" s="12">
        <f t="shared" ref="G49:G50" si="6">F49/1000</f>
        <v>38717.25</v>
      </c>
    </row>
    <row r="50">
      <c r="A50" s="8" t="s">
        <v>70</v>
      </c>
      <c r="B50" s="8">
        <v>660.0</v>
      </c>
      <c r="C50" s="12">
        <f t="shared" si="5"/>
        <v>13200</v>
      </c>
      <c r="E50" s="8" t="s">
        <v>73</v>
      </c>
      <c r="F50" s="13">
        <f>F46*400</f>
        <v>60070400</v>
      </c>
      <c r="G50" s="12">
        <f t="shared" si="6"/>
        <v>60070.4</v>
      </c>
    </row>
    <row r="51">
      <c r="A51" s="8" t="s">
        <v>72</v>
      </c>
      <c r="B51" s="8">
        <v>479.0</v>
      </c>
      <c r="C51" s="12">
        <f t="shared" si="5"/>
        <v>9580</v>
      </c>
    </row>
    <row r="55">
      <c r="A55" s="8" t="s">
        <v>85</v>
      </c>
      <c r="C55" s="8" t="s">
        <v>86</v>
      </c>
    </row>
    <row r="56">
      <c r="A56" s="8" t="s">
        <v>87</v>
      </c>
      <c r="C56" s="8" t="s">
        <v>88</v>
      </c>
    </row>
    <row r="57">
      <c r="A57" s="11" t="s">
        <v>89</v>
      </c>
    </row>
    <row r="58">
      <c r="A58" s="8" t="s">
        <v>90</v>
      </c>
    </row>
    <row r="59">
      <c r="A59" s="8" t="s">
        <v>91</v>
      </c>
    </row>
    <row r="60">
      <c r="B60" s="8" t="s">
        <v>57</v>
      </c>
      <c r="C60" s="8" t="s">
        <v>58</v>
      </c>
    </row>
    <row r="61">
      <c r="A61" s="8" t="s">
        <v>27</v>
      </c>
      <c r="B61" s="14">
        <f>600*0.31</f>
        <v>186</v>
      </c>
      <c r="C61" s="8" t="s">
        <v>92</v>
      </c>
      <c r="D61" s="8" t="s">
        <v>93</v>
      </c>
    </row>
    <row r="62">
      <c r="A62" s="8" t="s">
        <v>20</v>
      </c>
      <c r="B62" s="14">
        <f>600*0.02</f>
        <v>12</v>
      </c>
      <c r="C62" s="8" t="s">
        <v>94</v>
      </c>
    </row>
    <row r="64">
      <c r="A64" s="8" t="s">
        <v>95</v>
      </c>
    </row>
    <row r="65">
      <c r="A65" s="8" t="s">
        <v>96</v>
      </c>
    </row>
    <row r="66">
      <c r="A66" s="15" t="s">
        <v>97</v>
      </c>
    </row>
    <row r="67">
      <c r="A67" s="8" t="s">
        <v>98</v>
      </c>
    </row>
    <row r="68">
      <c r="A68" s="8" t="s">
        <v>99</v>
      </c>
    </row>
    <row r="69">
      <c r="B69" s="8" t="s">
        <v>100</v>
      </c>
      <c r="C69" s="8" t="s">
        <v>101</v>
      </c>
      <c r="D69" s="8" t="s">
        <v>58</v>
      </c>
    </row>
    <row r="70">
      <c r="A70" s="8" t="s">
        <v>64</v>
      </c>
      <c r="B70" s="9">
        <v>1850.0</v>
      </c>
      <c r="C70" s="9">
        <v>10000.0</v>
      </c>
      <c r="D70" s="8" t="s">
        <v>102</v>
      </c>
    </row>
    <row r="71">
      <c r="A71" s="8" t="s">
        <v>103</v>
      </c>
      <c r="B71" s="10">
        <v>370.0</v>
      </c>
      <c r="D71" s="8" t="s">
        <v>104</v>
      </c>
    </row>
    <row r="73">
      <c r="A73" s="8" t="s">
        <v>105</v>
      </c>
    </row>
    <row r="74">
      <c r="A74" s="8" t="s">
        <v>106</v>
      </c>
    </row>
    <row r="75">
      <c r="A75" s="16" t="s">
        <v>107</v>
      </c>
    </row>
    <row r="76">
      <c r="A76" s="8" t="s">
        <v>108</v>
      </c>
      <c r="F76" s="8" t="s">
        <v>60</v>
      </c>
      <c r="G76" s="8" t="s">
        <v>61</v>
      </c>
    </row>
    <row r="77">
      <c r="A77" s="8" t="s">
        <v>109</v>
      </c>
      <c r="F77" s="8" t="s">
        <v>63</v>
      </c>
      <c r="G77" s="13">
        <f>B80/1.6</f>
        <v>251250</v>
      </c>
    </row>
    <row r="78">
      <c r="B78" s="8" t="s">
        <v>57</v>
      </c>
      <c r="C78" s="8" t="s">
        <v>58</v>
      </c>
      <c r="F78" s="8" t="s">
        <v>65</v>
      </c>
      <c r="G78" s="13">
        <f>B80/2.5</f>
        <v>160800</v>
      </c>
    </row>
    <row r="79">
      <c r="A79" s="8" t="s">
        <v>110</v>
      </c>
      <c r="B79" s="17">
        <v>123000.0</v>
      </c>
    </row>
    <row r="80">
      <c r="A80" s="8" t="s">
        <v>12</v>
      </c>
      <c r="B80" s="9">
        <v>402000.0</v>
      </c>
      <c r="G80" s="8" t="s">
        <v>68</v>
      </c>
      <c r="H80" s="8" t="s">
        <v>69</v>
      </c>
    </row>
    <row r="81">
      <c r="A81" s="8" t="s">
        <v>64</v>
      </c>
      <c r="B81" s="9">
        <v>3000.0</v>
      </c>
      <c r="C81" s="8" t="s">
        <v>111</v>
      </c>
      <c r="F81" s="8" t="s">
        <v>71</v>
      </c>
      <c r="G81" s="13">
        <f>G77*165</f>
        <v>41456250</v>
      </c>
      <c r="H81" s="12">
        <f t="shared" ref="H81:H82" si="7">G81/1000</f>
        <v>41456.25</v>
      </c>
    </row>
    <row r="82">
      <c r="A82" s="8" t="s">
        <v>27</v>
      </c>
      <c r="B82" s="9">
        <v>216.0</v>
      </c>
      <c r="C82" s="8" t="s">
        <v>112</v>
      </c>
      <c r="F82" s="8" t="s">
        <v>73</v>
      </c>
      <c r="G82" s="13">
        <f>G78*400</f>
        <v>64320000</v>
      </c>
      <c r="H82" s="12">
        <f t="shared" si="7"/>
        <v>64320</v>
      </c>
    </row>
    <row r="83">
      <c r="A83" s="8" t="s">
        <v>42</v>
      </c>
      <c r="B83" s="9">
        <v>6800.0</v>
      </c>
    </row>
    <row r="85">
      <c r="A85" s="8" t="s">
        <v>113</v>
      </c>
    </row>
    <row r="86">
      <c r="A86" s="11" t="s">
        <v>114</v>
      </c>
    </row>
    <row r="87">
      <c r="A87" s="8" t="s">
        <v>115</v>
      </c>
    </row>
    <row r="88">
      <c r="A88" s="8" t="s">
        <v>109</v>
      </c>
    </row>
    <row r="89">
      <c r="B89" s="8" t="s">
        <v>57</v>
      </c>
      <c r="C89" s="8" t="s">
        <v>58</v>
      </c>
    </row>
    <row r="90">
      <c r="A90" s="8" t="s">
        <v>27</v>
      </c>
      <c r="B90" s="9">
        <v>198.0</v>
      </c>
      <c r="C90" s="8" t="s">
        <v>116</v>
      </c>
    </row>
    <row r="91">
      <c r="A91" s="8" t="s">
        <v>20</v>
      </c>
      <c r="B91" s="9">
        <v>28.0</v>
      </c>
    </row>
    <row r="93">
      <c r="A93" s="8" t="s">
        <v>117</v>
      </c>
      <c r="C93" s="8" t="s">
        <v>118</v>
      </c>
    </row>
    <row r="94">
      <c r="A94" s="18" t="s">
        <v>119</v>
      </c>
    </row>
    <row r="95">
      <c r="A95" s="16" t="s">
        <v>120</v>
      </c>
    </row>
    <row r="96">
      <c r="A96" s="8" t="s">
        <v>121</v>
      </c>
    </row>
    <row r="97">
      <c r="A97" s="8" t="s">
        <v>122</v>
      </c>
    </row>
    <row r="98">
      <c r="A98" s="8" t="s">
        <v>109</v>
      </c>
    </row>
    <row r="99">
      <c r="A99" s="8" t="s">
        <v>57</v>
      </c>
      <c r="B99" s="8" t="s">
        <v>123</v>
      </c>
      <c r="C99" s="8" t="s">
        <v>124</v>
      </c>
      <c r="D99" s="8" t="s">
        <v>58</v>
      </c>
    </row>
    <row r="100">
      <c r="A100" s="8" t="s">
        <v>27</v>
      </c>
      <c r="B100" s="10">
        <v>200.0</v>
      </c>
      <c r="C100" s="10">
        <v>0.0</v>
      </c>
      <c r="D100" s="8" t="s">
        <v>125</v>
      </c>
    </row>
    <row r="101">
      <c r="A101" s="8" t="s">
        <v>20</v>
      </c>
      <c r="B101" s="10">
        <v>13.0</v>
      </c>
      <c r="C101" s="10">
        <v>0.0</v>
      </c>
      <c r="D101" s="8" t="s">
        <v>126</v>
      </c>
    </row>
    <row r="102">
      <c r="A102" s="8" t="s">
        <v>16</v>
      </c>
      <c r="B102" s="14">
        <v>4700.0</v>
      </c>
      <c r="C102" s="14">
        <v>4982.0</v>
      </c>
      <c r="D102" s="8" t="s">
        <v>121</v>
      </c>
    </row>
    <row r="104">
      <c r="A104" s="8" t="s">
        <v>127</v>
      </c>
    </row>
    <row r="105">
      <c r="A105" s="11" t="s">
        <v>128</v>
      </c>
    </row>
    <row r="106">
      <c r="A106" s="8" t="s">
        <v>129</v>
      </c>
    </row>
    <row r="107">
      <c r="A107" s="8" t="s">
        <v>130</v>
      </c>
    </row>
    <row r="108">
      <c r="A108" s="8" t="s">
        <v>131</v>
      </c>
    </row>
    <row r="109">
      <c r="A109" s="8" t="s">
        <v>132</v>
      </c>
      <c r="B109" s="8" t="s">
        <v>133</v>
      </c>
      <c r="C109" s="8" t="s">
        <v>134</v>
      </c>
      <c r="D109" s="8" t="s">
        <v>135</v>
      </c>
      <c r="E109" s="8" t="s">
        <v>136</v>
      </c>
      <c r="F109" s="8" t="s">
        <v>137</v>
      </c>
      <c r="G109" s="8" t="s">
        <v>58</v>
      </c>
    </row>
    <row r="110">
      <c r="A110" s="8" t="s">
        <v>16</v>
      </c>
      <c r="B110" s="9">
        <v>5761.0</v>
      </c>
      <c r="C110" s="9">
        <v>2994.0</v>
      </c>
      <c r="D110" s="9">
        <v>6759.0</v>
      </c>
      <c r="E110" s="9">
        <v>2540.0</v>
      </c>
      <c r="F110" s="9">
        <v>3538.0</v>
      </c>
    </row>
    <row r="111">
      <c r="A111" s="8" t="s">
        <v>138</v>
      </c>
      <c r="B111" s="8" t="s">
        <v>139</v>
      </c>
      <c r="D111" s="8">
        <v>2008.0</v>
      </c>
      <c r="E111" s="8">
        <v>2008.0</v>
      </c>
      <c r="F111" s="8">
        <v>2008.0</v>
      </c>
    </row>
    <row r="113">
      <c r="A113" s="19" t="s">
        <v>140</v>
      </c>
    </row>
    <row r="114">
      <c r="A114" s="8" t="s">
        <v>141</v>
      </c>
      <c r="B114" s="8" t="s">
        <v>142</v>
      </c>
      <c r="C114" s="8" t="s">
        <v>58</v>
      </c>
    </row>
    <row r="115">
      <c r="A115" s="8" t="s">
        <v>16</v>
      </c>
      <c r="B115" s="8">
        <v>9580.0</v>
      </c>
      <c r="C115" s="8" t="s">
        <v>143</v>
      </c>
    </row>
    <row r="117">
      <c r="A117" s="8" t="s">
        <v>144</v>
      </c>
    </row>
    <row r="118">
      <c r="A118" s="8" t="s">
        <v>145</v>
      </c>
    </row>
    <row r="119">
      <c r="A119" s="11" t="s">
        <v>146</v>
      </c>
    </row>
    <row r="120">
      <c r="A120" s="8" t="s">
        <v>147</v>
      </c>
    </row>
    <row r="121">
      <c r="B121" s="8" t="s">
        <v>148</v>
      </c>
      <c r="C121" s="8" t="s">
        <v>149</v>
      </c>
      <c r="D121" s="8" t="s">
        <v>58</v>
      </c>
      <c r="E121" s="8" t="s">
        <v>150</v>
      </c>
    </row>
    <row r="122">
      <c r="A122" s="1" t="s">
        <v>16</v>
      </c>
      <c r="B122" s="10">
        <v>1012.0</v>
      </c>
      <c r="C122" s="10">
        <v>1484.0</v>
      </c>
      <c r="D122" s="8" t="s">
        <v>151</v>
      </c>
    </row>
    <row r="123">
      <c r="A123" s="1" t="s">
        <v>20</v>
      </c>
      <c r="B123" s="10">
        <v>1.0</v>
      </c>
      <c r="C123" s="10">
        <v>22.0</v>
      </c>
      <c r="D123" s="8" t="s">
        <v>152</v>
      </c>
    </row>
    <row r="124">
      <c r="A124" s="1" t="s">
        <v>27</v>
      </c>
      <c r="B124" s="10">
        <v>6.0</v>
      </c>
      <c r="C124" s="10">
        <v>151.0</v>
      </c>
      <c r="D124" s="8" t="s">
        <v>152</v>
      </c>
    </row>
    <row r="125">
      <c r="A125" s="1" t="s">
        <v>29</v>
      </c>
      <c r="B125" s="9">
        <v>377.0</v>
      </c>
      <c r="C125" s="9">
        <v>377.0</v>
      </c>
    </row>
    <row r="126">
      <c r="A126" s="1"/>
    </row>
    <row r="127">
      <c r="A127" s="3" t="s">
        <v>153</v>
      </c>
    </row>
    <row r="128">
      <c r="A128" s="8" t="s">
        <v>154</v>
      </c>
    </row>
    <row r="129">
      <c r="A129" s="11" t="s">
        <v>155</v>
      </c>
      <c r="L129" s="8" t="s">
        <v>156</v>
      </c>
    </row>
    <row r="130">
      <c r="A130" s="8" t="s">
        <v>157</v>
      </c>
      <c r="B130" s="8"/>
      <c r="C130" s="8"/>
      <c r="D130" s="8"/>
      <c r="E130" s="8"/>
      <c r="F130" s="8"/>
      <c r="G130" s="8" t="s">
        <v>158</v>
      </c>
      <c r="L130" s="8" t="s">
        <v>159</v>
      </c>
    </row>
    <row r="131">
      <c r="A131" s="8" t="s">
        <v>160</v>
      </c>
      <c r="B131" s="8" t="s">
        <v>161</v>
      </c>
      <c r="C131" s="8" t="s">
        <v>162</v>
      </c>
      <c r="D131" s="8" t="s">
        <v>163</v>
      </c>
      <c r="E131" s="8" t="s">
        <v>164</v>
      </c>
      <c r="F131" s="8" t="s">
        <v>58</v>
      </c>
      <c r="G131" s="8" t="s">
        <v>165</v>
      </c>
      <c r="H131" s="8" t="s">
        <v>166</v>
      </c>
      <c r="I131" s="8" t="s">
        <v>166</v>
      </c>
      <c r="J131" s="8" t="s">
        <v>167</v>
      </c>
      <c r="L131" s="8" t="s">
        <v>165</v>
      </c>
      <c r="M131" s="8" t="s">
        <v>166</v>
      </c>
      <c r="N131" s="8" t="s">
        <v>166</v>
      </c>
      <c r="O131" s="8" t="s">
        <v>167</v>
      </c>
    </row>
    <row r="132">
      <c r="A132" s="8" t="s">
        <v>168</v>
      </c>
      <c r="B132" s="20">
        <v>11650.0</v>
      </c>
      <c r="C132" s="20">
        <v>13417.0</v>
      </c>
      <c r="D132" s="20">
        <v>13417.0</v>
      </c>
      <c r="E132" s="20">
        <v>52754.0</v>
      </c>
      <c r="F132" s="8"/>
      <c r="G132" s="21">
        <f t="shared" ref="G132:G141" si="9">B132*(1000/2)/1000</f>
        <v>5825</v>
      </c>
      <c r="H132" s="21">
        <f t="shared" ref="H132:I132" si="8">C132/2.3</f>
        <v>5833.478261</v>
      </c>
      <c r="I132" s="21">
        <f t="shared" si="8"/>
        <v>5833.478261</v>
      </c>
      <c r="J132" s="21">
        <f t="shared" ref="J132:J141" si="11">E132/5</f>
        <v>10550.8</v>
      </c>
      <c r="K132" s="8" t="s">
        <v>168</v>
      </c>
      <c r="L132" s="12">
        <v>5825.0</v>
      </c>
      <c r="M132" s="9">
        <v>5833.0</v>
      </c>
      <c r="N132" s="9">
        <v>5833.0</v>
      </c>
      <c r="O132" s="9">
        <v>10551.0</v>
      </c>
    </row>
    <row r="133">
      <c r="A133" s="8" t="s">
        <v>169</v>
      </c>
      <c r="B133" s="20">
        <v>8500.0</v>
      </c>
      <c r="C133" s="20">
        <v>0.0</v>
      </c>
      <c r="D133" s="20">
        <v>0.0</v>
      </c>
      <c r="E133" s="20">
        <v>0.0</v>
      </c>
      <c r="F133" s="8"/>
      <c r="G133" s="21">
        <f t="shared" si="9"/>
        <v>4250</v>
      </c>
      <c r="H133" s="21">
        <f t="shared" ref="H133:I133" si="10">C133/2.3</f>
        <v>0</v>
      </c>
      <c r="I133" s="21">
        <f t="shared" si="10"/>
        <v>0</v>
      </c>
      <c r="J133" s="21">
        <f t="shared" si="11"/>
        <v>0</v>
      </c>
    </row>
    <row r="134">
      <c r="A134" s="8" t="s">
        <v>170</v>
      </c>
      <c r="B134" s="20">
        <v>26366.0</v>
      </c>
      <c r="C134" s="20">
        <v>68663.0</v>
      </c>
      <c r="D134" s="20">
        <v>68663.0</v>
      </c>
      <c r="E134" s="20">
        <v>990401.0</v>
      </c>
      <c r="F134" s="8"/>
      <c r="G134" s="21">
        <f t="shared" si="9"/>
        <v>13183</v>
      </c>
      <c r="H134" s="21">
        <f t="shared" ref="H134:I134" si="12">C134/2.3</f>
        <v>29853.47826</v>
      </c>
      <c r="I134" s="21">
        <f t="shared" si="12"/>
        <v>29853.47826</v>
      </c>
      <c r="J134" s="21">
        <f t="shared" si="11"/>
        <v>198080.2</v>
      </c>
    </row>
    <row r="135">
      <c r="A135" s="8" t="s">
        <v>171</v>
      </c>
      <c r="B135" s="8">
        <v>5400.0</v>
      </c>
      <c r="C135" s="8">
        <v>1077.0</v>
      </c>
      <c r="D135" s="8">
        <v>1077.0</v>
      </c>
      <c r="E135" s="8">
        <v>0.0</v>
      </c>
      <c r="F135" s="8" t="s">
        <v>172</v>
      </c>
      <c r="G135" s="13">
        <f t="shared" si="9"/>
        <v>2700</v>
      </c>
      <c r="H135" s="13">
        <f t="shared" ref="H135:I135" si="13">C135/2.3</f>
        <v>468.2608696</v>
      </c>
      <c r="I135" s="13">
        <f t="shared" si="13"/>
        <v>468.2608696</v>
      </c>
      <c r="J135" s="13">
        <f t="shared" si="11"/>
        <v>0</v>
      </c>
    </row>
    <row r="136">
      <c r="A136" s="8" t="s">
        <v>173</v>
      </c>
      <c r="B136" s="8">
        <v>24082.0</v>
      </c>
      <c r="C136" s="8">
        <v>50539.0</v>
      </c>
      <c r="D136" s="8">
        <v>50539.0</v>
      </c>
      <c r="E136" s="8">
        <v>156091.0</v>
      </c>
      <c r="G136" s="13">
        <f t="shared" si="9"/>
        <v>12041</v>
      </c>
      <c r="H136" s="13">
        <f t="shared" ref="H136:I136" si="14">C136/2.3</f>
        <v>21973.47826</v>
      </c>
      <c r="I136" s="13">
        <f t="shared" si="14"/>
        <v>21973.47826</v>
      </c>
      <c r="J136" s="13">
        <f t="shared" si="11"/>
        <v>31218.2</v>
      </c>
    </row>
    <row r="137">
      <c r="A137" s="8" t="s">
        <v>174</v>
      </c>
      <c r="B137" s="8">
        <v>1583.0</v>
      </c>
      <c r="C137" s="8">
        <v>10029.0</v>
      </c>
      <c r="D137" s="8">
        <v>10029.0</v>
      </c>
      <c r="E137" s="8">
        <v>43715.0</v>
      </c>
      <c r="G137" s="13">
        <f t="shared" si="9"/>
        <v>791.5</v>
      </c>
      <c r="H137" s="13">
        <f t="shared" ref="H137:I137" si="15">C137/2.3</f>
        <v>4360.434783</v>
      </c>
      <c r="I137" s="13">
        <f t="shared" si="15"/>
        <v>4360.434783</v>
      </c>
      <c r="J137" s="13">
        <f t="shared" si="11"/>
        <v>8743</v>
      </c>
      <c r="K137" s="8" t="s">
        <v>16</v>
      </c>
      <c r="L137" s="12">
        <f t="shared" ref="L137:O137" si="16">G137+858</f>
        <v>1649.5</v>
      </c>
      <c r="M137" s="12">
        <f t="shared" si="16"/>
        <v>5218.434783</v>
      </c>
      <c r="N137" s="12">
        <f t="shared" si="16"/>
        <v>5218.434783</v>
      </c>
      <c r="O137" s="12">
        <f t="shared" si="16"/>
        <v>9601</v>
      </c>
    </row>
    <row r="138">
      <c r="A138" s="8" t="s">
        <v>175</v>
      </c>
      <c r="B138" s="8">
        <v>1271.0</v>
      </c>
      <c r="C138" s="8">
        <v>1228.0</v>
      </c>
      <c r="D138" s="8">
        <v>1228.0</v>
      </c>
      <c r="E138" s="8">
        <v>961.0</v>
      </c>
      <c r="G138" s="13">
        <f t="shared" si="9"/>
        <v>635.5</v>
      </c>
      <c r="H138" s="13">
        <f t="shared" ref="H138:I138" si="17">C138/2.3</f>
        <v>533.9130435</v>
      </c>
      <c r="I138" s="13">
        <f t="shared" si="17"/>
        <v>533.9130435</v>
      </c>
      <c r="J138" s="13">
        <f t="shared" si="11"/>
        <v>192.2</v>
      </c>
      <c r="K138" s="8" t="s">
        <v>6</v>
      </c>
      <c r="L138" s="12">
        <f t="shared" ref="L138:O138" si="18">G138+364</f>
        <v>999.5</v>
      </c>
      <c r="M138" s="12">
        <f t="shared" si="18"/>
        <v>897.9130435</v>
      </c>
      <c r="N138" s="12">
        <f t="shared" si="18"/>
        <v>897.9130435</v>
      </c>
      <c r="O138" s="12">
        <f t="shared" si="18"/>
        <v>556.2</v>
      </c>
    </row>
    <row r="139">
      <c r="A139" s="3" t="s">
        <v>176</v>
      </c>
      <c r="B139" s="8">
        <v>165000.0</v>
      </c>
      <c r="C139" s="8">
        <v>1123095.0</v>
      </c>
      <c r="D139" s="8">
        <v>1123095.0</v>
      </c>
      <c r="E139" s="8">
        <v>347460.0</v>
      </c>
      <c r="G139" s="13">
        <f t="shared" si="9"/>
        <v>82500</v>
      </c>
      <c r="H139" s="13">
        <f t="shared" ref="H139:I139" si="19">C139/2.3</f>
        <v>488302.1739</v>
      </c>
      <c r="I139" s="13">
        <f t="shared" si="19"/>
        <v>488302.1739</v>
      </c>
      <c r="J139" s="13">
        <f t="shared" si="11"/>
        <v>69492</v>
      </c>
    </row>
    <row r="140">
      <c r="A140" s="3" t="s">
        <v>177</v>
      </c>
      <c r="B140" s="8">
        <v>62551.0</v>
      </c>
      <c r="C140" s="8">
        <v>600000.0</v>
      </c>
      <c r="D140" s="8">
        <v>862500.0</v>
      </c>
      <c r="E140" s="8">
        <v>1150000.0</v>
      </c>
      <c r="G140" s="13">
        <f t="shared" si="9"/>
        <v>31275.5</v>
      </c>
      <c r="H140" s="13">
        <f t="shared" ref="H140:I140" si="20">C140/2.3</f>
        <v>260869.5652</v>
      </c>
      <c r="I140" s="13">
        <f t="shared" si="20"/>
        <v>375000</v>
      </c>
      <c r="J140" s="13">
        <f t="shared" si="11"/>
        <v>230000</v>
      </c>
    </row>
    <row r="141">
      <c r="A141" s="3" t="s">
        <v>178</v>
      </c>
      <c r="B141" s="8">
        <v>0.0</v>
      </c>
      <c r="C141" s="8">
        <v>0.0</v>
      </c>
      <c r="D141" s="8">
        <v>0.0</v>
      </c>
      <c r="E141" s="8">
        <v>0.0</v>
      </c>
      <c r="G141" s="13">
        <f t="shared" si="9"/>
        <v>0</v>
      </c>
      <c r="H141" s="13">
        <f t="shared" ref="H141:I141" si="21">C141/2.3</f>
        <v>0</v>
      </c>
      <c r="I141" s="13">
        <f t="shared" si="21"/>
        <v>0</v>
      </c>
      <c r="J141" s="13">
        <f t="shared" si="11"/>
        <v>0</v>
      </c>
    </row>
    <row r="142">
      <c r="A142" s="1"/>
      <c r="F142" s="8" t="s">
        <v>179</v>
      </c>
      <c r="G142" s="13">
        <f t="shared" ref="G142:J142" si="22">SUM(G135:G136,G139:G140,G133:G134)</f>
        <v>145949.5</v>
      </c>
      <c r="H142" s="13">
        <f t="shared" si="22"/>
        <v>801466.9565</v>
      </c>
      <c r="I142" s="13">
        <f t="shared" si="22"/>
        <v>915597.3913</v>
      </c>
      <c r="J142" s="13">
        <f t="shared" si="22"/>
        <v>528790.4</v>
      </c>
      <c r="K142" s="8" t="s">
        <v>33</v>
      </c>
      <c r="L142" s="12">
        <f t="shared" ref="L142:O142" si="23">G142+1627</f>
        <v>147576.5</v>
      </c>
      <c r="M142" s="12">
        <f t="shared" si="23"/>
        <v>803093.9565</v>
      </c>
      <c r="N142" s="12">
        <f t="shared" si="23"/>
        <v>917224.3913</v>
      </c>
      <c r="O142" s="12">
        <f t="shared" si="23"/>
        <v>530417.4</v>
      </c>
    </row>
    <row r="143">
      <c r="A143" s="8">
        <v>2006.0</v>
      </c>
    </row>
    <row r="144">
      <c r="A144" s="8" t="s">
        <v>180</v>
      </c>
    </row>
    <row r="145">
      <c r="A145" s="11" t="s">
        <v>181</v>
      </c>
    </row>
    <row r="146">
      <c r="A146" s="8" t="s">
        <v>182</v>
      </c>
    </row>
    <row r="147">
      <c r="A147" s="8" t="s">
        <v>183</v>
      </c>
    </row>
    <row r="148">
      <c r="A148" s="8" t="s">
        <v>184</v>
      </c>
      <c r="B148" s="8" t="s">
        <v>185</v>
      </c>
      <c r="C148" s="8" t="s">
        <v>186</v>
      </c>
      <c r="E148" s="8" t="s">
        <v>187</v>
      </c>
      <c r="F148" s="8" t="s">
        <v>188</v>
      </c>
      <c r="G148" s="8" t="s">
        <v>58</v>
      </c>
    </row>
    <row r="149">
      <c r="A149" s="8" t="s">
        <v>26</v>
      </c>
      <c r="B149" s="8">
        <v>2520.0</v>
      </c>
      <c r="C149" s="8">
        <v>13300.0</v>
      </c>
      <c r="E149" s="13">
        <f t="shared" ref="E149:E151" si="24">B149*(1000/3)+C149</f>
        <v>853300</v>
      </c>
      <c r="F149" s="22">
        <f t="shared" ref="F149:F151" si="25">E149/1000</f>
        <v>853.3</v>
      </c>
      <c r="G149" s="8" t="s">
        <v>189</v>
      </c>
    </row>
    <row r="150">
      <c r="A150" s="8" t="s">
        <v>6</v>
      </c>
      <c r="B150" s="8">
        <v>1950.0</v>
      </c>
      <c r="C150" s="8">
        <v>122000.0</v>
      </c>
      <c r="E150" s="13">
        <f t="shared" si="24"/>
        <v>772000</v>
      </c>
      <c r="F150" s="22">
        <f t="shared" si="25"/>
        <v>772</v>
      </c>
    </row>
    <row r="151">
      <c r="A151" s="8" t="s">
        <v>16</v>
      </c>
      <c r="B151" s="8">
        <v>551.0</v>
      </c>
      <c r="C151" s="8">
        <v>203000.0</v>
      </c>
      <c r="E151" s="13">
        <f t="shared" si="24"/>
        <v>386666.6667</v>
      </c>
      <c r="F151" s="22">
        <f t="shared" si="25"/>
        <v>386.6666667</v>
      </c>
    </row>
    <row r="153">
      <c r="A153" s="8">
        <v>2004.0</v>
      </c>
    </row>
    <row r="154">
      <c r="A154" s="8" t="s">
        <v>190</v>
      </c>
    </row>
    <row r="155">
      <c r="A155" s="8" t="s">
        <v>191</v>
      </c>
    </row>
    <row r="156">
      <c r="A156" s="11" t="s">
        <v>192</v>
      </c>
    </row>
    <row r="157">
      <c r="A157" s="8" t="s">
        <v>193</v>
      </c>
    </row>
    <row r="158">
      <c r="A158" s="8" t="s">
        <v>184</v>
      </c>
      <c r="B158" s="8" t="s">
        <v>185</v>
      </c>
      <c r="C158" s="8" t="s">
        <v>186</v>
      </c>
      <c r="D158" s="8" t="s">
        <v>58</v>
      </c>
      <c r="E158" s="8" t="s">
        <v>187</v>
      </c>
      <c r="F158" s="8" t="s">
        <v>188</v>
      </c>
      <c r="H158" s="8" t="s">
        <v>60</v>
      </c>
      <c r="I158" s="8" t="s">
        <v>61</v>
      </c>
    </row>
    <row r="159">
      <c r="A159" s="8" t="s">
        <v>194</v>
      </c>
      <c r="B159" s="13">
        <f>349240+13331+20688</f>
        <v>383259</v>
      </c>
      <c r="C159" s="13">
        <f>1488186+8000+131000</f>
        <v>1627186</v>
      </c>
      <c r="D159" s="8" t="s">
        <v>195</v>
      </c>
      <c r="E159" s="13">
        <f t="shared" ref="E159:E163" si="26">B159*(1000/2)+C159</f>
        <v>193256686</v>
      </c>
      <c r="F159" s="12">
        <f t="shared" ref="F159:F163" si="27">E159/1000</f>
        <v>193256.686</v>
      </c>
      <c r="H159" s="8" t="s">
        <v>63</v>
      </c>
      <c r="I159" s="13">
        <f>F162/1.6</f>
        <v>859.375</v>
      </c>
    </row>
    <row r="160">
      <c r="A160" s="8" t="s">
        <v>16</v>
      </c>
      <c r="B160" s="8">
        <v>2958.0</v>
      </c>
      <c r="C160" s="8">
        <v>858237.0</v>
      </c>
      <c r="E160" s="13">
        <f t="shared" si="26"/>
        <v>2337237</v>
      </c>
      <c r="F160" s="12">
        <f t="shared" si="27"/>
        <v>2337.237</v>
      </c>
      <c r="H160" s="8" t="s">
        <v>65</v>
      </c>
      <c r="I160" s="13">
        <f>F162/2.5</f>
        <v>550</v>
      </c>
    </row>
    <row r="161">
      <c r="A161" s="8" t="s">
        <v>6</v>
      </c>
      <c r="B161" s="8">
        <v>3545.0</v>
      </c>
      <c r="C161" s="8">
        <v>364450.0</v>
      </c>
      <c r="E161" s="13">
        <f t="shared" si="26"/>
        <v>2136950</v>
      </c>
      <c r="F161" s="12">
        <f t="shared" si="27"/>
        <v>2136.95</v>
      </c>
    </row>
    <row r="162">
      <c r="A162" s="8" t="s">
        <v>12</v>
      </c>
      <c r="B162" s="8">
        <v>0.0</v>
      </c>
      <c r="C162" s="8">
        <v>1375000.0</v>
      </c>
      <c r="E162" s="13">
        <f t="shared" si="26"/>
        <v>1375000</v>
      </c>
      <c r="F162" s="12">
        <f t="shared" si="27"/>
        <v>1375</v>
      </c>
      <c r="I162" s="8" t="s">
        <v>68</v>
      </c>
      <c r="J162" s="8" t="s">
        <v>69</v>
      </c>
    </row>
    <row r="163">
      <c r="A163" s="8" t="s">
        <v>196</v>
      </c>
      <c r="B163" s="8">
        <v>21842.0</v>
      </c>
      <c r="E163" s="13">
        <f t="shared" si="26"/>
        <v>10921000</v>
      </c>
      <c r="F163" s="12">
        <f t="shared" si="27"/>
        <v>10921</v>
      </c>
      <c r="H163" s="8" t="s">
        <v>71</v>
      </c>
      <c r="I163" s="13">
        <f>I159*165</f>
        <v>141796.875</v>
      </c>
      <c r="J163" s="12">
        <f t="shared" ref="J163:J164" si="28">I163/1000</f>
        <v>141.796875</v>
      </c>
    </row>
    <row r="164">
      <c r="H164" s="8" t="s">
        <v>73</v>
      </c>
      <c r="I164" s="13">
        <f>I160*400</f>
        <v>220000</v>
      </c>
      <c r="J164" s="12">
        <f t="shared" si="28"/>
        <v>220</v>
      </c>
    </row>
  </sheetData>
  <hyperlinks>
    <hyperlink r:id="rId1" ref="A8"/>
    <hyperlink r:id="rId2" ref="A25"/>
    <hyperlink r:id="rId3" ref="A41"/>
    <hyperlink r:id="rId4" ref="A57"/>
    <hyperlink r:id="rId5" ref="A66"/>
    <hyperlink r:id="rId6" ref="A75"/>
    <hyperlink r:id="rId7" ref="A86"/>
    <hyperlink r:id="rId8" ref="A95"/>
    <hyperlink r:id="rId9" ref="A105"/>
    <hyperlink r:id="rId10" ref="A119"/>
    <hyperlink r:id="rId11" ref="A129"/>
    <hyperlink r:id="rId12" ref="A145"/>
    <hyperlink r:id="rId13" location=":~:text=Vestas%20Wind%20Systems%20A%2FS%20financed%20its%20own%20participation%20in,farms%20through%20their%20life%20cycles." ref="A156"/>
  </hyperlinks>
  <drawing r:id="rId14"/>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2" max="2" width="86.43"/>
  </cols>
  <sheetData>
    <row r="1">
      <c r="A1" s="8" t="s">
        <v>0</v>
      </c>
      <c r="B1" s="8" t="s">
        <v>197</v>
      </c>
      <c r="C1" s="8" t="s">
        <v>198</v>
      </c>
      <c r="D1" s="8" t="s">
        <v>199</v>
      </c>
      <c r="E1" s="8" t="s">
        <v>200</v>
      </c>
      <c r="F1" s="8" t="s">
        <v>201</v>
      </c>
    </row>
    <row r="2">
      <c r="A2" s="8" t="s">
        <v>5</v>
      </c>
      <c r="B2" s="8" t="s">
        <v>202</v>
      </c>
      <c r="C2" s="3">
        <v>0.0</v>
      </c>
      <c r="D2" s="3">
        <v>0.0</v>
      </c>
      <c r="E2" s="3">
        <v>0.0</v>
      </c>
      <c r="F2" s="8" t="s">
        <v>203</v>
      </c>
    </row>
    <row r="3">
      <c r="A3" s="8" t="s">
        <v>6</v>
      </c>
      <c r="B3" s="8" t="s">
        <v>204</v>
      </c>
      <c r="C3" s="8" t="s">
        <v>205</v>
      </c>
      <c r="D3" s="8" t="s">
        <v>205</v>
      </c>
      <c r="E3" s="8" t="s">
        <v>205</v>
      </c>
      <c r="F3" s="8" t="s">
        <v>206</v>
      </c>
    </row>
    <row r="4">
      <c r="A4" s="8" t="s">
        <v>10</v>
      </c>
      <c r="B4" s="8">
        <v>0.0</v>
      </c>
      <c r="C4" s="8">
        <v>0.0</v>
      </c>
      <c r="D4" s="8" t="s">
        <v>207</v>
      </c>
      <c r="E4" s="8">
        <v>0.0</v>
      </c>
      <c r="F4" s="8">
        <v>0.0</v>
      </c>
    </row>
    <row r="5">
      <c r="A5" s="8" t="s">
        <v>11</v>
      </c>
      <c r="B5" s="8">
        <v>0.0</v>
      </c>
      <c r="C5" s="8">
        <v>0.0</v>
      </c>
      <c r="D5" s="8">
        <v>0.0</v>
      </c>
      <c r="E5" s="8">
        <v>0.0</v>
      </c>
      <c r="F5" s="8">
        <v>0.0</v>
      </c>
    </row>
    <row r="6">
      <c r="A6" s="8" t="s">
        <v>12</v>
      </c>
      <c r="B6" s="8" t="s">
        <v>208</v>
      </c>
      <c r="C6" s="8" t="s">
        <v>208</v>
      </c>
      <c r="D6" s="8" t="s">
        <v>208</v>
      </c>
      <c r="E6" s="8" t="s">
        <v>208</v>
      </c>
      <c r="F6" s="1" t="s">
        <v>209</v>
      </c>
    </row>
    <row r="7">
      <c r="A7" s="8" t="s">
        <v>16</v>
      </c>
      <c r="B7" s="8" t="s">
        <v>210</v>
      </c>
      <c r="C7" s="8" t="s">
        <v>210</v>
      </c>
      <c r="D7" s="8" t="s">
        <v>210</v>
      </c>
      <c r="E7" s="8" t="s">
        <v>210</v>
      </c>
      <c r="F7" s="8" t="s">
        <v>211</v>
      </c>
    </row>
    <row r="8">
      <c r="A8" s="8" t="s">
        <v>20</v>
      </c>
      <c r="B8" s="8">
        <v>0.0</v>
      </c>
      <c r="C8" s="8">
        <v>0.0</v>
      </c>
      <c r="D8" s="8">
        <v>0.0</v>
      </c>
      <c r="E8" s="8">
        <v>0.0</v>
      </c>
      <c r="F8" s="8">
        <v>0.0</v>
      </c>
    </row>
    <row r="9">
      <c r="A9" s="8" t="s">
        <v>23</v>
      </c>
      <c r="B9" s="8">
        <v>0.0</v>
      </c>
      <c r="C9" s="8" t="s">
        <v>212</v>
      </c>
      <c r="D9" s="8">
        <v>0.0</v>
      </c>
      <c r="E9" s="8">
        <v>0.0</v>
      </c>
      <c r="F9" s="8">
        <v>0.0</v>
      </c>
    </row>
    <row r="10">
      <c r="A10" s="8" t="s">
        <v>24</v>
      </c>
      <c r="B10" s="8">
        <v>0.0</v>
      </c>
      <c r="C10" s="8" t="s">
        <v>213</v>
      </c>
      <c r="D10" s="8">
        <v>0.0</v>
      </c>
      <c r="E10" s="8">
        <v>0.0</v>
      </c>
      <c r="F10" s="8">
        <v>0.0</v>
      </c>
    </row>
    <row r="11">
      <c r="A11" s="8" t="s">
        <v>25</v>
      </c>
      <c r="B11" s="8">
        <v>0.0</v>
      </c>
      <c r="C11" s="8">
        <v>0.0</v>
      </c>
      <c r="D11" s="8">
        <v>0.0</v>
      </c>
      <c r="E11" s="8">
        <v>0.0</v>
      </c>
      <c r="F11" s="8">
        <v>0.0</v>
      </c>
    </row>
    <row r="12">
      <c r="A12" s="8" t="s">
        <v>26</v>
      </c>
      <c r="B12" s="8">
        <v>0.0</v>
      </c>
      <c r="C12" s="8">
        <v>0.0</v>
      </c>
      <c r="D12" s="8">
        <v>0.0</v>
      </c>
      <c r="E12" s="8">
        <v>0.0</v>
      </c>
      <c r="F12" s="8" t="s">
        <v>214</v>
      </c>
    </row>
    <row r="13">
      <c r="A13" s="8" t="s">
        <v>27</v>
      </c>
      <c r="B13" s="8">
        <v>0.0</v>
      </c>
      <c r="C13" s="8">
        <v>0.0</v>
      </c>
      <c r="D13" s="8">
        <v>0.0</v>
      </c>
      <c r="E13" s="8">
        <v>0.0</v>
      </c>
      <c r="F13" s="8">
        <v>0.0</v>
      </c>
    </row>
    <row r="14">
      <c r="A14" s="8" t="s">
        <v>29</v>
      </c>
      <c r="B14" s="3" t="s">
        <v>215</v>
      </c>
      <c r="C14" s="3">
        <v>0.0</v>
      </c>
      <c r="D14" s="3">
        <v>0.0</v>
      </c>
      <c r="E14" s="3">
        <v>0.0</v>
      </c>
      <c r="F14" s="8" t="s">
        <v>216</v>
      </c>
    </row>
    <row r="15">
      <c r="A15" s="8" t="s">
        <v>31</v>
      </c>
      <c r="B15" s="8">
        <v>0.0</v>
      </c>
      <c r="C15" s="8">
        <v>0.0</v>
      </c>
      <c r="D15" s="8">
        <v>0.0</v>
      </c>
      <c r="E15" s="8">
        <v>0.0</v>
      </c>
      <c r="F15" s="8">
        <v>0.0</v>
      </c>
    </row>
    <row r="16">
      <c r="A16" s="8" t="s">
        <v>32</v>
      </c>
      <c r="B16" s="8">
        <v>0.0</v>
      </c>
      <c r="C16" s="8" t="s">
        <v>217</v>
      </c>
      <c r="D16" s="8">
        <v>0.0</v>
      </c>
      <c r="E16" s="8">
        <v>0.0</v>
      </c>
      <c r="F16" s="8">
        <v>0.0</v>
      </c>
    </row>
    <row r="17">
      <c r="A17" s="8" t="s">
        <v>33</v>
      </c>
      <c r="B17" s="8" t="s">
        <v>218</v>
      </c>
      <c r="C17" s="8" t="s">
        <v>218</v>
      </c>
      <c r="D17" s="8" t="s">
        <v>218</v>
      </c>
      <c r="E17" s="8" t="s">
        <v>218</v>
      </c>
      <c r="F17" s="8" t="s">
        <v>219</v>
      </c>
    </row>
    <row r="18">
      <c r="A18" s="8" t="s">
        <v>37</v>
      </c>
      <c r="B18" s="8">
        <v>0.0</v>
      </c>
      <c r="C18" s="8">
        <v>0.0</v>
      </c>
      <c r="D18" s="8" t="s">
        <v>220</v>
      </c>
      <c r="E18" s="8">
        <v>0.0</v>
      </c>
      <c r="F18" s="8">
        <v>0.0</v>
      </c>
    </row>
    <row r="19">
      <c r="A19" s="8" t="s">
        <v>38</v>
      </c>
      <c r="B19" s="23" t="s">
        <v>221</v>
      </c>
      <c r="C19" s="23" t="s">
        <v>221</v>
      </c>
      <c r="D19" s="23" t="s">
        <v>221</v>
      </c>
      <c r="E19" s="23" t="s">
        <v>221</v>
      </c>
      <c r="F19" s="7" t="s">
        <v>222</v>
      </c>
    </row>
    <row r="20">
      <c r="A20" s="8" t="s">
        <v>223</v>
      </c>
      <c r="B20" s="8" t="s">
        <v>224</v>
      </c>
      <c r="C20" s="8">
        <v>0.0</v>
      </c>
      <c r="D20" s="8">
        <v>0.0</v>
      </c>
      <c r="E20" s="24" t="s">
        <v>225</v>
      </c>
      <c r="F20" s="8">
        <v>0.0</v>
      </c>
    </row>
    <row r="21">
      <c r="A21" s="8" t="s">
        <v>226</v>
      </c>
      <c r="B21" s="8" t="s">
        <v>227</v>
      </c>
      <c r="C21" s="8" t="s">
        <v>227</v>
      </c>
      <c r="D21" s="8" t="s">
        <v>227</v>
      </c>
      <c r="E21" s="8" t="s">
        <v>227</v>
      </c>
      <c r="F21" s="8" t="s">
        <v>228</v>
      </c>
    </row>
    <row r="22">
      <c r="A22" s="8" t="s">
        <v>229</v>
      </c>
    </row>
    <row r="23">
      <c r="A23" s="8" t="s">
        <v>230</v>
      </c>
    </row>
    <row r="24">
      <c r="A24" s="3"/>
    </row>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sheetData>
    <row r="1">
      <c r="A1" s="8" t="s">
        <v>231</v>
      </c>
    </row>
    <row r="2">
      <c r="A2" s="8" t="s">
        <v>232</v>
      </c>
    </row>
    <row r="3">
      <c r="A3" s="9" t="s">
        <v>48</v>
      </c>
    </row>
    <row r="4">
      <c r="A4" s="10" t="s">
        <v>49</v>
      </c>
    </row>
    <row r="5">
      <c r="A5" s="8"/>
    </row>
    <row r="6">
      <c r="A6" s="8" t="s">
        <v>233</v>
      </c>
    </row>
    <row r="7">
      <c r="A7" s="8" t="s">
        <v>234</v>
      </c>
    </row>
    <row r="8">
      <c r="A8" s="11" t="s">
        <v>235</v>
      </c>
    </row>
    <row r="9">
      <c r="A9" s="8" t="s">
        <v>236</v>
      </c>
    </row>
    <row r="10">
      <c r="A10" s="8" t="s">
        <v>57</v>
      </c>
      <c r="B10" s="8" t="s">
        <v>198</v>
      </c>
      <c r="C10" s="8" t="s">
        <v>199</v>
      </c>
      <c r="D10" s="8" t="s">
        <v>237</v>
      </c>
      <c r="E10" s="8" t="s">
        <v>58</v>
      </c>
    </row>
    <row r="11">
      <c r="A11" s="1" t="s">
        <v>10</v>
      </c>
      <c r="B11" s="12"/>
      <c r="C11" s="9" t="s">
        <v>238</v>
      </c>
      <c r="E11" s="8" t="s">
        <v>239</v>
      </c>
    </row>
    <row r="12">
      <c r="A12" s="1" t="s">
        <v>23</v>
      </c>
      <c r="B12" s="9" t="s">
        <v>240</v>
      </c>
      <c r="C12" s="12"/>
      <c r="E12" s="8" t="s">
        <v>241</v>
      </c>
    </row>
    <row r="13">
      <c r="A13" s="1" t="s">
        <v>24</v>
      </c>
      <c r="B13" s="9" t="s">
        <v>242</v>
      </c>
      <c r="C13" s="12"/>
    </row>
    <row r="14">
      <c r="A14" s="1" t="s">
        <v>32</v>
      </c>
      <c r="B14" s="9" t="s">
        <v>243</v>
      </c>
      <c r="C14" s="12"/>
    </row>
    <row r="15">
      <c r="A15" s="1" t="s">
        <v>37</v>
      </c>
      <c r="B15" s="12"/>
      <c r="C15" s="9" t="s">
        <v>244</v>
      </c>
    </row>
    <row r="16">
      <c r="A16" s="8" t="s">
        <v>223</v>
      </c>
      <c r="D16" s="17" t="s">
        <v>245</v>
      </c>
    </row>
    <row r="17">
      <c r="A17" s="8"/>
    </row>
    <row r="18">
      <c r="A18" s="8" t="s">
        <v>246</v>
      </c>
    </row>
    <row r="19">
      <c r="A19" s="8" t="s">
        <v>247</v>
      </c>
    </row>
    <row r="20">
      <c r="A20" s="16" t="s">
        <v>248</v>
      </c>
    </row>
    <row r="21">
      <c r="A21" s="3" t="s">
        <v>249</v>
      </c>
    </row>
    <row r="22">
      <c r="A22" s="3" t="s">
        <v>250</v>
      </c>
      <c r="B22" s="8" t="s">
        <v>251</v>
      </c>
      <c r="C22" s="8" t="s">
        <v>252</v>
      </c>
      <c r="D22" s="8" t="s">
        <v>58</v>
      </c>
    </row>
    <row r="23">
      <c r="A23" s="3" t="s">
        <v>16</v>
      </c>
      <c r="B23" s="10">
        <v>5000.0</v>
      </c>
      <c r="C23" s="10">
        <v>3000.0</v>
      </c>
      <c r="D23" s="8" t="s">
        <v>253</v>
      </c>
      <c r="E23" s="8" t="s">
        <v>254</v>
      </c>
    </row>
    <row r="24">
      <c r="A24" s="1"/>
      <c r="D24" s="8" t="s">
        <v>255</v>
      </c>
    </row>
    <row r="25">
      <c r="D25" s="8" t="s">
        <v>256</v>
      </c>
    </row>
    <row r="26">
      <c r="D26" s="8" t="s">
        <v>257</v>
      </c>
    </row>
    <row r="28">
      <c r="A28" s="8" t="s">
        <v>258</v>
      </c>
    </row>
    <row r="29">
      <c r="A29" s="8" t="s">
        <v>259</v>
      </c>
    </row>
    <row r="30">
      <c r="A30" s="11" t="s">
        <v>260</v>
      </c>
    </row>
    <row r="31">
      <c r="A31" s="8" t="s">
        <v>261</v>
      </c>
    </row>
    <row r="32">
      <c r="B32" s="8" t="s">
        <v>262</v>
      </c>
      <c r="C32" s="8" t="s">
        <v>263</v>
      </c>
      <c r="D32" s="8" t="s">
        <v>58</v>
      </c>
    </row>
    <row r="33">
      <c r="A33" s="8" t="s">
        <v>6</v>
      </c>
      <c r="B33" s="9">
        <v>38500.0</v>
      </c>
      <c r="C33" s="9">
        <v>31300.0</v>
      </c>
      <c r="D33" s="8" t="s">
        <v>264</v>
      </c>
    </row>
    <row r="34">
      <c r="D34" s="8" t="s">
        <v>265</v>
      </c>
    </row>
    <row r="35">
      <c r="A35" s="8"/>
    </row>
    <row r="36">
      <c r="A36" s="8" t="s">
        <v>127</v>
      </c>
    </row>
    <row r="37">
      <c r="A37" s="11" t="s">
        <v>128</v>
      </c>
    </row>
    <row r="38">
      <c r="A38" s="8" t="s">
        <v>129</v>
      </c>
    </row>
    <row r="39">
      <c r="A39" s="8" t="s">
        <v>130</v>
      </c>
    </row>
    <row r="40">
      <c r="A40" s="8" t="s">
        <v>131</v>
      </c>
    </row>
    <row r="41">
      <c r="B41" s="8" t="s">
        <v>266</v>
      </c>
      <c r="C41" s="8" t="s">
        <v>58</v>
      </c>
    </row>
    <row r="42">
      <c r="A42" s="8" t="s">
        <v>16</v>
      </c>
      <c r="B42" s="9">
        <v>7000.0</v>
      </c>
      <c r="C42" s="8" t="s">
        <v>267</v>
      </c>
    </row>
    <row r="44">
      <c r="A44" s="8" t="s">
        <v>144</v>
      </c>
    </row>
    <row r="45">
      <c r="A45" s="8" t="s">
        <v>145</v>
      </c>
    </row>
    <row r="46">
      <c r="A46" s="11" t="s">
        <v>146</v>
      </c>
    </row>
    <row r="47">
      <c r="A47" s="8" t="s">
        <v>147</v>
      </c>
    </row>
    <row r="49">
      <c r="B49" s="8" t="s">
        <v>268</v>
      </c>
      <c r="C49" s="8" t="s">
        <v>269</v>
      </c>
      <c r="D49" s="8" t="s">
        <v>270</v>
      </c>
      <c r="E49" s="8" t="s">
        <v>271</v>
      </c>
      <c r="F49" s="8" t="s">
        <v>272</v>
      </c>
      <c r="G49" s="8" t="s">
        <v>58</v>
      </c>
    </row>
    <row r="50">
      <c r="A50" s="1" t="s">
        <v>5</v>
      </c>
      <c r="B50" s="10">
        <v>59.0</v>
      </c>
      <c r="C50" s="10">
        <v>68.0</v>
      </c>
      <c r="D50" s="22"/>
      <c r="E50" s="22"/>
      <c r="F50" s="22"/>
      <c r="G50" s="8" t="s">
        <v>150</v>
      </c>
    </row>
    <row r="51">
      <c r="A51" s="1" t="s">
        <v>10</v>
      </c>
      <c r="B51" s="22"/>
      <c r="C51" s="22"/>
      <c r="D51" s="10">
        <v>7.0</v>
      </c>
      <c r="E51" s="10">
        <v>265.0</v>
      </c>
      <c r="F51" s="10">
        <v>242.0</v>
      </c>
      <c r="G51" s="8" t="s">
        <v>273</v>
      </c>
    </row>
    <row r="52">
      <c r="A52" s="3" t="s">
        <v>274</v>
      </c>
      <c r="B52" s="10"/>
      <c r="C52" s="10"/>
      <c r="D52" s="10">
        <v>4000.0</v>
      </c>
      <c r="E52" s="10"/>
      <c r="F52" s="10">
        <v>1000.0</v>
      </c>
      <c r="G52" s="8" t="s">
        <v>275</v>
      </c>
    </row>
    <row r="53">
      <c r="A53" s="1" t="s">
        <v>16</v>
      </c>
      <c r="B53" s="10">
        <v>825.0</v>
      </c>
      <c r="C53" s="10">
        <v>943.0</v>
      </c>
      <c r="D53" s="10">
        <v>1005.0</v>
      </c>
      <c r="E53" s="10">
        <v>450.0</v>
      </c>
      <c r="F53" s="10">
        <v>5181.0</v>
      </c>
    </row>
    <row r="54">
      <c r="A54" s="1" t="s">
        <v>20</v>
      </c>
      <c r="B54" s="22"/>
      <c r="C54" s="22"/>
      <c r="D54" s="22"/>
      <c r="E54" s="22"/>
      <c r="F54" s="22"/>
    </row>
    <row r="55">
      <c r="A55" s="1" t="s">
        <v>23</v>
      </c>
      <c r="B55" s="22"/>
      <c r="C55" s="22"/>
      <c r="D55" s="22"/>
      <c r="E55" s="10">
        <v>124.0</v>
      </c>
      <c r="F55" s="22"/>
    </row>
    <row r="56">
      <c r="A56" s="1" t="s">
        <v>24</v>
      </c>
      <c r="B56" s="22"/>
      <c r="C56" s="22"/>
      <c r="D56" s="10">
        <v>13.0</v>
      </c>
      <c r="E56" s="10">
        <v>55.0</v>
      </c>
      <c r="F56" s="22"/>
    </row>
    <row r="57">
      <c r="A57" s="3" t="s">
        <v>276</v>
      </c>
      <c r="B57" s="22"/>
      <c r="C57" s="22"/>
      <c r="D57" s="10">
        <v>11.0</v>
      </c>
      <c r="E57" s="10">
        <v>109.0</v>
      </c>
      <c r="F57" s="10">
        <v>1.0</v>
      </c>
    </row>
    <row r="58">
      <c r="A58" s="1" t="s">
        <v>27</v>
      </c>
      <c r="B58" s="22"/>
      <c r="C58" s="22"/>
      <c r="D58" s="22"/>
      <c r="E58" s="22"/>
      <c r="F58" s="22"/>
    </row>
    <row r="59">
      <c r="A59" s="1" t="s">
        <v>29</v>
      </c>
      <c r="B59" s="10">
        <v>1.0</v>
      </c>
      <c r="C59" s="10">
        <v>1.0</v>
      </c>
      <c r="D59" s="10">
        <v>334.0</v>
      </c>
      <c r="E59" s="22"/>
      <c r="F59" s="10">
        <v>16.0</v>
      </c>
    </row>
    <row r="60">
      <c r="A60" s="1" t="s">
        <v>32</v>
      </c>
      <c r="B60" s="22"/>
      <c r="C60" s="22"/>
      <c r="D60" s="22"/>
      <c r="E60" s="10">
        <v>11.0</v>
      </c>
      <c r="F60" s="22"/>
    </row>
    <row r="61">
      <c r="A61" s="1" t="s">
        <v>37</v>
      </c>
      <c r="B61" s="22"/>
      <c r="C61" s="22"/>
      <c r="D61" s="10">
        <v>8.0</v>
      </c>
      <c r="E61" s="22"/>
      <c r="F61" s="10">
        <v>243.0</v>
      </c>
    </row>
    <row r="64">
      <c r="A64" s="8" t="s">
        <v>277</v>
      </c>
    </row>
    <row r="65">
      <c r="A65" s="25" t="s">
        <v>278</v>
      </c>
    </row>
    <row r="66">
      <c r="A66" s="11" t="s">
        <v>279</v>
      </c>
    </row>
    <row r="67">
      <c r="A67" s="8" t="s">
        <v>280</v>
      </c>
    </row>
    <row r="68">
      <c r="B68" s="8" t="s">
        <v>281</v>
      </c>
      <c r="C68" s="8" t="s">
        <v>282</v>
      </c>
      <c r="D68" s="8" t="s">
        <v>58</v>
      </c>
    </row>
    <row r="69">
      <c r="A69" s="1" t="s">
        <v>5</v>
      </c>
      <c r="B69" s="9">
        <v>13.0</v>
      </c>
      <c r="C69" s="9">
        <v>16.0</v>
      </c>
      <c r="E69" s="8" t="s">
        <v>283</v>
      </c>
    </row>
    <row r="70">
      <c r="A70" s="1" t="s">
        <v>6</v>
      </c>
      <c r="B70" s="9">
        <v>0.0</v>
      </c>
      <c r="C70" s="9">
        <v>11000.0</v>
      </c>
      <c r="E70" s="8" t="s">
        <v>281</v>
      </c>
      <c r="F70" s="8" t="s">
        <v>282</v>
      </c>
      <c r="G70" s="8" t="s">
        <v>58</v>
      </c>
    </row>
    <row r="71">
      <c r="A71" s="3" t="s">
        <v>38</v>
      </c>
      <c r="B71" s="9">
        <v>250000.0</v>
      </c>
      <c r="C71" s="9">
        <v>72000.0</v>
      </c>
      <c r="D71" s="8" t="s">
        <v>284</v>
      </c>
      <c r="E71" s="13">
        <f t="shared" ref="E71:F71" si="1">B71*10.43</f>
        <v>2607500</v>
      </c>
      <c r="F71" s="13">
        <f t="shared" si="1"/>
        <v>750960</v>
      </c>
      <c r="G71" s="26" t="s">
        <v>285</v>
      </c>
    </row>
    <row r="72">
      <c r="A72" s="8" t="s">
        <v>274</v>
      </c>
      <c r="B72" s="10">
        <v>2200.0</v>
      </c>
      <c r="C72" s="10">
        <v>3700.0</v>
      </c>
      <c r="G72" s="1" t="s">
        <v>286</v>
      </c>
    </row>
    <row r="73">
      <c r="A73" s="1" t="s">
        <v>16</v>
      </c>
      <c r="B73" s="9">
        <v>3200.0</v>
      </c>
      <c r="C73" s="9">
        <v>1400.0</v>
      </c>
      <c r="G73" s="1" t="s">
        <v>287</v>
      </c>
    </row>
    <row r="74">
      <c r="A74" s="3" t="s">
        <v>288</v>
      </c>
      <c r="B74" s="10">
        <v>3000.0</v>
      </c>
      <c r="C74" s="10">
        <v>2600.0</v>
      </c>
      <c r="J74" s="27" t="s">
        <v>289</v>
      </c>
    </row>
    <row r="75">
      <c r="A75" s="1" t="s">
        <v>26</v>
      </c>
      <c r="B75" s="9">
        <v>2000.0</v>
      </c>
      <c r="C75" s="9">
        <v>5700.0</v>
      </c>
      <c r="E75" s="8" t="s">
        <v>290</v>
      </c>
    </row>
    <row r="76">
      <c r="A76" s="3" t="s">
        <v>276</v>
      </c>
      <c r="B76" s="10">
        <v>200.0</v>
      </c>
      <c r="C76" s="10">
        <v>56.0</v>
      </c>
      <c r="E76" s="8" t="s">
        <v>281</v>
      </c>
      <c r="F76" s="8" t="s">
        <v>282</v>
      </c>
    </row>
    <row r="77">
      <c r="A77" s="1" t="s">
        <v>29</v>
      </c>
      <c r="B77" s="9">
        <v>940.0</v>
      </c>
      <c r="C77" s="9">
        <v>1800.0</v>
      </c>
      <c r="E77" s="9">
        <v>250000.0</v>
      </c>
      <c r="F77" s="9">
        <v>72000.0</v>
      </c>
    </row>
    <row r="78">
      <c r="A78" s="1" t="s">
        <v>33</v>
      </c>
      <c r="B78" s="9">
        <v>240000.0</v>
      </c>
      <c r="C78" s="9">
        <v>400000.0</v>
      </c>
    </row>
    <row r="79">
      <c r="A79" s="8" t="s">
        <v>291</v>
      </c>
      <c r="B79" s="10">
        <v>650000.0</v>
      </c>
      <c r="C79" s="10">
        <v>393000.0</v>
      </c>
      <c r="D79" s="8" t="s">
        <v>292</v>
      </c>
    </row>
    <row r="80">
      <c r="A80" s="28" t="s">
        <v>226</v>
      </c>
      <c r="B80" s="9">
        <v>130000.0</v>
      </c>
      <c r="C80" s="9">
        <v>110000.0</v>
      </c>
    </row>
    <row r="81">
      <c r="A81" s="28" t="s">
        <v>293</v>
      </c>
      <c r="B81" s="10">
        <v>92000.0</v>
      </c>
      <c r="C81" s="10">
        <v>81000.0</v>
      </c>
      <c r="D81" s="8" t="s">
        <v>294</v>
      </c>
    </row>
    <row r="82">
      <c r="A82" s="28"/>
    </row>
    <row r="83">
      <c r="A83" s="28" t="s">
        <v>295</v>
      </c>
    </row>
    <row r="84">
      <c r="A84" s="16" t="s">
        <v>296</v>
      </c>
    </row>
    <row r="85">
      <c r="A85" s="8" t="s">
        <v>297</v>
      </c>
    </row>
    <row r="86">
      <c r="A86" s="3" t="s">
        <v>298</v>
      </c>
      <c r="B86" s="8"/>
      <c r="C86" s="8"/>
    </row>
    <row r="87">
      <c r="A87" s="3" t="s">
        <v>57</v>
      </c>
      <c r="B87" s="8" t="s">
        <v>237</v>
      </c>
      <c r="C87" s="8" t="s">
        <v>58</v>
      </c>
    </row>
    <row r="88">
      <c r="A88" s="8" t="s">
        <v>5</v>
      </c>
      <c r="B88" s="9">
        <v>10.0</v>
      </c>
      <c r="C88" s="8" t="s">
        <v>299</v>
      </c>
    </row>
    <row r="89">
      <c r="A89" s="1"/>
      <c r="C89" s="8" t="s">
        <v>300</v>
      </c>
    </row>
    <row r="91">
      <c r="A91" s="8" t="s">
        <v>301</v>
      </c>
    </row>
    <row r="92">
      <c r="A92" s="11" t="s">
        <v>302</v>
      </c>
    </row>
    <row r="93">
      <c r="A93" s="8" t="s">
        <v>303</v>
      </c>
    </row>
    <row r="94">
      <c r="A94" s="8" t="s">
        <v>304</v>
      </c>
      <c r="B94" s="8" t="s">
        <v>305</v>
      </c>
      <c r="C94" s="8" t="s">
        <v>198</v>
      </c>
      <c r="D94" s="8" t="s">
        <v>306</v>
      </c>
      <c r="E94" s="8" t="s">
        <v>307</v>
      </c>
      <c r="F94" s="8" t="s">
        <v>58</v>
      </c>
    </row>
    <row r="95">
      <c r="A95" s="8" t="s">
        <v>10</v>
      </c>
      <c r="B95" s="9">
        <v>29.4</v>
      </c>
      <c r="C95" s="12"/>
      <c r="D95" s="12"/>
      <c r="H95" s="8" t="s">
        <v>60</v>
      </c>
      <c r="I95" s="8" t="s">
        <v>61</v>
      </c>
    </row>
    <row r="96">
      <c r="A96" s="8" t="s">
        <v>37</v>
      </c>
      <c r="B96" s="9">
        <v>31.4</v>
      </c>
      <c r="C96" s="12"/>
      <c r="D96" s="12"/>
      <c r="H96" s="8" t="s">
        <v>63</v>
      </c>
      <c r="I96" s="13">
        <f>D101/1.6</f>
        <v>39375</v>
      </c>
    </row>
    <row r="97">
      <c r="A97" s="8" t="s">
        <v>16</v>
      </c>
      <c r="B97" s="12"/>
      <c r="C97" s="9">
        <v>8.22</v>
      </c>
      <c r="D97" s="12"/>
      <c r="F97" s="8" t="s">
        <v>308</v>
      </c>
      <c r="H97" s="8" t="s">
        <v>65</v>
      </c>
      <c r="I97" s="13">
        <f>D101/2.5</f>
        <v>25200</v>
      </c>
    </row>
    <row r="98">
      <c r="A98" s="8" t="s">
        <v>24</v>
      </c>
      <c r="B98" s="12"/>
      <c r="C98" s="9">
        <v>14.9</v>
      </c>
      <c r="D98" s="12"/>
    </row>
    <row r="99">
      <c r="A99" s="8" t="s">
        <v>23</v>
      </c>
      <c r="B99" s="12"/>
      <c r="C99" s="9">
        <v>9.0</v>
      </c>
      <c r="D99" s="12"/>
      <c r="I99" s="8" t="s">
        <v>68</v>
      </c>
      <c r="J99" s="8" t="s">
        <v>69</v>
      </c>
    </row>
    <row r="100">
      <c r="A100" s="8" t="s">
        <v>32</v>
      </c>
      <c r="B100" s="12"/>
      <c r="C100" s="9">
        <v>20.4</v>
      </c>
      <c r="D100" s="12"/>
      <c r="H100" s="8" t="s">
        <v>71</v>
      </c>
      <c r="I100" s="13">
        <f>I96*165</f>
        <v>6496875</v>
      </c>
      <c r="J100" s="12">
        <f t="shared" ref="J100:J101" si="2">I100/1000</f>
        <v>6496.875</v>
      </c>
    </row>
    <row r="101">
      <c r="A101" s="8" t="s">
        <v>12</v>
      </c>
      <c r="B101" s="12"/>
      <c r="C101" s="12"/>
      <c r="D101" s="9">
        <v>63000.0</v>
      </c>
      <c r="F101" s="8" t="s">
        <v>309</v>
      </c>
      <c r="G101" s="11" t="s">
        <v>310</v>
      </c>
      <c r="H101" s="8" t="s">
        <v>73</v>
      </c>
      <c r="I101" s="13">
        <f>I97*400</f>
        <v>10080000</v>
      </c>
      <c r="J101" s="12">
        <f t="shared" si="2"/>
        <v>10080</v>
      </c>
    </row>
    <row r="102">
      <c r="A102" s="8" t="s">
        <v>311</v>
      </c>
      <c r="B102" s="12"/>
      <c r="C102" s="12"/>
      <c r="D102" s="9">
        <v>73000.0</v>
      </c>
      <c r="F102" s="29" t="s">
        <v>312</v>
      </c>
    </row>
    <row r="103">
      <c r="A103" s="8" t="s">
        <v>6</v>
      </c>
      <c r="B103" s="12"/>
      <c r="C103" s="12"/>
      <c r="D103" s="9">
        <v>8500.0</v>
      </c>
    </row>
    <row r="104">
      <c r="A104" s="8" t="s">
        <v>16</v>
      </c>
      <c r="B104" s="12"/>
      <c r="C104" s="12"/>
      <c r="D104" s="9">
        <v>4900.0</v>
      </c>
    </row>
    <row r="105">
      <c r="A105" s="8" t="s">
        <v>223</v>
      </c>
      <c r="D105" s="9" t="s">
        <v>313</v>
      </c>
      <c r="E105" s="9">
        <v>58.0</v>
      </c>
    </row>
    <row r="106">
      <c r="A106" s="8" t="s">
        <v>226</v>
      </c>
      <c r="D106" s="9">
        <v>50000.0</v>
      </c>
    </row>
    <row r="108">
      <c r="A108" s="30" t="s">
        <v>314</v>
      </c>
    </row>
    <row r="109">
      <c r="A109" s="30" t="s">
        <v>315</v>
      </c>
    </row>
    <row r="111">
      <c r="A111" s="30" t="s">
        <v>316</v>
      </c>
      <c r="B111" s="30" t="s">
        <v>251</v>
      </c>
      <c r="C111" s="30" t="s">
        <v>251</v>
      </c>
      <c r="D111" s="30" t="s">
        <v>251</v>
      </c>
      <c r="E111" s="30" t="s">
        <v>251</v>
      </c>
      <c r="F111" s="8" t="s">
        <v>317</v>
      </c>
      <c r="H111" s="8" t="s">
        <v>60</v>
      </c>
      <c r="I111" s="8" t="s">
        <v>61</v>
      </c>
    </row>
    <row r="112">
      <c r="B112" s="30" t="s">
        <v>318</v>
      </c>
      <c r="C112" s="30" t="s">
        <v>319</v>
      </c>
      <c r="D112" s="30" t="s">
        <v>320</v>
      </c>
      <c r="E112" s="30" t="s">
        <v>321</v>
      </c>
      <c r="F112" s="8" t="s">
        <v>322</v>
      </c>
      <c r="H112" s="8" t="s">
        <v>63</v>
      </c>
      <c r="I112" s="13">
        <f>C116/1.6</f>
        <v>41062.5</v>
      </c>
    </row>
    <row r="113">
      <c r="A113" s="30" t="s">
        <v>323</v>
      </c>
      <c r="B113" s="31">
        <v>4118.0</v>
      </c>
      <c r="C113" s="32">
        <v>3.5</v>
      </c>
      <c r="D113" s="31">
        <v>1.0</v>
      </c>
      <c r="E113" s="31">
        <v>1.0</v>
      </c>
      <c r="H113" s="8" t="s">
        <v>65</v>
      </c>
      <c r="I113" s="13">
        <f>C116/2.5</f>
        <v>26280</v>
      </c>
    </row>
    <row r="114">
      <c r="A114" s="30" t="s">
        <v>324</v>
      </c>
      <c r="B114" s="22"/>
      <c r="C114" s="12"/>
      <c r="D114" s="22"/>
      <c r="E114" s="22"/>
    </row>
    <row r="115">
      <c r="A115" s="30" t="s">
        <v>103</v>
      </c>
      <c r="B115" s="22">
        <v>43200.0</v>
      </c>
      <c r="C115" s="12">
        <v>19000.0</v>
      </c>
      <c r="D115" s="22">
        <v>11400.0</v>
      </c>
      <c r="E115" s="22">
        <v>23000.0</v>
      </c>
      <c r="I115" s="8" t="s">
        <v>68</v>
      </c>
      <c r="J115" s="8" t="s">
        <v>69</v>
      </c>
    </row>
    <row r="116">
      <c r="A116" s="30" t="s">
        <v>12</v>
      </c>
      <c r="B116" s="22">
        <v>540000.0</v>
      </c>
      <c r="C116" s="12">
        <v>65700.0</v>
      </c>
      <c r="D116" s="22"/>
      <c r="E116" s="22"/>
      <c r="H116" s="8" t="s">
        <v>71</v>
      </c>
      <c r="I116" s="13">
        <f>I112*165</f>
        <v>6775312.5</v>
      </c>
      <c r="J116" s="12">
        <f t="shared" ref="J116:J117" si="3">I116/1000</f>
        <v>6775.3125</v>
      </c>
    </row>
    <row r="117">
      <c r="A117" s="30" t="s">
        <v>16</v>
      </c>
      <c r="B117" s="22">
        <v>117000.0</v>
      </c>
      <c r="C117" s="12">
        <v>7530.0</v>
      </c>
      <c r="D117" s="22">
        <v>170.0</v>
      </c>
      <c r="E117" s="22">
        <v>850.0</v>
      </c>
      <c r="F117" s="8" t="s">
        <v>325</v>
      </c>
      <c r="H117" s="8" t="s">
        <v>73</v>
      </c>
      <c r="I117" s="13">
        <f>I113*400</f>
        <v>10512000</v>
      </c>
      <c r="J117" s="12">
        <f t="shared" si="3"/>
        <v>10512</v>
      </c>
    </row>
    <row r="118">
      <c r="A118" s="30" t="s">
        <v>33</v>
      </c>
      <c r="B118" s="22">
        <v>1117000.0</v>
      </c>
      <c r="C118" s="12">
        <v>55900.0</v>
      </c>
      <c r="D118" s="22"/>
      <c r="E118" s="22"/>
    </row>
    <row r="119">
      <c r="B119" s="11" t="s">
        <v>326</v>
      </c>
      <c r="C119" s="11" t="s">
        <v>327</v>
      </c>
    </row>
    <row r="120">
      <c r="B120" s="8" t="s">
        <v>328</v>
      </c>
      <c r="C120" s="33" t="s">
        <v>329</v>
      </c>
    </row>
    <row r="121">
      <c r="C121" s="8" t="s">
        <v>330</v>
      </c>
    </row>
    <row r="123">
      <c r="A123" s="28" t="s">
        <v>331</v>
      </c>
    </row>
    <row r="124">
      <c r="A124" s="11" t="s">
        <v>332</v>
      </c>
    </row>
    <row r="125">
      <c r="A125" s="8" t="s">
        <v>333</v>
      </c>
    </row>
    <row r="126">
      <c r="A126" s="28" t="s">
        <v>334</v>
      </c>
    </row>
    <row r="127">
      <c r="A127" s="28" t="s">
        <v>335</v>
      </c>
    </row>
    <row r="128">
      <c r="A128" s="28" t="s">
        <v>336</v>
      </c>
    </row>
    <row r="130">
      <c r="A130" s="8" t="s">
        <v>304</v>
      </c>
      <c r="B130" s="8" t="s">
        <v>237</v>
      </c>
      <c r="C130" s="8" t="s">
        <v>58</v>
      </c>
    </row>
    <row r="131">
      <c r="A131" s="8" t="s">
        <v>29</v>
      </c>
      <c r="B131" s="9">
        <v>1.0</v>
      </c>
      <c r="C131" s="28" t="s">
        <v>337</v>
      </c>
    </row>
    <row r="133">
      <c r="A133" s="8" t="s">
        <v>338</v>
      </c>
    </row>
    <row r="134">
      <c r="A134" s="11" t="s">
        <v>339</v>
      </c>
    </row>
    <row r="137">
      <c r="A137" s="9" t="s">
        <v>340</v>
      </c>
      <c r="B137" s="12"/>
    </row>
    <row r="138">
      <c r="A138" s="34" t="s">
        <v>341</v>
      </c>
      <c r="B138" s="12"/>
    </row>
    <row r="139">
      <c r="A139" s="12"/>
      <c r="B139" s="12"/>
    </row>
    <row r="140">
      <c r="A140" s="9" t="s">
        <v>12</v>
      </c>
      <c r="B140" s="12">
        <f>47*1000</f>
        <v>47000</v>
      </c>
    </row>
    <row r="141">
      <c r="A141" s="9" t="s">
        <v>33</v>
      </c>
      <c r="B141" s="12">
        <f>56*1000</f>
        <v>56000</v>
      </c>
    </row>
    <row r="142">
      <c r="A142" s="9" t="s">
        <v>342</v>
      </c>
      <c r="B142" s="12">
        <f>6*1000</f>
        <v>6000</v>
      </c>
    </row>
    <row r="143">
      <c r="A143" s="9" t="s">
        <v>226</v>
      </c>
      <c r="B143" s="12">
        <f>70*1000</f>
        <v>70000</v>
      </c>
    </row>
    <row r="144">
      <c r="A144" s="9" t="s">
        <v>6</v>
      </c>
      <c r="B144" s="12">
        <f>19*1000</f>
        <v>19000</v>
      </c>
    </row>
    <row r="145">
      <c r="A145" s="9" t="s">
        <v>16</v>
      </c>
      <c r="B145" s="12">
        <f>7*1000</f>
        <v>7000</v>
      </c>
    </row>
    <row r="146">
      <c r="A146" s="9" t="s">
        <v>343</v>
      </c>
      <c r="B146" s="9">
        <v>7000.0</v>
      </c>
    </row>
    <row r="148">
      <c r="E148" s="30" t="s">
        <v>60</v>
      </c>
      <c r="F148" s="30" t="s">
        <v>61</v>
      </c>
    </row>
    <row r="149">
      <c r="E149" s="30" t="s">
        <v>63</v>
      </c>
      <c r="F149" s="13">
        <f>B140/1.6</f>
        <v>29375</v>
      </c>
    </row>
    <row r="150">
      <c r="E150" s="30" t="s">
        <v>65</v>
      </c>
      <c r="F150" s="13">
        <f>B140/2.5</f>
        <v>18800</v>
      </c>
    </row>
    <row r="152">
      <c r="F152" s="30" t="s">
        <v>68</v>
      </c>
      <c r="G152" s="30" t="s">
        <v>69</v>
      </c>
    </row>
    <row r="153">
      <c r="E153" s="30" t="s">
        <v>71</v>
      </c>
      <c r="F153" s="13">
        <f>F149*165</f>
        <v>4846875</v>
      </c>
      <c r="G153" s="13">
        <f t="shared" ref="G153:G154" si="4">F153/1000</f>
        <v>4846.875</v>
      </c>
    </row>
    <row r="154">
      <c r="E154" s="30" t="s">
        <v>73</v>
      </c>
      <c r="F154" s="13">
        <f>F150*400</f>
        <v>7520000</v>
      </c>
      <c r="G154" s="13">
        <f t="shared" si="4"/>
        <v>7520</v>
      </c>
    </row>
    <row r="156">
      <c r="G156" s="8" t="s">
        <v>344</v>
      </c>
    </row>
    <row r="158">
      <c r="A158" s="8" t="s">
        <v>345</v>
      </c>
    </row>
    <row r="159">
      <c r="A159" s="16" t="s">
        <v>346</v>
      </c>
    </row>
    <row r="160">
      <c r="A160" s="9" t="s">
        <v>347</v>
      </c>
    </row>
    <row r="161">
      <c r="A161" s="8" t="s">
        <v>348</v>
      </c>
    </row>
    <row r="163">
      <c r="A163" s="8" t="s">
        <v>349</v>
      </c>
    </row>
    <row r="164">
      <c r="A164" s="16" t="s">
        <v>332</v>
      </c>
    </row>
    <row r="165">
      <c r="A165" s="8" t="s">
        <v>350</v>
      </c>
    </row>
    <row r="166">
      <c r="A166" s="8" t="s">
        <v>351</v>
      </c>
    </row>
    <row r="167">
      <c r="B167" s="8" t="s">
        <v>352</v>
      </c>
      <c r="C167" s="8" t="s">
        <v>57</v>
      </c>
    </row>
    <row r="168">
      <c r="A168" s="8" t="s">
        <v>226</v>
      </c>
      <c r="B168" s="8">
        <v>195.0</v>
      </c>
      <c r="C168" s="13">
        <f>(1000000/195)*10</f>
        <v>51282.05128</v>
      </c>
    </row>
    <row r="169">
      <c r="A169" s="8" t="s">
        <v>226</v>
      </c>
      <c r="B169" s="8">
        <v>180.0</v>
      </c>
      <c r="C169" s="35">
        <f>(1000000/180)*10</f>
        <v>55555.55556</v>
      </c>
    </row>
    <row r="170">
      <c r="A170" s="8" t="s">
        <v>353</v>
      </c>
      <c r="C170" s="12">
        <f>AVERAGE(C168:C169)</f>
        <v>53418.80342</v>
      </c>
    </row>
    <row r="171">
      <c r="A171" s="8"/>
    </row>
    <row r="172">
      <c r="A172" s="8"/>
    </row>
    <row r="173">
      <c r="A173" s="8" t="s">
        <v>354</v>
      </c>
    </row>
    <row r="174">
      <c r="A174" s="16" t="s">
        <v>355</v>
      </c>
    </row>
    <row r="175">
      <c r="A175" s="8" t="s">
        <v>328</v>
      </c>
      <c r="B175" s="8" t="s">
        <v>356</v>
      </c>
      <c r="C175" s="8" t="s">
        <v>357</v>
      </c>
      <c r="D175" s="8" t="s">
        <v>352</v>
      </c>
      <c r="E175" s="8" t="s">
        <v>358</v>
      </c>
      <c r="F175" s="8" t="s">
        <v>57</v>
      </c>
    </row>
    <row r="176">
      <c r="A176" s="8" t="s">
        <v>359</v>
      </c>
      <c r="B176" s="8">
        <v>5.2</v>
      </c>
      <c r="C176" s="8" t="s">
        <v>360</v>
      </c>
      <c r="D176" s="8">
        <v>195.0</v>
      </c>
      <c r="E176" s="8">
        <v>2.93</v>
      </c>
      <c r="F176" s="9">
        <v>2930.0</v>
      </c>
    </row>
    <row r="177">
      <c r="A177" s="8" t="s">
        <v>361</v>
      </c>
      <c r="B177" s="8">
        <v>5.6</v>
      </c>
      <c r="C177" s="8" t="s">
        <v>362</v>
      </c>
      <c r="D177" s="8">
        <v>180.0</v>
      </c>
      <c r="E177" s="8">
        <v>3.45</v>
      </c>
      <c r="F177" s="9">
        <v>3450.0</v>
      </c>
    </row>
  </sheetData>
  <hyperlinks>
    <hyperlink r:id="rId1" location="!divAbstract" ref="A8"/>
    <hyperlink r:id="rId2" ref="A20"/>
    <hyperlink r:id="rId3" ref="A30"/>
    <hyperlink r:id="rId4" ref="A37"/>
    <hyperlink r:id="rId5" ref="A46"/>
    <hyperlink r:id="rId6" ref="A66"/>
    <hyperlink r:id="rId7" ref="G71"/>
    <hyperlink r:id="rId8" location="ec0005" ref="A84"/>
    <hyperlink r:id="rId9" location="!divAbstract" ref="A92"/>
    <hyperlink r:id="rId10" ref="G101"/>
    <hyperlink r:id="rId11" ref="B119"/>
    <hyperlink r:id="rId12" ref="C119"/>
    <hyperlink r:id="rId13" ref="A124"/>
    <hyperlink r:id="rId14" ref="A134"/>
    <hyperlink r:id="rId15" ref="A138"/>
    <hyperlink r:id="rId16" ref="A159"/>
    <hyperlink r:id="rId17" ref="A164"/>
    <hyperlink r:id="rId18" ref="A174"/>
  </hyperlinks>
  <drawing r:id="rId19"/>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topLeftCell="B1" activePane="topRight" state="frozen"/>
      <selection activeCell="C2" sqref="C2" pane="topRight"/>
    </sheetView>
  </sheetViews>
  <sheetFormatPr customHeight="1" defaultColWidth="14.43" defaultRowHeight="15.75"/>
  <cols>
    <col customWidth="1" min="2" max="2" width="17.0"/>
    <col customWidth="1" min="5" max="5" width="14.43"/>
    <col customWidth="1" min="6" max="6" width="61.57"/>
    <col customWidth="1" min="7" max="7" width="19.14"/>
  </cols>
  <sheetData>
    <row r="1">
      <c r="A1" s="8" t="s">
        <v>0</v>
      </c>
      <c r="B1" s="8" t="s">
        <v>363</v>
      </c>
      <c r="C1" s="8" t="s">
        <v>364</v>
      </c>
      <c r="D1" s="8" t="s">
        <v>365</v>
      </c>
      <c r="E1" s="8" t="s">
        <v>366</v>
      </c>
      <c r="F1" s="8" t="s">
        <v>367</v>
      </c>
      <c r="G1" s="8" t="s">
        <v>368</v>
      </c>
    </row>
    <row r="2">
      <c r="A2" s="1" t="s">
        <v>5</v>
      </c>
      <c r="B2" s="8" t="s">
        <v>369</v>
      </c>
      <c r="C2" s="8">
        <v>0.0</v>
      </c>
      <c r="D2" s="8">
        <v>0.0</v>
      </c>
      <c r="E2" s="8">
        <v>0.0</v>
      </c>
      <c r="F2" s="8">
        <v>0.0</v>
      </c>
      <c r="G2" s="8">
        <v>0.0</v>
      </c>
    </row>
    <row r="3">
      <c r="A3" s="1" t="s">
        <v>6</v>
      </c>
      <c r="B3" s="8" t="s">
        <v>370</v>
      </c>
      <c r="C3" s="8" t="s">
        <v>371</v>
      </c>
      <c r="D3" s="8" t="s">
        <v>372</v>
      </c>
      <c r="E3" s="8" t="s">
        <v>370</v>
      </c>
      <c r="F3" s="8" t="s">
        <v>371</v>
      </c>
      <c r="G3" s="8" t="s">
        <v>372</v>
      </c>
    </row>
    <row r="4">
      <c r="A4" s="1" t="s">
        <v>10</v>
      </c>
      <c r="B4" s="8">
        <v>0.0</v>
      </c>
      <c r="C4" s="8">
        <v>0.0</v>
      </c>
      <c r="D4" s="8">
        <v>0.0</v>
      </c>
      <c r="E4" s="8">
        <v>0.0</v>
      </c>
      <c r="F4" s="8">
        <v>0.0</v>
      </c>
      <c r="G4" s="8">
        <v>0.0</v>
      </c>
    </row>
    <row r="5">
      <c r="A5" s="1" t="s">
        <v>11</v>
      </c>
      <c r="B5" s="8" t="s">
        <v>373</v>
      </c>
      <c r="C5" s="8">
        <v>0.0</v>
      </c>
      <c r="D5" s="8">
        <v>0.0</v>
      </c>
      <c r="E5" s="8">
        <v>0.0</v>
      </c>
      <c r="F5" s="8">
        <v>0.0</v>
      </c>
      <c r="G5" s="8">
        <v>0.0</v>
      </c>
    </row>
    <row r="6">
      <c r="A6" s="1" t="s">
        <v>12</v>
      </c>
      <c r="B6" s="8" t="s">
        <v>374</v>
      </c>
      <c r="C6" s="8" t="s">
        <v>375</v>
      </c>
      <c r="D6" s="8" t="s">
        <v>376</v>
      </c>
      <c r="E6" s="8" t="s">
        <v>377</v>
      </c>
      <c r="F6" s="8" t="s">
        <v>378</v>
      </c>
      <c r="G6" s="8" t="s">
        <v>379</v>
      </c>
    </row>
    <row r="7">
      <c r="A7" s="1" t="s">
        <v>16</v>
      </c>
      <c r="B7" s="8" t="s">
        <v>380</v>
      </c>
      <c r="C7" s="8" t="s">
        <v>380</v>
      </c>
      <c r="D7" s="8" t="s">
        <v>381</v>
      </c>
      <c r="E7" s="8" t="s">
        <v>382</v>
      </c>
      <c r="F7" s="8" t="s">
        <v>382</v>
      </c>
      <c r="G7" s="8" t="s">
        <v>383</v>
      </c>
    </row>
    <row r="8">
      <c r="A8" s="1" t="s">
        <v>20</v>
      </c>
      <c r="B8" s="8">
        <v>0.0</v>
      </c>
      <c r="C8" s="8">
        <v>0.0</v>
      </c>
      <c r="D8" s="8">
        <v>0.0</v>
      </c>
      <c r="E8" s="8">
        <v>0.0</v>
      </c>
      <c r="F8" s="8">
        <v>0.0</v>
      </c>
      <c r="G8" s="8">
        <v>0.0</v>
      </c>
    </row>
    <row r="9">
      <c r="A9" s="1" t="s">
        <v>23</v>
      </c>
      <c r="B9" s="8">
        <v>0.0</v>
      </c>
      <c r="C9" s="8">
        <v>0.0</v>
      </c>
      <c r="D9" s="8">
        <v>0.0</v>
      </c>
      <c r="E9" s="8">
        <v>0.0</v>
      </c>
      <c r="F9" s="8">
        <v>0.0</v>
      </c>
      <c r="G9" s="8">
        <v>0.0</v>
      </c>
    </row>
    <row r="10">
      <c r="A10" s="1" t="s">
        <v>24</v>
      </c>
      <c r="B10" s="8">
        <v>0.0</v>
      </c>
      <c r="C10" s="8">
        <v>0.0</v>
      </c>
      <c r="D10" s="8">
        <v>0.0</v>
      </c>
      <c r="E10" s="8">
        <v>0.0</v>
      </c>
      <c r="F10" s="8">
        <v>0.0</v>
      </c>
      <c r="G10" s="8">
        <v>0.0</v>
      </c>
    </row>
    <row r="11">
      <c r="A11" s="1" t="s">
        <v>25</v>
      </c>
      <c r="B11" s="8">
        <v>0.0</v>
      </c>
      <c r="C11" s="8">
        <v>0.0</v>
      </c>
      <c r="D11" s="8">
        <v>0.0</v>
      </c>
      <c r="E11" s="8">
        <v>0.0</v>
      </c>
      <c r="F11" s="8">
        <v>0.0</v>
      </c>
      <c r="G11" s="8">
        <v>0.0</v>
      </c>
    </row>
    <row r="12">
      <c r="A12" s="1" t="s">
        <v>26</v>
      </c>
      <c r="B12" s="8" t="s">
        <v>384</v>
      </c>
      <c r="C12" s="3" t="s">
        <v>384</v>
      </c>
      <c r="D12" s="8" t="s">
        <v>385</v>
      </c>
      <c r="E12" s="8" t="s">
        <v>384</v>
      </c>
      <c r="F12" s="3" t="s">
        <v>384</v>
      </c>
      <c r="G12" s="8" t="s">
        <v>385</v>
      </c>
    </row>
    <row r="13">
      <c r="A13" s="1" t="s">
        <v>27</v>
      </c>
      <c r="B13" s="8">
        <v>0.0</v>
      </c>
      <c r="C13" s="8">
        <v>0.0</v>
      </c>
      <c r="D13" s="8">
        <v>0.0</v>
      </c>
      <c r="E13" s="8">
        <v>0.0</v>
      </c>
      <c r="F13" s="8">
        <v>0.0</v>
      </c>
      <c r="G13" s="8">
        <v>0.0</v>
      </c>
    </row>
    <row r="14">
      <c r="A14" s="1" t="s">
        <v>29</v>
      </c>
      <c r="B14" s="8" t="s">
        <v>386</v>
      </c>
      <c r="C14" s="3" t="s">
        <v>386</v>
      </c>
      <c r="D14" s="8" t="s">
        <v>387</v>
      </c>
      <c r="E14" s="8" t="s">
        <v>386</v>
      </c>
      <c r="F14" s="3" t="s">
        <v>386</v>
      </c>
      <c r="G14" s="8" t="s">
        <v>387</v>
      </c>
    </row>
    <row r="15">
      <c r="A15" s="1" t="s">
        <v>31</v>
      </c>
      <c r="B15" s="8">
        <v>0.0</v>
      </c>
      <c r="C15" s="8">
        <v>0.0</v>
      </c>
      <c r="D15" s="8">
        <v>0.0</v>
      </c>
      <c r="E15" s="8">
        <v>0.0</v>
      </c>
      <c r="F15" s="8">
        <v>0.0</v>
      </c>
      <c r="G15" s="8">
        <v>0.0</v>
      </c>
    </row>
    <row r="16">
      <c r="A16" s="1" t="s">
        <v>32</v>
      </c>
      <c r="B16" s="8">
        <v>0.0</v>
      </c>
      <c r="C16" s="8">
        <v>0.0</v>
      </c>
      <c r="D16" s="8">
        <v>0.0</v>
      </c>
      <c r="E16" s="8">
        <v>0.0</v>
      </c>
      <c r="F16" s="8">
        <v>0.0</v>
      </c>
      <c r="G16" s="8">
        <v>0.0</v>
      </c>
    </row>
    <row r="17">
      <c r="A17" s="1" t="s">
        <v>33</v>
      </c>
      <c r="B17" s="8" t="s">
        <v>388</v>
      </c>
      <c r="C17" s="8" t="s">
        <v>389</v>
      </c>
      <c r="D17" s="8" t="s">
        <v>390</v>
      </c>
      <c r="E17" s="8" t="s">
        <v>391</v>
      </c>
      <c r="F17" s="8" t="s">
        <v>392</v>
      </c>
      <c r="G17" s="8" t="s">
        <v>393</v>
      </c>
    </row>
    <row r="18">
      <c r="A18" s="1" t="s">
        <v>37</v>
      </c>
      <c r="B18" s="8">
        <v>0.0</v>
      </c>
      <c r="C18" s="8">
        <v>0.0</v>
      </c>
      <c r="D18" s="8">
        <v>0.0</v>
      </c>
      <c r="E18" s="8">
        <v>0.0</v>
      </c>
      <c r="F18" s="8">
        <v>0.0</v>
      </c>
      <c r="G18" s="8">
        <v>0.0</v>
      </c>
    </row>
    <row r="19">
      <c r="A19" s="8" t="s">
        <v>38</v>
      </c>
      <c r="B19" s="36" t="s">
        <v>394</v>
      </c>
      <c r="C19" s="36" t="s">
        <v>395</v>
      </c>
      <c r="D19" s="36" t="s">
        <v>396</v>
      </c>
      <c r="E19" s="23" t="s">
        <v>397</v>
      </c>
      <c r="F19" s="37" t="s">
        <v>398</v>
      </c>
      <c r="G19" s="37" t="s">
        <v>399</v>
      </c>
    </row>
    <row r="20">
      <c r="B20" s="8"/>
      <c r="C20" s="8" t="s">
        <v>400</v>
      </c>
      <c r="D20" s="8" t="s">
        <v>401</v>
      </c>
      <c r="E20" s="8" t="s">
        <v>402</v>
      </c>
      <c r="F20" s="8" t="s">
        <v>402</v>
      </c>
      <c r="G20" s="8" t="s">
        <v>402</v>
      </c>
    </row>
    <row r="21">
      <c r="B21" s="8"/>
      <c r="F21" s="8" t="s">
        <v>400</v>
      </c>
    </row>
    <row r="22">
      <c r="A22" s="3"/>
      <c r="B22" s="8"/>
    </row>
  </sheetData>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topLeftCell="B1" activePane="topRight" state="frozen"/>
      <selection activeCell="C2" sqref="C2" pane="topRight"/>
    </sheetView>
  </sheetViews>
  <sheetFormatPr customHeight="1" defaultColWidth="14.43" defaultRowHeight="15.75"/>
  <cols>
    <col customWidth="1" min="1" max="1" width="17.29"/>
  </cols>
  <sheetData>
    <row r="1">
      <c r="A1" s="8" t="s">
        <v>403</v>
      </c>
      <c r="B1" s="8"/>
    </row>
    <row r="2">
      <c r="A2" s="8" t="s">
        <v>404</v>
      </c>
      <c r="B2" s="8"/>
    </row>
    <row r="3">
      <c r="A3" s="8" t="s">
        <v>405</v>
      </c>
      <c r="B3" s="8"/>
    </row>
    <row r="4">
      <c r="A4" s="9" t="s">
        <v>48</v>
      </c>
      <c r="B4" s="8"/>
    </row>
    <row r="5">
      <c r="A5" s="10" t="s">
        <v>49</v>
      </c>
      <c r="B5" s="8"/>
    </row>
    <row r="6">
      <c r="A6" s="8"/>
      <c r="B6" s="8"/>
    </row>
    <row r="7">
      <c r="A7" s="8" t="s">
        <v>406</v>
      </c>
      <c r="B7" s="8"/>
    </row>
    <row r="8">
      <c r="A8" s="11" t="s">
        <v>407</v>
      </c>
      <c r="B8" s="8"/>
    </row>
    <row r="9">
      <c r="A9" s="8" t="s">
        <v>408</v>
      </c>
      <c r="B9" s="8"/>
    </row>
    <row r="10">
      <c r="A10" s="8" t="s">
        <v>409</v>
      </c>
      <c r="B10" s="8"/>
    </row>
    <row r="11">
      <c r="A11" s="8" t="s">
        <v>410</v>
      </c>
      <c r="B11" s="8" t="s">
        <v>411</v>
      </c>
      <c r="C11" s="8" t="s">
        <v>412</v>
      </c>
      <c r="D11" s="8" t="s">
        <v>58</v>
      </c>
      <c r="F11" s="8" t="s">
        <v>413</v>
      </c>
      <c r="G11" s="8" t="s">
        <v>411</v>
      </c>
      <c r="H11" s="8" t="s">
        <v>412</v>
      </c>
      <c r="I11" s="8" t="s">
        <v>58</v>
      </c>
    </row>
    <row r="12">
      <c r="A12" s="8" t="s">
        <v>33</v>
      </c>
      <c r="B12" s="8">
        <v>0.0015</v>
      </c>
      <c r="C12" s="8">
        <v>0.0023</v>
      </c>
      <c r="D12" s="8" t="s">
        <v>414</v>
      </c>
      <c r="F12" s="8" t="s">
        <v>33</v>
      </c>
      <c r="G12" s="13">
        <f t="shared" ref="G12:H12" si="1">B12*$B$16</f>
        <v>180000000</v>
      </c>
      <c r="H12" s="13">
        <f t="shared" si="1"/>
        <v>276000000</v>
      </c>
    </row>
    <row r="13">
      <c r="A13" s="8" t="s">
        <v>16</v>
      </c>
      <c r="B13" s="8">
        <v>2.0E-5</v>
      </c>
      <c r="C13" s="8">
        <v>2.4E-5</v>
      </c>
      <c r="D13" s="8" t="s">
        <v>415</v>
      </c>
      <c r="F13" s="8" t="s">
        <v>16</v>
      </c>
      <c r="G13" s="13">
        <f t="shared" ref="G13:H13" si="2">B13*$B$16</f>
        <v>2400000</v>
      </c>
      <c r="H13" s="13">
        <f t="shared" si="2"/>
        <v>2880000</v>
      </c>
    </row>
    <row r="14">
      <c r="A14" s="8" t="s">
        <v>416</v>
      </c>
    </row>
    <row r="15">
      <c r="A15" s="8" t="s">
        <v>417</v>
      </c>
      <c r="B15" s="8">
        <f>600000*8000</f>
        <v>4800000000</v>
      </c>
      <c r="F15" s="8" t="s">
        <v>188</v>
      </c>
      <c r="G15" s="8" t="s">
        <v>411</v>
      </c>
      <c r="H15" s="8" t="s">
        <v>412</v>
      </c>
      <c r="I15" s="8" t="s">
        <v>418</v>
      </c>
      <c r="J15" s="8" t="s">
        <v>58</v>
      </c>
    </row>
    <row r="16">
      <c r="A16" s="8" t="s">
        <v>419</v>
      </c>
      <c r="B16" s="8">
        <f>B15*25</f>
        <v>120000000000</v>
      </c>
      <c r="F16" s="8" t="s">
        <v>33</v>
      </c>
      <c r="G16" s="22">
        <f t="shared" ref="G16:H16" si="3">(G12/1000)/0.6</f>
        <v>300000</v>
      </c>
      <c r="H16" s="22">
        <f t="shared" si="3"/>
        <v>460000</v>
      </c>
      <c r="I16" s="12">
        <f t="shared" ref="I16:I17" si="5">H16/G16</f>
        <v>1.533333333</v>
      </c>
      <c r="J16" s="8" t="s">
        <v>420</v>
      </c>
    </row>
    <row r="17">
      <c r="A17" s="8" t="s">
        <v>421</v>
      </c>
      <c r="B17" s="8">
        <f>B16/1000000000</f>
        <v>120</v>
      </c>
      <c r="F17" s="8" t="s">
        <v>16</v>
      </c>
      <c r="G17" s="22">
        <f t="shared" ref="G17:H17" si="4">(G13/1000)/0.6</f>
        <v>4000</v>
      </c>
      <c r="H17" s="22">
        <f t="shared" si="4"/>
        <v>4800</v>
      </c>
      <c r="I17" s="12">
        <f t="shared" si="5"/>
        <v>1.2</v>
      </c>
    </row>
    <row r="18">
      <c r="F18" s="8" t="s">
        <v>422</v>
      </c>
    </row>
    <row r="19">
      <c r="H19" s="8"/>
    </row>
    <row r="20">
      <c r="A20" s="8" t="s">
        <v>423</v>
      </c>
      <c r="G20" s="8"/>
      <c r="H20" s="8"/>
      <c r="J20" s="8" t="s">
        <v>61</v>
      </c>
    </row>
    <row r="21">
      <c r="A21" s="8" t="s">
        <v>424</v>
      </c>
      <c r="G21" s="8"/>
      <c r="H21" s="8"/>
      <c r="I21" s="8" t="s">
        <v>60</v>
      </c>
      <c r="J21" s="8" t="s">
        <v>363</v>
      </c>
      <c r="K21" s="8" t="s">
        <v>425</v>
      </c>
      <c r="L21" s="8" t="s">
        <v>426</v>
      </c>
      <c r="M21" s="8" t="s">
        <v>426</v>
      </c>
    </row>
    <row r="22">
      <c r="A22" s="16" t="s">
        <v>427</v>
      </c>
      <c r="E22" s="8" t="s">
        <v>363</v>
      </c>
      <c r="F22" s="8" t="s">
        <v>425</v>
      </c>
      <c r="G22" s="8"/>
      <c r="H22" s="8"/>
      <c r="I22" s="8" t="s">
        <v>63</v>
      </c>
      <c r="J22" s="13">
        <f t="shared" ref="J22:K22" si="6">B25/1.6</f>
        <v>111450</v>
      </c>
      <c r="K22" s="13">
        <f t="shared" si="6"/>
        <v>44543.75</v>
      </c>
      <c r="L22" s="13">
        <f t="shared" ref="L22:M22" si="7">E24/1.6</f>
        <v>59478.75</v>
      </c>
      <c r="M22" s="13">
        <f t="shared" si="7"/>
        <v>48893.0625</v>
      </c>
    </row>
    <row r="23">
      <c r="A23" s="8" t="s">
        <v>188</v>
      </c>
      <c r="B23" s="8" t="s">
        <v>363</v>
      </c>
      <c r="C23" s="8" t="s">
        <v>425</v>
      </c>
      <c r="D23" s="8" t="s">
        <v>58</v>
      </c>
      <c r="E23" s="8" t="s">
        <v>426</v>
      </c>
      <c r="F23" s="8" t="s">
        <v>426</v>
      </c>
      <c r="G23" s="8"/>
      <c r="H23" s="8"/>
      <c r="I23" s="8" t="s">
        <v>65</v>
      </c>
      <c r="J23" s="13">
        <f t="shared" ref="J23:K23" si="8">B25/2.5</f>
        <v>71328</v>
      </c>
      <c r="K23" s="13">
        <f t="shared" si="8"/>
        <v>28508</v>
      </c>
      <c r="L23" s="13">
        <f t="shared" ref="L23:M23" si="9">E25/2.5</f>
        <v>109131.84</v>
      </c>
      <c r="M23" s="13">
        <f t="shared" si="9"/>
        <v>43617.24</v>
      </c>
    </row>
    <row r="24">
      <c r="A24" s="8" t="s">
        <v>33</v>
      </c>
      <c r="B24" s="9">
        <v>62200.0</v>
      </c>
      <c r="C24" s="9">
        <v>51130.0</v>
      </c>
      <c r="D24" s="8" t="s">
        <v>428</v>
      </c>
      <c r="E24" s="12">
        <f t="shared" ref="E24:F24" si="10">B24*1.53</f>
        <v>95166</v>
      </c>
      <c r="F24" s="12">
        <f t="shared" si="10"/>
        <v>78228.9</v>
      </c>
      <c r="G24" s="8"/>
      <c r="H24" s="8"/>
      <c r="J24" s="8" t="s">
        <v>68</v>
      </c>
      <c r="N24" s="8" t="s">
        <v>69</v>
      </c>
      <c r="P24" s="8" t="s">
        <v>363</v>
      </c>
      <c r="Q24" s="8" t="s">
        <v>425</v>
      </c>
    </row>
    <row r="25">
      <c r="A25" s="8" t="s">
        <v>12</v>
      </c>
      <c r="B25" s="9">
        <v>178320.0</v>
      </c>
      <c r="C25" s="9">
        <v>71270.0</v>
      </c>
      <c r="E25" s="12">
        <f t="shared" ref="E25:F25" si="11">B25*1.53</f>
        <v>272829.6</v>
      </c>
      <c r="F25" s="12">
        <f t="shared" si="11"/>
        <v>109043.1</v>
      </c>
      <c r="G25" s="8"/>
      <c r="H25" s="8"/>
      <c r="J25" s="8" t="s">
        <v>363</v>
      </c>
      <c r="K25" s="8" t="s">
        <v>425</v>
      </c>
      <c r="L25" s="8" t="s">
        <v>426</v>
      </c>
      <c r="M25" s="8" t="s">
        <v>426</v>
      </c>
      <c r="N25" s="8" t="s">
        <v>363</v>
      </c>
      <c r="O25" s="8" t="s">
        <v>425</v>
      </c>
      <c r="P25" s="8" t="s">
        <v>426</v>
      </c>
      <c r="Q25" s="8" t="s">
        <v>426</v>
      </c>
    </row>
    <row r="26">
      <c r="A26" s="8" t="s">
        <v>103</v>
      </c>
      <c r="B26" s="9">
        <v>624.0</v>
      </c>
      <c r="C26" s="9">
        <v>230.0</v>
      </c>
      <c r="E26" s="12"/>
      <c r="G26" s="8"/>
      <c r="H26" s="8"/>
      <c r="I26" s="8" t="s">
        <v>71</v>
      </c>
      <c r="J26" s="13">
        <f t="shared" ref="J26:M26" si="12">J22*165</f>
        <v>18389250</v>
      </c>
      <c r="K26" s="13">
        <f t="shared" si="12"/>
        <v>7349718.75</v>
      </c>
      <c r="L26" s="13">
        <f t="shared" si="12"/>
        <v>9813993.75</v>
      </c>
      <c r="M26" s="13">
        <f t="shared" si="12"/>
        <v>8067355.313</v>
      </c>
      <c r="N26" s="12">
        <f t="shared" ref="N26:Q26" si="13">J26/1000</f>
        <v>18389.25</v>
      </c>
      <c r="O26" s="12">
        <f t="shared" si="13"/>
        <v>7349.71875</v>
      </c>
      <c r="P26" s="12">
        <f t="shared" si="13"/>
        <v>9813.99375</v>
      </c>
      <c r="Q26" s="12">
        <f t="shared" si="13"/>
        <v>8067.355313</v>
      </c>
    </row>
    <row r="27">
      <c r="A27" s="8"/>
      <c r="B27" s="8" t="s">
        <v>429</v>
      </c>
      <c r="C27" s="8" t="s">
        <v>429</v>
      </c>
      <c r="G27" s="8"/>
      <c r="H27" s="8"/>
      <c r="I27" s="8" t="s">
        <v>73</v>
      </c>
      <c r="J27" s="13">
        <f t="shared" ref="J27:M27" si="14">J23*400</f>
        <v>28531200</v>
      </c>
      <c r="K27" s="13">
        <f t="shared" si="14"/>
        <v>11403200</v>
      </c>
      <c r="L27" s="13">
        <f t="shared" si="14"/>
        <v>43652736</v>
      </c>
      <c r="M27" s="13">
        <f t="shared" si="14"/>
        <v>17446896</v>
      </c>
      <c r="N27" s="12">
        <f t="shared" ref="N27:Q27" si="15">J27/1000</f>
        <v>28531.2</v>
      </c>
      <c r="O27" s="12">
        <f t="shared" si="15"/>
        <v>11403.2</v>
      </c>
      <c r="P27" s="12">
        <f t="shared" si="15"/>
        <v>43652.736</v>
      </c>
      <c r="Q27" s="12">
        <f t="shared" si="15"/>
        <v>17446.896</v>
      </c>
    </row>
    <row r="28">
      <c r="A28" s="38"/>
    </row>
    <row r="29">
      <c r="A29" s="39" t="s">
        <v>430</v>
      </c>
    </row>
    <row r="30">
      <c r="A30" s="39" t="s">
        <v>314</v>
      </c>
    </row>
    <row r="31">
      <c r="A31" s="40" t="s">
        <v>315</v>
      </c>
    </row>
    <row r="32">
      <c r="A32" s="41"/>
    </row>
    <row r="33">
      <c r="A33" s="42" t="s">
        <v>316</v>
      </c>
      <c r="B33" s="8" t="s">
        <v>365</v>
      </c>
      <c r="C33" s="8" t="s">
        <v>58</v>
      </c>
    </row>
    <row r="34">
      <c r="A34" s="42" t="s">
        <v>103</v>
      </c>
      <c r="B34" s="8">
        <v>1.3</v>
      </c>
      <c r="C34" s="8" t="s">
        <v>431</v>
      </c>
    </row>
    <row r="35">
      <c r="A35" s="42" t="s">
        <v>12</v>
      </c>
      <c r="B35" s="8">
        <v>159.0</v>
      </c>
    </row>
    <row r="36">
      <c r="A36" s="43" t="s">
        <v>432</v>
      </c>
      <c r="B36" s="8">
        <v>52.0</v>
      </c>
    </row>
    <row r="37">
      <c r="I37" s="8" t="s">
        <v>61</v>
      </c>
    </row>
    <row r="38">
      <c r="A38" s="44"/>
      <c r="B38" s="8" t="s">
        <v>433</v>
      </c>
      <c r="C38" s="8" t="s">
        <v>434</v>
      </c>
      <c r="H38" s="8" t="s">
        <v>60</v>
      </c>
      <c r="I38" s="8" t="s">
        <v>433</v>
      </c>
      <c r="J38" s="8" t="s">
        <v>434</v>
      </c>
    </row>
    <row r="39">
      <c r="A39" s="8" t="s">
        <v>323</v>
      </c>
      <c r="B39" s="8">
        <v>88.5</v>
      </c>
      <c r="C39" s="8" t="s">
        <v>435</v>
      </c>
      <c r="H39" s="8" t="s">
        <v>63</v>
      </c>
      <c r="I39" s="13">
        <f t="shared" ref="I39:J39" si="16">B42/1.6</f>
        <v>99375</v>
      </c>
      <c r="J39" s="13">
        <f t="shared" si="16"/>
        <v>152043.75</v>
      </c>
    </row>
    <row r="40">
      <c r="A40" s="9" t="s">
        <v>324</v>
      </c>
      <c r="B40" s="12"/>
      <c r="H40" s="8" t="s">
        <v>65</v>
      </c>
      <c r="I40" s="13">
        <f t="shared" ref="I40:J40" si="17">B42/2.5</f>
        <v>63600</v>
      </c>
      <c r="J40" s="13">
        <f t="shared" si="17"/>
        <v>97308</v>
      </c>
    </row>
    <row r="41">
      <c r="A41" s="45" t="s">
        <v>103</v>
      </c>
      <c r="B41" s="12">
        <f t="shared" ref="B41:B43" si="18">B34*1000</f>
        <v>1300</v>
      </c>
      <c r="I41" s="8" t="s">
        <v>68</v>
      </c>
      <c r="K41" s="8" t="s">
        <v>69</v>
      </c>
    </row>
    <row r="42">
      <c r="A42" s="45" t="s">
        <v>12</v>
      </c>
      <c r="B42" s="12">
        <f t="shared" si="18"/>
        <v>159000</v>
      </c>
      <c r="C42" s="12">
        <f t="shared" ref="C42:C43" si="19">B42*1.53</f>
        <v>243270</v>
      </c>
      <c r="I42" s="8" t="s">
        <v>433</v>
      </c>
      <c r="J42" s="8" t="s">
        <v>434</v>
      </c>
      <c r="K42" s="8" t="s">
        <v>433</v>
      </c>
      <c r="L42" s="8" t="s">
        <v>434</v>
      </c>
    </row>
    <row r="43">
      <c r="A43" s="45" t="s">
        <v>432</v>
      </c>
      <c r="B43" s="12">
        <f t="shared" si="18"/>
        <v>52000</v>
      </c>
      <c r="C43" s="12">
        <f t="shared" si="19"/>
        <v>79560</v>
      </c>
      <c r="H43" s="8" t="s">
        <v>71</v>
      </c>
      <c r="I43" s="13">
        <f t="shared" ref="I43:J43" si="20">I39*165</f>
        <v>16396875</v>
      </c>
      <c r="J43" s="13">
        <f t="shared" si="20"/>
        <v>25087218.75</v>
      </c>
      <c r="K43" s="12">
        <f t="shared" ref="K43:L43" si="21">I43/1000</f>
        <v>16396.875</v>
      </c>
      <c r="L43" s="12">
        <f t="shared" si="21"/>
        <v>25087.21875</v>
      </c>
    </row>
    <row r="44">
      <c r="A44" s="46"/>
      <c r="B44" s="12"/>
      <c r="H44" s="8" t="s">
        <v>73</v>
      </c>
      <c r="I44" s="13">
        <f t="shared" ref="I44:J44" si="22">I40*400</f>
        <v>25440000</v>
      </c>
      <c r="J44" s="13">
        <f t="shared" si="22"/>
        <v>38923200</v>
      </c>
      <c r="K44" s="12">
        <f t="shared" ref="K44:L44" si="23">I44/1000</f>
        <v>25440</v>
      </c>
      <c r="L44" s="12">
        <f t="shared" si="23"/>
        <v>38923.2</v>
      </c>
    </row>
    <row r="46">
      <c r="D46" s="19"/>
    </row>
    <row r="47">
      <c r="A47" s="8" t="s">
        <v>436</v>
      </c>
    </row>
    <row r="48">
      <c r="A48" s="16" t="s">
        <v>437</v>
      </c>
      <c r="I48" s="8" t="s">
        <v>61</v>
      </c>
    </row>
    <row r="49">
      <c r="A49" s="8" t="s">
        <v>438</v>
      </c>
      <c r="H49" s="8" t="s">
        <v>60</v>
      </c>
      <c r="I49" s="8" t="s">
        <v>363</v>
      </c>
      <c r="J49" s="8" t="s">
        <v>426</v>
      </c>
    </row>
    <row r="50">
      <c r="A50" s="8" t="s">
        <v>439</v>
      </c>
      <c r="B50" s="8" t="s">
        <v>363</v>
      </c>
      <c r="C50" s="8" t="s">
        <v>440</v>
      </c>
      <c r="D50" s="8" t="s">
        <v>426</v>
      </c>
      <c r="H50" s="8" t="s">
        <v>63</v>
      </c>
      <c r="I50" s="13">
        <f>B51/1.6</f>
        <v>99223.75</v>
      </c>
      <c r="J50" s="13">
        <f>D51/1.6</f>
        <v>151812.3375</v>
      </c>
    </row>
    <row r="51">
      <c r="A51" s="8" t="s">
        <v>12</v>
      </c>
      <c r="B51" s="9">
        <v>158758.0</v>
      </c>
      <c r="C51" s="8">
        <v>6962.0</v>
      </c>
      <c r="D51" s="12">
        <f t="shared" ref="D51:D52" si="24">B51*1.53</f>
        <v>242899.74</v>
      </c>
      <c r="H51" s="8" t="s">
        <v>65</v>
      </c>
      <c r="I51" s="13">
        <f>B51/2.5</f>
        <v>63503.2</v>
      </c>
      <c r="J51" s="13">
        <f>D51/2.5</f>
        <v>97159.896</v>
      </c>
    </row>
    <row r="52">
      <c r="A52" s="8" t="s">
        <v>432</v>
      </c>
      <c r="B52" s="9">
        <f>50721+619</f>
        <v>51340</v>
      </c>
      <c r="C52" s="8">
        <v>1764.0</v>
      </c>
      <c r="D52" s="12">
        <f t="shared" si="24"/>
        <v>78550.2</v>
      </c>
      <c r="I52" s="8" t="s">
        <v>68</v>
      </c>
      <c r="K52" s="8" t="s">
        <v>69</v>
      </c>
    </row>
    <row r="53">
      <c r="A53" s="8" t="s">
        <v>6</v>
      </c>
      <c r="B53" s="9">
        <v>419.0</v>
      </c>
      <c r="C53" s="8">
        <v>310.0</v>
      </c>
      <c r="D53" s="12"/>
      <c r="I53" s="8" t="s">
        <v>363</v>
      </c>
      <c r="J53" s="8" t="s">
        <v>426</v>
      </c>
      <c r="K53" s="8" t="s">
        <v>363</v>
      </c>
      <c r="L53" s="8" t="s">
        <v>426</v>
      </c>
    </row>
    <row r="54">
      <c r="A54" s="8" t="s">
        <v>441</v>
      </c>
      <c r="B54" s="8" t="s">
        <v>442</v>
      </c>
      <c r="H54" s="8" t="s">
        <v>71</v>
      </c>
      <c r="I54" s="13">
        <f t="shared" ref="I54:J54" si="25">I50*165</f>
        <v>16371918.75</v>
      </c>
      <c r="J54" s="13">
        <f t="shared" si="25"/>
        <v>25049035.69</v>
      </c>
      <c r="K54" s="12">
        <f t="shared" ref="K54:L54" si="26">I54/1000</f>
        <v>16371.91875</v>
      </c>
      <c r="L54" s="12">
        <f t="shared" si="26"/>
        <v>25049.03569</v>
      </c>
    </row>
    <row r="55">
      <c r="A55" s="8" t="s">
        <v>443</v>
      </c>
      <c r="B55" s="8" t="s">
        <v>442</v>
      </c>
      <c r="H55" s="8" t="s">
        <v>73</v>
      </c>
      <c r="I55" s="13">
        <f t="shared" ref="I55:J55" si="27">I51*400</f>
        <v>25401280</v>
      </c>
      <c r="J55" s="13">
        <f t="shared" si="27"/>
        <v>38863958.4</v>
      </c>
      <c r="K55" s="12">
        <f t="shared" ref="K55:L55" si="28">I55/1000</f>
        <v>25401.28</v>
      </c>
      <c r="L55" s="12">
        <f t="shared" si="28"/>
        <v>38863.9584</v>
      </c>
    </row>
    <row r="57">
      <c r="A57" s="8" t="s">
        <v>444</v>
      </c>
    </row>
    <row r="58">
      <c r="A58" s="11" t="s">
        <v>445</v>
      </c>
    </row>
    <row r="59">
      <c r="A59" s="8" t="s">
        <v>446</v>
      </c>
      <c r="I59" s="8" t="s">
        <v>61</v>
      </c>
    </row>
    <row r="60">
      <c r="A60" s="8" t="s">
        <v>57</v>
      </c>
      <c r="B60" s="8" t="s">
        <v>363</v>
      </c>
      <c r="C60" s="8" t="s">
        <v>447</v>
      </c>
      <c r="D60" s="8" t="s">
        <v>426</v>
      </c>
      <c r="H60" s="8" t="s">
        <v>60</v>
      </c>
      <c r="I60" s="8" t="s">
        <v>363</v>
      </c>
      <c r="J60" s="8" t="s">
        <v>426</v>
      </c>
    </row>
    <row r="61">
      <c r="A61" s="8" t="s">
        <v>6</v>
      </c>
      <c r="B61" s="9">
        <v>255.0</v>
      </c>
      <c r="C61" s="8">
        <v>18.0</v>
      </c>
      <c r="D61" s="12"/>
      <c r="H61" s="8" t="s">
        <v>63</v>
      </c>
      <c r="I61" s="13">
        <f>B62/1.6</f>
        <v>46410.625</v>
      </c>
      <c r="J61" s="13">
        <f>D62/1.6</f>
        <v>71008.25625</v>
      </c>
    </row>
    <row r="62">
      <c r="A62" s="8" t="s">
        <v>12</v>
      </c>
      <c r="B62" s="9">
        <v>74257.0</v>
      </c>
      <c r="C62" s="8">
        <v>179681.0</v>
      </c>
      <c r="D62" s="12">
        <f>B62*1.53</f>
        <v>113613.21</v>
      </c>
      <c r="H62" s="8" t="s">
        <v>65</v>
      </c>
      <c r="I62" s="13">
        <f>B62/2.5</f>
        <v>29702.8</v>
      </c>
      <c r="J62" s="13">
        <f>D62/2.5</f>
        <v>45445.284</v>
      </c>
    </row>
    <row r="63">
      <c r="A63" s="8" t="s">
        <v>16</v>
      </c>
      <c r="B63" s="9">
        <v>454.0</v>
      </c>
      <c r="C63" s="8">
        <v>729.0</v>
      </c>
      <c r="D63" s="12">
        <f>B63*1.2</f>
        <v>544.8</v>
      </c>
      <c r="I63" s="8" t="s">
        <v>68</v>
      </c>
      <c r="K63" s="8" t="s">
        <v>69</v>
      </c>
    </row>
    <row r="64">
      <c r="A64" s="8" t="s">
        <v>26</v>
      </c>
      <c r="B64" s="9">
        <v>112.0</v>
      </c>
      <c r="C64" s="8">
        <v>434.0</v>
      </c>
      <c r="D64" s="12"/>
      <c r="I64" s="8" t="s">
        <v>363</v>
      </c>
      <c r="J64" s="8" t="s">
        <v>426</v>
      </c>
      <c r="K64" s="8" t="s">
        <v>363</v>
      </c>
      <c r="L64" s="8" t="s">
        <v>426</v>
      </c>
    </row>
    <row r="65">
      <c r="A65" s="8" t="s">
        <v>29</v>
      </c>
      <c r="B65" s="9">
        <v>10.0</v>
      </c>
      <c r="C65" s="8">
        <v>125.0</v>
      </c>
      <c r="D65" s="12"/>
      <c r="H65" s="8" t="s">
        <v>71</v>
      </c>
      <c r="I65" s="13">
        <f t="shared" ref="I65:J65" si="29">I61*165</f>
        <v>7657753.125</v>
      </c>
      <c r="J65" s="13">
        <f t="shared" si="29"/>
        <v>11716362.28</v>
      </c>
      <c r="K65" s="12">
        <f t="shared" ref="K65:L65" si="30">I65/1000</f>
        <v>7657.753125</v>
      </c>
      <c r="L65" s="12">
        <f t="shared" si="30"/>
        <v>11716.36228</v>
      </c>
    </row>
    <row r="66">
      <c r="A66" s="8" t="s">
        <v>5</v>
      </c>
      <c r="B66" s="9">
        <v>0.0</v>
      </c>
      <c r="C66" s="8">
        <v>0.5</v>
      </c>
      <c r="D66" s="12"/>
      <c r="H66" s="8" t="s">
        <v>73</v>
      </c>
      <c r="I66" s="13">
        <f t="shared" ref="I66:J66" si="31">I62*400</f>
        <v>11881120</v>
      </c>
      <c r="J66" s="13">
        <f t="shared" si="31"/>
        <v>18178113.6</v>
      </c>
      <c r="K66" s="12">
        <f t="shared" ref="K66:L66" si="32">I66/1000</f>
        <v>11881.12</v>
      </c>
      <c r="L66" s="12">
        <f t="shared" si="32"/>
        <v>18178.1136</v>
      </c>
    </row>
    <row r="67">
      <c r="A67" s="8" t="s">
        <v>448</v>
      </c>
      <c r="B67" s="12">
        <f>39681+612</f>
        <v>40293</v>
      </c>
      <c r="C67" s="13">
        <f>33988+2080</f>
        <v>36068</v>
      </c>
      <c r="D67" s="12">
        <f>B67*1.53</f>
        <v>61648.29</v>
      </c>
    </row>
    <row r="68">
      <c r="A68" s="8" t="s">
        <v>449</v>
      </c>
      <c r="B68" s="8" t="s">
        <v>450</v>
      </c>
    </row>
    <row r="69">
      <c r="A69" s="8" t="s">
        <v>451</v>
      </c>
      <c r="B69" s="8" t="s">
        <v>452</v>
      </c>
    </row>
    <row r="71">
      <c r="A71" s="8" t="s">
        <v>453</v>
      </c>
    </row>
    <row r="72">
      <c r="A72" s="11" t="s">
        <v>454</v>
      </c>
      <c r="I72" s="8" t="s">
        <v>61</v>
      </c>
    </row>
    <row r="73">
      <c r="A73" s="8" t="s">
        <v>455</v>
      </c>
      <c r="H73" s="8" t="s">
        <v>60</v>
      </c>
      <c r="I73" s="8" t="s">
        <v>425</v>
      </c>
      <c r="J73" s="8" t="s">
        <v>456</v>
      </c>
    </row>
    <row r="74">
      <c r="A74" s="8" t="s">
        <v>439</v>
      </c>
      <c r="B74" s="8" t="s">
        <v>425</v>
      </c>
      <c r="C74" s="8" t="s">
        <v>456</v>
      </c>
      <c r="H74" s="8" t="s">
        <v>63</v>
      </c>
      <c r="I74" s="13">
        <f t="shared" ref="I74:J74" si="33">B75/1.6</f>
        <v>61093.125</v>
      </c>
      <c r="J74" s="13">
        <f t="shared" si="33"/>
        <v>93472.48125</v>
      </c>
    </row>
    <row r="75">
      <c r="A75" s="8" t="s">
        <v>12</v>
      </c>
      <c r="B75" s="9">
        <v>97749.0</v>
      </c>
      <c r="C75" s="12">
        <f t="shared" ref="C75:C76" si="35">B75*1.53</f>
        <v>149555.97</v>
      </c>
      <c r="H75" s="8" t="s">
        <v>65</v>
      </c>
      <c r="I75" s="13">
        <f t="shared" ref="I75:J75" si="34">B75/2.5</f>
        <v>39099.6</v>
      </c>
      <c r="J75" s="13">
        <f t="shared" si="34"/>
        <v>59822.388</v>
      </c>
    </row>
    <row r="76">
      <c r="A76" s="8" t="s">
        <v>33</v>
      </c>
      <c r="B76" s="9">
        <v>31030.0</v>
      </c>
      <c r="C76" s="12">
        <f t="shared" si="35"/>
        <v>47475.9</v>
      </c>
      <c r="I76" s="8" t="s">
        <v>68</v>
      </c>
      <c r="K76" s="8" t="s">
        <v>69</v>
      </c>
    </row>
    <row r="77">
      <c r="A77" s="8" t="s">
        <v>6</v>
      </c>
      <c r="B77" s="9">
        <v>204.0</v>
      </c>
      <c r="I77" s="8" t="s">
        <v>425</v>
      </c>
      <c r="J77" s="8" t="s">
        <v>456</v>
      </c>
      <c r="K77" s="8" t="s">
        <v>425</v>
      </c>
      <c r="L77" s="8" t="s">
        <v>456</v>
      </c>
    </row>
    <row r="78">
      <c r="A78" s="8" t="s">
        <v>441</v>
      </c>
      <c r="B78" s="8" t="s">
        <v>442</v>
      </c>
      <c r="H78" s="8" t="s">
        <v>71</v>
      </c>
      <c r="I78" s="13">
        <f t="shared" ref="I78:J78" si="36">I74*165</f>
        <v>10080365.63</v>
      </c>
      <c r="J78" s="13">
        <f t="shared" si="36"/>
        <v>15422959.41</v>
      </c>
      <c r="K78" s="12">
        <f t="shared" ref="K78:L78" si="37">I78/1000</f>
        <v>10080.36563</v>
      </c>
      <c r="L78" s="12">
        <f t="shared" si="37"/>
        <v>15422.95941</v>
      </c>
    </row>
    <row r="79">
      <c r="H79" s="8" t="s">
        <v>73</v>
      </c>
      <c r="I79" s="13">
        <f t="shared" ref="I79:J79" si="38">I75*400</f>
        <v>15639840</v>
      </c>
      <c r="J79" s="13">
        <f t="shared" si="38"/>
        <v>23928955.2</v>
      </c>
      <c r="K79" s="12">
        <f t="shared" ref="K79:L79" si="39">I79/1000</f>
        <v>15639.84</v>
      </c>
      <c r="L79" s="12">
        <f t="shared" si="39"/>
        <v>23928.9552</v>
      </c>
    </row>
    <row r="80">
      <c r="A80" s="8" t="s">
        <v>457</v>
      </c>
    </row>
    <row r="81">
      <c r="A81" s="11" t="s">
        <v>458</v>
      </c>
    </row>
    <row r="83">
      <c r="A83" s="8" t="s">
        <v>459</v>
      </c>
      <c r="B83" s="8" t="s">
        <v>460</v>
      </c>
      <c r="C83" s="8" t="s">
        <v>58</v>
      </c>
    </row>
    <row r="84">
      <c r="A84" s="8" t="s">
        <v>29</v>
      </c>
      <c r="B84" s="10">
        <v>1145.0</v>
      </c>
      <c r="C84" s="8" t="s">
        <v>461</v>
      </c>
    </row>
    <row r="85">
      <c r="A85" s="8" t="s">
        <v>26</v>
      </c>
      <c r="B85" s="10">
        <v>3761.0</v>
      </c>
    </row>
    <row r="86">
      <c r="A86" s="8" t="s">
        <v>11</v>
      </c>
      <c r="B86" s="10">
        <v>7.5</v>
      </c>
    </row>
    <row r="87">
      <c r="A87" s="8" t="s">
        <v>16</v>
      </c>
      <c r="B87" s="10">
        <v>692.0</v>
      </c>
    </row>
    <row r="89" ht="22.5" customHeight="1">
      <c r="A89" s="8" t="s">
        <v>450</v>
      </c>
    </row>
    <row r="90" ht="22.5" customHeight="1">
      <c r="A90" s="11" t="s">
        <v>462</v>
      </c>
      <c r="J90" s="8" t="s">
        <v>463</v>
      </c>
    </row>
    <row r="91">
      <c r="A91" s="8" t="s">
        <v>464</v>
      </c>
      <c r="B91" s="8" t="s">
        <v>465</v>
      </c>
      <c r="C91" s="8" t="s">
        <v>58</v>
      </c>
      <c r="I91" s="8" t="s">
        <v>466</v>
      </c>
      <c r="J91" s="8" t="s">
        <v>467</v>
      </c>
      <c r="K91" s="8" t="s">
        <v>468</v>
      </c>
    </row>
    <row r="92">
      <c r="A92" s="8" t="s">
        <v>6</v>
      </c>
      <c r="B92" s="8">
        <v>225.0</v>
      </c>
      <c r="C92" s="8" t="s">
        <v>469</v>
      </c>
      <c r="H92" s="8" t="s">
        <v>6</v>
      </c>
      <c r="I92" s="12">
        <f>225/0.8</f>
        <v>281.25</v>
      </c>
      <c r="N92" s="8" t="s">
        <v>470</v>
      </c>
    </row>
    <row r="93">
      <c r="A93" s="8" t="s">
        <v>16</v>
      </c>
      <c r="B93" s="8" t="s">
        <v>471</v>
      </c>
      <c r="C93" s="8" t="s">
        <v>472</v>
      </c>
      <c r="H93" s="8" t="s">
        <v>16</v>
      </c>
      <c r="I93" s="9" t="s">
        <v>473</v>
      </c>
      <c r="J93" s="12">
        <f>500*1.2</f>
        <v>600</v>
      </c>
      <c r="K93" s="12">
        <f>537.5*1.2</f>
        <v>645</v>
      </c>
      <c r="N93" s="8" t="s">
        <v>474</v>
      </c>
      <c r="O93" s="8" t="s">
        <v>475</v>
      </c>
      <c r="P93" s="8" t="s">
        <v>476</v>
      </c>
      <c r="Q93" s="8" t="s">
        <v>477</v>
      </c>
      <c r="R93" s="8" t="s">
        <v>474</v>
      </c>
      <c r="S93" s="8" t="s">
        <v>475</v>
      </c>
      <c r="T93" s="8" t="s">
        <v>476</v>
      </c>
      <c r="U93" s="8" t="s">
        <v>477</v>
      </c>
    </row>
    <row r="94">
      <c r="A94" s="8" t="s">
        <v>478</v>
      </c>
      <c r="B94" s="8" t="s">
        <v>479</v>
      </c>
      <c r="C94" s="11" t="s">
        <v>480</v>
      </c>
      <c r="H94" s="8" t="s">
        <v>481</v>
      </c>
      <c r="I94" s="9" t="s">
        <v>482</v>
      </c>
      <c r="J94" s="12">
        <f>77193*1.53</f>
        <v>118105.29</v>
      </c>
      <c r="K94" s="12">
        <f>112485*1.53</f>
        <v>172102.05</v>
      </c>
      <c r="M94" s="8" t="s">
        <v>483</v>
      </c>
      <c r="N94" s="13">
        <f t="shared" ref="N94:O94" si="40">E96*165</f>
        <v>4667608.275</v>
      </c>
      <c r="O94" s="13">
        <f t="shared" si="40"/>
        <v>6749109.263</v>
      </c>
      <c r="P94" s="13">
        <f t="shared" ref="P94:Q94" si="41">N94*1.53</f>
        <v>7141440.661</v>
      </c>
      <c r="Q94" s="13">
        <f t="shared" si="41"/>
        <v>10326137.17</v>
      </c>
      <c r="R94" s="12">
        <f t="shared" ref="R94:U94" si="42">N94/1000</f>
        <v>4667.608275</v>
      </c>
      <c r="S94" s="12">
        <f t="shared" si="42"/>
        <v>6749.109263</v>
      </c>
      <c r="T94" s="12">
        <f t="shared" si="42"/>
        <v>7141.440661</v>
      </c>
      <c r="U94" s="12">
        <f t="shared" si="42"/>
        <v>10326.13717</v>
      </c>
    </row>
    <row r="95">
      <c r="A95" s="8" t="s">
        <v>484</v>
      </c>
      <c r="B95" s="13">
        <f>29000+5650+540+350</f>
        <v>35540</v>
      </c>
      <c r="E95" s="8" t="s">
        <v>485</v>
      </c>
      <c r="H95" s="8" t="s">
        <v>484</v>
      </c>
      <c r="I95" s="12">
        <f>35540/0.8</f>
        <v>44425</v>
      </c>
      <c r="J95" s="12">
        <f>44245*1.53</f>
        <v>67694.85</v>
      </c>
      <c r="K95" s="12"/>
      <c r="M95" s="8" t="s">
        <v>486</v>
      </c>
      <c r="N95" s="13">
        <f t="shared" ref="N95:O95" si="43">E96*400</f>
        <v>11315414</v>
      </c>
      <c r="O95" s="13">
        <f t="shared" si="43"/>
        <v>16361477</v>
      </c>
      <c r="P95" s="13">
        <f t="shared" ref="P95:Q95" si="44">N95*1.53</f>
        <v>17312583.42</v>
      </c>
      <c r="Q95" s="13">
        <f t="shared" si="44"/>
        <v>25033059.81</v>
      </c>
      <c r="R95" s="12">
        <f t="shared" ref="R95:U95" si="45">N95/1000</f>
        <v>11315.414</v>
      </c>
      <c r="S95" s="12">
        <f t="shared" si="45"/>
        <v>16361.477</v>
      </c>
      <c r="T95" s="12">
        <f t="shared" si="45"/>
        <v>17312.58342</v>
      </c>
      <c r="U95" s="12">
        <f t="shared" si="45"/>
        <v>25033.05981</v>
      </c>
    </row>
    <row r="96">
      <c r="A96" s="8" t="s">
        <v>26</v>
      </c>
      <c r="B96" s="8">
        <v>99.0</v>
      </c>
      <c r="E96" s="13">
        <f>37000*0.764555</f>
        <v>28288.535</v>
      </c>
      <c r="F96" s="13">
        <f>53500*0.764555</f>
        <v>40903.6925</v>
      </c>
      <c r="H96" s="8" t="s">
        <v>26</v>
      </c>
      <c r="I96" s="12">
        <f>99/0.8</f>
        <v>123.75</v>
      </c>
      <c r="M96" s="8" t="s">
        <v>487</v>
      </c>
    </row>
    <row r="97">
      <c r="A97" s="8" t="s">
        <v>29</v>
      </c>
      <c r="B97" s="8">
        <v>9.0</v>
      </c>
      <c r="E97" s="8" t="s">
        <v>481</v>
      </c>
      <c r="H97" s="8" t="s">
        <v>29</v>
      </c>
      <c r="I97" s="12">
        <f>9/0.8</f>
        <v>11.25</v>
      </c>
    </row>
    <row r="98">
      <c r="A98" s="8" t="s">
        <v>11</v>
      </c>
      <c r="B98" s="8">
        <v>0.0</v>
      </c>
      <c r="E98" s="13">
        <f t="shared" ref="E98:F98" si="46">E96*2.75</f>
        <v>77793.47125</v>
      </c>
      <c r="F98" s="13">
        <f t="shared" si="46"/>
        <v>112485.1544</v>
      </c>
      <c r="H98" s="8" t="s">
        <v>11</v>
      </c>
      <c r="I98" s="9">
        <v>0.0</v>
      </c>
    </row>
    <row r="99">
      <c r="A99" s="8" t="s">
        <v>488</v>
      </c>
    </row>
    <row r="100">
      <c r="A100" s="8" t="s">
        <v>489</v>
      </c>
    </row>
    <row r="103">
      <c r="A103" s="8" t="s">
        <v>490</v>
      </c>
    </row>
    <row r="104">
      <c r="A104" s="11" t="s">
        <v>491</v>
      </c>
      <c r="I104" s="8" t="s">
        <v>61</v>
      </c>
    </row>
    <row r="105">
      <c r="A105" s="8" t="s">
        <v>492</v>
      </c>
      <c r="D105" s="8" t="s">
        <v>463</v>
      </c>
      <c r="H105" s="8" t="s">
        <v>60</v>
      </c>
      <c r="I105" s="8" t="s">
        <v>363</v>
      </c>
      <c r="J105" s="8" t="s">
        <v>493</v>
      </c>
    </row>
    <row r="106">
      <c r="B106" s="8" t="s">
        <v>494</v>
      </c>
      <c r="C106" s="8" t="s">
        <v>57</v>
      </c>
      <c r="D106" s="8" t="s">
        <v>495</v>
      </c>
      <c r="H106" s="8" t="s">
        <v>63</v>
      </c>
      <c r="I106" s="13">
        <f t="shared" ref="I106:J106" si="47">C107/1.6</f>
        <v>64072.91667</v>
      </c>
      <c r="J106" s="13">
        <f t="shared" si="47"/>
        <v>98031.5625</v>
      </c>
    </row>
    <row r="107">
      <c r="A107" s="8" t="s">
        <v>12</v>
      </c>
      <c r="B107" s="8">
        <v>92265.0</v>
      </c>
      <c r="C107" s="12">
        <f t="shared" ref="C107:C110" si="49">B107/0.9</f>
        <v>102516.6667</v>
      </c>
      <c r="D107" s="12">
        <f>C107*1.53</f>
        <v>156850.5</v>
      </c>
      <c r="H107" s="8" t="s">
        <v>65</v>
      </c>
      <c r="I107" s="13">
        <f t="shared" ref="I107:J107" si="48">C107/2.5</f>
        <v>41006.66667</v>
      </c>
      <c r="J107" s="13">
        <f t="shared" si="48"/>
        <v>62740.2</v>
      </c>
    </row>
    <row r="108">
      <c r="A108" s="8" t="s">
        <v>16</v>
      </c>
      <c r="B108" s="8">
        <v>424.0</v>
      </c>
      <c r="C108" s="12">
        <f t="shared" si="49"/>
        <v>471.1111111</v>
      </c>
      <c r="D108" s="12">
        <f>C108*1.2</f>
        <v>565.3333333</v>
      </c>
      <c r="I108" s="8" t="s">
        <v>68</v>
      </c>
      <c r="K108" s="8" t="s">
        <v>69</v>
      </c>
    </row>
    <row r="109">
      <c r="A109" s="8" t="s">
        <v>26</v>
      </c>
      <c r="B109" s="8">
        <v>179.0</v>
      </c>
      <c r="C109" s="12">
        <f t="shared" si="49"/>
        <v>198.8888889</v>
      </c>
      <c r="I109" s="8" t="s">
        <v>363</v>
      </c>
      <c r="J109" s="8" t="s">
        <v>493</v>
      </c>
      <c r="K109" s="8" t="s">
        <v>363</v>
      </c>
      <c r="L109" s="8" t="s">
        <v>493</v>
      </c>
    </row>
    <row r="110">
      <c r="A110" s="8" t="s">
        <v>29</v>
      </c>
      <c r="B110" s="8">
        <v>6.8</v>
      </c>
      <c r="C110" s="12">
        <f t="shared" si="49"/>
        <v>7.555555556</v>
      </c>
      <c r="H110" s="8" t="s">
        <v>71</v>
      </c>
      <c r="I110" s="13">
        <f t="shared" ref="I110:J110" si="50">I106*165</f>
        <v>10572031.25</v>
      </c>
      <c r="J110" s="13">
        <f t="shared" si="50"/>
        <v>16175207.81</v>
      </c>
      <c r="K110" s="12">
        <f t="shared" ref="K110:L110" si="51">I110/1000</f>
        <v>10572.03125</v>
      </c>
      <c r="L110" s="12">
        <f t="shared" si="51"/>
        <v>16175.20781</v>
      </c>
    </row>
    <row r="111">
      <c r="H111" s="8" t="s">
        <v>73</v>
      </c>
      <c r="I111" s="13">
        <f t="shared" ref="I111:J111" si="52">I107*400</f>
        <v>16402666.67</v>
      </c>
      <c r="J111" s="13">
        <f t="shared" si="52"/>
        <v>25096080</v>
      </c>
      <c r="K111" s="12">
        <f t="shared" ref="K111:L111" si="53">I111/1000</f>
        <v>16402.66667</v>
      </c>
      <c r="L111" s="12">
        <f t="shared" si="53"/>
        <v>25096.08</v>
      </c>
    </row>
    <row r="112">
      <c r="A112" s="19"/>
    </row>
    <row r="114">
      <c r="A114" s="19"/>
    </row>
    <row r="120">
      <c r="A120" s="47"/>
    </row>
  </sheetData>
  <hyperlinks>
    <hyperlink r:id="rId1" ref="A8"/>
    <hyperlink r:id="rId2" ref="A22"/>
    <hyperlink r:id="rId3" ref="A31"/>
    <hyperlink r:id="rId4" ref="A48"/>
    <hyperlink r:id="rId5" ref="A58"/>
    <hyperlink r:id="rId6" ref="A72"/>
    <hyperlink r:id="rId7" ref="A81"/>
    <hyperlink r:id="rId8" ref="A90"/>
    <hyperlink r:id="rId9" ref="C94"/>
    <hyperlink r:id="rId10" ref="A104"/>
  </hyperlinks>
  <drawing r:id="rId1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2" max="2" width="131.0"/>
  </cols>
  <sheetData>
    <row r="1">
      <c r="A1" s="8" t="s">
        <v>0</v>
      </c>
      <c r="B1" s="8" t="s">
        <v>496</v>
      </c>
    </row>
    <row r="2">
      <c r="A2" s="1" t="s">
        <v>5</v>
      </c>
      <c r="B2" s="8" t="s">
        <v>497</v>
      </c>
    </row>
    <row r="3">
      <c r="A3" s="1" t="s">
        <v>6</v>
      </c>
      <c r="B3" s="8" t="s">
        <v>498</v>
      </c>
    </row>
    <row r="4">
      <c r="A4" s="1" t="s">
        <v>10</v>
      </c>
      <c r="B4" s="8" t="s">
        <v>499</v>
      </c>
    </row>
    <row r="5">
      <c r="A5" s="1" t="s">
        <v>11</v>
      </c>
      <c r="B5" s="8">
        <v>0.0</v>
      </c>
    </row>
    <row r="6">
      <c r="A6" s="1" t="s">
        <v>12</v>
      </c>
      <c r="B6" s="48" t="s">
        <v>500</v>
      </c>
    </row>
    <row r="7">
      <c r="A7" s="1" t="s">
        <v>16</v>
      </c>
      <c r="B7" s="8" t="s">
        <v>501</v>
      </c>
    </row>
    <row r="8">
      <c r="A8" s="1" t="s">
        <v>20</v>
      </c>
      <c r="B8" s="8">
        <v>0.0</v>
      </c>
    </row>
    <row r="9">
      <c r="A9" s="1" t="s">
        <v>23</v>
      </c>
      <c r="B9" s="8">
        <v>0.0</v>
      </c>
    </row>
    <row r="10">
      <c r="A10" s="1" t="s">
        <v>24</v>
      </c>
      <c r="B10" s="8">
        <v>0.0</v>
      </c>
    </row>
    <row r="11">
      <c r="A11" s="1" t="s">
        <v>25</v>
      </c>
      <c r="B11" s="8">
        <v>0.0</v>
      </c>
    </row>
    <row r="12">
      <c r="A12" s="1" t="s">
        <v>26</v>
      </c>
      <c r="B12" s="8" t="s">
        <v>502</v>
      </c>
    </row>
    <row r="13">
      <c r="A13" s="1" t="s">
        <v>27</v>
      </c>
      <c r="B13" s="8">
        <v>0.0</v>
      </c>
    </row>
    <row r="14">
      <c r="A14" s="1" t="s">
        <v>29</v>
      </c>
      <c r="B14" s="8" t="s">
        <v>503</v>
      </c>
    </row>
    <row r="15">
      <c r="A15" s="1" t="s">
        <v>31</v>
      </c>
      <c r="B15" s="8">
        <v>0.0</v>
      </c>
    </row>
    <row r="16">
      <c r="A16" s="1" t="s">
        <v>32</v>
      </c>
      <c r="B16" s="8">
        <v>0.0</v>
      </c>
    </row>
    <row r="17">
      <c r="A17" s="1" t="s">
        <v>33</v>
      </c>
      <c r="B17" s="8" t="s">
        <v>504</v>
      </c>
    </row>
    <row r="18">
      <c r="A18" s="1" t="s">
        <v>37</v>
      </c>
      <c r="B18" s="8">
        <v>0.0</v>
      </c>
    </row>
    <row r="19">
      <c r="A19" s="8" t="s">
        <v>38</v>
      </c>
      <c r="B19" s="8" t="s">
        <v>505</v>
      </c>
    </row>
    <row r="21">
      <c r="A21" s="3"/>
    </row>
  </sheetData>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topLeftCell="B1" activePane="topRight" state="frozen"/>
      <selection activeCell="C2" sqref="C2" pane="topRight"/>
    </sheetView>
  </sheetViews>
  <sheetFormatPr customHeight="1" defaultColWidth="14.43" defaultRowHeight="15.75"/>
  <cols>
    <col customWidth="1" min="1" max="1" width="23.86"/>
    <col customWidth="1" min="2" max="2" width="17.43"/>
    <col customWidth="1" min="3" max="3" width="18.14"/>
    <col customWidth="1" min="4" max="4" width="17.71"/>
    <col customWidth="1" min="5" max="5" width="18.86"/>
    <col customWidth="1" min="6" max="6" width="19.43"/>
  </cols>
  <sheetData>
    <row r="1">
      <c r="A1" s="9" t="s">
        <v>48</v>
      </c>
      <c r="L1" s="38"/>
    </row>
    <row r="2">
      <c r="A2" s="10" t="s">
        <v>49</v>
      </c>
      <c r="L2" s="38"/>
    </row>
    <row r="3">
      <c r="L3" s="38"/>
    </row>
    <row r="4">
      <c r="A4" s="49" t="s">
        <v>506</v>
      </c>
      <c r="L4" s="38"/>
    </row>
    <row r="5">
      <c r="A5" s="8" t="s">
        <v>507</v>
      </c>
      <c r="L5" s="38"/>
    </row>
    <row r="6">
      <c r="A6" s="11" t="s">
        <v>508</v>
      </c>
      <c r="L6" s="38"/>
    </row>
    <row r="7">
      <c r="A7" s="8" t="s">
        <v>509</v>
      </c>
      <c r="I7" s="8" t="s">
        <v>60</v>
      </c>
      <c r="L7" s="38"/>
    </row>
    <row r="8">
      <c r="B8" s="8" t="s">
        <v>510</v>
      </c>
      <c r="C8" s="8" t="s">
        <v>511</v>
      </c>
      <c r="D8" s="8" t="s">
        <v>512</v>
      </c>
      <c r="E8" s="8" t="s">
        <v>513</v>
      </c>
      <c r="F8" s="8" t="s">
        <v>514</v>
      </c>
      <c r="G8" s="8" t="s">
        <v>58</v>
      </c>
      <c r="J8" s="8" t="s">
        <v>68</v>
      </c>
      <c r="L8" s="8" t="s">
        <v>69</v>
      </c>
      <c r="N8" s="8" t="s">
        <v>515</v>
      </c>
    </row>
    <row r="9">
      <c r="A9" s="8" t="s">
        <v>485</v>
      </c>
      <c r="B9" s="8">
        <v>191293.0</v>
      </c>
      <c r="C9" s="8">
        <v>104231.0</v>
      </c>
      <c r="D9" s="8">
        <v>204498.0</v>
      </c>
      <c r="E9" s="8">
        <v>21816.0</v>
      </c>
      <c r="F9" s="8">
        <v>51508.0</v>
      </c>
      <c r="G9" s="8" t="s">
        <v>516</v>
      </c>
      <c r="J9" s="8" t="s">
        <v>510</v>
      </c>
      <c r="K9" s="8" t="s">
        <v>512</v>
      </c>
      <c r="L9" s="38"/>
    </row>
    <row r="10">
      <c r="A10" s="8" t="s">
        <v>517</v>
      </c>
      <c r="B10" s="8">
        <v>63439.0</v>
      </c>
      <c r="C10" s="8">
        <v>50099.0</v>
      </c>
      <c r="D10" s="8">
        <v>70903.0</v>
      </c>
      <c r="E10" s="8">
        <v>7707.0</v>
      </c>
      <c r="F10" s="8">
        <v>19348.0</v>
      </c>
      <c r="G10" s="8" t="s">
        <v>518</v>
      </c>
      <c r="I10" s="8" t="s">
        <v>483</v>
      </c>
      <c r="J10" s="13">
        <f>B9*165</f>
        <v>31563345</v>
      </c>
      <c r="K10" s="13">
        <f>D9*165</f>
        <v>33742170</v>
      </c>
      <c r="L10" s="50">
        <f t="shared" ref="L10:M10" si="1">J10/1000</f>
        <v>31563.345</v>
      </c>
      <c r="M10" s="50">
        <f t="shared" si="1"/>
        <v>33742.17</v>
      </c>
      <c r="N10" s="12">
        <f t="shared" ref="N10:N11" si="4">L10/1.38</f>
        <v>22871.98913</v>
      </c>
      <c r="O10" s="12">
        <f t="shared" ref="O10:O11" si="5">M10/1.6</f>
        <v>21088.85625</v>
      </c>
    </row>
    <row r="11">
      <c r="A11" s="8" t="s">
        <v>519</v>
      </c>
      <c r="B11" s="13">
        <f t="shared" ref="B11:F11" si="2">B9*2.75</f>
        <v>526055.75</v>
      </c>
      <c r="C11" s="13">
        <f t="shared" si="2"/>
        <v>286635.25</v>
      </c>
      <c r="D11" s="13">
        <f t="shared" si="2"/>
        <v>562369.5</v>
      </c>
      <c r="E11" s="13">
        <f t="shared" si="2"/>
        <v>59994</v>
      </c>
      <c r="F11" s="13">
        <f t="shared" si="2"/>
        <v>141647</v>
      </c>
      <c r="G11" s="8" t="s">
        <v>520</v>
      </c>
      <c r="I11" s="8" t="s">
        <v>486</v>
      </c>
      <c r="J11" s="13">
        <f>B9*400</f>
        <v>76517200</v>
      </c>
      <c r="K11" s="13">
        <f>D9*400</f>
        <v>81799200</v>
      </c>
      <c r="L11" s="50">
        <f t="shared" ref="L11:M11" si="3">J11/1000</f>
        <v>76517.2</v>
      </c>
      <c r="M11" s="50">
        <f t="shared" si="3"/>
        <v>81799.2</v>
      </c>
      <c r="N11" s="12">
        <f t="shared" si="4"/>
        <v>55447.24638</v>
      </c>
      <c r="O11" s="12">
        <f t="shared" si="5"/>
        <v>51124.5</v>
      </c>
    </row>
    <row r="12">
      <c r="A12" s="8" t="s">
        <v>521</v>
      </c>
      <c r="B12" s="13">
        <f t="shared" ref="B12:F12" si="6">B10*0.975</f>
        <v>61853.025</v>
      </c>
      <c r="C12" s="13">
        <f t="shared" si="6"/>
        <v>48846.525</v>
      </c>
      <c r="D12" s="13">
        <f t="shared" si="6"/>
        <v>69130.425</v>
      </c>
      <c r="E12" s="13">
        <f t="shared" si="6"/>
        <v>7514.325</v>
      </c>
      <c r="F12" s="13">
        <f t="shared" si="6"/>
        <v>18864.3</v>
      </c>
      <c r="G12" s="8" t="s">
        <v>522</v>
      </c>
      <c r="L12" s="38"/>
    </row>
    <row r="13">
      <c r="A13" s="8" t="s">
        <v>523</v>
      </c>
      <c r="B13" s="12">
        <f t="shared" ref="B13:B14" si="7">B11/1.38</f>
        <v>381199.8188</v>
      </c>
      <c r="C13" s="22">
        <f t="shared" ref="C13:C14" si="8">C11/1.5</f>
        <v>191090.1667</v>
      </c>
      <c r="D13" s="12">
        <f t="shared" ref="D13:D14" si="9">D11/1.6</f>
        <v>351480.9375</v>
      </c>
      <c r="E13" s="22">
        <f t="shared" ref="E13:E14" si="10">E11/0.286</f>
        <v>209769.2308</v>
      </c>
      <c r="F13" s="22">
        <f t="shared" ref="F13:F14" si="11">F11/1.235</f>
        <v>114693.9271</v>
      </c>
      <c r="L13" s="38"/>
    </row>
    <row r="14">
      <c r="A14" s="8" t="s">
        <v>524</v>
      </c>
      <c r="B14" s="12">
        <f t="shared" si="7"/>
        <v>44821.03261</v>
      </c>
      <c r="C14" s="22">
        <f t="shared" si="8"/>
        <v>32564.35</v>
      </c>
      <c r="D14" s="12">
        <f t="shared" si="9"/>
        <v>43206.51563</v>
      </c>
      <c r="E14" s="22">
        <f t="shared" si="10"/>
        <v>26273.86364</v>
      </c>
      <c r="F14" s="22">
        <f t="shared" si="11"/>
        <v>15274.73684</v>
      </c>
      <c r="L14" s="38"/>
    </row>
    <row r="15">
      <c r="B15" s="8" t="s">
        <v>525</v>
      </c>
      <c r="C15" s="8" t="s">
        <v>526</v>
      </c>
      <c r="D15" s="8" t="s">
        <v>525</v>
      </c>
      <c r="E15" s="8" t="s">
        <v>527</v>
      </c>
      <c r="F15" s="8" t="s">
        <v>526</v>
      </c>
      <c r="L15" s="38"/>
    </row>
    <row r="16">
      <c r="A16" s="8" t="s">
        <v>528</v>
      </c>
      <c r="L16" s="38"/>
    </row>
    <row r="17">
      <c r="A17" s="8" t="s">
        <v>529</v>
      </c>
      <c r="C17" s="8">
        <v>33.0</v>
      </c>
      <c r="E17" s="8">
        <v>27.0</v>
      </c>
      <c r="L17" s="38"/>
    </row>
    <row r="18">
      <c r="A18" s="8" t="s">
        <v>530</v>
      </c>
      <c r="C18" s="8">
        <v>69.0</v>
      </c>
      <c r="L18" s="38"/>
    </row>
    <row r="19">
      <c r="L19" s="38"/>
    </row>
    <row r="20">
      <c r="A20" s="8" t="s">
        <v>531</v>
      </c>
      <c r="L20" s="38"/>
    </row>
    <row r="21">
      <c r="A21" s="8" t="s">
        <v>529</v>
      </c>
      <c r="B21" s="13">
        <f>B10/1380</f>
        <v>45.97028986</v>
      </c>
      <c r="C21" s="13">
        <f>C10/1500</f>
        <v>33.39933333</v>
      </c>
      <c r="D21" s="13">
        <f>D10/1600</f>
        <v>44.314375</v>
      </c>
      <c r="E21" s="13">
        <f>E10/286</f>
        <v>26.94755245</v>
      </c>
      <c r="F21" s="13">
        <f>F10/1235</f>
        <v>15.66639676</v>
      </c>
      <c r="L21" s="38"/>
    </row>
    <row r="22">
      <c r="A22" s="8" t="s">
        <v>530</v>
      </c>
      <c r="B22" s="13">
        <f>B9/1380</f>
        <v>138.6181159</v>
      </c>
      <c r="C22" s="13">
        <f>C9/1500</f>
        <v>69.48733333</v>
      </c>
      <c r="D22" s="13">
        <f>D9/1600</f>
        <v>127.81125</v>
      </c>
      <c r="E22" s="13">
        <f>E9/286</f>
        <v>76.27972028</v>
      </c>
      <c r="F22" s="13">
        <f>F9/1235</f>
        <v>41.70688259</v>
      </c>
      <c r="L22" s="38"/>
    </row>
    <row r="23">
      <c r="L23" s="38"/>
    </row>
    <row r="24">
      <c r="L24" s="38"/>
    </row>
    <row r="25">
      <c r="L25" s="38"/>
    </row>
    <row r="26">
      <c r="L26" s="38"/>
    </row>
    <row r="27">
      <c r="L27" s="38"/>
    </row>
    <row r="28">
      <c r="A28" s="8" t="s">
        <v>144</v>
      </c>
    </row>
    <row r="29">
      <c r="A29" s="8" t="s">
        <v>145</v>
      </c>
    </row>
    <row r="30">
      <c r="A30" s="11" t="s">
        <v>146</v>
      </c>
    </row>
    <row r="31">
      <c r="A31" s="8" t="s">
        <v>147</v>
      </c>
    </row>
    <row r="32">
      <c r="A32" s="51"/>
    </row>
    <row r="33">
      <c r="A33" s="42"/>
      <c r="B33" s="8" t="s">
        <v>532</v>
      </c>
    </row>
    <row r="34">
      <c r="A34" s="8" t="s">
        <v>274</v>
      </c>
      <c r="B34" s="8">
        <v>350.0</v>
      </c>
    </row>
    <row r="35">
      <c r="A35" s="42" t="s">
        <v>16</v>
      </c>
      <c r="B35" s="9">
        <v>1345.0</v>
      </c>
    </row>
    <row r="36">
      <c r="A36" s="42" t="s">
        <v>29</v>
      </c>
      <c r="B36" s="9">
        <v>300.0</v>
      </c>
    </row>
    <row r="37">
      <c r="A37" s="44"/>
    </row>
    <row r="38">
      <c r="A38" s="48"/>
    </row>
    <row r="39">
      <c r="A39" s="8" t="s">
        <v>444</v>
      </c>
    </row>
    <row r="40">
      <c r="A40" s="11" t="s">
        <v>445</v>
      </c>
    </row>
    <row r="41">
      <c r="A41" s="8" t="s">
        <v>446</v>
      </c>
    </row>
    <row r="42">
      <c r="A42" s="8" t="s">
        <v>57</v>
      </c>
      <c r="B42" s="8" t="s">
        <v>447</v>
      </c>
    </row>
    <row r="43">
      <c r="A43" s="8" t="s">
        <v>6</v>
      </c>
      <c r="B43" s="8">
        <v>18.0</v>
      </c>
    </row>
    <row r="44">
      <c r="A44" s="8" t="s">
        <v>12</v>
      </c>
      <c r="B44" s="8">
        <v>179681.0</v>
      </c>
    </row>
    <row r="45">
      <c r="A45" s="8" t="s">
        <v>16</v>
      </c>
      <c r="B45" s="8">
        <v>729.0</v>
      </c>
    </row>
    <row r="46">
      <c r="A46" s="8" t="s">
        <v>26</v>
      </c>
      <c r="B46" s="8">
        <v>434.0</v>
      </c>
    </row>
    <row r="47">
      <c r="A47" s="8" t="s">
        <v>29</v>
      </c>
      <c r="B47" s="8">
        <v>125.0</v>
      </c>
    </row>
    <row r="48">
      <c r="A48" s="8" t="s">
        <v>5</v>
      </c>
      <c r="B48" s="8">
        <v>0.5</v>
      </c>
    </row>
    <row r="49">
      <c r="A49" s="8" t="s">
        <v>448</v>
      </c>
      <c r="B49" s="13">
        <f>33988+2080</f>
        <v>36068</v>
      </c>
    </row>
    <row r="50">
      <c r="A50" s="8" t="s">
        <v>451</v>
      </c>
      <c r="B50" s="8" t="s">
        <v>452</v>
      </c>
    </row>
    <row r="51">
      <c r="A51" s="1"/>
    </row>
    <row r="52">
      <c r="A52" s="8" t="s">
        <v>452</v>
      </c>
    </row>
    <row r="53">
      <c r="A53" s="11" t="s">
        <v>533</v>
      </c>
    </row>
    <row r="54">
      <c r="A54" s="3" t="s">
        <v>534</v>
      </c>
    </row>
    <row r="56">
      <c r="A56" s="3" t="s">
        <v>188</v>
      </c>
      <c r="B56" s="3" t="s">
        <v>535</v>
      </c>
    </row>
    <row r="57">
      <c r="A57" s="3" t="s">
        <v>6</v>
      </c>
      <c r="B57" s="8">
        <v>18.0</v>
      </c>
    </row>
    <row r="58">
      <c r="A58" s="3" t="s">
        <v>536</v>
      </c>
      <c r="B58" s="12">
        <f>32731+2080+1257</f>
        <v>36068</v>
      </c>
    </row>
    <row r="59">
      <c r="A59" s="3" t="s">
        <v>537</v>
      </c>
      <c r="B59" s="8">
        <v>98130.0</v>
      </c>
      <c r="C59" s="8" t="s">
        <v>538</v>
      </c>
    </row>
    <row r="60">
      <c r="A60" s="8" t="s">
        <v>16</v>
      </c>
      <c r="B60" s="8">
        <v>694.0</v>
      </c>
    </row>
    <row r="61">
      <c r="A61" s="8" t="s">
        <v>29</v>
      </c>
      <c r="B61" s="8">
        <v>1.0</v>
      </c>
      <c r="H61" s="48"/>
    </row>
    <row r="62">
      <c r="A62" s="3" t="s">
        <v>5</v>
      </c>
      <c r="B62" s="8" t="s">
        <v>539</v>
      </c>
    </row>
    <row r="63">
      <c r="A63" s="1"/>
    </row>
    <row r="64">
      <c r="A64" s="52" t="s">
        <v>540</v>
      </c>
      <c r="B64" s="3" t="s">
        <v>541</v>
      </c>
      <c r="C64" s="8" t="s">
        <v>58</v>
      </c>
    </row>
    <row r="65">
      <c r="A65" s="3" t="s">
        <v>6</v>
      </c>
      <c r="B65" s="9">
        <v>18.0</v>
      </c>
      <c r="C65" s="8" t="s">
        <v>542</v>
      </c>
    </row>
    <row r="66">
      <c r="A66" s="3" t="s">
        <v>16</v>
      </c>
      <c r="B66" s="9">
        <v>726.0</v>
      </c>
      <c r="F66" s="8" t="s">
        <v>543</v>
      </c>
    </row>
    <row r="67">
      <c r="A67" s="3" t="s">
        <v>26</v>
      </c>
      <c r="B67" s="9">
        <v>467.0</v>
      </c>
      <c r="F67" s="9">
        <v>30133.0</v>
      </c>
    </row>
    <row r="68">
      <c r="A68" s="3" t="s">
        <v>29</v>
      </c>
      <c r="B68" s="9">
        <v>484.0</v>
      </c>
    </row>
    <row r="69">
      <c r="A69" s="3" t="s">
        <v>5</v>
      </c>
      <c r="B69" s="9" t="s">
        <v>539</v>
      </c>
    </row>
    <row r="70">
      <c r="A70" s="3" t="s">
        <v>38</v>
      </c>
      <c r="B70" s="8">
        <v>30133.0</v>
      </c>
      <c r="C70" s="8" t="s">
        <v>544</v>
      </c>
    </row>
    <row r="71">
      <c r="A71" s="8" t="s">
        <v>12</v>
      </c>
      <c r="B71" s="12">
        <f>B70/0.1677</f>
        <v>179683.9595</v>
      </c>
    </row>
    <row r="72">
      <c r="A72" s="8" t="s">
        <v>545</v>
      </c>
    </row>
    <row r="73">
      <c r="A73" s="11" t="s">
        <v>546</v>
      </c>
    </row>
    <row r="74">
      <c r="A74" s="3" t="s">
        <v>547</v>
      </c>
    </row>
    <row r="75">
      <c r="A75" s="3" t="s">
        <v>548</v>
      </c>
    </row>
    <row r="76">
      <c r="A76" s="1"/>
    </row>
    <row r="77">
      <c r="A77" s="1"/>
    </row>
    <row r="78">
      <c r="A78" s="8" t="s">
        <v>457</v>
      </c>
    </row>
    <row r="79">
      <c r="A79" s="11" t="s">
        <v>458</v>
      </c>
    </row>
    <row r="80">
      <c r="A80" s="8" t="s">
        <v>549</v>
      </c>
    </row>
    <row r="81">
      <c r="A81" s="8" t="s">
        <v>550</v>
      </c>
    </row>
    <row r="82">
      <c r="A82" s="8" t="s">
        <v>551</v>
      </c>
    </row>
    <row r="84">
      <c r="A84" s="10" t="s">
        <v>552</v>
      </c>
      <c r="B84" s="10" t="s">
        <v>496</v>
      </c>
      <c r="C84" s="10" t="s">
        <v>58</v>
      </c>
      <c r="D84" s="10" t="s">
        <v>553</v>
      </c>
    </row>
    <row r="85">
      <c r="A85" s="10" t="s">
        <v>16</v>
      </c>
      <c r="B85" s="10">
        <v>0.0596</v>
      </c>
      <c r="C85" s="10" t="s">
        <v>554</v>
      </c>
      <c r="D85" s="22">
        <f t="shared" ref="D85:D89" si="12">B85*1000</f>
        <v>59.6</v>
      </c>
      <c r="E85" s="8" t="s">
        <v>555</v>
      </c>
    </row>
    <row r="86">
      <c r="A86" s="10" t="s">
        <v>24</v>
      </c>
      <c r="B86" s="10">
        <v>0.0016</v>
      </c>
      <c r="C86" s="10" t="s">
        <v>556</v>
      </c>
      <c r="D86" s="22">
        <f t="shared" si="12"/>
        <v>1.6</v>
      </c>
    </row>
    <row r="87">
      <c r="A87" s="10" t="s">
        <v>29</v>
      </c>
      <c r="B87" s="10">
        <v>0.2555</v>
      </c>
      <c r="C87" s="10" t="s">
        <v>554</v>
      </c>
      <c r="D87" s="22">
        <f t="shared" si="12"/>
        <v>255.5</v>
      </c>
    </row>
    <row r="88">
      <c r="A88" s="10" t="s">
        <v>5</v>
      </c>
      <c r="B88" s="10">
        <v>0.0083</v>
      </c>
      <c r="C88" s="10" t="s">
        <v>557</v>
      </c>
      <c r="D88" s="22">
        <f t="shared" si="12"/>
        <v>8.3</v>
      </c>
    </row>
    <row r="89">
      <c r="A89" s="53" t="s">
        <v>10</v>
      </c>
      <c r="B89" s="10">
        <v>5.0E-4</v>
      </c>
      <c r="C89" s="10" t="s">
        <v>557</v>
      </c>
      <c r="D89" s="22">
        <f t="shared" si="12"/>
        <v>0.5</v>
      </c>
    </row>
    <row r="91">
      <c r="A91" s="8" t="s">
        <v>450</v>
      </c>
    </row>
    <row r="92">
      <c r="A92" s="11" t="s">
        <v>462</v>
      </c>
    </row>
    <row r="93">
      <c r="A93" s="8" t="s">
        <v>558</v>
      </c>
      <c r="L93" s="8" t="s">
        <v>61</v>
      </c>
    </row>
    <row r="94">
      <c r="A94" s="8" t="s">
        <v>559</v>
      </c>
      <c r="B94" s="8" t="s">
        <v>560</v>
      </c>
      <c r="C94" s="8" t="s">
        <v>561</v>
      </c>
      <c r="D94" s="8" t="s">
        <v>562</v>
      </c>
      <c r="E94" s="8" t="s">
        <v>58</v>
      </c>
      <c r="H94" s="8" t="s">
        <v>563</v>
      </c>
      <c r="I94" s="8" t="s">
        <v>564</v>
      </c>
      <c r="K94" s="8" t="s">
        <v>60</v>
      </c>
      <c r="L94" s="8" t="s">
        <v>561</v>
      </c>
    </row>
    <row r="95">
      <c r="A95" s="8" t="s">
        <v>6</v>
      </c>
      <c r="B95" s="8" t="s">
        <v>565</v>
      </c>
      <c r="C95" s="8" t="s">
        <v>566</v>
      </c>
      <c r="D95" s="8">
        <v>40.0</v>
      </c>
      <c r="E95" s="8" t="s">
        <v>567</v>
      </c>
      <c r="H95" s="9">
        <v>54.0</v>
      </c>
      <c r="I95" s="9">
        <v>45.0</v>
      </c>
      <c r="K95" s="8" t="s">
        <v>63</v>
      </c>
      <c r="L95" s="54">
        <f>H97/1.6</f>
        <v>118750</v>
      </c>
    </row>
    <row r="96">
      <c r="A96" s="8" t="s">
        <v>10</v>
      </c>
      <c r="B96" s="8" t="s">
        <v>568</v>
      </c>
      <c r="C96" s="8" t="s">
        <v>569</v>
      </c>
      <c r="D96" s="8" t="s">
        <v>539</v>
      </c>
      <c r="H96" s="12"/>
      <c r="I96" s="9" t="s">
        <v>539</v>
      </c>
      <c r="K96" s="8" t="s">
        <v>65</v>
      </c>
      <c r="L96" s="54">
        <f>H97/2.5</f>
        <v>76000</v>
      </c>
    </row>
    <row r="97">
      <c r="A97" s="8" t="s">
        <v>12</v>
      </c>
      <c r="B97" s="55">
        <v>170000.0</v>
      </c>
      <c r="C97" s="8" t="s">
        <v>570</v>
      </c>
      <c r="D97" s="8" t="s">
        <v>571</v>
      </c>
      <c r="H97" s="56">
        <v>190000.0</v>
      </c>
      <c r="I97" s="12"/>
      <c r="L97" s="8" t="s">
        <v>68</v>
      </c>
      <c r="M97" s="8" t="s">
        <v>69</v>
      </c>
    </row>
    <row r="98">
      <c r="A98" s="8" t="s">
        <v>16</v>
      </c>
      <c r="B98" s="8" t="s">
        <v>572</v>
      </c>
      <c r="C98" s="8" t="s">
        <v>573</v>
      </c>
      <c r="D98" s="8">
        <v>1390.0</v>
      </c>
      <c r="H98" s="9">
        <v>907.0</v>
      </c>
      <c r="I98" s="9">
        <v>2000.0</v>
      </c>
      <c r="L98" s="8" t="s">
        <v>561</v>
      </c>
      <c r="M98" s="8" t="s">
        <v>561</v>
      </c>
    </row>
    <row r="99">
      <c r="A99" s="8" t="s">
        <v>26</v>
      </c>
      <c r="B99" s="8" t="s">
        <v>574</v>
      </c>
      <c r="C99" s="8" t="s">
        <v>575</v>
      </c>
      <c r="D99" s="8">
        <v>390.0</v>
      </c>
      <c r="H99" s="9">
        <v>209.0</v>
      </c>
      <c r="I99" s="9">
        <v>400.0</v>
      </c>
      <c r="K99" s="8" t="s">
        <v>71</v>
      </c>
      <c r="L99" s="54">
        <f>L95*165</f>
        <v>19593750</v>
      </c>
      <c r="M99" s="57">
        <f t="shared" ref="M99:M100" si="13">L99/1000</f>
        <v>19593.75</v>
      </c>
    </row>
    <row r="100">
      <c r="A100" s="8" t="s">
        <v>29</v>
      </c>
      <c r="B100" s="8" t="s">
        <v>576</v>
      </c>
      <c r="C100" s="8" t="s">
        <v>577</v>
      </c>
      <c r="D100" s="8">
        <v>220.0</v>
      </c>
      <c r="H100" s="9">
        <v>49.0</v>
      </c>
      <c r="I100" s="9">
        <v>100.0</v>
      </c>
      <c r="K100" s="8" t="s">
        <v>73</v>
      </c>
      <c r="L100" s="54">
        <f>L96*400</f>
        <v>30400000</v>
      </c>
      <c r="M100" s="57">
        <f t="shared" si="13"/>
        <v>30400</v>
      </c>
    </row>
    <row r="101">
      <c r="A101" s="8" t="s">
        <v>5</v>
      </c>
      <c r="B101" s="8" t="s">
        <v>578</v>
      </c>
      <c r="C101" s="8" t="s">
        <v>579</v>
      </c>
      <c r="D101" s="8" t="s">
        <v>539</v>
      </c>
      <c r="H101" s="12"/>
      <c r="I101" s="9">
        <v>1.0</v>
      </c>
    </row>
    <row r="102">
      <c r="A102" s="8" t="s">
        <v>33</v>
      </c>
      <c r="B102" s="8" t="s">
        <v>580</v>
      </c>
      <c r="C102" s="8" t="s">
        <v>581</v>
      </c>
      <c r="D102" s="55">
        <v>19000.0</v>
      </c>
      <c r="H102" s="12"/>
      <c r="I102" s="56">
        <v>10000.0</v>
      </c>
    </row>
    <row r="103">
      <c r="A103" s="8" t="s">
        <v>582</v>
      </c>
      <c r="H103" s="8" t="s">
        <v>583</v>
      </c>
    </row>
    <row r="104">
      <c r="A104" s="8" t="s">
        <v>584</v>
      </c>
    </row>
    <row r="105">
      <c r="A105" s="8" t="s">
        <v>585</v>
      </c>
    </row>
    <row r="106">
      <c r="A106" s="8" t="s">
        <v>586</v>
      </c>
    </row>
    <row r="107">
      <c r="A107" s="8" t="s">
        <v>587</v>
      </c>
    </row>
    <row r="108">
      <c r="A108" s="8" t="s">
        <v>588</v>
      </c>
    </row>
    <row r="109">
      <c r="A109" s="1"/>
    </row>
    <row r="110">
      <c r="A110" s="1"/>
    </row>
    <row r="111">
      <c r="A111" s="8" t="s">
        <v>560</v>
      </c>
    </row>
    <row r="112">
      <c r="A112" s="8" t="s">
        <v>589</v>
      </c>
    </row>
    <row r="113">
      <c r="A113" s="11" t="s">
        <v>590</v>
      </c>
    </row>
    <row r="114">
      <c r="A114" s="8" t="s">
        <v>591</v>
      </c>
    </row>
    <row r="115">
      <c r="A115" s="8" t="s">
        <v>494</v>
      </c>
      <c r="B115" s="8" t="s">
        <v>592</v>
      </c>
      <c r="C115" s="8" t="s">
        <v>593</v>
      </c>
      <c r="D115" s="8" t="s">
        <v>58</v>
      </c>
    </row>
    <row r="116">
      <c r="A116" s="8" t="s">
        <v>6</v>
      </c>
      <c r="B116" s="8">
        <v>90.0</v>
      </c>
      <c r="C116" s="9">
        <v>33.0</v>
      </c>
    </row>
    <row r="117">
      <c r="A117" s="8" t="s">
        <v>10</v>
      </c>
      <c r="B117" s="8">
        <v>0.005</v>
      </c>
      <c r="C117" s="9">
        <v>0.0</v>
      </c>
    </row>
    <row r="118">
      <c r="A118" s="8" t="s">
        <v>16</v>
      </c>
      <c r="B118" s="8">
        <v>4000.0</v>
      </c>
      <c r="C118" s="9">
        <v>1481.0</v>
      </c>
    </row>
    <row r="119">
      <c r="A119" s="8" t="s">
        <v>26</v>
      </c>
      <c r="B119" s="8">
        <v>800.0</v>
      </c>
      <c r="C119" s="9">
        <v>296.0</v>
      </c>
    </row>
    <row r="120">
      <c r="A120" s="8" t="s">
        <v>29</v>
      </c>
      <c r="B120" s="8">
        <v>200.0</v>
      </c>
      <c r="C120" s="9">
        <v>74.0</v>
      </c>
    </row>
    <row r="121">
      <c r="A121" s="8" t="s">
        <v>5</v>
      </c>
      <c r="B121" s="8">
        <v>2.0</v>
      </c>
      <c r="C121" s="9">
        <v>1.0</v>
      </c>
    </row>
    <row r="122">
      <c r="A122" s="8" t="s">
        <v>33</v>
      </c>
      <c r="B122" s="8">
        <v>20000.0</v>
      </c>
      <c r="C122" s="9">
        <v>7407.0</v>
      </c>
      <c r="D122" s="8" t="s">
        <v>594</v>
      </c>
    </row>
    <row r="124">
      <c r="A124" s="8" t="s">
        <v>561</v>
      </c>
    </row>
    <row r="125">
      <c r="A125" s="8" t="s">
        <v>595</v>
      </c>
    </row>
    <row r="127">
      <c r="A127" s="8" t="s">
        <v>561</v>
      </c>
    </row>
    <row r="128">
      <c r="A128" s="8" t="s">
        <v>596</v>
      </c>
    </row>
    <row r="129">
      <c r="A129" s="8" t="s">
        <v>597</v>
      </c>
    </row>
    <row r="131">
      <c r="A131" s="8" t="s">
        <v>598</v>
      </c>
      <c r="B131" s="8" t="s">
        <v>561</v>
      </c>
      <c r="C131" s="8" t="s">
        <v>560</v>
      </c>
    </row>
    <row r="132">
      <c r="A132" s="8" t="s">
        <v>6</v>
      </c>
      <c r="B132" s="8">
        <v>54.0</v>
      </c>
      <c r="C132" s="8">
        <v>18.0</v>
      </c>
    </row>
    <row r="133">
      <c r="A133" s="8" t="s">
        <v>12</v>
      </c>
      <c r="B133" s="8">
        <v>190175.0</v>
      </c>
      <c r="C133" s="8">
        <v>166349.0</v>
      </c>
    </row>
    <row r="134">
      <c r="A134" s="8" t="s">
        <v>16</v>
      </c>
      <c r="B134" s="8">
        <v>907.0</v>
      </c>
      <c r="C134" s="8">
        <v>726.0</v>
      </c>
    </row>
    <row r="135">
      <c r="A135" s="8" t="s">
        <v>24</v>
      </c>
    </row>
    <row r="136">
      <c r="A136" s="8" t="s">
        <v>26</v>
      </c>
      <c r="B136" s="8">
        <v>209.0</v>
      </c>
      <c r="C136" s="8">
        <v>467.0</v>
      </c>
    </row>
    <row r="137">
      <c r="A137" s="8" t="s">
        <v>29</v>
      </c>
      <c r="B137" s="8">
        <v>49.0</v>
      </c>
      <c r="C137" s="8">
        <v>484.0</v>
      </c>
    </row>
    <row r="138">
      <c r="C138" s="8" t="s">
        <v>599</v>
      </c>
    </row>
    <row r="140">
      <c r="A140" s="8" t="s">
        <v>600</v>
      </c>
    </row>
    <row r="141">
      <c r="A141" s="58" t="s">
        <v>601</v>
      </c>
    </row>
    <row r="142">
      <c r="A142" s="8" t="s">
        <v>602</v>
      </c>
    </row>
    <row r="143">
      <c r="A143" s="8" t="s">
        <v>603</v>
      </c>
      <c r="B143" s="10" t="s">
        <v>363</v>
      </c>
      <c r="C143" s="10" t="s">
        <v>364</v>
      </c>
      <c r="D143" s="10" t="s">
        <v>604</v>
      </c>
      <c r="E143" s="10" t="s">
        <v>365</v>
      </c>
      <c r="F143" s="8" t="s">
        <v>58</v>
      </c>
    </row>
    <row r="144">
      <c r="A144" s="8" t="s">
        <v>6</v>
      </c>
      <c r="B144" s="10">
        <v>3.0</v>
      </c>
      <c r="C144" s="10">
        <v>1.0</v>
      </c>
      <c r="D144" s="10">
        <v>0.0</v>
      </c>
      <c r="E144" s="10">
        <v>6.0</v>
      </c>
      <c r="F144" s="8" t="s">
        <v>605</v>
      </c>
    </row>
    <row r="145">
      <c r="A145" s="8" t="s">
        <v>38</v>
      </c>
      <c r="B145" s="10">
        <v>0.0</v>
      </c>
      <c r="C145" s="10">
        <v>0.0</v>
      </c>
      <c r="D145" s="10">
        <v>0.0</v>
      </c>
      <c r="E145" s="10">
        <v>0.0</v>
      </c>
    </row>
    <row r="146">
      <c r="A146" s="8" t="s">
        <v>12</v>
      </c>
      <c r="B146" s="10">
        <v>870.0</v>
      </c>
      <c r="C146" s="10">
        <v>400.0</v>
      </c>
      <c r="D146" s="10">
        <v>760.0</v>
      </c>
      <c r="E146" s="10">
        <v>760.0</v>
      </c>
    </row>
    <row r="147">
      <c r="A147" s="8" t="s">
        <v>16</v>
      </c>
      <c r="B147" s="10">
        <v>1.0</v>
      </c>
      <c r="C147" s="10">
        <v>0.0</v>
      </c>
      <c r="D147" s="10">
        <v>3.0</v>
      </c>
      <c r="E147" s="10">
        <v>0.0</v>
      </c>
    </row>
    <row r="148">
      <c r="A148" s="8" t="s">
        <v>33</v>
      </c>
      <c r="B148" s="10">
        <v>310.0</v>
      </c>
      <c r="C148" s="10">
        <v>170.0</v>
      </c>
      <c r="D148" s="10">
        <v>160.0</v>
      </c>
      <c r="E148" s="10">
        <v>310.0</v>
      </c>
    </row>
    <row r="149">
      <c r="A149" s="8" t="s">
        <v>606</v>
      </c>
    </row>
    <row r="152">
      <c r="A152" s="8" t="s">
        <v>607</v>
      </c>
    </row>
    <row r="153">
      <c r="A153" s="8">
        <v>2014.0</v>
      </c>
    </row>
    <row r="154">
      <c r="A154" s="8" t="s">
        <v>608</v>
      </c>
    </row>
    <row r="155">
      <c r="A155" s="8" t="s">
        <v>609</v>
      </c>
    </row>
    <row r="156">
      <c r="A156" s="8" t="s">
        <v>57</v>
      </c>
      <c r="B156" s="8" t="s">
        <v>610</v>
      </c>
    </row>
    <row r="157">
      <c r="A157" s="8" t="s">
        <v>611</v>
      </c>
      <c r="B157" s="9">
        <v>50400.0</v>
      </c>
      <c r="E157" s="8" t="s">
        <v>61</v>
      </c>
    </row>
    <row r="158">
      <c r="A158" s="8" t="s">
        <v>12</v>
      </c>
      <c r="B158" s="8">
        <v>383900.0</v>
      </c>
      <c r="D158" s="8" t="s">
        <v>60</v>
      </c>
      <c r="E158" s="8" t="s">
        <v>612</v>
      </c>
    </row>
    <row r="159">
      <c r="D159" s="8" t="s">
        <v>63</v>
      </c>
      <c r="E159" s="13">
        <f>B158/1.6</f>
        <v>239937.5</v>
      </c>
    </row>
    <row r="160">
      <c r="D160" s="8" t="s">
        <v>65</v>
      </c>
      <c r="E160" s="13">
        <f>B158/2.5</f>
        <v>153560</v>
      </c>
    </row>
    <row r="161">
      <c r="E161" s="8" t="s">
        <v>68</v>
      </c>
      <c r="F161" s="8" t="s">
        <v>69</v>
      </c>
    </row>
    <row r="162">
      <c r="E162" s="8" t="s">
        <v>612</v>
      </c>
      <c r="F162" s="8" t="s">
        <v>612</v>
      </c>
    </row>
    <row r="163">
      <c r="D163" s="8" t="s">
        <v>71</v>
      </c>
      <c r="E163" s="13">
        <f>E159*165</f>
        <v>39589687.5</v>
      </c>
      <c r="F163" s="12">
        <f t="shared" ref="F163:F164" si="14">E163/1000</f>
        <v>39589.6875</v>
      </c>
    </row>
    <row r="164">
      <c r="D164" s="8" t="s">
        <v>73</v>
      </c>
      <c r="E164" s="13">
        <f>E160*400</f>
        <v>61424000</v>
      </c>
      <c r="F164" s="12">
        <f t="shared" si="14"/>
        <v>61424</v>
      </c>
    </row>
    <row r="165">
      <c r="F165" s="12"/>
    </row>
  </sheetData>
  <hyperlinks>
    <hyperlink r:id="rId1" ref="A4"/>
    <hyperlink r:id="rId2" ref="A6"/>
    <hyperlink r:id="rId3" ref="A30"/>
    <hyperlink r:id="rId4" ref="A40"/>
    <hyperlink r:id="rId5" ref="A53"/>
    <hyperlink r:id="rId6" ref="A64"/>
    <hyperlink r:id="rId7" ref="A73"/>
    <hyperlink r:id="rId8" ref="A79"/>
    <hyperlink r:id="rId9" ref="A92"/>
    <hyperlink r:id="rId10" ref="A113"/>
    <hyperlink r:id="rId11" ref="A141"/>
  </hyperlinks>
  <drawing r:id="rId12"/>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2" max="2" width="90.71"/>
    <col customWidth="1" min="3" max="3" width="50.57"/>
    <col customWidth="1" min="4" max="4" width="29.57"/>
    <col customWidth="1" min="5" max="5" width="26.29"/>
  </cols>
  <sheetData>
    <row r="1">
      <c r="A1" s="1" t="s">
        <v>0</v>
      </c>
      <c r="B1" s="3" t="s">
        <v>613</v>
      </c>
      <c r="C1" s="3" t="s">
        <v>614</v>
      </c>
      <c r="D1" s="1"/>
      <c r="E1" s="1"/>
    </row>
    <row r="2">
      <c r="A2" s="3" t="s">
        <v>6</v>
      </c>
      <c r="B2" s="27" t="s">
        <v>615</v>
      </c>
      <c r="C2" s="2"/>
      <c r="D2" s="59"/>
    </row>
    <row r="3">
      <c r="A3" s="3" t="s">
        <v>12</v>
      </c>
      <c r="B3" s="60" t="s">
        <v>616</v>
      </c>
      <c r="C3" s="60" t="s">
        <v>617</v>
      </c>
      <c r="D3" s="59"/>
    </row>
    <row r="4">
      <c r="A4" s="3" t="s">
        <v>274</v>
      </c>
      <c r="B4" s="3" t="s">
        <v>618</v>
      </c>
      <c r="C4" s="1"/>
      <c r="D4" s="59"/>
    </row>
    <row r="5">
      <c r="A5" s="3" t="s">
        <v>16</v>
      </c>
      <c r="B5" s="60" t="s">
        <v>619</v>
      </c>
      <c r="C5" s="60" t="s">
        <v>620</v>
      </c>
      <c r="D5" s="60"/>
      <c r="E5" s="3"/>
    </row>
    <row r="6">
      <c r="A6" s="3" t="s">
        <v>276</v>
      </c>
      <c r="B6" s="3" t="s">
        <v>621</v>
      </c>
      <c r="C6" s="1"/>
      <c r="E6" s="1"/>
    </row>
    <row r="7">
      <c r="A7" s="3" t="s">
        <v>33</v>
      </c>
      <c r="B7" s="60" t="s">
        <v>622</v>
      </c>
      <c r="C7" s="60" t="s">
        <v>623</v>
      </c>
      <c r="D7" s="1"/>
      <c r="E7" s="1"/>
    </row>
    <row r="8">
      <c r="A8" s="8" t="s">
        <v>38</v>
      </c>
      <c r="B8" s="8" t="s">
        <v>624</v>
      </c>
      <c r="C8" s="2"/>
      <c r="D8" s="1"/>
      <c r="E8" s="2"/>
    </row>
    <row r="9">
      <c r="B9" s="61"/>
      <c r="C9" s="2"/>
      <c r="D9" s="2"/>
      <c r="E9" s="2"/>
    </row>
    <row r="10">
      <c r="B10" s="2"/>
      <c r="C10" s="2"/>
      <c r="D10" s="2"/>
      <c r="E10" s="2"/>
    </row>
    <row r="11">
      <c r="B11" s="2"/>
      <c r="C11" s="2"/>
      <c r="D11" s="2"/>
      <c r="E11" s="2"/>
    </row>
    <row r="12">
      <c r="B12" s="2"/>
      <c r="C12" s="2"/>
      <c r="D12" s="2"/>
      <c r="E12" s="2"/>
    </row>
    <row r="13">
      <c r="A13" s="1"/>
      <c r="B13" s="1"/>
      <c r="C13" s="2"/>
      <c r="D13" s="1"/>
      <c r="E13" s="2"/>
    </row>
    <row r="14">
      <c r="A14" s="1"/>
      <c r="B14" s="2"/>
      <c r="C14" s="2"/>
      <c r="D14" s="2"/>
      <c r="E14" s="2"/>
    </row>
    <row r="15">
      <c r="A15" s="1"/>
      <c r="B15" s="1"/>
      <c r="C15" s="1"/>
      <c r="D15" s="1"/>
      <c r="E15" s="1"/>
    </row>
    <row r="16">
      <c r="A16" s="1"/>
      <c r="B16" s="2"/>
      <c r="C16" s="2"/>
      <c r="D16" s="2"/>
      <c r="E16" s="2"/>
    </row>
    <row r="17">
      <c r="A17" s="1"/>
      <c r="B17" s="1"/>
      <c r="C17" s="1"/>
      <c r="D17" s="1"/>
      <c r="E17" s="1"/>
    </row>
    <row r="18">
      <c r="A18" s="1"/>
      <c r="B18" s="2"/>
      <c r="C18" s="2"/>
      <c r="D18" s="2"/>
      <c r="E18" s="2"/>
    </row>
    <row r="20">
      <c r="A20" s="3"/>
    </row>
  </sheetData>
  <drawing r:id="rId1"/>
</worksheet>
</file>