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9885" windowHeight="7035" activeTab="3"/>
  </bookViews>
  <sheets>
    <sheet name="Sheet1" sheetId="1" r:id="rId1"/>
    <sheet name="Sheet2" sheetId="2" r:id="rId2"/>
    <sheet name="Sheet3" sheetId="3" r:id="rId3"/>
    <sheet name="Sheet1 (2)" sheetId="4" r:id="rId4"/>
  </sheets>
  <calcPr calcId="145621"/>
</workbook>
</file>

<file path=xl/calcChain.xml><?xml version="1.0" encoding="utf-8"?>
<calcChain xmlns="http://schemas.openxmlformats.org/spreadsheetml/2006/main">
  <c r="K11" i="4" l="1"/>
  <c r="K12" i="4"/>
  <c r="K13" i="4"/>
  <c r="K14" i="4"/>
  <c r="K15" i="4"/>
  <c r="K16" i="4"/>
  <c r="K17" i="4"/>
  <c r="K18" i="4"/>
  <c r="K19" i="4"/>
  <c r="K20" i="4"/>
  <c r="K10" i="4"/>
  <c r="F21" i="4"/>
  <c r="T20" i="4"/>
  <c r="L20" i="4"/>
  <c r="J20" i="4"/>
  <c r="T19" i="4"/>
  <c r="L19" i="4"/>
  <c r="J19" i="4"/>
  <c r="T18" i="4"/>
  <c r="L18" i="4"/>
  <c r="J18" i="4"/>
  <c r="L17" i="4"/>
  <c r="J17" i="4"/>
  <c r="L16" i="4"/>
  <c r="J16" i="4"/>
  <c r="L14" i="4"/>
  <c r="J14" i="4"/>
  <c r="L13" i="4"/>
  <c r="J13" i="4"/>
  <c r="F13" i="4"/>
  <c r="L12" i="4"/>
  <c r="J12" i="4"/>
  <c r="L11" i="4"/>
  <c r="J11" i="4"/>
  <c r="L10" i="4"/>
  <c r="J10" i="4"/>
  <c r="J21" i="1" l="1"/>
  <c r="J20" i="1"/>
  <c r="J19" i="1"/>
  <c r="J18" i="1"/>
  <c r="J17" i="1"/>
  <c r="J14" i="1"/>
  <c r="J13" i="1"/>
  <c r="J12" i="1"/>
  <c r="J11" i="1"/>
  <c r="J10" i="1"/>
  <c r="F22" i="1" l="1"/>
  <c r="S21" i="1"/>
  <c r="K21" i="1"/>
  <c r="S20" i="1"/>
  <c r="K20" i="1"/>
  <c r="S19" i="1"/>
  <c r="K19" i="1"/>
  <c r="K18" i="1"/>
  <c r="K17" i="1"/>
  <c r="K14" i="1"/>
  <c r="K13" i="1"/>
  <c r="F13" i="1"/>
  <c r="K12" i="1"/>
  <c r="K11" i="1"/>
  <c r="K10" i="1"/>
</calcChain>
</file>

<file path=xl/sharedStrings.xml><?xml version="1.0" encoding="utf-8"?>
<sst xmlns="http://schemas.openxmlformats.org/spreadsheetml/2006/main" count="168" uniqueCount="62">
  <si>
    <t>Steinbruch Schmidt (Germany)**</t>
    <phoneticPr fontId="6" type="noConversion"/>
  </si>
  <si>
    <t>Coumiac (France)**</t>
    <phoneticPr fontId="6" type="noConversion"/>
  </si>
  <si>
    <t>Xikuangshan (China)</t>
    <phoneticPr fontId="6" type="noConversion"/>
  </si>
  <si>
    <t>Appalachian basin (USA)*</t>
    <phoneticPr fontId="6" type="noConversion"/>
  </si>
  <si>
    <t>Height (m)</t>
    <phoneticPr fontId="6" type="noConversion"/>
  </si>
  <si>
    <t>P (ppm)</t>
    <phoneticPr fontId="6" type="noConversion"/>
  </si>
  <si>
    <t>TOC/P</t>
    <phoneticPr fontId="6" type="noConversion"/>
  </si>
  <si>
    <t>Original depth</t>
    <phoneticPr fontId="6" type="noConversion"/>
  </si>
  <si>
    <t>L triang</t>
    <phoneticPr fontId="6" type="noConversion"/>
  </si>
  <si>
    <t>L triangle</t>
    <phoneticPr fontId="6" type="noConversion"/>
  </si>
  <si>
    <t>SCH 102</t>
  </si>
  <si>
    <t>L triangle</t>
    <phoneticPr fontId="6" type="noConversion"/>
  </si>
  <si>
    <t>M triang</t>
    <phoneticPr fontId="6" type="noConversion"/>
  </si>
  <si>
    <t>CM36</t>
  </si>
  <si>
    <t>SCH 101</t>
  </si>
  <si>
    <t>L triangle</t>
    <phoneticPr fontId="6" type="noConversion"/>
  </si>
  <si>
    <t>CM35</t>
  </si>
  <si>
    <t>SCH 100</t>
  </si>
  <si>
    <t>L triangle</t>
    <phoneticPr fontId="6" type="noConversion"/>
  </si>
  <si>
    <t>CM34</t>
  </si>
  <si>
    <t>SCH U7</t>
  </si>
  <si>
    <t>FFB</t>
    <phoneticPr fontId="6" type="noConversion"/>
  </si>
  <si>
    <t>UKH 9.1-9.2m</t>
  </si>
  <si>
    <t>CM32a</t>
  </si>
  <si>
    <t>PPB</t>
    <phoneticPr fontId="6" type="noConversion"/>
  </si>
  <si>
    <t>SCH U6</t>
  </si>
  <si>
    <t>FFB/</t>
    <phoneticPr fontId="6" type="noConversion"/>
  </si>
  <si>
    <t>CM31g</t>
  </si>
  <si>
    <t>SCH U5</t>
  </si>
  <si>
    <t>UKH</t>
    <phoneticPr fontId="6" type="noConversion"/>
  </si>
  <si>
    <t>SCH U4</t>
  </si>
  <si>
    <t>UKH</t>
    <phoneticPr fontId="6" type="noConversion"/>
  </si>
  <si>
    <t>SCH U3 TOP</t>
  </si>
  <si>
    <t>Pre-UKH/</t>
  </si>
  <si>
    <t>CM31f</t>
  </si>
  <si>
    <t>SCH U3 BASE</t>
  </si>
  <si>
    <t>ling.</t>
  </si>
  <si>
    <t>CM31c</t>
  </si>
  <si>
    <t>Pre-UKH/</t>
    <phoneticPr fontId="6" type="noConversion"/>
  </si>
  <si>
    <t>SCH U1</t>
  </si>
  <si>
    <t>CM30</t>
  </si>
  <si>
    <t>ling.</t>
    <phoneticPr fontId="6" type="noConversion"/>
  </si>
  <si>
    <t>SCH 56</t>
  </si>
  <si>
    <t>SCH 54</t>
  </si>
  <si>
    <t>SCH 51</t>
  </si>
  <si>
    <t xml:space="preserve">         3)  All P contents were meaured using XRF.</t>
    <phoneticPr fontId="2" type="noConversion"/>
  </si>
  <si>
    <t>Sample</t>
    <phoneticPr fontId="2" type="noConversion"/>
  </si>
  <si>
    <t>Original height (m)</t>
    <phoneticPr fontId="2" type="noConversion"/>
  </si>
  <si>
    <t>P (ppm)</t>
    <phoneticPr fontId="2" type="noConversion"/>
  </si>
  <si>
    <t>TOC/P</t>
    <phoneticPr fontId="2" type="noConversion"/>
  </si>
  <si>
    <t>Conodont zone</t>
  </si>
  <si>
    <t>Conodont zone</t>
    <phoneticPr fontId="6" type="noConversion"/>
  </si>
  <si>
    <t xml:space="preserve">Table S2 Phosphorus contents, TOC/P ratios and ages of FFB sediments from worldwide basins </t>
    <phoneticPr fontId="6" type="noConversion"/>
  </si>
  <si>
    <t>Age (Ma)</t>
    <phoneticPr fontId="6" type="noConversion"/>
  </si>
  <si>
    <t xml:space="preserve">         2)  Original height or depth is corrected as height relative to Xikuanshan section according to conodont zones.</t>
    <phoneticPr fontId="6" type="noConversion"/>
  </si>
  <si>
    <t>Note: 1) * from Sageman et al. (2003) and P contents are enlarged for 5 times;** from Percival et al.(2020).</t>
    <phoneticPr fontId="6" type="noConversion"/>
  </si>
  <si>
    <t>Age(Ma)</t>
    <phoneticPr fontId="2" type="noConversion"/>
  </si>
  <si>
    <t>P*5(ppm)</t>
    <phoneticPr fontId="2" type="noConversion"/>
  </si>
  <si>
    <t>Appalachian basin (USA)*</t>
    <phoneticPr fontId="6" type="noConversion"/>
  </si>
  <si>
    <t>Coumiac (France)**</t>
    <phoneticPr fontId="6" type="noConversion"/>
  </si>
  <si>
    <t>FFV**</t>
    <phoneticPr fontId="6" type="noConversion"/>
  </si>
  <si>
    <t>Note: 1) * from Sageman et al. (2003);** from Percival et al.(2020).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</si>
</sst>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4" x14ac:knownFonts="1">
    <font>
      <sz val="11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0.5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3" fillId="2" borderId="0" xfId="0" applyFont="1" applyFill="1" applyAlignment="1"/>
    <xf numFmtId="11" fontId="1" fillId="2" borderId="0" xfId="0" applyNumberFormat="1" applyFont="1" applyFill="1" applyBorder="1" applyAlignment="1"/>
    <xf numFmtId="0" fontId="1" fillId="3" borderId="0" xfId="0" applyFont="1" applyFill="1" applyAlignment="1"/>
    <xf numFmtId="0" fontId="1" fillId="2" borderId="3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11" fontId="1" fillId="3" borderId="0" xfId="0" applyNumberFormat="1" applyFont="1" applyFill="1" applyBorder="1" applyAlignment="1"/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2" fontId="3" fillId="3" borderId="0" xfId="0" applyNumberFormat="1" applyFont="1" applyFill="1" applyAlignment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/>
    <xf numFmtId="0" fontId="1" fillId="3" borderId="6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4" xfId="0" applyFont="1" applyFill="1" applyBorder="1" applyAlignment="1"/>
    <xf numFmtId="0" fontId="1" fillId="3" borderId="7" xfId="0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4" borderId="0" xfId="0" applyFont="1" applyFill="1" applyAlignment="1"/>
    <xf numFmtId="0" fontId="9" fillId="4" borderId="0" xfId="0" applyFont="1" applyFill="1" applyAlignment="1">
      <alignment horizontal="center" vertical="center"/>
    </xf>
    <xf numFmtId="11" fontId="3" fillId="4" borderId="0" xfId="0" applyNumberFormat="1" applyFont="1" applyFill="1" applyBorder="1" applyAlignment="1"/>
    <xf numFmtId="0" fontId="3" fillId="4" borderId="5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" fontId="3" fillId="4" borderId="7" xfId="0" applyNumberFormat="1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  <xf numFmtId="11" fontId="3" fillId="4" borderId="0" xfId="0" applyNumberFormat="1" applyFont="1" applyFill="1" applyAlignment="1"/>
    <xf numFmtId="0" fontId="3" fillId="4" borderId="6" xfId="0" applyFont="1" applyFill="1" applyBorder="1" applyAlignment="1">
      <alignment horizontal="center"/>
    </xf>
    <xf numFmtId="0" fontId="11" fillId="4" borderId="0" xfId="0" applyFont="1" applyFill="1" applyAlignment="1"/>
    <xf numFmtId="0" fontId="3" fillId="4" borderId="3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2" fontId="11" fillId="4" borderId="0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 applyAlignment="1"/>
    <xf numFmtId="2" fontId="3" fillId="4" borderId="0" xfId="0" applyNumberFormat="1" applyFont="1" applyFill="1" applyBorder="1" applyAlignment="1">
      <alignment horizontal="center"/>
    </xf>
    <xf numFmtId="0" fontId="1" fillId="5" borderId="0" xfId="0" applyFont="1" applyFill="1" applyAlignment="1"/>
    <xf numFmtId="0" fontId="9" fillId="5" borderId="0" xfId="0" applyFont="1" applyFill="1" applyAlignment="1">
      <alignment horizontal="center" vertical="center"/>
    </xf>
    <xf numFmtId="11" fontId="1" fillId="5" borderId="0" xfId="0" applyNumberFormat="1" applyFont="1" applyFill="1" applyBorder="1" applyAlignment="1"/>
    <xf numFmtId="0" fontId="1" fillId="5" borderId="0" xfId="0" applyNumberFormat="1" applyFont="1" applyFill="1" applyAlignment="1"/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" fontId="3" fillId="5" borderId="7" xfId="0" applyNumberFormat="1" applyFont="1" applyFill="1" applyBorder="1" applyAlignment="1">
      <alignment horizontal="center"/>
    </xf>
    <xf numFmtId="2" fontId="3" fillId="5" borderId="6" xfId="0" applyNumberFormat="1" applyFont="1" applyFill="1" applyBorder="1" applyAlignment="1">
      <alignment horizontal="center"/>
    </xf>
    <xf numFmtId="2" fontId="3" fillId="5" borderId="0" xfId="0" applyNumberFormat="1" applyFont="1" applyFill="1" applyBorder="1" applyAlignment="1">
      <alignment horizontal="center"/>
    </xf>
    <xf numFmtId="11" fontId="1" fillId="5" borderId="0" xfId="0" applyNumberFormat="1" applyFont="1" applyFill="1" applyAlignment="1"/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8" fillId="5" borderId="0" xfId="0" applyFont="1" applyFill="1" applyAlignment="1"/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/>
    </xf>
    <xf numFmtId="0" fontId="12" fillId="5" borderId="0" xfId="0" applyFont="1" applyFill="1" applyAlignment="1"/>
    <xf numFmtId="0" fontId="1" fillId="5" borderId="7" xfId="0" applyFont="1" applyFill="1" applyBorder="1" applyAlignment="1">
      <alignment horizontal="center"/>
    </xf>
    <xf numFmtId="1" fontId="1" fillId="5" borderId="7" xfId="0" applyNumberFormat="1" applyFont="1" applyFill="1" applyBorder="1" applyAlignment="1">
      <alignment horizontal="center"/>
    </xf>
    <xf numFmtId="2" fontId="1" fillId="5" borderId="6" xfId="0" applyNumberFormat="1" applyFont="1" applyFill="1" applyBorder="1" applyAlignment="1">
      <alignment horizontal="center"/>
    </xf>
    <xf numFmtId="11" fontId="3" fillId="5" borderId="0" xfId="0" applyNumberFormat="1" applyFont="1" applyFill="1" applyAlignmen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" fillId="0" borderId="0" xfId="0" applyFont="1" applyFill="1" applyAlignment="1"/>
    <xf numFmtId="2" fontId="3" fillId="6" borderId="0" xfId="0" applyNumberFormat="1" applyFont="1" applyFill="1" applyBorder="1" applyAlignment="1">
      <alignment horizontal="center"/>
    </xf>
    <xf numFmtId="0" fontId="5" fillId="6" borderId="0" xfId="0" applyFont="1" applyFill="1" applyAlignment="1"/>
    <xf numFmtId="0" fontId="3" fillId="6" borderId="0" xfId="0" applyFont="1" applyFill="1" applyAlignment="1"/>
    <xf numFmtId="0" fontId="1" fillId="6" borderId="0" xfId="0" applyFont="1" applyFill="1" applyAlignment="1"/>
    <xf numFmtId="0" fontId="4" fillId="6" borderId="0" xfId="0" applyFont="1" applyFill="1" applyBorder="1" applyAlignment="1">
      <alignment horizontal="center"/>
    </xf>
    <xf numFmtId="11" fontId="1" fillId="6" borderId="0" xfId="0" applyNumberFormat="1" applyFont="1" applyFill="1" applyBorder="1" applyAlignme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4" xfId="0" applyFont="1" applyFill="1" applyBorder="1" applyAlignment="1"/>
    <xf numFmtId="0" fontId="13" fillId="0" borderId="0" xfId="0" applyFont="1">
      <alignment vertic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176" fontId="1" fillId="3" borderId="0" xfId="0" applyNumberFormat="1" applyFont="1" applyFill="1" applyBorder="1" applyAlignment="1"/>
    <xf numFmtId="176" fontId="3" fillId="4" borderId="0" xfId="0" applyNumberFormat="1" applyFont="1" applyFill="1" applyBorder="1" applyAlignment="1"/>
    <xf numFmtId="176" fontId="9" fillId="4" borderId="0" xfId="0" applyNumberFormat="1" applyFont="1" applyFill="1" applyAlignment="1">
      <alignment horizontal="center" vertical="center"/>
    </xf>
    <xf numFmtId="176" fontId="1" fillId="5" borderId="0" xfId="0" applyNumberFormat="1" applyFont="1" applyFill="1" applyBorder="1" applyAlignment="1"/>
    <xf numFmtId="176" fontId="9" fillId="4" borderId="0" xfId="0" applyNumberFormat="1" applyFont="1" applyFill="1" applyAlignment="1">
      <alignment horizontal="right" vertical="center"/>
    </xf>
    <xf numFmtId="176" fontId="1" fillId="6" borderId="0" xfId="0" applyNumberFormat="1" applyFont="1" applyFill="1" applyBorder="1" applyAlignment="1"/>
    <xf numFmtId="176" fontId="1" fillId="2" borderId="0" xfId="0" applyNumberFormat="1" applyFont="1" applyFill="1" applyAlignment="1"/>
    <xf numFmtId="2" fontId="3" fillId="3" borderId="0" xfId="0" applyNumberFormat="1" applyFont="1" applyFill="1" applyAlignment="1">
      <alignment horizontal="right"/>
    </xf>
    <xf numFmtId="2" fontId="3" fillId="3" borderId="0" xfId="0" applyNumberFormat="1" applyFont="1" applyFill="1" applyBorder="1" applyAlignment="1">
      <alignment horizontal="right"/>
    </xf>
    <xf numFmtId="2" fontId="11" fillId="4" borderId="0" xfId="0" applyNumberFormat="1" applyFont="1" applyFill="1" applyBorder="1" applyAlignment="1">
      <alignment horizontal="right"/>
    </xf>
    <xf numFmtId="2" fontId="3" fillId="4" borderId="0" xfId="0" applyNumberFormat="1" applyFont="1" applyFill="1" applyBorder="1" applyAlignment="1">
      <alignment horizontal="right"/>
    </xf>
    <xf numFmtId="2" fontId="3" fillId="5" borderId="0" xfId="0" applyNumberFormat="1" applyFont="1" applyFill="1" applyBorder="1" applyAlignment="1">
      <alignment horizontal="right"/>
    </xf>
    <xf numFmtId="0" fontId="13" fillId="4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"/>
  <sheetViews>
    <sheetView workbookViewId="0">
      <selection activeCell="C29" sqref="C29"/>
    </sheetView>
  </sheetViews>
  <sheetFormatPr defaultColWidth="8.875" defaultRowHeight="15.75" x14ac:dyDescent="0.25"/>
  <cols>
    <col min="1" max="2" width="8.875" style="1"/>
    <col min="3" max="3" width="11.875" style="1" customWidth="1"/>
    <col min="4" max="6" width="9.875" style="1" bestFit="1" customWidth="1"/>
    <col min="7" max="7" width="9.875" style="1" customWidth="1"/>
    <col min="8" max="8" width="8.875" style="1"/>
    <col min="9" max="9" width="13.5" style="1" customWidth="1"/>
    <col min="10" max="11" width="9.875" style="1" bestFit="1" customWidth="1"/>
    <col min="12" max="12" width="10.25" style="2" bestFit="1" customWidth="1"/>
    <col min="13" max="13" width="10.25" style="2" customWidth="1"/>
    <col min="14" max="14" width="15.125" style="1" customWidth="1"/>
    <col min="15" max="15" width="8.875" style="1"/>
    <col min="16" max="16" width="17.375" style="1" customWidth="1"/>
    <col min="17" max="18" width="9.875" style="1" bestFit="1" customWidth="1"/>
    <col min="19" max="19" width="9.875" style="8" bestFit="1" customWidth="1"/>
    <col min="20" max="20" width="9.875" style="8" customWidth="1"/>
    <col min="21" max="21" width="8.875" style="1"/>
    <col min="22" max="22" width="12.25" style="1" customWidth="1"/>
    <col min="23" max="23" width="17.625" style="1" customWidth="1"/>
    <col min="24" max="24" width="9.875" style="1" bestFit="1" customWidth="1"/>
    <col min="25" max="25" width="10.25" style="1" customWidth="1"/>
    <col min="26" max="16384" width="8.875" style="1"/>
  </cols>
  <sheetData>
    <row r="1" spans="1:41" x14ac:dyDescent="0.25">
      <c r="S1" s="3"/>
      <c r="T1" s="3"/>
    </row>
    <row r="2" spans="1:41" ht="18.75" x14ac:dyDescent="0.3">
      <c r="A2" s="6" t="s">
        <v>52</v>
      </c>
      <c r="L2" s="4"/>
      <c r="M2" s="4"/>
      <c r="S2" s="5"/>
      <c r="T2" s="5"/>
    </row>
    <row r="3" spans="1:41" x14ac:dyDescent="0.25">
      <c r="B3" s="87"/>
      <c r="F3" s="87"/>
      <c r="G3" s="87"/>
      <c r="L3" s="88"/>
      <c r="M3" s="88"/>
      <c r="S3" s="86"/>
      <c r="T3" s="86"/>
      <c r="U3" s="5"/>
    </row>
    <row r="4" spans="1:41" ht="20.25" x14ac:dyDescent="0.3">
      <c r="A4" s="85" t="s">
        <v>2</v>
      </c>
      <c r="F4" s="85" t="s">
        <v>3</v>
      </c>
      <c r="G4" s="85"/>
      <c r="L4" s="85" t="s">
        <v>1</v>
      </c>
      <c r="M4" s="85"/>
      <c r="O4" s="7"/>
      <c r="S4" s="85" t="s">
        <v>0</v>
      </c>
      <c r="T4" s="85"/>
    </row>
    <row r="5" spans="1:41" x14ac:dyDescent="0.25">
      <c r="A5" s="1" t="s">
        <v>51</v>
      </c>
      <c r="B5" s="1" t="s">
        <v>53</v>
      </c>
      <c r="C5" s="1" t="s">
        <v>4</v>
      </c>
      <c r="D5" s="1" t="s">
        <v>5</v>
      </c>
      <c r="E5" s="1" t="s">
        <v>6</v>
      </c>
      <c r="F5" s="1" t="s">
        <v>4</v>
      </c>
      <c r="G5" s="1" t="s">
        <v>56</v>
      </c>
      <c r="H5" s="1" t="s">
        <v>50</v>
      </c>
      <c r="I5" s="1" t="s">
        <v>7</v>
      </c>
      <c r="J5" s="1" t="s">
        <v>5</v>
      </c>
      <c r="K5" s="1" t="s">
        <v>6</v>
      </c>
      <c r="L5" s="2" t="s">
        <v>4</v>
      </c>
      <c r="M5" s="1" t="s">
        <v>56</v>
      </c>
      <c r="N5" s="1" t="s">
        <v>50</v>
      </c>
      <c r="O5" s="11" t="s">
        <v>46</v>
      </c>
      <c r="P5" s="90" t="s">
        <v>47</v>
      </c>
      <c r="Q5" s="91" t="s">
        <v>48</v>
      </c>
      <c r="R5" s="92" t="s">
        <v>49</v>
      </c>
      <c r="S5" s="2" t="s">
        <v>4</v>
      </c>
      <c r="T5" s="1" t="s">
        <v>56</v>
      </c>
      <c r="U5" s="11" t="s">
        <v>50</v>
      </c>
      <c r="V5" s="11" t="s">
        <v>46</v>
      </c>
      <c r="W5" s="90" t="s">
        <v>47</v>
      </c>
      <c r="X5" s="91" t="s">
        <v>48</v>
      </c>
      <c r="Y5" s="92" t="s">
        <v>49</v>
      </c>
    </row>
    <row r="6" spans="1:41" x14ac:dyDescent="0.25">
      <c r="A6" s="10"/>
      <c r="B6" s="10">
        <v>371.92</v>
      </c>
      <c r="C6" s="94">
        <v>5.98</v>
      </c>
      <c r="D6" s="10"/>
      <c r="E6" s="10"/>
      <c r="F6" s="95"/>
      <c r="G6" s="95"/>
      <c r="L6" s="89"/>
      <c r="M6" s="89"/>
      <c r="O6" s="7"/>
      <c r="S6" s="84"/>
      <c r="T6" s="84"/>
    </row>
    <row r="7" spans="1:41" x14ac:dyDescent="0.25">
      <c r="A7" s="10"/>
      <c r="B7" s="10">
        <v>371.93</v>
      </c>
      <c r="C7" s="94">
        <v>5.74</v>
      </c>
      <c r="D7" s="10"/>
      <c r="E7" s="10"/>
      <c r="F7" s="96"/>
      <c r="G7" s="96"/>
    </row>
    <row r="8" spans="1:41" s="10" customFormat="1" ht="16.5" thickBot="1" x14ac:dyDescent="0.3">
      <c r="A8" s="10" t="s">
        <v>8</v>
      </c>
      <c r="B8" s="10">
        <v>371.95</v>
      </c>
      <c r="C8" s="12">
        <v>5.46</v>
      </c>
      <c r="D8" s="10">
        <v>148.68</v>
      </c>
      <c r="E8" s="10">
        <v>10.088781275222001</v>
      </c>
      <c r="F8" s="97"/>
      <c r="G8" s="97"/>
      <c r="L8" s="13"/>
      <c r="M8" s="13"/>
      <c r="O8" s="14"/>
      <c r="P8" s="15"/>
      <c r="Q8" s="16"/>
      <c r="R8" s="17"/>
      <c r="S8" s="18">
        <v>5.85</v>
      </c>
      <c r="T8" s="18"/>
      <c r="U8" s="10" t="s">
        <v>9</v>
      </c>
      <c r="V8" s="19" t="s">
        <v>10</v>
      </c>
      <c r="W8" s="20">
        <v>3.82</v>
      </c>
      <c r="X8" s="21"/>
      <c r="Y8" s="22"/>
    </row>
    <row r="9" spans="1:41" s="10" customFormat="1" x14ac:dyDescent="0.25">
      <c r="A9" s="10" t="s">
        <v>8</v>
      </c>
      <c r="B9" s="10">
        <v>371.96</v>
      </c>
      <c r="C9" s="12">
        <v>5.2</v>
      </c>
      <c r="D9" s="10">
        <v>113.6</v>
      </c>
      <c r="E9" s="10">
        <v>21.3956859971711</v>
      </c>
      <c r="F9" s="97"/>
      <c r="G9" s="97"/>
      <c r="L9" s="13">
        <v>6.74</v>
      </c>
      <c r="M9" s="13"/>
      <c r="N9" s="10" t="s">
        <v>12</v>
      </c>
      <c r="O9" s="23" t="s">
        <v>13</v>
      </c>
      <c r="P9" s="24">
        <v>14.8</v>
      </c>
      <c r="Q9" s="25">
        <v>453.41166264988516</v>
      </c>
      <c r="R9" s="26">
        <v>2.2749476641580855</v>
      </c>
      <c r="S9" s="18"/>
      <c r="T9" s="18"/>
      <c r="U9" s="10" t="s">
        <v>11</v>
      </c>
      <c r="V9" s="27" t="s">
        <v>14</v>
      </c>
      <c r="W9" s="28">
        <v>3.67</v>
      </c>
      <c r="X9" s="29"/>
      <c r="Y9" s="30"/>
    </row>
    <row r="10" spans="1:41" s="10" customFormat="1" x14ac:dyDescent="0.25">
      <c r="A10" s="10" t="s">
        <v>8</v>
      </c>
      <c r="B10" s="10">
        <v>371.98</v>
      </c>
      <c r="C10" s="12">
        <v>4.87</v>
      </c>
      <c r="D10" s="10">
        <v>451.2</v>
      </c>
      <c r="E10" s="10">
        <v>1.24113475177305</v>
      </c>
      <c r="F10" s="98">
        <v>5</v>
      </c>
      <c r="G10" s="98"/>
      <c r="H10" s="10" t="s">
        <v>11</v>
      </c>
      <c r="I10" s="10">
        <v>235.16</v>
      </c>
      <c r="J10" s="10">
        <f>114</f>
        <v>114</v>
      </c>
      <c r="K10" s="10">
        <f>23.6842105263158/5</f>
        <v>4.7368421052631593</v>
      </c>
      <c r="L10" s="13">
        <v>6.25</v>
      </c>
      <c r="M10" s="13"/>
      <c r="N10" s="10" t="s">
        <v>15</v>
      </c>
      <c r="O10" s="19" t="s">
        <v>16</v>
      </c>
      <c r="P10" s="31">
        <v>13.5</v>
      </c>
      <c r="Q10" s="32">
        <v>409.54725652243212</v>
      </c>
      <c r="R10" s="33">
        <v>6.2965127126354732</v>
      </c>
      <c r="S10" s="34"/>
      <c r="T10" s="34"/>
      <c r="U10" s="10" t="s">
        <v>15</v>
      </c>
      <c r="V10" s="19" t="s">
        <v>17</v>
      </c>
      <c r="W10" s="20">
        <v>3.49</v>
      </c>
      <c r="X10" s="21"/>
      <c r="Y10" s="22"/>
    </row>
    <row r="11" spans="1:41" s="10" customFormat="1" x14ac:dyDescent="0.25">
      <c r="A11" s="10" t="s">
        <v>8</v>
      </c>
      <c r="B11" s="10">
        <v>371.99</v>
      </c>
      <c r="C11" s="12">
        <v>4.63</v>
      </c>
      <c r="D11" s="10">
        <v>267.8</v>
      </c>
      <c r="E11" s="10">
        <v>1.90440627333831</v>
      </c>
      <c r="F11" s="97">
        <v>4.7</v>
      </c>
      <c r="G11" s="97"/>
      <c r="H11" s="10" t="s">
        <v>15</v>
      </c>
      <c r="I11" s="10">
        <v>235.55</v>
      </c>
      <c r="J11" s="10">
        <f>93</f>
        <v>93</v>
      </c>
      <c r="K11" s="10">
        <f>131.182795698925/5</f>
        <v>26.236559139784998</v>
      </c>
      <c r="L11" s="13">
        <v>5.7</v>
      </c>
      <c r="M11" s="13"/>
      <c r="N11" s="10" t="s">
        <v>18</v>
      </c>
      <c r="O11" s="27" t="s">
        <v>19</v>
      </c>
      <c r="P11" s="35">
        <v>12.2</v>
      </c>
      <c r="Q11" s="25">
        <v>215.01715489068062</v>
      </c>
      <c r="R11" s="26">
        <v>8.3951611019161998</v>
      </c>
      <c r="S11" s="34">
        <v>4.5599999999999996</v>
      </c>
      <c r="T11" s="34"/>
      <c r="U11" s="10" t="s">
        <v>18</v>
      </c>
      <c r="V11" s="27" t="s">
        <v>20</v>
      </c>
      <c r="W11" s="28">
        <v>3.35</v>
      </c>
      <c r="X11" s="36">
        <v>1021.6447332468042</v>
      </c>
      <c r="Y11" s="37">
        <v>27.260132383173175</v>
      </c>
    </row>
    <row r="12" spans="1:41" s="38" customFormat="1" x14ac:dyDescent="0.25">
      <c r="A12" s="38" t="s">
        <v>21</v>
      </c>
      <c r="B12" s="38">
        <v>372.02</v>
      </c>
      <c r="C12" s="39">
        <v>4.3899999999999997</v>
      </c>
      <c r="D12" s="38">
        <v>174.54</v>
      </c>
      <c r="E12" s="38">
        <v>24.521599633321902</v>
      </c>
      <c r="F12" s="99">
        <v>4.3949999999999996</v>
      </c>
      <c r="G12" s="99"/>
      <c r="H12" s="38" t="s">
        <v>21</v>
      </c>
      <c r="I12" s="38">
        <v>236</v>
      </c>
      <c r="J12" s="38">
        <f>89</f>
        <v>89</v>
      </c>
      <c r="K12" s="38">
        <f>24.7191011235955/5</f>
        <v>4.9438202247190999</v>
      </c>
      <c r="L12" s="40">
        <v>4.5</v>
      </c>
      <c r="M12" s="40"/>
      <c r="N12" s="38" t="s">
        <v>22</v>
      </c>
      <c r="O12" s="41" t="s">
        <v>23</v>
      </c>
      <c r="P12" s="42">
        <v>9.1999999999999993</v>
      </c>
      <c r="Q12" s="43">
        <v>199.59049355313965</v>
      </c>
      <c r="R12" s="44">
        <v>3.8760155274107397</v>
      </c>
      <c r="S12" s="39">
        <v>4.3949999999999996</v>
      </c>
      <c r="T12" s="39"/>
      <c r="U12" s="45" t="s">
        <v>24</v>
      </c>
      <c r="V12" s="41" t="s">
        <v>25</v>
      </c>
      <c r="W12" s="46">
        <v>3.27</v>
      </c>
      <c r="X12" s="43">
        <v>476.17188593606551</v>
      </c>
      <c r="Y12" s="44">
        <v>29.243820875870554</v>
      </c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s="54" customFormat="1" x14ac:dyDescent="0.25">
      <c r="A13" s="47"/>
      <c r="B13" s="38">
        <v>372.07</v>
      </c>
      <c r="C13" s="39">
        <v>4.18</v>
      </c>
      <c r="D13" s="38">
        <v>247</v>
      </c>
      <c r="E13" s="38">
        <v>9.1093117408906892</v>
      </c>
      <c r="F13" s="100">
        <f>4.395*(243.34-I13)/(243.34-236)</f>
        <v>4.1854291553133542</v>
      </c>
      <c r="G13" s="100"/>
      <c r="H13" s="38"/>
      <c r="I13" s="38">
        <v>236.35</v>
      </c>
      <c r="J13" s="38">
        <f>96</f>
        <v>96</v>
      </c>
      <c r="K13" s="38">
        <f>265.625/5</f>
        <v>53.125</v>
      </c>
      <c r="L13" s="39">
        <v>4.3949999999999996</v>
      </c>
      <c r="M13" s="39"/>
      <c r="N13" s="38" t="s">
        <v>26</v>
      </c>
      <c r="O13" s="48" t="s">
        <v>27</v>
      </c>
      <c r="P13" s="49">
        <v>9.1</v>
      </c>
      <c r="Q13" s="50">
        <v>222.63825786275319</v>
      </c>
      <c r="R13" s="51">
        <v>33.589404814933538</v>
      </c>
      <c r="S13" s="52">
        <v>4.01</v>
      </c>
      <c r="T13" s="52"/>
      <c r="U13" s="45"/>
      <c r="V13" s="48" t="s">
        <v>28</v>
      </c>
      <c r="W13" s="53">
        <v>3.16</v>
      </c>
      <c r="X13" s="50">
        <v>1329.6186205525826</v>
      </c>
      <c r="Y13" s="51">
        <v>21.333872841307304</v>
      </c>
    </row>
    <row r="14" spans="1:41" s="54" customFormat="1" x14ac:dyDescent="0.25">
      <c r="A14" s="38"/>
      <c r="B14" s="38">
        <v>372.1</v>
      </c>
      <c r="C14" s="39">
        <v>4.0599999999999996</v>
      </c>
      <c r="D14" s="38">
        <v>195</v>
      </c>
      <c r="E14" s="38">
        <v>44.815916316275299</v>
      </c>
      <c r="F14" s="100">
        <v>3.6</v>
      </c>
      <c r="G14" s="100"/>
      <c r="H14" s="38" t="s">
        <v>29</v>
      </c>
      <c r="I14" s="38">
        <v>236.65</v>
      </c>
      <c r="J14" s="38">
        <f>124</f>
        <v>124</v>
      </c>
      <c r="K14" s="38">
        <f>241.935483870968/5</f>
        <v>48.387096774193601</v>
      </c>
      <c r="L14" s="39"/>
      <c r="M14" s="39"/>
      <c r="N14" s="38"/>
      <c r="O14" s="48"/>
      <c r="P14" s="49"/>
      <c r="Q14" s="50"/>
      <c r="R14" s="51"/>
      <c r="S14" s="55">
        <v>3.73</v>
      </c>
      <c r="T14" s="55"/>
      <c r="U14" s="45"/>
      <c r="V14" s="41" t="s">
        <v>30</v>
      </c>
      <c r="W14" s="46">
        <v>3.08</v>
      </c>
      <c r="X14" s="43">
        <v>284.00634614752079</v>
      </c>
      <c r="Y14" s="44">
        <v>39.043120095808597</v>
      </c>
    </row>
    <row r="15" spans="1:41" s="54" customFormat="1" x14ac:dyDescent="0.25">
      <c r="A15" s="38"/>
      <c r="B15" s="93">
        <v>372.14</v>
      </c>
      <c r="C15" s="39">
        <v>3.84</v>
      </c>
      <c r="D15" s="38">
        <v>400</v>
      </c>
      <c r="E15" s="38">
        <v>22.7977004538578</v>
      </c>
      <c r="F15" s="100"/>
      <c r="G15" s="100"/>
      <c r="H15" s="38"/>
      <c r="I15" s="38"/>
      <c r="J15" s="38"/>
      <c r="K15" s="38"/>
      <c r="L15" s="39"/>
      <c r="M15" s="39"/>
      <c r="N15" s="38"/>
      <c r="O15" s="48"/>
      <c r="P15" s="49"/>
      <c r="Q15" s="50"/>
      <c r="R15" s="51"/>
      <c r="S15" s="39">
        <v>3.5849999999999991</v>
      </c>
      <c r="T15" s="39"/>
      <c r="U15" s="45" t="s">
        <v>31</v>
      </c>
      <c r="V15" s="48" t="s">
        <v>32</v>
      </c>
      <c r="W15" s="53">
        <v>3.02</v>
      </c>
      <c r="X15" s="50">
        <v>929.6463650279278</v>
      </c>
      <c r="Y15" s="51">
        <v>81.274433376934141</v>
      </c>
    </row>
    <row r="16" spans="1:41" s="54" customFormat="1" x14ac:dyDescent="0.25">
      <c r="A16" s="38" t="s">
        <v>29</v>
      </c>
      <c r="B16" s="93">
        <v>372.2</v>
      </c>
      <c r="C16" s="39">
        <v>3.58</v>
      </c>
      <c r="D16" s="38"/>
      <c r="E16" s="38"/>
      <c r="F16" s="100"/>
      <c r="G16" s="100"/>
      <c r="H16" s="38"/>
      <c r="I16" s="38"/>
      <c r="J16" s="38"/>
      <c r="K16" s="38"/>
      <c r="L16" s="39"/>
      <c r="M16" s="39"/>
      <c r="N16" s="38"/>
      <c r="O16" s="48"/>
      <c r="P16" s="49"/>
      <c r="Q16" s="50"/>
      <c r="R16" s="51"/>
      <c r="S16" s="39"/>
      <c r="T16" s="39"/>
      <c r="U16" s="45"/>
      <c r="V16" s="48"/>
      <c r="W16" s="53"/>
      <c r="X16" s="50"/>
      <c r="Y16" s="51"/>
    </row>
    <row r="17" spans="1:25" x14ac:dyDescent="0.25">
      <c r="A17" s="56" t="s">
        <v>29</v>
      </c>
      <c r="B17" s="93">
        <v>372.21</v>
      </c>
      <c r="C17" s="57">
        <v>3.41</v>
      </c>
      <c r="D17" s="56">
        <v>470.9</v>
      </c>
      <c r="E17" s="56">
        <v>13.4293369055593</v>
      </c>
      <c r="F17" s="101">
        <v>3.4</v>
      </c>
      <c r="G17" s="101"/>
      <c r="H17" s="56"/>
      <c r="I17" s="56">
        <v>236.98</v>
      </c>
      <c r="J17" s="56">
        <f>84</f>
        <v>84</v>
      </c>
      <c r="K17" s="56">
        <f>386.904761904762/5</f>
        <v>77.380952380952394</v>
      </c>
      <c r="L17" s="58">
        <v>3.3</v>
      </c>
      <c r="M17" s="58"/>
      <c r="N17" s="59" t="s">
        <v>33</v>
      </c>
      <c r="O17" s="60" t="s">
        <v>34</v>
      </c>
      <c r="P17" s="61">
        <v>9</v>
      </c>
      <c r="Q17" s="62"/>
      <c r="R17" s="63"/>
      <c r="S17" s="64">
        <v>3.48</v>
      </c>
      <c r="T17" s="64"/>
      <c r="U17" s="65"/>
      <c r="V17" s="66" t="s">
        <v>35</v>
      </c>
      <c r="W17" s="67">
        <v>2.97</v>
      </c>
      <c r="X17" s="62">
        <v>1050.0809715381824</v>
      </c>
      <c r="Y17" s="63">
        <v>19.400298318323731</v>
      </c>
    </row>
    <row r="18" spans="1:25" x14ac:dyDescent="0.25">
      <c r="A18" s="68"/>
      <c r="B18" s="93">
        <v>372.22</v>
      </c>
      <c r="C18" s="57">
        <v>3.2</v>
      </c>
      <c r="D18" s="56">
        <v>298.60000000000002</v>
      </c>
      <c r="E18" s="56">
        <v>7.1567590618336903</v>
      </c>
      <c r="F18" s="101">
        <v>3.25</v>
      </c>
      <c r="G18" s="101"/>
      <c r="H18" s="59" t="s">
        <v>33</v>
      </c>
      <c r="I18" s="56">
        <v>237.28</v>
      </c>
      <c r="J18" s="56">
        <f>78</f>
        <v>78</v>
      </c>
      <c r="K18" s="56">
        <f>346.153846153846/5</f>
        <v>69.230769230769198</v>
      </c>
      <c r="L18" s="58">
        <v>3</v>
      </c>
      <c r="M18" s="58"/>
      <c r="N18" s="59" t="s">
        <v>36</v>
      </c>
      <c r="O18" s="69" t="s">
        <v>37</v>
      </c>
      <c r="P18" s="70">
        <v>8.6999999999999993</v>
      </c>
      <c r="Q18" s="71">
        <v>425.76139036414799</v>
      </c>
      <c r="R18" s="72">
        <v>3.6340347887058484</v>
      </c>
      <c r="S18" s="64">
        <v>3.4</v>
      </c>
      <c r="T18" s="64"/>
      <c r="U18" s="65" t="s">
        <v>38</v>
      </c>
      <c r="V18" s="69" t="s">
        <v>39</v>
      </c>
      <c r="W18" s="73">
        <v>2.94</v>
      </c>
      <c r="X18" s="74">
        <v>955.14936895680557</v>
      </c>
      <c r="Y18" s="75">
        <v>18.89865306569201</v>
      </c>
    </row>
    <row r="19" spans="1:25" x14ac:dyDescent="0.25">
      <c r="A19" s="76"/>
      <c r="B19" s="93">
        <v>372.23</v>
      </c>
      <c r="C19" s="57">
        <v>2.96</v>
      </c>
      <c r="D19" s="56">
        <v>274.8</v>
      </c>
      <c r="E19" s="56">
        <v>4.8398835516739398</v>
      </c>
      <c r="F19" s="101">
        <v>3.06</v>
      </c>
      <c r="G19" s="101"/>
      <c r="H19" s="59" t="s">
        <v>36</v>
      </c>
      <c r="I19" s="56">
        <v>237.64</v>
      </c>
      <c r="J19" s="56">
        <f>87</f>
        <v>87</v>
      </c>
      <c r="K19" s="56">
        <f>14.9425287356322/5</f>
        <v>2.9885057471264398</v>
      </c>
      <c r="L19" s="58">
        <v>2.5</v>
      </c>
      <c r="M19" s="58"/>
      <c r="N19" s="56"/>
      <c r="O19" s="66" t="s">
        <v>40</v>
      </c>
      <c r="P19" s="77">
        <v>8.25</v>
      </c>
      <c r="Q19" s="78"/>
      <c r="R19" s="79"/>
      <c r="S19" s="64">
        <f t="shared" ref="S19:S21" si="0">(3.585-2.3)*(W19-2.15)/0.87+2.3</f>
        <v>3.3486781609195404</v>
      </c>
      <c r="T19" s="64"/>
      <c r="U19" s="65" t="s">
        <v>41</v>
      </c>
      <c r="V19" s="66" t="s">
        <v>42</v>
      </c>
      <c r="W19" s="67">
        <v>2.86</v>
      </c>
      <c r="X19" s="62">
        <v>374.46721115107152</v>
      </c>
      <c r="Y19" s="63">
        <v>2.7545477204177868</v>
      </c>
    </row>
    <row r="20" spans="1:25" x14ac:dyDescent="0.25">
      <c r="A20" s="59" t="s">
        <v>33</v>
      </c>
      <c r="B20" s="93">
        <v>372.25</v>
      </c>
      <c r="C20" s="57">
        <v>2.69</v>
      </c>
      <c r="D20" s="56">
        <v>198</v>
      </c>
      <c r="E20" s="56">
        <v>12.622437645158</v>
      </c>
      <c r="F20" s="101">
        <v>2.89</v>
      </c>
      <c r="G20" s="101"/>
      <c r="H20" s="56"/>
      <c r="I20" s="56">
        <v>237.96</v>
      </c>
      <c r="J20" s="56">
        <f>112</f>
        <v>112</v>
      </c>
      <c r="K20" s="56">
        <f>8.03571428571428/5</f>
        <v>1.6071428571428559</v>
      </c>
      <c r="L20" s="58"/>
      <c r="M20" s="58"/>
      <c r="N20" s="56"/>
      <c r="O20" s="56"/>
      <c r="P20" s="56"/>
      <c r="Q20" s="56"/>
      <c r="R20" s="56"/>
      <c r="S20" s="64">
        <f t="shared" si="0"/>
        <v>3.0237356321839082</v>
      </c>
      <c r="T20" s="64"/>
      <c r="U20" s="65"/>
      <c r="V20" s="69" t="s">
        <v>43</v>
      </c>
      <c r="W20" s="73">
        <v>2.64</v>
      </c>
      <c r="X20" s="74">
        <v>212.50628422293116</v>
      </c>
      <c r="Y20" s="75">
        <v>3.6404375285390405</v>
      </c>
    </row>
    <row r="21" spans="1:25" x14ac:dyDescent="0.25">
      <c r="A21" s="59" t="s">
        <v>36</v>
      </c>
      <c r="B21" s="93">
        <v>372.27</v>
      </c>
      <c r="C21" s="57">
        <v>2.48</v>
      </c>
      <c r="D21" s="56">
        <v>317</v>
      </c>
      <c r="E21" s="56">
        <v>6.9085173501577302</v>
      </c>
      <c r="F21" s="101">
        <v>2.73</v>
      </c>
      <c r="G21" s="101"/>
      <c r="H21" s="56"/>
      <c r="I21" s="56">
        <v>238.26</v>
      </c>
      <c r="J21" s="56">
        <f>122</f>
        <v>122</v>
      </c>
      <c r="K21" s="56">
        <f>6.55737704918033/5</f>
        <v>1.3114754098360659</v>
      </c>
      <c r="L21" s="58"/>
      <c r="M21" s="58"/>
      <c r="N21" s="56"/>
      <c r="O21" s="56"/>
      <c r="P21" s="56"/>
      <c r="Q21" s="56"/>
      <c r="R21" s="56"/>
      <c r="S21" s="64">
        <f t="shared" si="0"/>
        <v>2.2999999999999998</v>
      </c>
      <c r="T21" s="64"/>
      <c r="U21" s="80"/>
      <c r="V21" s="81" t="s">
        <v>44</v>
      </c>
      <c r="W21" s="82">
        <v>2.15</v>
      </c>
      <c r="X21" s="74">
        <v>243.93874766154056</v>
      </c>
      <c r="Y21" s="75">
        <v>3.1713528890003029</v>
      </c>
    </row>
    <row r="22" spans="1:25" x14ac:dyDescent="0.25">
      <c r="A22" s="56"/>
      <c r="B22" s="93">
        <v>372.28</v>
      </c>
      <c r="C22" s="57">
        <v>2.2200000000000002</v>
      </c>
      <c r="D22" s="56">
        <v>163.04</v>
      </c>
      <c r="E22" s="56">
        <v>15.4563297350343</v>
      </c>
      <c r="F22" s="101">
        <f t="shared" ref="F22" si="1">4.395*(243.34-I22)/(243.34-236)</f>
        <v>0</v>
      </c>
      <c r="G22" s="101"/>
      <c r="H22" s="56"/>
      <c r="I22" s="56">
        <v>243.34</v>
      </c>
      <c r="J22" s="56"/>
      <c r="K22" s="56"/>
      <c r="L22" s="58"/>
      <c r="M22" s="58"/>
      <c r="N22" s="56"/>
      <c r="O22" s="56"/>
      <c r="P22" s="56"/>
      <c r="Q22" s="56"/>
      <c r="R22" s="56"/>
      <c r="S22" s="64"/>
      <c r="T22" s="64"/>
      <c r="U22" s="56"/>
      <c r="V22" s="56"/>
      <c r="W22" s="56"/>
      <c r="X22" s="56"/>
      <c r="Y22" s="56"/>
    </row>
    <row r="23" spans="1:25" x14ac:dyDescent="0.25">
      <c r="B23" s="2">
        <v>372.4</v>
      </c>
      <c r="C23" s="1">
        <v>0.19</v>
      </c>
      <c r="J23" s="7"/>
      <c r="L23" s="9"/>
      <c r="M23" s="9"/>
      <c r="N23" s="2"/>
      <c r="O23" s="2"/>
      <c r="P23" s="2"/>
      <c r="Q23" s="2"/>
      <c r="R23" s="2"/>
      <c r="S23" s="5"/>
      <c r="T23" s="5"/>
    </row>
    <row r="24" spans="1:25" x14ac:dyDescent="0.25">
      <c r="B24" s="1" t="s">
        <v>55</v>
      </c>
      <c r="J24" s="7"/>
      <c r="L24" s="9"/>
      <c r="M24" s="9"/>
      <c r="N24" s="2"/>
      <c r="O24" s="2"/>
      <c r="P24" s="2"/>
      <c r="Q24" s="2"/>
      <c r="R24" s="2"/>
      <c r="S24" s="5"/>
      <c r="T24" s="5"/>
    </row>
    <row r="25" spans="1:25" x14ac:dyDescent="0.25">
      <c r="B25" s="1" t="s">
        <v>54</v>
      </c>
      <c r="C25" s="83"/>
      <c r="J25" s="7"/>
      <c r="L25" s="9"/>
      <c r="M25" s="9"/>
      <c r="N25" s="2"/>
      <c r="O25" s="2"/>
      <c r="P25" s="2"/>
      <c r="Q25" s="2"/>
      <c r="R25" s="2"/>
      <c r="S25" s="5"/>
      <c r="T25" s="5"/>
    </row>
    <row r="26" spans="1:25" x14ac:dyDescent="0.25">
      <c r="B26" s="1" t="s">
        <v>45</v>
      </c>
      <c r="L26" s="9"/>
      <c r="M26" s="9"/>
      <c r="N26" s="2"/>
      <c r="O26" s="2"/>
      <c r="P26" s="2"/>
      <c r="Q26" s="2"/>
      <c r="R26" s="2"/>
    </row>
    <row r="27" spans="1:25" x14ac:dyDescent="0.25">
      <c r="L27" s="9"/>
      <c r="M27" s="9"/>
      <c r="N27" s="2"/>
      <c r="O27" s="2"/>
      <c r="P27" s="2"/>
      <c r="Q27" s="2"/>
      <c r="R27" s="2"/>
    </row>
    <row r="28" spans="1:25" x14ac:dyDescent="0.25">
      <c r="N28" s="2"/>
      <c r="O28" s="2"/>
      <c r="P28" s="2"/>
      <c r="Q28" s="2"/>
      <c r="R28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tabSelected="1" workbookViewId="0">
      <selection activeCell="C34" sqref="C34"/>
    </sheetView>
  </sheetViews>
  <sheetFormatPr defaultColWidth="8.875" defaultRowHeight="15.75" x14ac:dyDescent="0.25"/>
  <cols>
    <col min="1" max="2" width="8.875" style="1"/>
    <col min="3" max="3" width="11.875" style="1" customWidth="1"/>
    <col min="4" max="6" width="9.875" style="1" bestFit="1" customWidth="1"/>
    <col min="7" max="7" width="9.875" style="1" customWidth="1"/>
    <col min="8" max="8" width="10.75" style="1" customWidth="1"/>
    <col min="9" max="9" width="13.5" style="1" customWidth="1"/>
    <col min="10" max="10" width="8" style="1" customWidth="1"/>
    <col min="11" max="11" width="8.75" style="1" customWidth="1"/>
    <col min="12" max="12" width="10.75" style="1" customWidth="1"/>
    <col min="13" max="13" width="12.125" style="2" customWidth="1"/>
    <col min="14" max="14" width="10.25" style="2" customWidth="1"/>
    <col min="15" max="15" width="15.125" style="1" customWidth="1"/>
    <col min="16" max="16" width="8.875" style="1"/>
    <col min="17" max="17" width="15.375" style="1" customWidth="1"/>
    <col min="18" max="18" width="8.5" style="1" customWidth="1"/>
    <col min="19" max="19" width="8.125" style="1" customWidth="1"/>
    <col min="20" max="20" width="9.875" style="8" bestFit="1" customWidth="1"/>
    <col min="21" max="21" width="9.875" style="8" customWidth="1"/>
    <col min="22" max="22" width="8.875" style="1"/>
    <col min="23" max="23" width="12.25" style="1" customWidth="1"/>
    <col min="24" max="24" width="17.625" style="1" customWidth="1"/>
    <col min="25" max="25" width="9.875" style="1" bestFit="1" customWidth="1"/>
    <col min="26" max="26" width="10.25" style="1" customWidth="1"/>
    <col min="27" max="16384" width="8.875" style="1"/>
  </cols>
  <sheetData>
    <row r="1" spans="1:42" x14ac:dyDescent="0.25">
      <c r="T1" s="3"/>
      <c r="U1" s="3"/>
    </row>
    <row r="2" spans="1:42" ht="18.75" x14ac:dyDescent="0.3">
      <c r="A2" s="6" t="s">
        <v>52</v>
      </c>
      <c r="M2" s="4"/>
      <c r="N2" s="4"/>
      <c r="T2" s="5"/>
      <c r="U2" s="5"/>
    </row>
    <row r="3" spans="1:42" x14ac:dyDescent="0.25">
      <c r="B3" s="87"/>
      <c r="F3" s="87"/>
      <c r="G3" s="87"/>
      <c r="M3" s="88"/>
      <c r="N3" s="88"/>
      <c r="T3" s="86"/>
      <c r="U3" s="86"/>
      <c r="V3" s="5"/>
    </row>
    <row r="4" spans="1:42" ht="20.25" x14ac:dyDescent="0.3">
      <c r="A4" s="85" t="s">
        <v>2</v>
      </c>
      <c r="F4" s="85" t="s">
        <v>58</v>
      </c>
      <c r="G4" s="85"/>
      <c r="M4" s="85" t="s">
        <v>59</v>
      </c>
      <c r="N4" s="85"/>
      <c r="P4" s="7"/>
      <c r="T4" s="85" t="s">
        <v>60</v>
      </c>
      <c r="U4" s="85"/>
    </row>
    <row r="5" spans="1:42" x14ac:dyDescent="0.25">
      <c r="A5" s="1" t="s">
        <v>51</v>
      </c>
      <c r="B5" s="1" t="s">
        <v>53</v>
      </c>
      <c r="C5" s="1" t="s">
        <v>4</v>
      </c>
      <c r="D5" s="1" t="s">
        <v>5</v>
      </c>
      <c r="E5" s="1" t="s">
        <v>6</v>
      </c>
      <c r="F5" s="1" t="s">
        <v>4</v>
      </c>
      <c r="G5" s="1" t="s">
        <v>56</v>
      </c>
      <c r="H5" s="1" t="s">
        <v>50</v>
      </c>
      <c r="I5" s="1" t="s">
        <v>7</v>
      </c>
      <c r="J5" s="1" t="s">
        <v>5</v>
      </c>
      <c r="K5" s="1" t="s">
        <v>57</v>
      </c>
      <c r="L5" s="1" t="s">
        <v>6</v>
      </c>
      <c r="M5" s="2" t="s">
        <v>4</v>
      </c>
      <c r="N5" s="1" t="s">
        <v>56</v>
      </c>
      <c r="O5" s="1" t="s">
        <v>50</v>
      </c>
      <c r="P5" s="11" t="s">
        <v>46</v>
      </c>
      <c r="Q5" s="90" t="s">
        <v>47</v>
      </c>
      <c r="R5" s="91" t="s">
        <v>48</v>
      </c>
      <c r="S5" s="92" t="s">
        <v>49</v>
      </c>
      <c r="T5" s="2" t="s">
        <v>4</v>
      </c>
      <c r="U5" s="1" t="s">
        <v>56</v>
      </c>
      <c r="V5" s="11" t="s">
        <v>50</v>
      </c>
      <c r="W5" s="11" t="s">
        <v>46</v>
      </c>
      <c r="X5" s="90" t="s">
        <v>47</v>
      </c>
      <c r="Y5" s="91" t="s">
        <v>48</v>
      </c>
      <c r="Z5" s="92" t="s">
        <v>49</v>
      </c>
    </row>
    <row r="6" spans="1:42" x14ac:dyDescent="0.25">
      <c r="A6" s="10"/>
      <c r="B6" s="10">
        <v>371.92</v>
      </c>
      <c r="C6" s="94">
        <v>5.98</v>
      </c>
      <c r="D6" s="10"/>
      <c r="E6" s="10"/>
      <c r="F6" s="95"/>
      <c r="G6" s="95"/>
      <c r="M6" s="89"/>
      <c r="N6" s="107"/>
      <c r="P6" s="7"/>
      <c r="T6" s="84"/>
      <c r="U6" s="84"/>
    </row>
    <row r="7" spans="1:42" x14ac:dyDescent="0.25">
      <c r="A7" s="10"/>
      <c r="B7" s="10">
        <v>371.93</v>
      </c>
      <c r="C7" s="94">
        <v>5.74</v>
      </c>
      <c r="D7" s="10"/>
      <c r="E7" s="10"/>
      <c r="F7" s="96"/>
      <c r="G7" s="96"/>
      <c r="N7" s="108"/>
    </row>
    <row r="8" spans="1:42" s="10" customFormat="1" ht="16.5" thickBot="1" x14ac:dyDescent="0.3">
      <c r="A8" s="10" t="s">
        <v>8</v>
      </c>
      <c r="B8" s="10">
        <v>371.95</v>
      </c>
      <c r="C8" s="12">
        <v>5.46</v>
      </c>
      <c r="D8" s="10">
        <v>148.68</v>
      </c>
      <c r="E8" s="10">
        <v>10.088781275222001</v>
      </c>
      <c r="F8" s="97"/>
      <c r="G8" s="97"/>
      <c r="M8" s="13"/>
      <c r="N8" s="102"/>
      <c r="P8" s="14"/>
      <c r="Q8" s="15"/>
      <c r="R8" s="16"/>
      <c r="S8" s="17"/>
      <c r="T8" s="109">
        <v>5.85</v>
      </c>
      <c r="U8" s="18">
        <v>371.93</v>
      </c>
      <c r="V8" s="10" t="s">
        <v>9</v>
      </c>
      <c r="W8" s="19" t="s">
        <v>10</v>
      </c>
      <c r="X8" s="20">
        <v>3.82</v>
      </c>
      <c r="Y8" s="21"/>
      <c r="Z8" s="22"/>
    </row>
    <row r="9" spans="1:42" s="10" customFormat="1" x14ac:dyDescent="0.25">
      <c r="A9" s="10" t="s">
        <v>8</v>
      </c>
      <c r="B9" s="10">
        <v>371.96</v>
      </c>
      <c r="C9" s="12">
        <v>5.2</v>
      </c>
      <c r="D9" s="10">
        <v>113.6</v>
      </c>
      <c r="E9" s="10">
        <v>21.3956859971711</v>
      </c>
      <c r="F9" s="97"/>
      <c r="G9" s="97"/>
      <c r="M9" s="102">
        <v>6.74</v>
      </c>
      <c r="N9" s="102">
        <v>371.88</v>
      </c>
      <c r="O9" s="10" t="s">
        <v>12</v>
      </c>
      <c r="P9" s="23" t="s">
        <v>13</v>
      </c>
      <c r="Q9" s="24">
        <v>14.8</v>
      </c>
      <c r="R9" s="25">
        <v>453.41166264988516</v>
      </c>
      <c r="S9" s="26">
        <v>2.2749476641580855</v>
      </c>
      <c r="T9" s="109"/>
      <c r="U9" s="18"/>
      <c r="V9" s="10" t="s">
        <v>11</v>
      </c>
      <c r="W9" s="27" t="s">
        <v>14</v>
      </c>
      <c r="X9" s="28">
        <v>3.67</v>
      </c>
      <c r="Y9" s="29"/>
      <c r="Z9" s="30"/>
    </row>
    <row r="10" spans="1:42" s="10" customFormat="1" x14ac:dyDescent="0.25">
      <c r="A10" s="10" t="s">
        <v>8</v>
      </c>
      <c r="B10" s="10">
        <v>371.98</v>
      </c>
      <c r="C10" s="12">
        <v>4.87</v>
      </c>
      <c r="D10" s="10">
        <v>451.2</v>
      </c>
      <c r="E10" s="10">
        <v>1.24113475177305</v>
      </c>
      <c r="F10" s="98">
        <v>5</v>
      </c>
      <c r="G10" s="98">
        <v>371.97</v>
      </c>
      <c r="H10" s="10" t="s">
        <v>11</v>
      </c>
      <c r="I10" s="10">
        <v>235.16</v>
      </c>
      <c r="J10" s="10">
        <f>114</f>
        <v>114</v>
      </c>
      <c r="K10" s="10">
        <f>J10*5</f>
        <v>570</v>
      </c>
      <c r="L10" s="10">
        <f>23.6842105263158/5</f>
        <v>4.7368421052631593</v>
      </c>
      <c r="M10" s="102">
        <v>6.25</v>
      </c>
      <c r="N10" s="102">
        <v>371.91</v>
      </c>
      <c r="O10" s="10" t="s">
        <v>15</v>
      </c>
      <c r="P10" s="19" t="s">
        <v>16</v>
      </c>
      <c r="Q10" s="31">
        <v>13.5</v>
      </c>
      <c r="R10" s="32">
        <v>409.54725652243212</v>
      </c>
      <c r="S10" s="33">
        <v>6.2965127126354732</v>
      </c>
      <c r="T10" s="110"/>
      <c r="U10" s="34"/>
      <c r="V10" s="10" t="s">
        <v>15</v>
      </c>
      <c r="W10" s="19" t="s">
        <v>17</v>
      </c>
      <c r="X10" s="20">
        <v>3.49</v>
      </c>
      <c r="Y10" s="21"/>
      <c r="Z10" s="22"/>
    </row>
    <row r="11" spans="1:42" s="10" customFormat="1" x14ac:dyDescent="0.25">
      <c r="A11" s="10" t="s">
        <v>8</v>
      </c>
      <c r="B11" s="10">
        <v>371.99</v>
      </c>
      <c r="C11" s="12">
        <v>4.63</v>
      </c>
      <c r="D11" s="10">
        <v>267.8</v>
      </c>
      <c r="E11" s="10">
        <v>1.90440627333831</v>
      </c>
      <c r="F11" s="97">
        <v>4.7</v>
      </c>
      <c r="G11" s="97">
        <v>371.99</v>
      </c>
      <c r="H11" s="10" t="s">
        <v>15</v>
      </c>
      <c r="I11" s="10">
        <v>235.55</v>
      </c>
      <c r="J11" s="10">
        <f>93</f>
        <v>93</v>
      </c>
      <c r="K11" s="10">
        <f t="shared" ref="K11:K20" si="0">J11*5</f>
        <v>465</v>
      </c>
      <c r="L11" s="10">
        <f>131.182795698925/5</f>
        <v>26.236559139784998</v>
      </c>
      <c r="M11" s="102">
        <v>5.7</v>
      </c>
      <c r="N11" s="102">
        <v>371.93</v>
      </c>
      <c r="O11" s="10" t="s">
        <v>18</v>
      </c>
      <c r="P11" s="27" t="s">
        <v>19</v>
      </c>
      <c r="Q11" s="35">
        <v>12.2</v>
      </c>
      <c r="R11" s="25">
        <v>215.01715489068062</v>
      </c>
      <c r="S11" s="26">
        <v>8.3951611019161998</v>
      </c>
      <c r="T11" s="110">
        <v>4.5599999999999996</v>
      </c>
      <c r="U11" s="34">
        <v>371.99</v>
      </c>
      <c r="V11" s="10" t="s">
        <v>18</v>
      </c>
      <c r="W11" s="27" t="s">
        <v>20</v>
      </c>
      <c r="X11" s="28">
        <v>3.35</v>
      </c>
      <c r="Y11" s="36">
        <v>1021.6447332468042</v>
      </c>
      <c r="Z11" s="37">
        <v>27.260132383173175</v>
      </c>
    </row>
    <row r="12" spans="1:42" s="38" customFormat="1" x14ac:dyDescent="0.25">
      <c r="A12" s="38" t="s">
        <v>21</v>
      </c>
      <c r="B12" s="38">
        <v>372.02</v>
      </c>
      <c r="C12" s="39">
        <v>4.3899999999999997</v>
      </c>
      <c r="D12" s="38">
        <v>174.54</v>
      </c>
      <c r="E12" s="38">
        <v>24.521599633321902</v>
      </c>
      <c r="F12" s="99">
        <v>4.3949999999999996</v>
      </c>
      <c r="G12" s="99">
        <v>372.02</v>
      </c>
      <c r="H12" s="38" t="s">
        <v>21</v>
      </c>
      <c r="I12" s="38">
        <v>236</v>
      </c>
      <c r="J12" s="38">
        <f>89</f>
        <v>89</v>
      </c>
      <c r="K12" s="10">
        <f t="shared" si="0"/>
        <v>445</v>
      </c>
      <c r="L12" s="38">
        <f>24.7191011235955/5</f>
        <v>4.9438202247190999</v>
      </c>
      <c r="M12" s="103">
        <v>4.5</v>
      </c>
      <c r="N12" s="103">
        <v>372.01499999999999</v>
      </c>
      <c r="O12" s="38" t="s">
        <v>22</v>
      </c>
      <c r="P12" s="41" t="s">
        <v>23</v>
      </c>
      <c r="Q12" s="42">
        <v>9.1999999999999993</v>
      </c>
      <c r="R12" s="43">
        <v>199.59049355313965</v>
      </c>
      <c r="S12" s="44">
        <v>3.8760155274107397</v>
      </c>
      <c r="T12" s="99">
        <v>4.3949999999999996</v>
      </c>
      <c r="U12" s="39">
        <v>372.02</v>
      </c>
      <c r="V12" s="45" t="s">
        <v>24</v>
      </c>
      <c r="W12" s="41" t="s">
        <v>25</v>
      </c>
      <c r="X12" s="46">
        <v>3.27</v>
      </c>
      <c r="Y12" s="43">
        <v>476.17188593606551</v>
      </c>
      <c r="Z12" s="44">
        <v>29.243820875870554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s="54" customFormat="1" x14ac:dyDescent="0.25">
      <c r="A13" s="47"/>
      <c r="B13" s="38">
        <v>372.07</v>
      </c>
      <c r="C13" s="39">
        <v>4.18</v>
      </c>
      <c r="D13" s="38">
        <v>247</v>
      </c>
      <c r="E13" s="38">
        <v>9.1093117408906892</v>
      </c>
      <c r="F13" s="100">
        <f>4.395*(243.34-I13)/(243.34-236)</f>
        <v>4.1854291553133542</v>
      </c>
      <c r="G13" s="100">
        <v>372.07</v>
      </c>
      <c r="H13" s="38"/>
      <c r="I13" s="38">
        <v>236.35</v>
      </c>
      <c r="J13" s="38">
        <f>96</f>
        <v>96</v>
      </c>
      <c r="K13" s="10">
        <f t="shared" si="0"/>
        <v>480</v>
      </c>
      <c r="L13" s="38">
        <f>265.625/5</f>
        <v>53.125</v>
      </c>
      <c r="M13" s="106">
        <v>4.3949999999999996</v>
      </c>
      <c r="N13" s="104">
        <v>372.02</v>
      </c>
      <c r="O13" s="38" t="s">
        <v>26</v>
      </c>
      <c r="P13" s="48" t="s">
        <v>27</v>
      </c>
      <c r="Q13" s="49">
        <v>9.1</v>
      </c>
      <c r="R13" s="50">
        <v>222.63825786275319</v>
      </c>
      <c r="S13" s="51">
        <v>33.589404814933538</v>
      </c>
      <c r="T13" s="111">
        <v>4.01</v>
      </c>
      <c r="U13" s="52">
        <v>372.1</v>
      </c>
      <c r="V13" s="45"/>
      <c r="W13" s="48" t="s">
        <v>28</v>
      </c>
      <c r="X13" s="53">
        <v>3.16</v>
      </c>
      <c r="Y13" s="50">
        <v>1329.6186205525826</v>
      </c>
      <c r="Z13" s="51">
        <v>21.333872841307304</v>
      </c>
    </row>
    <row r="14" spans="1:42" s="54" customFormat="1" x14ac:dyDescent="0.25">
      <c r="A14" s="38"/>
      <c r="B14" s="38">
        <v>372.1</v>
      </c>
      <c r="C14" s="39">
        <v>4.0599999999999996</v>
      </c>
      <c r="D14" s="38">
        <v>195</v>
      </c>
      <c r="E14" s="38">
        <v>44.815916316275299</v>
      </c>
      <c r="F14" s="100">
        <v>3.6</v>
      </c>
      <c r="G14" s="100">
        <v>372.2</v>
      </c>
      <c r="H14" s="38" t="s">
        <v>29</v>
      </c>
      <c r="I14" s="38">
        <v>236.65</v>
      </c>
      <c r="J14" s="38">
        <f>124</f>
        <v>124</v>
      </c>
      <c r="K14" s="10">
        <f t="shared" si="0"/>
        <v>620</v>
      </c>
      <c r="L14" s="38">
        <f>241.935483870968/5</f>
        <v>48.387096774193601</v>
      </c>
      <c r="M14" s="104"/>
      <c r="N14" s="104"/>
      <c r="O14" s="38"/>
      <c r="P14" s="48"/>
      <c r="Q14" s="49"/>
      <c r="R14" s="50"/>
      <c r="S14" s="51"/>
      <c r="T14" s="112">
        <v>3.73</v>
      </c>
      <c r="U14" s="55">
        <v>372.13</v>
      </c>
      <c r="V14" s="45"/>
      <c r="W14" s="41" t="s">
        <v>30</v>
      </c>
      <c r="X14" s="46">
        <v>3.08</v>
      </c>
      <c r="Y14" s="43">
        <v>284.00634614752079</v>
      </c>
      <c r="Z14" s="44">
        <v>39.043120095808597</v>
      </c>
    </row>
    <row r="15" spans="1:42" s="54" customFormat="1" x14ac:dyDescent="0.25">
      <c r="A15" s="38"/>
      <c r="B15" s="114">
        <v>372.14</v>
      </c>
      <c r="C15" s="39">
        <v>3.84</v>
      </c>
      <c r="D15" s="38">
        <v>400</v>
      </c>
      <c r="E15" s="38">
        <v>22.7977004538578</v>
      </c>
      <c r="F15" s="100"/>
      <c r="G15" s="100"/>
      <c r="H15" s="38"/>
      <c r="I15" s="38"/>
      <c r="J15" s="38"/>
      <c r="K15" s="10">
        <f t="shared" si="0"/>
        <v>0</v>
      </c>
      <c r="L15" s="38"/>
      <c r="M15" s="104"/>
      <c r="N15" s="104"/>
      <c r="O15" s="38"/>
      <c r="P15" s="48"/>
      <c r="Q15" s="49"/>
      <c r="R15" s="50"/>
      <c r="S15" s="51"/>
      <c r="T15" s="99">
        <v>3.5849999999999991</v>
      </c>
      <c r="U15" s="39">
        <v>372.2</v>
      </c>
      <c r="V15" s="45" t="s">
        <v>31</v>
      </c>
      <c r="W15" s="48" t="s">
        <v>32</v>
      </c>
      <c r="X15" s="53">
        <v>3.02</v>
      </c>
      <c r="Y15" s="50">
        <v>929.6463650279278</v>
      </c>
      <c r="Z15" s="51">
        <v>81.274433376934141</v>
      </c>
    </row>
    <row r="16" spans="1:42" s="54" customFormat="1" x14ac:dyDescent="0.25">
      <c r="A16" s="56" t="s">
        <v>29</v>
      </c>
      <c r="B16" s="93">
        <v>372.21</v>
      </c>
      <c r="C16" s="57">
        <v>3.41</v>
      </c>
      <c r="D16" s="56">
        <v>470.9</v>
      </c>
      <c r="E16" s="56">
        <v>13.4293369055593</v>
      </c>
      <c r="F16" s="101">
        <v>3.4</v>
      </c>
      <c r="G16" s="101">
        <v>372.21</v>
      </c>
      <c r="H16" s="56"/>
      <c r="I16" s="56">
        <v>236.98</v>
      </c>
      <c r="J16" s="56">
        <f>84</f>
        <v>84</v>
      </c>
      <c r="K16" s="10">
        <f t="shared" si="0"/>
        <v>420</v>
      </c>
      <c r="L16" s="56">
        <f>386.904761904762/5</f>
        <v>77.380952380952394</v>
      </c>
      <c r="M16" s="105">
        <v>3.3</v>
      </c>
      <c r="N16" s="105">
        <v>372.22</v>
      </c>
      <c r="O16" s="59" t="s">
        <v>33</v>
      </c>
      <c r="P16" s="60" t="s">
        <v>34</v>
      </c>
      <c r="Q16" s="61">
        <v>9</v>
      </c>
      <c r="R16" s="62"/>
      <c r="S16" s="63"/>
      <c r="T16" s="113">
        <v>3.48</v>
      </c>
      <c r="U16" s="64">
        <v>372.21</v>
      </c>
      <c r="V16" s="65"/>
      <c r="W16" s="66" t="s">
        <v>35</v>
      </c>
      <c r="X16" s="67">
        <v>2.97</v>
      </c>
      <c r="Y16" s="62">
        <v>1050.0809715381824</v>
      </c>
      <c r="Z16" s="63">
        <v>19.400298318323731</v>
      </c>
    </row>
    <row r="17" spans="1:26" x14ac:dyDescent="0.25">
      <c r="A17" s="68"/>
      <c r="B17" s="93">
        <v>372.22</v>
      </c>
      <c r="C17" s="57">
        <v>3.2</v>
      </c>
      <c r="D17" s="56">
        <v>298.60000000000002</v>
      </c>
      <c r="E17" s="56">
        <v>7.1567590618336903</v>
      </c>
      <c r="F17" s="101">
        <v>3.25</v>
      </c>
      <c r="G17" s="101">
        <v>372.22</v>
      </c>
      <c r="H17" s="59" t="s">
        <v>33</v>
      </c>
      <c r="I17" s="56">
        <v>237.28</v>
      </c>
      <c r="J17" s="56">
        <f>78</f>
        <v>78</v>
      </c>
      <c r="K17" s="10">
        <f t="shared" si="0"/>
        <v>390</v>
      </c>
      <c r="L17" s="56">
        <f>346.153846153846/5</f>
        <v>69.230769230769198</v>
      </c>
      <c r="M17" s="105">
        <v>3</v>
      </c>
      <c r="N17" s="105">
        <v>372.23</v>
      </c>
      <c r="O17" s="59" t="s">
        <v>36</v>
      </c>
      <c r="P17" s="69" t="s">
        <v>37</v>
      </c>
      <c r="Q17" s="70">
        <v>8.6999999999999993</v>
      </c>
      <c r="R17" s="71">
        <v>425.76139036414799</v>
      </c>
      <c r="S17" s="72">
        <v>3.6340347887058484</v>
      </c>
      <c r="T17" s="113">
        <v>3.4</v>
      </c>
      <c r="U17" s="64">
        <v>372.21</v>
      </c>
      <c r="V17" s="65" t="s">
        <v>38</v>
      </c>
      <c r="W17" s="69" t="s">
        <v>39</v>
      </c>
      <c r="X17" s="73">
        <v>2.94</v>
      </c>
      <c r="Y17" s="74">
        <v>955.14936895680557</v>
      </c>
      <c r="Z17" s="75">
        <v>18.89865306569201</v>
      </c>
    </row>
    <row r="18" spans="1:26" x14ac:dyDescent="0.25">
      <c r="A18" s="76"/>
      <c r="B18" s="93">
        <v>372.23</v>
      </c>
      <c r="C18" s="57">
        <v>2.96</v>
      </c>
      <c r="D18" s="56">
        <v>274.8</v>
      </c>
      <c r="E18" s="56">
        <v>4.8398835516739398</v>
      </c>
      <c r="F18" s="101">
        <v>3.06</v>
      </c>
      <c r="G18" s="101">
        <v>372.23</v>
      </c>
      <c r="H18" s="59" t="s">
        <v>36</v>
      </c>
      <c r="I18" s="56">
        <v>237.64</v>
      </c>
      <c r="J18" s="56">
        <f>87</f>
        <v>87</v>
      </c>
      <c r="K18" s="10">
        <f t="shared" si="0"/>
        <v>435</v>
      </c>
      <c r="L18" s="56">
        <f>14.9425287356322/5</f>
        <v>2.9885057471264398</v>
      </c>
      <c r="M18" s="105">
        <v>2.5</v>
      </c>
      <c r="N18" s="105">
        <v>372.27</v>
      </c>
      <c r="O18" s="56"/>
      <c r="P18" s="66" t="s">
        <v>40</v>
      </c>
      <c r="Q18" s="77">
        <v>8.25</v>
      </c>
      <c r="R18" s="78"/>
      <c r="S18" s="79"/>
      <c r="T18" s="113">
        <f t="shared" ref="T18:T20" si="1">(3.585-2.3)*(X18-2.15)/0.87+2.3</f>
        <v>3.3486781609195404</v>
      </c>
      <c r="U18" s="64">
        <v>372.22</v>
      </c>
      <c r="V18" s="65" t="s">
        <v>41</v>
      </c>
      <c r="W18" s="66" t="s">
        <v>42</v>
      </c>
      <c r="X18" s="67">
        <v>2.86</v>
      </c>
      <c r="Y18" s="62">
        <v>374.46721115107152</v>
      </c>
      <c r="Z18" s="63">
        <v>2.7545477204177868</v>
      </c>
    </row>
    <row r="19" spans="1:26" x14ac:dyDescent="0.25">
      <c r="A19" s="59" t="s">
        <v>33</v>
      </c>
      <c r="B19" s="93">
        <v>372.25</v>
      </c>
      <c r="C19" s="57">
        <v>2.69</v>
      </c>
      <c r="D19" s="56">
        <v>198</v>
      </c>
      <c r="E19" s="56">
        <v>12.622437645158</v>
      </c>
      <c r="F19" s="101">
        <v>2.89</v>
      </c>
      <c r="G19" s="101">
        <v>372.24</v>
      </c>
      <c r="H19" s="56"/>
      <c r="I19" s="56">
        <v>237.96</v>
      </c>
      <c r="J19" s="56">
        <f>112</f>
        <v>112</v>
      </c>
      <c r="K19" s="10">
        <f t="shared" si="0"/>
        <v>560</v>
      </c>
      <c r="L19" s="56">
        <f>8.03571428571428/5</f>
        <v>1.6071428571428559</v>
      </c>
      <c r="M19" s="58"/>
      <c r="N19" s="58"/>
      <c r="O19" s="56"/>
      <c r="P19" s="56"/>
      <c r="Q19" s="56"/>
      <c r="R19" s="56"/>
      <c r="S19" s="56"/>
      <c r="T19" s="113">
        <f t="shared" si="1"/>
        <v>3.0237356321839082</v>
      </c>
      <c r="U19" s="64">
        <v>372.23</v>
      </c>
      <c r="V19" s="65"/>
      <c r="W19" s="69" t="s">
        <v>43</v>
      </c>
      <c r="X19" s="73">
        <v>2.64</v>
      </c>
      <c r="Y19" s="74">
        <v>212.50628422293116</v>
      </c>
      <c r="Z19" s="75">
        <v>3.6404375285390405</v>
      </c>
    </row>
    <row r="20" spans="1:26" x14ac:dyDescent="0.25">
      <c r="A20" s="59" t="s">
        <v>36</v>
      </c>
      <c r="B20" s="93">
        <v>372.27</v>
      </c>
      <c r="C20" s="57">
        <v>2.48</v>
      </c>
      <c r="D20" s="56">
        <v>317</v>
      </c>
      <c r="E20" s="56">
        <v>6.9085173501577302</v>
      </c>
      <c r="F20" s="101">
        <v>2.73</v>
      </c>
      <c r="G20" s="101">
        <v>372.25</v>
      </c>
      <c r="H20" s="56"/>
      <c r="I20" s="56">
        <v>238.26</v>
      </c>
      <c r="J20" s="56">
        <f>122</f>
        <v>122</v>
      </c>
      <c r="K20" s="10">
        <f t="shared" si="0"/>
        <v>610</v>
      </c>
      <c r="L20" s="56">
        <f>6.55737704918033/5</f>
        <v>1.3114754098360659</v>
      </c>
      <c r="M20" s="58"/>
      <c r="N20" s="58"/>
      <c r="O20" s="56"/>
      <c r="P20" s="56"/>
      <c r="Q20" s="56"/>
      <c r="R20" s="56"/>
      <c r="S20" s="56"/>
      <c r="T20" s="113">
        <f t="shared" si="1"/>
        <v>2.2999999999999998</v>
      </c>
      <c r="U20" s="64">
        <v>372.28</v>
      </c>
      <c r="V20" s="80"/>
      <c r="W20" s="81" t="s">
        <v>44</v>
      </c>
      <c r="X20" s="82">
        <v>2.15</v>
      </c>
      <c r="Y20" s="74">
        <v>243.93874766154056</v>
      </c>
      <c r="Z20" s="75">
        <v>3.1713528890003029</v>
      </c>
    </row>
    <row r="21" spans="1:26" x14ac:dyDescent="0.25">
      <c r="A21" s="56"/>
      <c r="B21" s="93">
        <v>372.28</v>
      </c>
      <c r="C21" s="57">
        <v>2.2200000000000002</v>
      </c>
      <c r="D21" s="56">
        <v>163.04</v>
      </c>
      <c r="E21" s="56">
        <v>15.4563297350343</v>
      </c>
      <c r="F21" s="101">
        <f t="shared" ref="F21" si="2">4.395*(243.34-I21)/(243.34-236)</f>
        <v>0</v>
      </c>
      <c r="G21" s="101">
        <v>372.41</v>
      </c>
      <c r="H21" s="56"/>
      <c r="I21" s="56">
        <v>243.34</v>
      </c>
      <c r="J21" s="56"/>
      <c r="K21" s="56"/>
      <c r="L21" s="56"/>
      <c r="M21" s="58"/>
      <c r="N21" s="58"/>
      <c r="O21" s="56"/>
      <c r="P21" s="56"/>
      <c r="Q21" s="56"/>
      <c r="R21" s="56"/>
      <c r="S21" s="56"/>
      <c r="T21" s="64"/>
      <c r="U21" s="64"/>
      <c r="V21" s="56"/>
      <c r="W21" s="56"/>
      <c r="X21" s="56"/>
      <c r="Y21" s="56"/>
      <c r="Z21" s="56"/>
    </row>
    <row r="22" spans="1:26" x14ac:dyDescent="0.25">
      <c r="B22" s="2">
        <v>372.4</v>
      </c>
      <c r="C22" s="1">
        <v>0.19</v>
      </c>
      <c r="J22" s="7"/>
      <c r="K22" s="7"/>
      <c r="M22" s="9"/>
      <c r="N22" s="9"/>
      <c r="O22" s="2"/>
      <c r="P22" s="2"/>
      <c r="Q22" s="2"/>
      <c r="R22" s="2"/>
      <c r="S22" s="2"/>
      <c r="T22" s="5"/>
      <c r="U22" s="5"/>
    </row>
    <row r="23" spans="1:26" x14ac:dyDescent="0.25">
      <c r="B23" s="1" t="s">
        <v>61</v>
      </c>
      <c r="J23" s="7"/>
      <c r="K23" s="7"/>
      <c r="M23" s="9"/>
      <c r="N23" s="9"/>
      <c r="O23" s="2"/>
      <c r="P23" s="2"/>
      <c r="Q23" s="2"/>
      <c r="R23" s="2"/>
      <c r="S23" s="2"/>
      <c r="T23" s="5"/>
      <c r="U23" s="5"/>
    </row>
    <row r="24" spans="1:26" x14ac:dyDescent="0.25">
      <c r="B24" s="1" t="s">
        <v>54</v>
      </c>
      <c r="C24" s="83"/>
      <c r="J24" s="7"/>
      <c r="K24" s="7"/>
      <c r="M24" s="9"/>
      <c r="N24" s="9"/>
      <c r="O24" s="2"/>
      <c r="P24" s="2"/>
      <c r="Q24" s="2"/>
      <c r="R24" s="2"/>
      <c r="S24" s="2"/>
      <c r="T24" s="5"/>
      <c r="U24" s="5"/>
    </row>
    <row r="25" spans="1:26" x14ac:dyDescent="0.25">
      <c r="B25" s="1" t="s">
        <v>45</v>
      </c>
      <c r="M25" s="9"/>
      <c r="N25" s="9"/>
      <c r="O25" s="2"/>
      <c r="P25" s="2"/>
      <c r="Q25" s="2"/>
      <c r="R25" s="2"/>
      <c r="S25" s="2"/>
    </row>
    <row r="26" spans="1:26" x14ac:dyDescent="0.25">
      <c r="M26" s="9"/>
      <c r="N26" s="9"/>
      <c r="O26" s="2"/>
      <c r="P26" s="2"/>
      <c r="Q26" s="2"/>
      <c r="R26" s="2"/>
      <c r="S26" s="2"/>
    </row>
    <row r="27" spans="1:26" x14ac:dyDescent="0.25">
      <c r="O27" s="2"/>
      <c r="P27" s="2"/>
      <c r="Q27" s="2"/>
      <c r="R27" s="2"/>
      <c r="S27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2020-03-23T08:57:23Z</dcterms:created>
  <dcterms:modified xsi:type="dcterms:W3CDTF">2020-11-26T02:49:49Z</dcterms:modified>
</cp:coreProperties>
</file>