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huongnguyen/Desktop/5_Paper_Chain/A15 (New perspective)/GD3.Audit data_prepare/20261008_Fourth_review/"/>
    </mc:Choice>
  </mc:AlternateContent>
  <xr:revisionPtr revIDLastSave="0" documentId="13_ncr:1_{FCA48023-04B7-0943-A815-5E707FB99153}" xr6:coauthVersionLast="47" xr6:coauthVersionMax="47" xr10:uidLastSave="{00000000-0000-0000-0000-000000000000}"/>
  <bookViews>
    <workbookView xWindow="0" yWindow="660" windowWidth="29400" windowHeight="16720" activeTab="1" xr2:uid="{4C89383E-B5CC-7447-977F-1815C3A91374}"/>
  </bookViews>
  <sheets>
    <sheet name="Note" sheetId="4" r:id="rId1"/>
    <sheet name="Batch" sheetId="3" r:id="rId2"/>
    <sheet name="Continuous" sheetId="2" r:id="rId3"/>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5" i="3" l="1"/>
  <c r="V27" i="3"/>
  <c r="V3" i="3"/>
  <c r="E28" i="3"/>
  <c r="E29" i="3"/>
  <c r="E30" i="3"/>
  <c r="E31" i="3"/>
  <c r="E32" i="3"/>
  <c r="E33" i="3"/>
  <c r="E34" i="3"/>
  <c r="E35" i="3"/>
  <c r="E27" i="3"/>
  <c r="E16" i="3"/>
  <c r="E17" i="3"/>
  <c r="E18" i="3"/>
  <c r="E19" i="3"/>
  <c r="E20" i="3"/>
  <c r="E21" i="3"/>
  <c r="E22" i="3"/>
  <c r="E23" i="3"/>
  <c r="E15" i="3"/>
  <c r="E11" i="3"/>
  <c r="E4" i="3"/>
  <c r="E5" i="3"/>
  <c r="E6" i="3"/>
  <c r="E7" i="3"/>
  <c r="E8" i="3"/>
  <c r="E9" i="3"/>
  <c r="E10" i="3"/>
  <c r="E3" i="3"/>
  <c r="F15" i="3"/>
  <c r="G17" i="3" s="1"/>
  <c r="K13" i="2"/>
  <c r="K14" i="2"/>
  <c r="N14" i="2" s="1"/>
  <c r="K15" i="2"/>
  <c r="N15" i="2" s="1"/>
  <c r="K16" i="2"/>
  <c r="K17" i="2"/>
  <c r="K18" i="2"/>
  <c r="K19" i="2"/>
  <c r="N19" i="2" s="1"/>
  <c r="K20" i="2"/>
  <c r="K21" i="2"/>
  <c r="K22" i="2"/>
  <c r="N22" i="2" s="1"/>
  <c r="K23" i="2"/>
  <c r="K24" i="2"/>
  <c r="K25" i="2"/>
  <c r="K26" i="2"/>
  <c r="K12" i="2"/>
  <c r="L12" i="2" s="1"/>
  <c r="J13" i="2"/>
  <c r="J14" i="2"/>
  <c r="J15" i="2"/>
  <c r="J16" i="2"/>
  <c r="J17" i="2"/>
  <c r="J18" i="2"/>
  <c r="J19" i="2"/>
  <c r="J20" i="2"/>
  <c r="J21" i="2"/>
  <c r="J22" i="2"/>
  <c r="J23" i="2"/>
  <c r="J24" i="2"/>
  <c r="J25" i="2"/>
  <c r="J26" i="2"/>
  <c r="J12" i="2"/>
  <c r="I13" i="2"/>
  <c r="I14" i="2"/>
  <c r="I15" i="2"/>
  <c r="I16" i="2"/>
  <c r="I17" i="2"/>
  <c r="I18" i="2"/>
  <c r="I19" i="2"/>
  <c r="I20" i="2"/>
  <c r="I21" i="2"/>
  <c r="I22" i="2"/>
  <c r="I23" i="2"/>
  <c r="I24" i="2"/>
  <c r="I25" i="2"/>
  <c r="I26" i="2"/>
  <c r="I12" i="2"/>
  <c r="H13" i="2"/>
  <c r="H14" i="2"/>
  <c r="H15" i="2"/>
  <c r="R15" i="2" s="1"/>
  <c r="Q15" i="2" s="1"/>
  <c r="H16" i="2"/>
  <c r="H17" i="2"/>
  <c r="H18" i="2"/>
  <c r="H19" i="2"/>
  <c r="H20" i="2"/>
  <c r="H21" i="2"/>
  <c r="H22" i="2"/>
  <c r="R22" i="2" s="1"/>
  <c r="H23" i="2"/>
  <c r="H24" i="2"/>
  <c r="H25" i="2"/>
  <c r="H26" i="2"/>
  <c r="H12" i="2"/>
  <c r="N13" i="2"/>
  <c r="J4" i="2"/>
  <c r="J5" i="2"/>
  <c r="J6" i="2"/>
  <c r="J7" i="2"/>
  <c r="J3" i="2"/>
  <c r="S3" i="2" s="1"/>
  <c r="R3" i="2" s="1"/>
  <c r="S5" i="2"/>
  <c r="O5" i="2"/>
  <c r="I4" i="2"/>
  <c r="L4" i="2" s="1"/>
  <c r="O4" i="2" s="1"/>
  <c r="I5" i="2"/>
  <c r="L5" i="2" s="1"/>
  <c r="I6" i="2"/>
  <c r="L6" i="2" s="1"/>
  <c r="O6" i="2" s="1"/>
  <c r="I7" i="2"/>
  <c r="L7" i="2" s="1"/>
  <c r="O7" i="2" s="1"/>
  <c r="I3" i="2"/>
  <c r="L3" i="2" s="1"/>
  <c r="O3" i="2" s="1"/>
  <c r="W3" i="2" s="1"/>
  <c r="F28" i="3"/>
  <c r="F29" i="3"/>
  <c r="F30" i="3"/>
  <c r="F31" i="3"/>
  <c r="F32" i="3"/>
  <c r="F33" i="3"/>
  <c r="F34" i="3"/>
  <c r="F35" i="3"/>
  <c r="F27" i="3"/>
  <c r="G30" i="3" s="1"/>
  <c r="F16" i="3"/>
  <c r="F17" i="3"/>
  <c r="F18" i="3"/>
  <c r="F19" i="3"/>
  <c r="F20" i="3"/>
  <c r="F21" i="3"/>
  <c r="F22" i="3"/>
  <c r="F23" i="3"/>
  <c r="F4" i="3"/>
  <c r="F5" i="3"/>
  <c r="F6" i="3"/>
  <c r="F7" i="3"/>
  <c r="F8" i="3"/>
  <c r="F9" i="3"/>
  <c r="F10" i="3"/>
  <c r="F11" i="3"/>
  <c r="F3" i="3"/>
  <c r="G5" i="3" s="1"/>
  <c r="I35" i="3"/>
  <c r="H35" i="3"/>
  <c r="I34" i="3"/>
  <c r="H34" i="3"/>
  <c r="I33" i="3"/>
  <c r="H33" i="3"/>
  <c r="I32" i="3"/>
  <c r="H32" i="3"/>
  <c r="I31" i="3"/>
  <c r="H31" i="3"/>
  <c r="I30" i="3"/>
  <c r="H30" i="3"/>
  <c r="I29" i="3"/>
  <c r="H29" i="3"/>
  <c r="I28" i="3"/>
  <c r="H28" i="3"/>
  <c r="I27" i="3"/>
  <c r="H27" i="3"/>
  <c r="I23" i="3"/>
  <c r="H23" i="3"/>
  <c r="I22" i="3"/>
  <c r="H22" i="3"/>
  <c r="I21" i="3"/>
  <c r="H21" i="3"/>
  <c r="I20" i="3"/>
  <c r="H20" i="3"/>
  <c r="I19" i="3"/>
  <c r="H19" i="3"/>
  <c r="I18" i="3"/>
  <c r="H18" i="3"/>
  <c r="I17" i="3"/>
  <c r="H17" i="3"/>
  <c r="I16" i="3"/>
  <c r="H16" i="3"/>
  <c r="I15" i="3"/>
  <c r="H15" i="3"/>
  <c r="I11" i="3"/>
  <c r="H11" i="3"/>
  <c r="I10" i="3"/>
  <c r="H10" i="3"/>
  <c r="I9" i="3"/>
  <c r="H9" i="3"/>
  <c r="I8" i="3"/>
  <c r="H8" i="3"/>
  <c r="I7" i="3"/>
  <c r="H7" i="3"/>
  <c r="I6" i="3"/>
  <c r="H6" i="3"/>
  <c r="I5" i="3"/>
  <c r="H5" i="3"/>
  <c r="I4" i="3"/>
  <c r="H4" i="3"/>
  <c r="I3" i="3"/>
  <c r="H3" i="3"/>
  <c r="K3" i="3" l="1"/>
  <c r="N18" i="2"/>
  <c r="W5" i="2"/>
  <c r="R19" i="2"/>
  <c r="Q19" i="2" s="1"/>
  <c r="N25" i="2"/>
  <c r="L15" i="3"/>
  <c r="J4" i="3"/>
  <c r="J8" i="3"/>
  <c r="K15" i="3"/>
  <c r="M15" i="3" s="1"/>
  <c r="J23" i="3"/>
  <c r="J34" i="3"/>
  <c r="M3" i="3"/>
  <c r="K27" i="3"/>
  <c r="L27" i="3"/>
  <c r="L3" i="3"/>
  <c r="N20" i="2"/>
  <c r="N16" i="2"/>
  <c r="M18" i="2"/>
  <c r="R16" i="2"/>
  <c r="Q16" i="2" s="1"/>
  <c r="R26" i="2"/>
  <c r="Q26" i="2" s="1"/>
  <c r="S26" i="2" s="1"/>
  <c r="V22" i="2"/>
  <c r="R18" i="2"/>
  <c r="Q18" i="2" s="1"/>
  <c r="S18" i="2" s="1"/>
  <c r="T18" i="2" s="1"/>
  <c r="V15" i="2"/>
  <c r="R14" i="2"/>
  <c r="Q14" i="2" s="1"/>
  <c r="S14" i="2" s="1"/>
  <c r="T14" i="2" s="1"/>
  <c r="M26" i="2"/>
  <c r="U26" i="2" s="1"/>
  <c r="L22" i="2"/>
  <c r="N26" i="2"/>
  <c r="N21" i="2"/>
  <c r="V19" i="2"/>
  <c r="L18" i="2"/>
  <c r="O18" i="2"/>
  <c r="P18" i="2" s="1"/>
  <c r="V18" i="2"/>
  <c r="M16" i="2"/>
  <c r="L25" i="2"/>
  <c r="M25" i="2"/>
  <c r="S19" i="2"/>
  <c r="T19" i="2" s="1"/>
  <c r="M24" i="2"/>
  <c r="M20" i="2"/>
  <c r="L20" i="2"/>
  <c r="M23" i="2"/>
  <c r="M21" i="2"/>
  <c r="M17" i="2"/>
  <c r="Q22" i="2"/>
  <c r="R21" i="2"/>
  <c r="Q21" i="2" s="1"/>
  <c r="R20" i="2"/>
  <c r="Q20" i="2" s="1"/>
  <c r="N17" i="2"/>
  <c r="R25" i="2"/>
  <c r="N24" i="2"/>
  <c r="M22" i="2"/>
  <c r="R17" i="2"/>
  <c r="Q17" i="2" s="1"/>
  <c r="R24" i="2"/>
  <c r="Q24" i="2" s="1"/>
  <c r="N23" i="2"/>
  <c r="R23" i="2"/>
  <c r="Q23" i="2" s="1"/>
  <c r="M12" i="2"/>
  <c r="S16" i="2"/>
  <c r="T16" i="2" s="1"/>
  <c r="V16" i="2"/>
  <c r="S15" i="2"/>
  <c r="T15" i="2" s="1"/>
  <c r="L16" i="2"/>
  <c r="R12" i="2"/>
  <c r="Q12" i="2" s="1"/>
  <c r="N12" i="2"/>
  <c r="R13" i="2"/>
  <c r="Q13" i="2" s="1"/>
  <c r="T3" i="2"/>
  <c r="U3" i="2" s="1"/>
  <c r="S4" i="2"/>
  <c r="R4" i="2" s="1"/>
  <c r="S7" i="2"/>
  <c r="W7" i="2" s="1"/>
  <c r="S6" i="2"/>
  <c r="W6" i="2" s="1"/>
  <c r="K7" i="2"/>
  <c r="K6" i="2"/>
  <c r="K5" i="2"/>
  <c r="K4" i="2"/>
  <c r="K3" i="2"/>
  <c r="R5" i="2"/>
  <c r="K4" i="3"/>
  <c r="G11" i="3"/>
  <c r="P11" i="3" s="1"/>
  <c r="G10" i="3"/>
  <c r="G3" i="3"/>
  <c r="P3" i="3" s="1"/>
  <c r="L21" i="3"/>
  <c r="P5" i="3"/>
  <c r="J18" i="3"/>
  <c r="G9" i="3"/>
  <c r="P9" i="3" s="1"/>
  <c r="P17" i="3"/>
  <c r="G27" i="3"/>
  <c r="P27" i="3" s="1"/>
  <c r="P10" i="3"/>
  <c r="G35" i="3"/>
  <c r="P35" i="3" s="1"/>
  <c r="G8" i="3"/>
  <c r="P8" i="3" s="1"/>
  <c r="G29" i="3"/>
  <c r="P29" i="3" s="1"/>
  <c r="L9" i="3"/>
  <c r="J35" i="3"/>
  <c r="G7" i="3"/>
  <c r="P7" i="3" s="1"/>
  <c r="G31" i="3"/>
  <c r="P31" i="3" s="1"/>
  <c r="L31" i="3"/>
  <c r="J30" i="3"/>
  <c r="G6" i="3"/>
  <c r="P6" i="3" s="1"/>
  <c r="G33" i="3"/>
  <c r="P33" i="3" s="1"/>
  <c r="K9" i="3"/>
  <c r="K31" i="3"/>
  <c r="G4" i="3"/>
  <c r="P4" i="3" s="1"/>
  <c r="P30" i="3"/>
  <c r="L23" i="3"/>
  <c r="K10" i="3"/>
  <c r="L18" i="3"/>
  <c r="K21" i="3"/>
  <c r="L29" i="3"/>
  <c r="K32" i="3"/>
  <c r="G23" i="3"/>
  <c r="P23" i="3" s="1"/>
  <c r="G19" i="3"/>
  <c r="P19" i="3" s="1"/>
  <c r="G32" i="3"/>
  <c r="P32" i="3" s="1"/>
  <c r="G28" i="3"/>
  <c r="P28" i="3" s="1"/>
  <c r="G16" i="3"/>
  <c r="P16" i="3" s="1"/>
  <c r="G15" i="3"/>
  <c r="P15" i="3" s="1"/>
  <c r="T15" i="3" s="1"/>
  <c r="L7" i="3"/>
  <c r="G22" i="3"/>
  <c r="P22" i="3" s="1"/>
  <c r="G18" i="3"/>
  <c r="P18" i="3" s="1"/>
  <c r="L19" i="3"/>
  <c r="G20" i="3"/>
  <c r="P20" i="3" s="1"/>
  <c r="K5" i="3"/>
  <c r="J6" i="3"/>
  <c r="J28" i="3"/>
  <c r="G21" i="3"/>
  <c r="P21" i="3" s="1"/>
  <c r="G34" i="3"/>
  <c r="P34" i="3" s="1"/>
  <c r="K29" i="3"/>
  <c r="J7" i="3"/>
  <c r="L5" i="3"/>
  <c r="K16" i="3"/>
  <c r="L16" i="3"/>
  <c r="J29" i="3"/>
  <c r="L32" i="3"/>
  <c r="L6" i="3"/>
  <c r="L11" i="3"/>
  <c r="K17" i="3"/>
  <c r="L22" i="3"/>
  <c r="L35" i="3"/>
  <c r="T35" i="3" s="1"/>
  <c r="J31" i="3"/>
  <c r="J19" i="3"/>
  <c r="L17" i="3"/>
  <c r="K20" i="3"/>
  <c r="M20" i="3" s="1"/>
  <c r="J22" i="3"/>
  <c r="L30" i="3"/>
  <c r="K19" i="3"/>
  <c r="M19" i="3" s="1"/>
  <c r="L10" i="3"/>
  <c r="L34" i="3"/>
  <c r="J3" i="3"/>
  <c r="K7" i="3"/>
  <c r="J9" i="3"/>
  <c r="J15" i="3"/>
  <c r="J20" i="3"/>
  <c r="K23" i="3"/>
  <c r="M23" i="3" s="1"/>
  <c r="L28" i="3"/>
  <c r="T28" i="3" s="1"/>
  <c r="L33" i="3"/>
  <c r="L20" i="3"/>
  <c r="K34" i="3"/>
  <c r="J5" i="3"/>
  <c r="J10" i="3"/>
  <c r="J27" i="3"/>
  <c r="J32" i="3"/>
  <c r="L4" i="3"/>
  <c r="K18" i="3"/>
  <c r="M18" i="3" s="1"/>
  <c r="K35" i="3"/>
  <c r="J16" i="3"/>
  <c r="J21" i="3"/>
  <c r="L8" i="3"/>
  <c r="K11" i="3"/>
  <c r="K22" i="3"/>
  <c r="K33" i="3"/>
  <c r="J11" i="3"/>
  <c r="J33" i="3"/>
  <c r="K6" i="3"/>
  <c r="K28" i="3"/>
  <c r="K8" i="3"/>
  <c r="K30" i="3"/>
  <c r="M30" i="3" s="1"/>
  <c r="J17" i="3"/>
  <c r="T4" i="3" l="1"/>
  <c r="T10" i="3"/>
  <c r="T18" i="3"/>
  <c r="M27" i="3"/>
  <c r="T16" i="3"/>
  <c r="T19" i="3"/>
  <c r="T30" i="3"/>
  <c r="T6" i="3"/>
  <c r="M32" i="3"/>
  <c r="N32" i="3" s="1"/>
  <c r="M34" i="3"/>
  <c r="N34" i="3" s="1"/>
  <c r="T17" i="3"/>
  <c r="T7" i="3"/>
  <c r="T20" i="3"/>
  <c r="T3" i="3"/>
  <c r="O3" i="3"/>
  <c r="Q3" i="3" s="1"/>
  <c r="U3" i="3" s="1"/>
  <c r="T27" i="3"/>
  <c r="O27" i="3"/>
  <c r="S27" i="3" s="1"/>
  <c r="M33" i="3"/>
  <c r="N33" i="3" s="1"/>
  <c r="O15" i="3"/>
  <c r="S15" i="3" s="1"/>
  <c r="Q15" i="3"/>
  <c r="U15" i="3" s="1"/>
  <c r="M29" i="3"/>
  <c r="N29" i="3" s="1"/>
  <c r="O31" i="3"/>
  <c r="S31" i="3" s="1"/>
  <c r="Q31" i="3"/>
  <c r="T32" i="3"/>
  <c r="T29" i="3"/>
  <c r="O32" i="3"/>
  <c r="S32" i="3" s="1"/>
  <c r="O34" i="3"/>
  <c r="Q34" i="3" s="1"/>
  <c r="O29" i="3"/>
  <c r="Q29" i="3" s="1"/>
  <c r="T31" i="3"/>
  <c r="O30" i="3"/>
  <c r="M28" i="3"/>
  <c r="N28" i="3" s="1"/>
  <c r="M31" i="3"/>
  <c r="M35" i="3"/>
  <c r="O33" i="3"/>
  <c r="S33" i="3" s="1"/>
  <c r="Q33" i="3"/>
  <c r="T33" i="3"/>
  <c r="T34" i="3"/>
  <c r="N30" i="3"/>
  <c r="O28" i="3"/>
  <c r="Q28" i="3" s="1"/>
  <c r="U28" i="3" s="1"/>
  <c r="O35" i="3"/>
  <c r="S35" i="3" s="1"/>
  <c r="M21" i="3"/>
  <c r="N21" i="3" s="1"/>
  <c r="N18" i="3"/>
  <c r="T21" i="3"/>
  <c r="M22" i="3"/>
  <c r="N23" i="3"/>
  <c r="N19" i="3"/>
  <c r="T22" i="3"/>
  <c r="O20" i="3"/>
  <c r="S20" i="3" s="1"/>
  <c r="Q20" i="3"/>
  <c r="U20" i="3" s="1"/>
  <c r="T23" i="3"/>
  <c r="O22" i="3"/>
  <c r="Q22" i="3" s="1"/>
  <c r="R22" i="3" s="1"/>
  <c r="O16" i="3"/>
  <c r="Q16" i="3" s="1"/>
  <c r="M17" i="3"/>
  <c r="O19" i="3"/>
  <c r="Q19" i="3" s="1"/>
  <c r="R19" i="3" s="1"/>
  <c r="V19" i="3" s="1"/>
  <c r="N20" i="3"/>
  <c r="M16" i="3"/>
  <c r="N16" i="3" s="1"/>
  <c r="O18" i="3"/>
  <c r="S18" i="3" s="1"/>
  <c r="O23" i="3"/>
  <c r="S23" i="3" s="1"/>
  <c r="Q23" i="3"/>
  <c r="R23" i="3" s="1"/>
  <c r="O17" i="3"/>
  <c r="Q17" i="3" s="1"/>
  <c r="R17" i="3" s="1"/>
  <c r="O9" i="3"/>
  <c r="Q9" i="3" s="1"/>
  <c r="T9" i="3"/>
  <c r="O8" i="3"/>
  <c r="S8" i="3" s="1"/>
  <c r="O11" i="3"/>
  <c r="Q11" i="3" s="1"/>
  <c r="O5" i="3"/>
  <c r="S5" i="3" s="1"/>
  <c r="O6" i="3"/>
  <c r="S6" i="3" s="1"/>
  <c r="Q6" i="3"/>
  <c r="T5" i="3"/>
  <c r="O10" i="3"/>
  <c r="S10" i="3" s="1"/>
  <c r="T8" i="3"/>
  <c r="T11" i="3"/>
  <c r="O4" i="3"/>
  <c r="Q4" i="3" s="1"/>
  <c r="O7" i="3"/>
  <c r="S7" i="3" s="1"/>
  <c r="U18" i="2"/>
  <c r="V26" i="2"/>
  <c r="U16" i="2"/>
  <c r="L21" i="2"/>
  <c r="L17" i="2"/>
  <c r="O16" i="2"/>
  <c r="P16" i="2" s="1"/>
  <c r="X16" i="2" s="1"/>
  <c r="V23" i="2"/>
  <c r="W18" i="2"/>
  <c r="V14" i="2"/>
  <c r="V24" i="2"/>
  <c r="O26" i="2"/>
  <c r="P26" i="2" s="1"/>
  <c r="L26" i="2"/>
  <c r="V20" i="2"/>
  <c r="L19" i="2"/>
  <c r="M19" i="2"/>
  <c r="X18" i="2"/>
  <c r="M15" i="2"/>
  <c r="L15" i="2"/>
  <c r="V13" i="2"/>
  <c r="S17" i="2"/>
  <c r="T17" i="2" s="1"/>
  <c r="S21" i="2"/>
  <c r="T21" i="2" s="1"/>
  <c r="U23" i="2"/>
  <c r="O23" i="2"/>
  <c r="P23" i="2" s="1"/>
  <c r="L24" i="2"/>
  <c r="S22" i="2"/>
  <c r="T22" i="2" s="1"/>
  <c r="L23" i="2"/>
  <c r="S23" i="2"/>
  <c r="T23" i="2" s="1"/>
  <c r="U22" i="2"/>
  <c r="O22" i="2"/>
  <c r="P22" i="2" s="1"/>
  <c r="T26" i="2"/>
  <c r="U21" i="2"/>
  <c r="O21" i="2"/>
  <c r="P21" i="2" s="1"/>
  <c r="S24" i="2"/>
  <c r="T24" i="2" s="1"/>
  <c r="V21" i="2"/>
  <c r="O25" i="2"/>
  <c r="O17" i="2"/>
  <c r="U17" i="2"/>
  <c r="Q25" i="2"/>
  <c r="V25" i="2"/>
  <c r="U20" i="2"/>
  <c r="O20" i="2"/>
  <c r="P20" i="2" s="1"/>
  <c r="V17" i="2"/>
  <c r="S20" i="2"/>
  <c r="T20" i="2" s="1"/>
  <c r="U24" i="2"/>
  <c r="O24" i="2"/>
  <c r="M13" i="2"/>
  <c r="L13" i="2"/>
  <c r="V12" i="2"/>
  <c r="S12" i="2"/>
  <c r="T12" i="2" s="1"/>
  <c r="L14" i="2"/>
  <c r="M14" i="2"/>
  <c r="U12" i="2"/>
  <c r="O12" i="2"/>
  <c r="S13" i="2"/>
  <c r="T13" i="2" s="1"/>
  <c r="T5" i="2"/>
  <c r="U5" i="2"/>
  <c r="W4" i="2"/>
  <c r="M3" i="2"/>
  <c r="N3" i="2"/>
  <c r="R7" i="2"/>
  <c r="T4" i="2"/>
  <c r="U4" i="2" s="1"/>
  <c r="M4" i="2"/>
  <c r="N4" i="2"/>
  <c r="M5" i="2"/>
  <c r="N5" i="2"/>
  <c r="M6" i="2"/>
  <c r="N6" i="2"/>
  <c r="M7" i="2"/>
  <c r="N7" i="2"/>
  <c r="R6" i="2"/>
  <c r="M6" i="3"/>
  <c r="M5" i="3"/>
  <c r="M10" i="3"/>
  <c r="M9" i="3"/>
  <c r="N9" i="3" s="1"/>
  <c r="M7" i="3"/>
  <c r="S29" i="3"/>
  <c r="M8" i="3"/>
  <c r="M11" i="3"/>
  <c r="N11" i="3" s="1"/>
  <c r="M4" i="3"/>
  <c r="N4" i="3" s="1"/>
  <c r="O21" i="3"/>
  <c r="S4" i="3"/>
  <c r="S30" i="3" l="1"/>
  <c r="Q30" i="3"/>
  <c r="R30" i="3" s="1"/>
  <c r="S9" i="3"/>
  <c r="U16" i="3"/>
  <c r="U33" i="3"/>
  <c r="S3" i="3"/>
  <c r="Q7" i="3"/>
  <c r="U7" i="3" s="1"/>
  <c r="R34" i="3"/>
  <c r="U34" i="3"/>
  <c r="S22" i="3"/>
  <c r="S19" i="3"/>
  <c r="Q10" i="3"/>
  <c r="U10" i="3" s="1"/>
  <c r="Q35" i="3"/>
  <c r="R35" i="3" s="1"/>
  <c r="S28" i="3"/>
  <c r="V23" i="3"/>
  <c r="S34" i="3"/>
  <c r="R3" i="3"/>
  <c r="Q8" i="3"/>
  <c r="R8" i="3" s="1"/>
  <c r="Q18" i="3"/>
  <c r="R18" i="3" s="1"/>
  <c r="V18" i="3" s="1"/>
  <c r="Q32" i="3"/>
  <c r="U32" i="3" s="1"/>
  <c r="Q27" i="3"/>
  <c r="U27" i="3" s="1"/>
  <c r="S16" i="3"/>
  <c r="R15" i="3"/>
  <c r="U29" i="3"/>
  <c r="U9" i="3"/>
  <c r="V30" i="3"/>
  <c r="N35" i="3"/>
  <c r="R29" i="3"/>
  <c r="V29" i="3" s="1"/>
  <c r="R32" i="3"/>
  <c r="V32" i="3" s="1"/>
  <c r="R28" i="3"/>
  <c r="V28" i="3" s="1"/>
  <c r="N31" i="3"/>
  <c r="U31" i="3"/>
  <c r="V34" i="3"/>
  <c r="R33" i="3"/>
  <c r="V33" i="3" s="1"/>
  <c r="U30" i="3"/>
  <c r="R31" i="3"/>
  <c r="U22" i="3"/>
  <c r="N17" i="3"/>
  <c r="V17" i="3" s="1"/>
  <c r="U17" i="3"/>
  <c r="S17" i="3"/>
  <c r="R16" i="3"/>
  <c r="V16" i="3" s="1"/>
  <c r="S21" i="3"/>
  <c r="U19" i="3"/>
  <c r="U23" i="3"/>
  <c r="N22" i="3"/>
  <c r="V22" i="3" s="1"/>
  <c r="R20" i="3"/>
  <c r="V20" i="3" s="1"/>
  <c r="Q21" i="3"/>
  <c r="U21" i="3" s="1"/>
  <c r="N10" i="3"/>
  <c r="U11" i="3"/>
  <c r="S11" i="3"/>
  <c r="U4" i="3"/>
  <c r="N7" i="3"/>
  <c r="N6" i="3"/>
  <c r="U6" i="3"/>
  <c r="R6" i="3"/>
  <c r="R11" i="3"/>
  <c r="V11" i="3" s="1"/>
  <c r="N5" i="3"/>
  <c r="N8" i="3"/>
  <c r="R4" i="3"/>
  <c r="V4" i="3" s="1"/>
  <c r="Q5" i="3"/>
  <c r="U5" i="3" s="1"/>
  <c r="R9" i="3"/>
  <c r="V9" i="3" s="1"/>
  <c r="W16" i="2"/>
  <c r="X26" i="2"/>
  <c r="X22" i="2"/>
  <c r="W22" i="2"/>
  <c r="W26" i="2"/>
  <c r="O19" i="2"/>
  <c r="W19" i="2" s="1"/>
  <c r="U19" i="2"/>
  <c r="W17" i="2"/>
  <c r="O15" i="2"/>
  <c r="W15" i="2" s="1"/>
  <c r="U15" i="2"/>
  <c r="S25" i="2"/>
  <c r="T25" i="2" s="1"/>
  <c r="X23" i="2"/>
  <c r="W23" i="2"/>
  <c r="P17" i="2"/>
  <c r="X17" i="2" s="1"/>
  <c r="W24" i="2"/>
  <c r="U25" i="2"/>
  <c r="X21" i="2"/>
  <c r="X20" i="2"/>
  <c r="W21" i="2"/>
  <c r="W20" i="2"/>
  <c r="P24" i="2"/>
  <c r="X24" i="2" s="1"/>
  <c r="P25" i="2"/>
  <c r="W12" i="2"/>
  <c r="O14" i="2"/>
  <c r="W14" i="2" s="1"/>
  <c r="U14" i="2"/>
  <c r="P12" i="2"/>
  <c r="X12" i="2" s="1"/>
  <c r="U13" i="2"/>
  <c r="O13" i="2"/>
  <c r="W13" i="2" s="1"/>
  <c r="V6" i="2"/>
  <c r="P6" i="2"/>
  <c r="V5" i="2"/>
  <c r="P5" i="2"/>
  <c r="X5" i="2" s="1"/>
  <c r="P7" i="2"/>
  <c r="V7" i="2"/>
  <c r="T7" i="2"/>
  <c r="U7" i="2"/>
  <c r="V3" i="2"/>
  <c r="P3" i="2"/>
  <c r="X3" i="2" s="1"/>
  <c r="Q3" i="2"/>
  <c r="Y3" i="2" s="1"/>
  <c r="V4" i="2"/>
  <c r="P4" i="2"/>
  <c r="X4" i="2" s="1"/>
  <c r="T6" i="2"/>
  <c r="U6" i="2"/>
  <c r="X7" i="2" l="1"/>
  <c r="Q4" i="2"/>
  <c r="Y4" i="2" s="1"/>
  <c r="X6" i="2"/>
  <c r="R7" i="3"/>
  <c r="U8" i="3"/>
  <c r="U35" i="3"/>
  <c r="V35" i="3"/>
  <c r="V8" i="3"/>
  <c r="R10" i="3"/>
  <c r="V10" i="3" s="1"/>
  <c r="U18" i="3"/>
  <c r="V31" i="3"/>
  <c r="R27" i="3"/>
  <c r="R21" i="3"/>
  <c r="V21" i="3" s="1"/>
  <c r="R5" i="3"/>
  <c r="V6" i="3"/>
  <c r="V5" i="3"/>
  <c r="V7" i="3"/>
  <c r="P19" i="2"/>
  <c r="X19" i="2" s="1"/>
  <c r="P15" i="2"/>
  <c r="X15" i="2" s="1"/>
  <c r="W25" i="2"/>
  <c r="X25" i="2"/>
  <c r="P13" i="2"/>
  <c r="X13" i="2" s="1"/>
  <c r="P14" i="2"/>
  <c r="X14" i="2" s="1"/>
  <c r="Q6" i="2"/>
  <c r="Y6" i="2" s="1"/>
  <c r="Q5" i="2"/>
  <c r="Y5" i="2" s="1"/>
  <c r="Q7" i="2"/>
  <c r="Y7" i="2" s="1"/>
</calcChain>
</file>

<file path=xl/sharedStrings.xml><?xml version="1.0" encoding="utf-8"?>
<sst xmlns="http://schemas.openxmlformats.org/spreadsheetml/2006/main" count="126" uniqueCount="49">
  <si>
    <t>Ethanol (mgCOD/L)</t>
  </si>
  <si>
    <t>sulfate (mg/L)</t>
  </si>
  <si>
    <t>CH4 (mgCOD/L)</t>
  </si>
  <si>
    <t>E_in (mmol e-/L)</t>
  </si>
  <si>
    <t>E_expressed (mmol e-/L)</t>
  </si>
  <si>
    <t>f_target</t>
  </si>
  <si>
    <t>f_competing</t>
  </si>
  <si>
    <t>Shu2025-CFR control</t>
  </si>
  <si>
    <t>Time (h)</t>
  </si>
  <si>
    <t>Shu2025-CFR PAC</t>
  </si>
  <si>
    <t>Shu2025-CFR Fe3O4</t>
  </si>
  <si>
    <t>E_target (mmol e-/L) (CH4)</t>
  </si>
  <si>
    <t>E_competing (mmol e-/L) (Sulfate)</t>
  </si>
  <si>
    <t>f_target_eff</t>
  </si>
  <si>
    <t>f_competing_eff</t>
  </si>
  <si>
    <t>A_target_eff</t>
  </si>
  <si>
    <t>f_target_nom</t>
  </si>
  <si>
    <t>f_competing_nom</t>
  </si>
  <si>
    <t>A_target_nom</t>
  </si>
  <si>
    <t>Ecap_sulfate</t>
  </si>
  <si>
    <t>delta_f_competing</t>
  </si>
  <si>
    <t>Delta_A_target</t>
  </si>
  <si>
    <t>delta_f_target</t>
  </si>
  <si>
    <t>Ecap_sulfate,t=0</t>
  </si>
  <si>
    <t>delta_f_expressed</t>
  </si>
  <si>
    <t>f_expressed_eff</t>
  </si>
  <si>
    <t>f_expressed_nom</t>
  </si>
  <si>
    <t>HRT (h)</t>
  </si>
  <si>
    <t>OLR (gCOD/l/d)</t>
  </si>
  <si>
    <t>COD_in (mgCOD/L)</t>
  </si>
  <si>
    <t>SO4_in (mg/L)</t>
  </si>
  <si>
    <t>CH4-COD (%CODin)</t>
  </si>
  <si>
    <t>Sulfide-COD (%CODin)</t>
  </si>
  <si>
    <t>H2S_g-COD (%CODin)</t>
  </si>
  <si>
    <t>Effluent COD (%CODin)</t>
  </si>
  <si>
    <t>Jing 2013 - The effect of residence-time/loading regime</t>
  </si>
  <si>
    <t>Jing 2013 - Reactor state evolves during  operational day</t>
  </si>
  <si>
    <t>Day</t>
  </si>
  <si>
    <t>SO4_out  (mg/L)</t>
  </si>
  <si>
    <t>Gas production (L/Lreactor/d)</t>
  </si>
  <si>
    <t>CH4 (%)</t>
  </si>
  <si>
    <t>E_in (mmol e-/L/d)</t>
  </si>
  <si>
    <t>E_target (mmol e-/L/d) (CH4)</t>
  </si>
  <si>
    <t>Ecap_SR,remaining</t>
  </si>
  <si>
    <t>Ecap_SR, initial</t>
  </si>
  <si>
    <t>NC</t>
  </si>
  <si>
    <t>Supplementary Data 3. Time-resolved electron allocation in SR–MG systems</t>
  </si>
  <si>
    <r>
      <t>Jing et al. (2013), sheet Continuous.</t>
    </r>
    <r>
      <rPr>
        <sz val="12"/>
        <color theme="1"/>
        <rFont val="Aptos Narrow"/>
        <family val="2"/>
        <scheme val="minor"/>
      </rPr>
      <t xml:space="preserve"> Two data sets were used. (i) Steady-state COD conversion at HRTs of 12, 6, 4, 3, and 2 h was taken from Fig. 4a (CH4, aqueous sulfide, gaseous H2S, and effluent COD, as % of influent COD). (ii) The operational time course was digitized from Fig. 2 (influent and effluent sulfate, gas production, and CH4 content) and expressed per litre of reactor per day using the HRT of each period. Gas volumes were reported at standard conditions (0 °C, 1 atm) and converted using 22.414 L/mol. The digitized values were consistent with those reported in the text (e.g., A_target = 48.5% at an HRT of 2 h; sulfate reduction rate of about 3.9 g/L/d and methane yield of 0.23 L/g COD at an HRT of 6 h).</t>
    </r>
  </si>
  <si>
    <r>
      <rPr>
        <b/>
        <sz val="12"/>
        <color theme="1"/>
        <rFont val="Aptos Narrow"/>
        <scheme val="minor"/>
      </rPr>
      <t>Shu et al. (2025), sheet Batch.</t>
    </r>
    <r>
      <rPr>
        <sz val="12"/>
        <color theme="1"/>
        <rFont val="Aptos Narrow"/>
        <family val="2"/>
        <scheme val="minor"/>
      </rPr>
      <t xml:space="preserve">  Concentrations of ethanol, sulfate, and CH4 during typical 24-h cycles of the three continuously fed reactors (CFR-control, CFR-PAC, and CFR-Fe3O4) were digitized from Fig. 2d–f. E_in comprised the initial ethanol and the acetate present at t = 0 (approximately 50, 160, and 160 mg COD/L for the control, PAC, and Fe3O4 cycles), which was treated as E_pool,start. E_target was the cumulative CH4-COD and E_competing the cumulative sulfate reduced (8 mol e⁻ per mol SO4). The nominal allocation was calculated from the initial sulfate capacity as in Supplementary Data 2. Acetate formed during the cycle and not yet converted was not assigned to a sink and is contained in E_unresolved.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</si>
</sst>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scheme val="minor"/>
    </font>
    <font>
      <sz val="8"/>
      <name val="Aptos Narrow"/>
      <family val="2"/>
      <scheme val="minor"/>
    </font>
    <font>
      <b/>
      <sz val="12"/>
      <color theme="1"/>
      <name val="Aptos Narrow"/>
      <family val="2"/>
      <scheme val="minor"/>
    </font>
    <font>
      <sz val="12"/>
      <color theme="1"/>
      <name val="Aptos Narrow"/>
      <scheme val="minor"/>
    </font>
  </fonts>
  <fills count="9">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4" borderId="1" xfId="0" applyFill="1" applyBorder="1"/>
    <xf numFmtId="0" fontId="0" fillId="3" borderId="1" xfId="0" applyFill="1" applyBorder="1"/>
    <xf numFmtId="0" fontId="0" fillId="5" borderId="1" xfId="0" applyFill="1" applyBorder="1"/>
    <xf numFmtId="0" fontId="1" fillId="0" borderId="0" xfId="0" applyFont="1"/>
    <xf numFmtId="2" fontId="0" fillId="5" borderId="1" xfId="0" applyNumberFormat="1" applyFill="1" applyBorder="1"/>
    <xf numFmtId="2" fontId="0" fillId="4" borderId="1" xfId="0" applyNumberFormat="1" applyFill="1" applyBorder="1"/>
    <xf numFmtId="2" fontId="0" fillId="5" borderId="1" xfId="0" applyNumberFormat="1" applyFill="1" applyBorder="1" applyAlignment="1">
      <alignment horizontal="center"/>
    </xf>
    <xf numFmtId="0" fontId="1" fillId="6" borderId="1" xfId="0" applyFont="1" applyFill="1" applyBorder="1" applyAlignment="1">
      <alignment horizontal="center" vertical="center" wrapText="1"/>
    </xf>
    <xf numFmtId="2" fontId="0" fillId="6" borderId="1" xfId="0" applyNumberFormat="1" applyFill="1" applyBorder="1"/>
    <xf numFmtId="0" fontId="1" fillId="7" borderId="1" xfId="0" applyFont="1" applyFill="1" applyBorder="1" applyAlignment="1">
      <alignment horizontal="center" vertical="center" wrapText="1"/>
    </xf>
    <xf numFmtId="0" fontId="0" fillId="7" borderId="1" xfId="0" applyFill="1" applyBorder="1"/>
    <xf numFmtId="0" fontId="1" fillId="8" borderId="1" xfId="0" applyFont="1" applyFill="1" applyBorder="1" applyAlignment="1">
      <alignment horizontal="center" vertical="center" wrapText="1"/>
    </xf>
    <xf numFmtId="0" fontId="0" fillId="8" borderId="1" xfId="0" applyFill="1" applyBorder="1"/>
    <xf numFmtId="2" fontId="0" fillId="8" borderId="1" xfId="0" applyNumberFormat="1" applyFill="1" applyBorder="1" applyAlignment="1">
      <alignment horizontal="center"/>
    </xf>
    <xf numFmtId="2" fontId="0" fillId="8" borderId="1" xfId="0" applyNumberFormat="1" applyFill="1" applyBorder="1"/>
    <xf numFmtId="0" fontId="1" fillId="7" borderId="1" xfId="0" applyFont="1" applyFill="1" applyBorder="1" applyAlignment="1">
      <alignment wrapText="1"/>
    </xf>
    <xf numFmtId="2" fontId="0" fillId="6" borderId="1" xfId="0" applyNumberFormat="1" applyFill="1" applyBorder="1" applyAlignment="1">
      <alignment horizontal="center"/>
    </xf>
    <xf numFmtId="0" fontId="0" fillId="0" borderId="0" xfId="0" applyAlignment="1">
      <alignment horizontal="center"/>
    </xf>
    <xf numFmtId="0" fontId="1" fillId="0" borderId="0" xfId="0" applyFont="1" applyAlignment="1">
      <alignment horizontal="center"/>
    </xf>
    <xf numFmtId="0" fontId="0" fillId="4" borderId="1" xfId="0" applyFill="1" applyBorder="1" applyAlignment="1">
      <alignment horizontal="center"/>
    </xf>
    <xf numFmtId="0" fontId="0" fillId="3" borderId="1" xfId="0" applyFill="1" applyBorder="1" applyAlignment="1">
      <alignment horizontal="center"/>
    </xf>
    <xf numFmtId="0" fontId="0" fillId="5" borderId="1" xfId="0" applyFill="1" applyBorder="1" applyAlignment="1">
      <alignment horizontal="center"/>
    </xf>
    <xf numFmtId="2" fontId="0" fillId="4" borderId="1" xfId="0" applyNumberFormat="1" applyFill="1" applyBorder="1" applyAlignment="1">
      <alignment horizontal="center"/>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horizontal="left" vertical="center" wrapText="1"/>
    </xf>
    <xf numFmtId="0" fontId="3"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872FA-FB66-8945-B95A-9399E699FB5C}">
  <dimension ref="A2:H37"/>
  <sheetViews>
    <sheetView workbookViewId="0">
      <selection activeCell="J6" sqref="J6"/>
    </sheetView>
  </sheetViews>
  <sheetFormatPr baseColWidth="10" defaultRowHeight="16" x14ac:dyDescent="0.2"/>
  <sheetData>
    <row r="2" spans="1:8" x14ac:dyDescent="0.2">
      <c r="A2" s="7" t="s">
        <v>46</v>
      </c>
    </row>
    <row r="4" spans="1:8" x14ac:dyDescent="0.2">
      <c r="A4" s="29" t="s">
        <v>48</v>
      </c>
      <c r="B4" s="29"/>
      <c r="C4" s="29"/>
      <c r="D4" s="29"/>
      <c r="E4" s="29"/>
      <c r="F4" s="29"/>
      <c r="G4" s="29"/>
    </row>
    <row r="5" spans="1:8" x14ac:dyDescent="0.2">
      <c r="A5" s="29"/>
      <c r="B5" s="29"/>
      <c r="C5" s="29"/>
      <c r="D5" s="29"/>
      <c r="E5" s="29"/>
      <c r="F5" s="29"/>
      <c r="G5" s="29"/>
    </row>
    <row r="6" spans="1:8" x14ac:dyDescent="0.2">
      <c r="A6" s="29"/>
      <c r="B6" s="29"/>
      <c r="C6" s="29"/>
      <c r="D6" s="29"/>
      <c r="E6" s="29"/>
      <c r="F6" s="29"/>
      <c r="G6" s="29"/>
    </row>
    <row r="7" spans="1:8" x14ac:dyDescent="0.2">
      <c r="A7" s="29"/>
      <c r="B7" s="29"/>
      <c r="C7" s="29"/>
      <c r="D7" s="29"/>
      <c r="E7" s="29"/>
      <c r="F7" s="29"/>
      <c r="G7" s="29"/>
    </row>
    <row r="8" spans="1:8" x14ac:dyDescent="0.2">
      <c r="A8" s="29"/>
      <c r="B8" s="29"/>
      <c r="C8" s="29"/>
      <c r="D8" s="29"/>
      <c r="E8" s="29"/>
      <c r="F8" s="29"/>
      <c r="G8" s="29"/>
    </row>
    <row r="9" spans="1:8" x14ac:dyDescent="0.2">
      <c r="A9" s="29"/>
      <c r="B9" s="29"/>
      <c r="C9" s="29"/>
      <c r="D9" s="29"/>
      <c r="E9" s="29"/>
      <c r="F9" s="29"/>
      <c r="G9" s="29"/>
    </row>
    <row r="10" spans="1:8" x14ac:dyDescent="0.2">
      <c r="A10" s="29"/>
      <c r="B10" s="29"/>
      <c r="C10" s="29"/>
      <c r="D10" s="29"/>
      <c r="E10" s="29"/>
      <c r="F10" s="29"/>
      <c r="G10" s="29"/>
    </row>
    <row r="11" spans="1:8" x14ac:dyDescent="0.2">
      <c r="A11" s="29"/>
      <c r="B11" s="29"/>
      <c r="C11" s="29"/>
      <c r="D11" s="29"/>
      <c r="E11" s="29"/>
      <c r="F11" s="29"/>
      <c r="G11" s="29"/>
    </row>
    <row r="12" spans="1:8" x14ac:dyDescent="0.2">
      <c r="A12" s="29"/>
      <c r="B12" s="29"/>
      <c r="C12" s="29"/>
      <c r="D12" s="29"/>
      <c r="E12" s="29"/>
      <c r="F12" s="29"/>
      <c r="G12" s="29"/>
    </row>
    <row r="13" spans="1:8" x14ac:dyDescent="0.2">
      <c r="A13" s="29"/>
      <c r="B13" s="29"/>
      <c r="C13" s="29"/>
      <c r="D13" s="29"/>
      <c r="E13" s="29"/>
      <c r="F13" s="29"/>
      <c r="G13" s="29"/>
    </row>
    <row r="14" spans="1:8" ht="16" customHeight="1" x14ac:dyDescent="0.2">
      <c r="A14" s="27"/>
      <c r="B14" s="27"/>
      <c r="C14" s="27"/>
      <c r="D14" s="27"/>
      <c r="E14" s="27"/>
      <c r="F14" s="27"/>
      <c r="G14" s="27"/>
      <c r="H14" s="27"/>
    </row>
    <row r="15" spans="1:8" x14ac:dyDescent="0.2">
      <c r="A15" s="30" t="s">
        <v>47</v>
      </c>
      <c r="B15" s="30"/>
      <c r="C15" s="30"/>
      <c r="D15" s="30"/>
      <c r="E15" s="30"/>
      <c r="F15" s="30"/>
      <c r="G15" s="30"/>
      <c r="H15" s="27"/>
    </row>
    <row r="16" spans="1:8" x14ac:dyDescent="0.2">
      <c r="A16" s="30"/>
      <c r="B16" s="30"/>
      <c r="C16" s="30"/>
      <c r="D16" s="30"/>
      <c r="E16" s="30"/>
      <c r="F16" s="30"/>
      <c r="G16" s="30"/>
      <c r="H16" s="27"/>
    </row>
    <row r="17" spans="1:8" x14ac:dyDescent="0.2">
      <c r="A17" s="30"/>
      <c r="B17" s="30"/>
      <c r="C17" s="30"/>
      <c r="D17" s="30"/>
      <c r="E17" s="30"/>
      <c r="F17" s="30"/>
      <c r="G17" s="30"/>
      <c r="H17" s="27"/>
    </row>
    <row r="18" spans="1:8" x14ac:dyDescent="0.2">
      <c r="A18" s="30"/>
      <c r="B18" s="30"/>
      <c r="C18" s="30"/>
      <c r="D18" s="30"/>
      <c r="E18" s="30"/>
      <c r="F18" s="30"/>
      <c r="G18" s="30"/>
      <c r="H18" s="27"/>
    </row>
    <row r="19" spans="1:8" x14ac:dyDescent="0.2">
      <c r="A19" s="30"/>
      <c r="B19" s="30"/>
      <c r="C19" s="30"/>
      <c r="D19" s="30"/>
      <c r="E19" s="30"/>
      <c r="F19" s="30"/>
      <c r="G19" s="30"/>
      <c r="H19" s="27"/>
    </row>
    <row r="20" spans="1:8" x14ac:dyDescent="0.2">
      <c r="A20" s="30"/>
      <c r="B20" s="30"/>
      <c r="C20" s="30"/>
      <c r="D20" s="30"/>
      <c r="E20" s="30"/>
      <c r="F20" s="30"/>
      <c r="G20" s="30"/>
      <c r="H20" s="27"/>
    </row>
    <row r="21" spans="1:8" x14ac:dyDescent="0.2">
      <c r="A21" s="30"/>
      <c r="B21" s="30"/>
      <c r="C21" s="30"/>
      <c r="D21" s="30"/>
      <c r="E21" s="30"/>
      <c r="F21" s="30"/>
      <c r="G21" s="30"/>
      <c r="H21" s="27"/>
    </row>
    <row r="22" spans="1:8" x14ac:dyDescent="0.2">
      <c r="A22" s="30"/>
      <c r="B22" s="30"/>
      <c r="C22" s="30"/>
      <c r="D22" s="30"/>
      <c r="E22" s="30"/>
      <c r="F22" s="30"/>
      <c r="G22" s="30"/>
      <c r="H22" s="27"/>
    </row>
    <row r="23" spans="1:8" x14ac:dyDescent="0.2">
      <c r="A23" s="30"/>
      <c r="B23" s="30"/>
      <c r="C23" s="30"/>
      <c r="D23" s="30"/>
      <c r="E23" s="30"/>
      <c r="F23" s="30"/>
      <c r="G23" s="30"/>
      <c r="H23" s="27"/>
    </row>
    <row r="24" spans="1:8" x14ac:dyDescent="0.2">
      <c r="A24" s="30"/>
      <c r="B24" s="30"/>
      <c r="C24" s="30"/>
      <c r="D24" s="30"/>
      <c r="E24" s="30"/>
      <c r="F24" s="30"/>
      <c r="G24" s="30"/>
      <c r="H24" s="27"/>
    </row>
    <row r="25" spans="1:8" ht="16" customHeight="1" x14ac:dyDescent="0.2">
      <c r="H25" s="27"/>
    </row>
    <row r="26" spans="1:8" x14ac:dyDescent="0.2">
      <c r="H26" s="27"/>
    </row>
    <row r="27" spans="1:8" x14ac:dyDescent="0.2">
      <c r="H27" s="27"/>
    </row>
    <row r="28" spans="1:8" x14ac:dyDescent="0.2">
      <c r="H28" s="27"/>
    </row>
    <row r="29" spans="1:8" x14ac:dyDescent="0.2">
      <c r="H29" s="27"/>
    </row>
    <row r="30" spans="1:8" x14ac:dyDescent="0.2">
      <c r="H30" s="27"/>
    </row>
    <row r="31" spans="1:8" x14ac:dyDescent="0.2">
      <c r="H31" s="27"/>
    </row>
    <row r="35" spans="1:7" x14ac:dyDescent="0.2">
      <c r="A35" s="28"/>
      <c r="B35" s="28"/>
      <c r="C35" s="28"/>
      <c r="D35" s="28"/>
      <c r="E35" s="28"/>
      <c r="F35" s="28"/>
      <c r="G35" s="28"/>
    </row>
    <row r="36" spans="1:7" x14ac:dyDescent="0.2">
      <c r="A36" s="28"/>
      <c r="B36" s="28"/>
      <c r="C36" s="28"/>
      <c r="D36" s="28"/>
      <c r="E36" s="28"/>
      <c r="F36" s="28"/>
      <c r="G36" s="28"/>
    </row>
    <row r="37" spans="1:7" x14ac:dyDescent="0.2">
      <c r="A37" s="28"/>
      <c r="B37" s="28"/>
      <c r="C37" s="28"/>
      <c r="D37" s="28"/>
      <c r="E37" s="28"/>
      <c r="F37" s="28"/>
      <c r="G37" s="28"/>
    </row>
  </sheetData>
  <mergeCells count="2">
    <mergeCell ref="A4:G13"/>
    <mergeCell ref="A15:G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1828D-D60E-BE45-B1A0-E71A1DA16B3A}">
  <dimension ref="A1:V35"/>
  <sheetViews>
    <sheetView tabSelected="1" zoomScale="90" zoomScaleNormal="142" workbookViewId="0">
      <selection sqref="A1:V35"/>
    </sheetView>
  </sheetViews>
  <sheetFormatPr baseColWidth="10" defaultRowHeight="16" x14ac:dyDescent="0.2"/>
  <cols>
    <col min="6" max="6" width="12.5" customWidth="1"/>
    <col min="7" max="7" width="15" customWidth="1"/>
    <col min="10" max="10" width="12.1640625" customWidth="1"/>
    <col min="11" max="11" width="12" customWidth="1"/>
    <col min="12" max="13" width="12.5" customWidth="1"/>
    <col min="14" max="14" width="15.1640625" customWidth="1"/>
    <col min="15" max="15" width="12" customWidth="1"/>
    <col min="16" max="17" width="11.83203125" customWidth="1"/>
    <col min="18" max="18" width="12.6640625" customWidth="1"/>
    <col min="20" max="21" width="12.83203125" customWidth="1"/>
    <col min="41" max="41" width="12" customWidth="1"/>
  </cols>
  <sheetData>
    <row r="1" spans="1:22" x14ac:dyDescent="0.2">
      <c r="A1" s="22" t="s">
        <v>7</v>
      </c>
      <c r="B1" s="22"/>
      <c r="C1" s="21"/>
      <c r="D1" s="21"/>
      <c r="E1" s="21"/>
      <c r="F1" s="21"/>
      <c r="G1" s="21"/>
      <c r="H1" s="21"/>
      <c r="I1" s="21"/>
      <c r="J1" s="21"/>
      <c r="K1" s="21"/>
      <c r="L1" s="21"/>
      <c r="M1" s="21"/>
      <c r="N1" s="21"/>
      <c r="O1" s="21"/>
      <c r="P1" s="21"/>
      <c r="Q1" s="21"/>
      <c r="R1" s="21"/>
      <c r="S1" s="21"/>
      <c r="T1" s="21"/>
      <c r="U1" s="21"/>
      <c r="V1" s="21"/>
    </row>
    <row r="2" spans="1:22" ht="68" x14ac:dyDescent="0.2">
      <c r="A2" s="1" t="s">
        <v>8</v>
      </c>
      <c r="B2" s="2" t="s">
        <v>0</v>
      </c>
      <c r="C2" s="2" t="s">
        <v>1</v>
      </c>
      <c r="D2" s="2" t="s">
        <v>2</v>
      </c>
      <c r="E2" s="3" t="s">
        <v>3</v>
      </c>
      <c r="F2" s="3" t="s">
        <v>43</v>
      </c>
      <c r="G2" s="3" t="s">
        <v>44</v>
      </c>
      <c r="H2" s="3" t="s">
        <v>11</v>
      </c>
      <c r="I2" s="3" t="s">
        <v>12</v>
      </c>
      <c r="J2" s="3" t="s">
        <v>4</v>
      </c>
      <c r="K2" s="3" t="s">
        <v>13</v>
      </c>
      <c r="L2" s="3" t="s">
        <v>14</v>
      </c>
      <c r="M2" s="3" t="s">
        <v>25</v>
      </c>
      <c r="N2" s="3" t="s">
        <v>15</v>
      </c>
      <c r="O2" s="1" t="s">
        <v>16</v>
      </c>
      <c r="P2" s="1" t="s">
        <v>17</v>
      </c>
      <c r="Q2" s="1" t="s">
        <v>26</v>
      </c>
      <c r="R2" s="1" t="s">
        <v>18</v>
      </c>
      <c r="S2" s="11" t="s">
        <v>22</v>
      </c>
      <c r="T2" s="11" t="s">
        <v>20</v>
      </c>
      <c r="U2" s="11" t="s">
        <v>24</v>
      </c>
      <c r="V2" s="11" t="s">
        <v>21</v>
      </c>
    </row>
    <row r="3" spans="1:22" x14ac:dyDescent="0.2">
      <c r="A3" s="23">
        <v>0</v>
      </c>
      <c r="B3" s="24">
        <v>2370</v>
      </c>
      <c r="C3" s="24">
        <v>1660</v>
      </c>
      <c r="D3" s="24">
        <v>0</v>
      </c>
      <c r="E3" s="25">
        <f>($B$3+50)/8</f>
        <v>302.5</v>
      </c>
      <c r="F3" s="10">
        <f>C3*8/96</f>
        <v>138.33333333333334</v>
      </c>
      <c r="G3" s="10">
        <f>$F$3</f>
        <v>138.33333333333334</v>
      </c>
      <c r="H3" s="25">
        <f>D3/8</f>
        <v>0</v>
      </c>
      <c r="I3" s="10">
        <f>($C$3-C3)*(8/96.06)</f>
        <v>0</v>
      </c>
      <c r="J3" s="10">
        <f>SUM(H3:I3)</f>
        <v>0</v>
      </c>
      <c r="K3" s="10">
        <f t="shared" ref="K3:K11" si="0">H3/E3</f>
        <v>0</v>
      </c>
      <c r="L3" s="10">
        <f>I3/E3</f>
        <v>0</v>
      </c>
      <c r="M3" s="10">
        <f>SUM(K3:L3)</f>
        <v>0</v>
      </c>
      <c r="N3" s="10" t="s">
        <v>45</v>
      </c>
      <c r="O3" s="26">
        <f>1-P3</f>
        <v>0.54269972451790638</v>
      </c>
      <c r="P3" s="26">
        <f>MIN(E3,G3)/E3</f>
        <v>0.45730027548209368</v>
      </c>
      <c r="Q3" s="26">
        <f>P3+O3</f>
        <v>1</v>
      </c>
      <c r="R3" s="26">
        <f>O3/Q3</f>
        <v>0.54269972451790638</v>
      </c>
      <c r="S3" s="20">
        <f>K3-O3</f>
        <v>-0.54269972451790638</v>
      </c>
      <c r="T3" s="20">
        <f>L3-P3</f>
        <v>-0.45730027548209368</v>
      </c>
      <c r="U3" s="20">
        <f>M3-Q3</f>
        <v>-1</v>
      </c>
      <c r="V3" s="20" t="str">
        <f>IF(N3="NC","NC",N3-R3)</f>
        <v>NC</v>
      </c>
    </row>
    <row r="4" spans="1:22" x14ac:dyDescent="0.2">
      <c r="A4" s="23">
        <v>1</v>
      </c>
      <c r="B4" s="24">
        <v>1990</v>
      </c>
      <c r="C4" s="24">
        <v>1575</v>
      </c>
      <c r="D4" s="24">
        <v>20</v>
      </c>
      <c r="E4" s="25">
        <f t="shared" ref="E4:E10" si="1">($B$3+50)/8</f>
        <v>302.5</v>
      </c>
      <c r="F4" s="10">
        <f t="shared" ref="F4:F11" si="2">C4*8/96</f>
        <v>131.25</v>
      </c>
      <c r="G4" s="10">
        <f t="shared" ref="G4:G11" si="3">$F$3</f>
        <v>138.33333333333334</v>
      </c>
      <c r="H4" s="25">
        <f t="shared" ref="H4:H11" si="4">D4/8</f>
        <v>2.5</v>
      </c>
      <c r="I4" s="10">
        <f t="shared" ref="I4:I11" si="5">($C$3-C4)*(8/96.06)</f>
        <v>7.0789090151988336</v>
      </c>
      <c r="J4" s="10">
        <f t="shared" ref="J4:J11" si="6">SUM(H4:I4)</f>
        <v>9.5789090151988336</v>
      </c>
      <c r="K4" s="10">
        <f t="shared" si="0"/>
        <v>8.2644628099173556E-3</v>
      </c>
      <c r="L4" s="10">
        <f t="shared" ref="L4:L11" si="7">I4/E4</f>
        <v>2.340135211635978E-2</v>
      </c>
      <c r="M4" s="10">
        <f>SUM(K4:L4)</f>
        <v>3.1665814926277139E-2</v>
      </c>
      <c r="N4" s="10">
        <f>K4/M4</f>
        <v>0.26099005596913544</v>
      </c>
      <c r="O4" s="26">
        <f t="shared" ref="O4:O11" si="8">1-P4</f>
        <v>0.54269972451790638</v>
      </c>
      <c r="P4" s="26">
        <f t="shared" ref="P4:P11" si="9">MIN(E4,G4)/E4</f>
        <v>0.45730027548209368</v>
      </c>
      <c r="Q4" s="26">
        <f>P4+O4</f>
        <v>1</v>
      </c>
      <c r="R4" s="26">
        <f>O4/Q4</f>
        <v>0.54269972451790638</v>
      </c>
      <c r="S4" s="20">
        <f t="shared" ref="S4:S11" si="10">K4-O4</f>
        <v>-0.53443526170798905</v>
      </c>
      <c r="T4" s="20">
        <f t="shared" ref="T4:T11" si="11">L4-P4</f>
        <v>-0.43389892336573388</v>
      </c>
      <c r="U4" s="20">
        <f t="shared" ref="U4:U11" si="12">M4-Q4</f>
        <v>-0.96833418507372282</v>
      </c>
      <c r="V4" s="20">
        <f t="shared" ref="V4:V11" si="13">N4-R4</f>
        <v>-0.28170966854877094</v>
      </c>
    </row>
    <row r="5" spans="1:22" x14ac:dyDescent="0.2">
      <c r="A5" s="23">
        <v>2</v>
      </c>
      <c r="B5" s="24">
        <v>1540</v>
      </c>
      <c r="C5" s="24">
        <v>1315</v>
      </c>
      <c r="D5" s="24">
        <v>40</v>
      </c>
      <c r="E5" s="25">
        <f t="shared" si="1"/>
        <v>302.5</v>
      </c>
      <c r="F5" s="10">
        <f t="shared" si="2"/>
        <v>109.58333333333333</v>
      </c>
      <c r="G5" s="10">
        <f t="shared" si="3"/>
        <v>138.33333333333334</v>
      </c>
      <c r="H5" s="25">
        <f t="shared" si="4"/>
        <v>5</v>
      </c>
      <c r="I5" s="10">
        <f t="shared" si="5"/>
        <v>28.73204247345409</v>
      </c>
      <c r="J5" s="10">
        <f t="shared" si="6"/>
        <v>33.732042473454086</v>
      </c>
      <c r="K5" s="10">
        <f t="shared" si="0"/>
        <v>1.6528925619834711E-2</v>
      </c>
      <c r="L5" s="10">
        <f t="shared" si="7"/>
        <v>9.4981958589930873E-2</v>
      </c>
      <c r="M5" s="10">
        <f t="shared" ref="M5:M11" si="14">SUM(K5:L5)</f>
        <v>0.11151088420976558</v>
      </c>
      <c r="N5" s="10">
        <f t="shared" ref="N5:N11" si="15">K5/M5</f>
        <v>0.14822701601703547</v>
      </c>
      <c r="O5" s="26">
        <f t="shared" si="8"/>
        <v>0.54269972451790638</v>
      </c>
      <c r="P5" s="26">
        <f t="shared" si="9"/>
        <v>0.45730027548209368</v>
      </c>
      <c r="Q5" s="26">
        <f t="shared" ref="Q5:Q11" si="16">P5+O5</f>
        <v>1</v>
      </c>
      <c r="R5" s="26">
        <f t="shared" ref="R5:R11" si="17">O5/Q5</f>
        <v>0.54269972451790638</v>
      </c>
      <c r="S5" s="20">
        <f t="shared" si="10"/>
        <v>-0.52617079889807172</v>
      </c>
      <c r="T5" s="20">
        <f t="shared" si="11"/>
        <v>-0.36231831689216282</v>
      </c>
      <c r="U5" s="20">
        <f t="shared" si="12"/>
        <v>-0.88848911579023437</v>
      </c>
      <c r="V5" s="20">
        <f t="shared" si="13"/>
        <v>-0.39447270850087091</v>
      </c>
    </row>
    <row r="6" spans="1:22" x14ac:dyDescent="0.2">
      <c r="A6" s="23">
        <v>4</v>
      </c>
      <c r="B6" s="24">
        <v>705</v>
      </c>
      <c r="C6" s="24">
        <v>945</v>
      </c>
      <c r="D6" s="24">
        <v>185</v>
      </c>
      <c r="E6" s="25">
        <f t="shared" si="1"/>
        <v>302.5</v>
      </c>
      <c r="F6" s="10">
        <f t="shared" si="2"/>
        <v>78.75</v>
      </c>
      <c r="G6" s="10">
        <f t="shared" si="3"/>
        <v>138.33333333333334</v>
      </c>
      <c r="H6" s="25">
        <f t="shared" si="4"/>
        <v>23.125</v>
      </c>
      <c r="I6" s="10">
        <f t="shared" si="5"/>
        <v>59.546117010201954</v>
      </c>
      <c r="J6" s="10">
        <f t="shared" si="6"/>
        <v>82.671117010201954</v>
      </c>
      <c r="K6" s="10">
        <f t="shared" si="0"/>
        <v>7.6446280991735532E-2</v>
      </c>
      <c r="L6" s="10">
        <f t="shared" si="7"/>
        <v>0.19684666780232052</v>
      </c>
      <c r="M6" s="10">
        <f t="shared" si="14"/>
        <v>0.27329294879405608</v>
      </c>
      <c r="N6" s="10">
        <f t="shared" si="15"/>
        <v>0.27972284440219036</v>
      </c>
      <c r="O6" s="26">
        <f t="shared" si="8"/>
        <v>0.54269972451790638</v>
      </c>
      <c r="P6" s="26">
        <f t="shared" si="9"/>
        <v>0.45730027548209368</v>
      </c>
      <c r="Q6" s="26">
        <f>P6+O6</f>
        <v>1</v>
      </c>
      <c r="R6" s="26">
        <f t="shared" si="17"/>
        <v>0.54269972451790638</v>
      </c>
      <c r="S6" s="20">
        <f t="shared" si="10"/>
        <v>-0.46625344352617082</v>
      </c>
      <c r="T6" s="20">
        <f t="shared" si="11"/>
        <v>-0.26045360767977316</v>
      </c>
      <c r="U6" s="20">
        <f t="shared" si="12"/>
        <v>-0.72670705120594392</v>
      </c>
      <c r="V6" s="20">
        <f t="shared" si="13"/>
        <v>-0.26297688011571602</v>
      </c>
    </row>
    <row r="7" spans="1:22" x14ac:dyDescent="0.2">
      <c r="A7" s="23">
        <v>7</v>
      </c>
      <c r="B7" s="24">
        <v>0</v>
      </c>
      <c r="C7" s="24">
        <v>530</v>
      </c>
      <c r="D7" s="24">
        <v>410</v>
      </c>
      <c r="E7" s="25">
        <f t="shared" si="1"/>
        <v>302.5</v>
      </c>
      <c r="F7" s="10">
        <f t="shared" si="2"/>
        <v>44.166666666666664</v>
      </c>
      <c r="G7" s="10">
        <f t="shared" si="3"/>
        <v>138.33333333333334</v>
      </c>
      <c r="H7" s="25">
        <f t="shared" si="4"/>
        <v>51.25</v>
      </c>
      <c r="I7" s="10">
        <f t="shared" si="5"/>
        <v>94.107849260878623</v>
      </c>
      <c r="J7" s="10">
        <f t="shared" si="6"/>
        <v>145.35784926087862</v>
      </c>
      <c r="K7" s="10">
        <f t="shared" si="0"/>
        <v>0.16942148760330578</v>
      </c>
      <c r="L7" s="10">
        <f t="shared" si="7"/>
        <v>0.31110032813513594</v>
      </c>
      <c r="M7" s="10">
        <f t="shared" si="14"/>
        <v>0.48052181573844172</v>
      </c>
      <c r="N7" s="10">
        <f t="shared" si="15"/>
        <v>0.35257813912766345</v>
      </c>
      <c r="O7" s="26">
        <f t="shared" si="8"/>
        <v>0.54269972451790638</v>
      </c>
      <c r="P7" s="26">
        <f t="shared" si="9"/>
        <v>0.45730027548209368</v>
      </c>
      <c r="Q7" s="26">
        <f t="shared" si="16"/>
        <v>1</v>
      </c>
      <c r="R7" s="26">
        <f t="shared" si="17"/>
        <v>0.54269972451790638</v>
      </c>
      <c r="S7" s="20">
        <f t="shared" si="10"/>
        <v>-0.3732782369146006</v>
      </c>
      <c r="T7" s="20">
        <f t="shared" si="11"/>
        <v>-0.14619994734695774</v>
      </c>
      <c r="U7" s="20">
        <f t="shared" si="12"/>
        <v>-0.51947818426155834</v>
      </c>
      <c r="V7" s="20">
        <f t="shared" si="13"/>
        <v>-0.19012158539024293</v>
      </c>
    </row>
    <row r="8" spans="1:22" x14ac:dyDescent="0.2">
      <c r="A8" s="23">
        <v>9</v>
      </c>
      <c r="B8" s="24">
        <v>0</v>
      </c>
      <c r="C8" s="24">
        <v>525</v>
      </c>
      <c r="D8" s="24">
        <v>555</v>
      </c>
      <c r="E8" s="25">
        <f t="shared" si="1"/>
        <v>302.5</v>
      </c>
      <c r="F8" s="10">
        <f t="shared" si="2"/>
        <v>43.75</v>
      </c>
      <c r="G8" s="10">
        <f t="shared" si="3"/>
        <v>138.33333333333334</v>
      </c>
      <c r="H8" s="25">
        <f t="shared" si="4"/>
        <v>69.375</v>
      </c>
      <c r="I8" s="10">
        <f t="shared" si="5"/>
        <v>94.524255673537368</v>
      </c>
      <c r="J8" s="10">
        <f t="shared" si="6"/>
        <v>163.89925567353737</v>
      </c>
      <c r="K8" s="10">
        <f t="shared" si="0"/>
        <v>0.22933884297520662</v>
      </c>
      <c r="L8" s="10">
        <f t="shared" si="7"/>
        <v>0.31247687825962767</v>
      </c>
      <c r="M8" s="10">
        <f t="shared" si="14"/>
        <v>0.54181572123483424</v>
      </c>
      <c r="N8" s="10">
        <f t="shared" si="15"/>
        <v>0.42327831029437107</v>
      </c>
      <c r="O8" s="26">
        <f t="shared" si="8"/>
        <v>0.54269972451790638</v>
      </c>
      <c r="P8" s="26">
        <f t="shared" si="9"/>
        <v>0.45730027548209368</v>
      </c>
      <c r="Q8" s="26">
        <f t="shared" si="16"/>
        <v>1</v>
      </c>
      <c r="R8" s="26">
        <f t="shared" si="17"/>
        <v>0.54269972451790638</v>
      </c>
      <c r="S8" s="20">
        <f t="shared" si="10"/>
        <v>-0.31336088154269975</v>
      </c>
      <c r="T8" s="20">
        <f t="shared" si="11"/>
        <v>-0.14482339722246601</v>
      </c>
      <c r="U8" s="20">
        <f t="shared" si="12"/>
        <v>-0.45818427876516576</v>
      </c>
      <c r="V8" s="20">
        <f t="shared" si="13"/>
        <v>-0.1194214142235353</v>
      </c>
    </row>
    <row r="9" spans="1:22" x14ac:dyDescent="0.2">
      <c r="A9" s="23">
        <v>12</v>
      </c>
      <c r="B9" s="24">
        <v>0</v>
      </c>
      <c r="C9" s="24">
        <v>485</v>
      </c>
      <c r="D9" s="24">
        <v>825</v>
      </c>
      <c r="E9" s="25">
        <f t="shared" si="1"/>
        <v>302.5</v>
      </c>
      <c r="F9" s="10">
        <f t="shared" si="2"/>
        <v>40.416666666666664</v>
      </c>
      <c r="G9" s="10">
        <f t="shared" si="3"/>
        <v>138.33333333333334</v>
      </c>
      <c r="H9" s="25">
        <f t="shared" si="4"/>
        <v>103.125</v>
      </c>
      <c r="I9" s="10">
        <f t="shared" si="5"/>
        <v>97.855506974807412</v>
      </c>
      <c r="J9" s="10">
        <f t="shared" si="6"/>
        <v>200.98050697480741</v>
      </c>
      <c r="K9" s="10">
        <f t="shared" si="0"/>
        <v>0.34090909090909088</v>
      </c>
      <c r="L9" s="10">
        <f t="shared" si="7"/>
        <v>0.3234892792555617</v>
      </c>
      <c r="M9" s="10">
        <f t="shared" si="14"/>
        <v>0.66439837016465253</v>
      </c>
      <c r="N9" s="10">
        <f t="shared" si="15"/>
        <v>0.51310946296362248</v>
      </c>
      <c r="O9" s="26">
        <f t="shared" si="8"/>
        <v>0.54269972451790638</v>
      </c>
      <c r="P9" s="26">
        <f t="shared" si="9"/>
        <v>0.45730027548209368</v>
      </c>
      <c r="Q9" s="26">
        <f t="shared" si="16"/>
        <v>1</v>
      </c>
      <c r="R9" s="26">
        <f t="shared" si="17"/>
        <v>0.54269972451790638</v>
      </c>
      <c r="S9" s="20">
        <f t="shared" si="10"/>
        <v>-0.2017906336088155</v>
      </c>
      <c r="T9" s="20">
        <f t="shared" si="11"/>
        <v>-0.13381099622653198</v>
      </c>
      <c r="U9" s="20">
        <f t="shared" si="12"/>
        <v>-0.33560162983534747</v>
      </c>
      <c r="V9" s="20">
        <f t="shared" si="13"/>
        <v>-2.9590261554283903E-2</v>
      </c>
    </row>
    <row r="10" spans="1:22" x14ac:dyDescent="0.2">
      <c r="A10" s="23">
        <v>20</v>
      </c>
      <c r="B10" s="24">
        <v>0</v>
      </c>
      <c r="C10" s="24">
        <v>395</v>
      </c>
      <c r="D10" s="24">
        <v>1320</v>
      </c>
      <c r="E10" s="25">
        <f t="shared" si="1"/>
        <v>302.5</v>
      </c>
      <c r="F10" s="10">
        <f t="shared" si="2"/>
        <v>32.916666666666664</v>
      </c>
      <c r="G10" s="10">
        <f t="shared" si="3"/>
        <v>138.33333333333334</v>
      </c>
      <c r="H10" s="25">
        <f t="shared" si="4"/>
        <v>165</v>
      </c>
      <c r="I10" s="10">
        <f t="shared" si="5"/>
        <v>105.350822402665</v>
      </c>
      <c r="J10" s="10">
        <f t="shared" si="6"/>
        <v>270.35082240266502</v>
      </c>
      <c r="K10" s="10">
        <f t="shared" si="0"/>
        <v>0.54545454545454541</v>
      </c>
      <c r="L10" s="10">
        <f t="shared" si="7"/>
        <v>0.34826718149641323</v>
      </c>
      <c r="M10" s="10">
        <f t="shared" si="14"/>
        <v>0.89372172695095864</v>
      </c>
      <c r="N10" s="10">
        <f t="shared" si="15"/>
        <v>0.61031809903003087</v>
      </c>
      <c r="O10" s="26">
        <f t="shared" si="8"/>
        <v>0.54269972451790638</v>
      </c>
      <c r="P10" s="26">
        <f t="shared" si="9"/>
        <v>0.45730027548209368</v>
      </c>
      <c r="Q10" s="26">
        <f t="shared" si="16"/>
        <v>1</v>
      </c>
      <c r="R10" s="26">
        <f t="shared" si="17"/>
        <v>0.54269972451790638</v>
      </c>
      <c r="S10" s="20">
        <f t="shared" si="10"/>
        <v>2.7548209366390353E-3</v>
      </c>
      <c r="T10" s="20">
        <f t="shared" si="11"/>
        <v>-0.10903309398568045</v>
      </c>
      <c r="U10" s="20">
        <f t="shared" si="12"/>
        <v>-0.10627827304904136</v>
      </c>
      <c r="V10" s="20">
        <f t="shared" si="13"/>
        <v>6.7618374512124491E-2</v>
      </c>
    </row>
    <row r="11" spans="1:22" x14ac:dyDescent="0.2">
      <c r="A11" s="23">
        <v>24</v>
      </c>
      <c r="B11" s="24">
        <v>0</v>
      </c>
      <c r="C11" s="24">
        <v>385</v>
      </c>
      <c r="D11" s="24">
        <v>1370</v>
      </c>
      <c r="E11" s="25">
        <f>($B$3+50)/8</f>
        <v>302.5</v>
      </c>
      <c r="F11" s="10">
        <f t="shared" si="2"/>
        <v>32.083333333333336</v>
      </c>
      <c r="G11" s="10">
        <f t="shared" si="3"/>
        <v>138.33333333333334</v>
      </c>
      <c r="H11" s="25">
        <f t="shared" si="4"/>
        <v>171.25</v>
      </c>
      <c r="I11" s="10">
        <f t="shared" si="5"/>
        <v>106.18363522798251</v>
      </c>
      <c r="J11" s="10">
        <f t="shared" si="6"/>
        <v>277.43363522798251</v>
      </c>
      <c r="K11" s="10">
        <f t="shared" si="0"/>
        <v>0.56611570247933884</v>
      </c>
      <c r="L11" s="10">
        <f t="shared" si="7"/>
        <v>0.35102028174539673</v>
      </c>
      <c r="M11" s="10">
        <f t="shared" si="14"/>
        <v>0.91713598422473552</v>
      </c>
      <c r="N11" s="10">
        <f t="shared" si="15"/>
        <v>0.61726473741828181</v>
      </c>
      <c r="O11" s="26">
        <f t="shared" si="8"/>
        <v>0.54269972451790638</v>
      </c>
      <c r="P11" s="26">
        <f t="shared" si="9"/>
        <v>0.45730027548209368</v>
      </c>
      <c r="Q11" s="26">
        <f t="shared" si="16"/>
        <v>1</v>
      </c>
      <c r="R11" s="26">
        <f t="shared" si="17"/>
        <v>0.54269972451790638</v>
      </c>
      <c r="S11" s="20">
        <f t="shared" si="10"/>
        <v>2.3415977961432466E-2</v>
      </c>
      <c r="T11" s="20">
        <f t="shared" si="11"/>
        <v>-0.10627999373669694</v>
      </c>
      <c r="U11" s="20">
        <f t="shared" si="12"/>
        <v>-8.2864015775264477E-2</v>
      </c>
      <c r="V11" s="20">
        <f t="shared" si="13"/>
        <v>7.4565012900375427E-2</v>
      </c>
    </row>
    <row r="12" spans="1:22" x14ac:dyDescent="0.2">
      <c r="V12" s="21"/>
    </row>
    <row r="13" spans="1:22" x14ac:dyDescent="0.2">
      <c r="A13" s="7" t="s">
        <v>9</v>
      </c>
      <c r="B13" s="7"/>
      <c r="V13" s="21"/>
    </row>
    <row r="14" spans="1:22" ht="68" x14ac:dyDescent="0.2">
      <c r="A14" s="1" t="s">
        <v>8</v>
      </c>
      <c r="B14" s="2" t="s">
        <v>0</v>
      </c>
      <c r="C14" s="2" t="s">
        <v>1</v>
      </c>
      <c r="D14" s="2" t="s">
        <v>2</v>
      </c>
      <c r="E14" s="3" t="s">
        <v>3</v>
      </c>
      <c r="F14" s="3" t="s">
        <v>19</v>
      </c>
      <c r="G14" s="3" t="s">
        <v>23</v>
      </c>
      <c r="H14" s="3" t="s">
        <v>11</v>
      </c>
      <c r="I14" s="3" t="s">
        <v>12</v>
      </c>
      <c r="J14" s="3" t="s">
        <v>4</v>
      </c>
      <c r="K14" s="3" t="s">
        <v>5</v>
      </c>
      <c r="L14" s="3" t="s">
        <v>6</v>
      </c>
      <c r="M14" s="3" t="s">
        <v>25</v>
      </c>
      <c r="N14" s="3" t="s">
        <v>15</v>
      </c>
      <c r="O14" s="1" t="s">
        <v>16</v>
      </c>
      <c r="P14" s="1" t="s">
        <v>17</v>
      </c>
      <c r="Q14" s="1" t="s">
        <v>26</v>
      </c>
      <c r="R14" s="1" t="s">
        <v>18</v>
      </c>
      <c r="S14" s="11" t="s">
        <v>22</v>
      </c>
      <c r="T14" s="11" t="s">
        <v>20</v>
      </c>
      <c r="U14" s="11" t="s">
        <v>24</v>
      </c>
      <c r="V14" s="11" t="s">
        <v>21</v>
      </c>
    </row>
    <row r="15" spans="1:22" x14ac:dyDescent="0.2">
      <c r="A15" s="4">
        <v>0</v>
      </c>
      <c r="B15" s="5">
        <v>2420</v>
      </c>
      <c r="C15" s="5">
        <v>1455</v>
      </c>
      <c r="D15" s="5">
        <v>0</v>
      </c>
      <c r="E15" s="6">
        <f>($B$15+160)/8</f>
        <v>322.5</v>
      </c>
      <c r="F15" s="10">
        <f>C15*8/96</f>
        <v>121.25</v>
      </c>
      <c r="G15" s="10">
        <f>$F$15</f>
        <v>121.25</v>
      </c>
      <c r="H15" s="6">
        <f>D15/8</f>
        <v>0</v>
      </c>
      <c r="I15" s="8">
        <f>($C$15-C15)*(8/96.06)</f>
        <v>0</v>
      </c>
      <c r="J15" s="8">
        <f>SUM(H15:I15)</f>
        <v>0</v>
      </c>
      <c r="K15" s="8">
        <f t="shared" ref="K15:K23" si="18">H15/E15</f>
        <v>0</v>
      </c>
      <c r="L15" s="8">
        <f>I15/E15</f>
        <v>0</v>
      </c>
      <c r="M15" s="8">
        <f>SUM(K15:L15)</f>
        <v>0</v>
      </c>
      <c r="N15" s="8" t="s">
        <v>45</v>
      </c>
      <c r="O15" s="9">
        <f>1-P15</f>
        <v>0.62403100775193798</v>
      </c>
      <c r="P15" s="9">
        <f>MIN(E15,G15)/E15</f>
        <v>0.37596899224806202</v>
      </c>
      <c r="Q15" s="9">
        <f>P15+O15</f>
        <v>1</v>
      </c>
      <c r="R15" s="9">
        <f>O15/Q15</f>
        <v>0.62403100775193798</v>
      </c>
      <c r="S15" s="12">
        <f>K15-O15</f>
        <v>-0.62403100775193798</v>
      </c>
      <c r="T15" s="12">
        <f>L15-P15</f>
        <v>-0.37596899224806202</v>
      </c>
      <c r="U15" s="12">
        <f>M15-Q15</f>
        <v>-1</v>
      </c>
      <c r="V15" s="20" t="str">
        <f>IF(N15="NC","NC",N15-R15)</f>
        <v>NC</v>
      </c>
    </row>
    <row r="16" spans="1:22" x14ac:dyDescent="0.2">
      <c r="A16" s="4">
        <v>1</v>
      </c>
      <c r="B16" s="5">
        <v>1805</v>
      </c>
      <c r="C16" s="5">
        <v>1255</v>
      </c>
      <c r="D16" s="5">
        <v>45</v>
      </c>
      <c r="E16" s="6">
        <f t="shared" ref="E16:E23" si="19">($B$15+160)/8</f>
        <v>322.5</v>
      </c>
      <c r="F16" s="10">
        <f t="shared" ref="F16:F23" si="20">C16*8/96</f>
        <v>104.58333333333333</v>
      </c>
      <c r="G16" s="10">
        <f t="shared" ref="G16:G23" si="21">$F$15</f>
        <v>121.25</v>
      </c>
      <c r="H16" s="6">
        <f t="shared" ref="H16:H23" si="22">D16/8</f>
        <v>5.625</v>
      </c>
      <c r="I16" s="8">
        <f t="shared" ref="I16:I23" si="23">($C$15-C16)*(8/96.06)</f>
        <v>16.656256506350196</v>
      </c>
      <c r="J16" s="8">
        <f t="shared" ref="J16:J23" si="24">SUM(H16:I16)</f>
        <v>22.281256506350196</v>
      </c>
      <c r="K16" s="8">
        <f t="shared" si="18"/>
        <v>1.7441860465116279E-2</v>
      </c>
      <c r="L16" s="8">
        <f t="shared" ref="L16:L23" si="25">I16/E16</f>
        <v>5.1647306996434716E-2</v>
      </c>
      <c r="M16" s="8">
        <f>SUM(K16:L16)</f>
        <v>6.9089167461550999E-2</v>
      </c>
      <c r="N16" s="8">
        <f>K16/M16</f>
        <v>0.2524543442330941</v>
      </c>
      <c r="O16" s="9">
        <f t="shared" ref="O16:O23" si="26">1-P16</f>
        <v>0.62403100775193798</v>
      </c>
      <c r="P16" s="9">
        <f t="shared" ref="P16:P23" si="27">MIN(E16,G16)/E16</f>
        <v>0.37596899224806202</v>
      </c>
      <c r="Q16" s="9">
        <f>P16+O16</f>
        <v>1</v>
      </c>
      <c r="R16" s="9">
        <f>O16/Q16</f>
        <v>0.62403100775193798</v>
      </c>
      <c r="S16" s="12">
        <f t="shared" ref="S16:S23" si="28">K16-O16</f>
        <v>-0.60658914728682167</v>
      </c>
      <c r="T16" s="12">
        <f t="shared" ref="T16:T23" si="29">L16-P16</f>
        <v>-0.3243216852516273</v>
      </c>
      <c r="U16" s="12">
        <f t="shared" ref="U16:U23" si="30">M16-Q16</f>
        <v>-0.93091083253844897</v>
      </c>
      <c r="V16" s="20">
        <f t="shared" ref="V16:V23" si="31">N16-R16</f>
        <v>-0.37157666351884389</v>
      </c>
    </row>
    <row r="17" spans="1:22" x14ac:dyDescent="0.2">
      <c r="A17" s="4">
        <v>2</v>
      </c>
      <c r="B17" s="5">
        <v>690</v>
      </c>
      <c r="C17" s="5">
        <v>775</v>
      </c>
      <c r="D17" s="5">
        <v>105</v>
      </c>
      <c r="E17" s="6">
        <f t="shared" si="19"/>
        <v>322.5</v>
      </c>
      <c r="F17" s="10">
        <f t="shared" si="20"/>
        <v>64.583333333333329</v>
      </c>
      <c r="G17" s="10">
        <f t="shared" si="21"/>
        <v>121.25</v>
      </c>
      <c r="H17" s="6">
        <f t="shared" si="22"/>
        <v>13.125</v>
      </c>
      <c r="I17" s="8">
        <f t="shared" si="23"/>
        <v>56.631272121590669</v>
      </c>
      <c r="J17" s="8">
        <f t="shared" si="24"/>
        <v>69.756272121590669</v>
      </c>
      <c r="K17" s="8">
        <f t="shared" si="18"/>
        <v>4.0697674418604654E-2</v>
      </c>
      <c r="L17" s="8">
        <f t="shared" si="25"/>
        <v>0.17560084378787805</v>
      </c>
      <c r="M17" s="8">
        <f t="shared" ref="M17:M23" si="32">SUM(K17:L17)</f>
        <v>0.21629851820648271</v>
      </c>
      <c r="N17" s="8">
        <f t="shared" ref="N17:N23" si="33">K17/M17</f>
        <v>0.18815512355823849</v>
      </c>
      <c r="O17" s="9">
        <f t="shared" si="26"/>
        <v>0.62403100775193798</v>
      </c>
      <c r="P17" s="9">
        <f t="shared" si="27"/>
        <v>0.37596899224806202</v>
      </c>
      <c r="Q17" s="9">
        <f t="shared" ref="Q17:Q23" si="34">P17+O17</f>
        <v>1</v>
      </c>
      <c r="R17" s="9">
        <f t="shared" ref="R17:R23" si="35">O17/Q17</f>
        <v>0.62403100775193798</v>
      </c>
      <c r="S17" s="12">
        <f t="shared" si="28"/>
        <v>-0.58333333333333337</v>
      </c>
      <c r="T17" s="12">
        <f t="shared" si="29"/>
        <v>-0.20036814846018397</v>
      </c>
      <c r="U17" s="12">
        <f t="shared" si="30"/>
        <v>-0.78370148179351729</v>
      </c>
      <c r="V17" s="20">
        <f t="shared" si="31"/>
        <v>-0.43587588419369949</v>
      </c>
    </row>
    <row r="18" spans="1:22" x14ac:dyDescent="0.2">
      <c r="A18" s="4">
        <v>4</v>
      </c>
      <c r="B18" s="5">
        <v>0</v>
      </c>
      <c r="C18" s="5">
        <v>325</v>
      </c>
      <c r="D18" s="5">
        <v>410</v>
      </c>
      <c r="E18" s="6">
        <f t="shared" si="19"/>
        <v>322.5</v>
      </c>
      <c r="F18" s="10">
        <f t="shared" si="20"/>
        <v>27.083333333333332</v>
      </c>
      <c r="G18" s="10">
        <f t="shared" si="21"/>
        <v>121.25</v>
      </c>
      <c r="H18" s="6">
        <f t="shared" si="22"/>
        <v>51.25</v>
      </c>
      <c r="I18" s="8">
        <f t="shared" si="23"/>
        <v>94.107849260878623</v>
      </c>
      <c r="J18" s="8">
        <f t="shared" si="24"/>
        <v>145.35784926087862</v>
      </c>
      <c r="K18" s="8">
        <f t="shared" si="18"/>
        <v>0.15891472868217055</v>
      </c>
      <c r="L18" s="8">
        <f t="shared" si="25"/>
        <v>0.29180728452985621</v>
      </c>
      <c r="M18" s="8">
        <f t="shared" si="32"/>
        <v>0.45072201321202676</v>
      </c>
      <c r="N18" s="8">
        <f t="shared" si="33"/>
        <v>0.3525781391276635</v>
      </c>
      <c r="O18" s="9">
        <f t="shared" si="26"/>
        <v>0.62403100775193798</v>
      </c>
      <c r="P18" s="9">
        <f t="shared" si="27"/>
        <v>0.37596899224806202</v>
      </c>
      <c r="Q18" s="9">
        <f t="shared" si="34"/>
        <v>1</v>
      </c>
      <c r="R18" s="9">
        <f t="shared" si="35"/>
        <v>0.62403100775193798</v>
      </c>
      <c r="S18" s="12">
        <f t="shared" si="28"/>
        <v>-0.46511627906976744</v>
      </c>
      <c r="T18" s="12">
        <f t="shared" si="29"/>
        <v>-8.4161707718205803E-2</v>
      </c>
      <c r="U18" s="12">
        <f t="shared" si="30"/>
        <v>-0.54927798678797324</v>
      </c>
      <c r="V18" s="20">
        <f t="shared" si="31"/>
        <v>-0.27145286862427448</v>
      </c>
    </row>
    <row r="19" spans="1:22" x14ac:dyDescent="0.2">
      <c r="A19" s="4">
        <v>7</v>
      </c>
      <c r="B19" s="5">
        <v>0</v>
      </c>
      <c r="C19" s="5">
        <v>200</v>
      </c>
      <c r="D19" s="5">
        <v>915</v>
      </c>
      <c r="E19" s="6">
        <f t="shared" si="19"/>
        <v>322.5</v>
      </c>
      <c r="F19" s="10">
        <f t="shared" si="20"/>
        <v>16.666666666666668</v>
      </c>
      <c r="G19" s="10">
        <f t="shared" si="21"/>
        <v>121.25</v>
      </c>
      <c r="H19" s="6">
        <f t="shared" si="22"/>
        <v>114.375</v>
      </c>
      <c r="I19" s="8">
        <f t="shared" si="23"/>
        <v>104.51800957734748</v>
      </c>
      <c r="J19" s="8">
        <f t="shared" si="24"/>
        <v>218.89300957734747</v>
      </c>
      <c r="K19" s="8">
        <f t="shared" si="18"/>
        <v>0.35465116279069769</v>
      </c>
      <c r="L19" s="8">
        <f t="shared" si="25"/>
        <v>0.32408685140262788</v>
      </c>
      <c r="M19" s="8">
        <f t="shared" si="32"/>
        <v>0.67873801419332558</v>
      </c>
      <c r="N19" s="8">
        <f t="shared" si="33"/>
        <v>0.52251554410459478</v>
      </c>
      <c r="O19" s="9">
        <f t="shared" si="26"/>
        <v>0.62403100775193798</v>
      </c>
      <c r="P19" s="9">
        <f t="shared" si="27"/>
        <v>0.37596899224806202</v>
      </c>
      <c r="Q19" s="9">
        <f t="shared" si="34"/>
        <v>1</v>
      </c>
      <c r="R19" s="9">
        <f t="shared" si="35"/>
        <v>0.62403100775193798</v>
      </c>
      <c r="S19" s="12">
        <f t="shared" si="28"/>
        <v>-0.26937984496124029</v>
      </c>
      <c r="T19" s="12">
        <f t="shared" si="29"/>
        <v>-5.1882140845434133E-2</v>
      </c>
      <c r="U19" s="12">
        <f t="shared" si="30"/>
        <v>-0.32126198580667442</v>
      </c>
      <c r="V19" s="20">
        <f t="shared" si="31"/>
        <v>-0.10151546364734321</v>
      </c>
    </row>
    <row r="20" spans="1:22" x14ac:dyDescent="0.2">
      <c r="A20" s="4">
        <v>9</v>
      </c>
      <c r="B20" s="5">
        <v>0</v>
      </c>
      <c r="C20" s="5">
        <v>140</v>
      </c>
      <c r="D20" s="5">
        <v>1290</v>
      </c>
      <c r="E20" s="6">
        <f t="shared" si="19"/>
        <v>322.5</v>
      </c>
      <c r="F20" s="10">
        <f t="shared" si="20"/>
        <v>11.666666666666666</v>
      </c>
      <c r="G20" s="10">
        <f t="shared" si="21"/>
        <v>121.25</v>
      </c>
      <c r="H20" s="6">
        <f t="shared" si="22"/>
        <v>161.25</v>
      </c>
      <c r="I20" s="8">
        <f t="shared" si="23"/>
        <v>109.51488652925255</v>
      </c>
      <c r="J20" s="8">
        <f t="shared" si="24"/>
        <v>270.76488652925252</v>
      </c>
      <c r="K20" s="8">
        <f t="shared" si="18"/>
        <v>0.5</v>
      </c>
      <c r="L20" s="8">
        <f t="shared" si="25"/>
        <v>0.33958104350155832</v>
      </c>
      <c r="M20" s="8">
        <f t="shared" si="32"/>
        <v>0.83958104350155827</v>
      </c>
      <c r="N20" s="8">
        <f t="shared" si="33"/>
        <v>0.59553512298788813</v>
      </c>
      <c r="O20" s="9">
        <f t="shared" si="26"/>
        <v>0.62403100775193798</v>
      </c>
      <c r="P20" s="9">
        <f t="shared" si="27"/>
        <v>0.37596899224806202</v>
      </c>
      <c r="Q20" s="9">
        <f>P20+O20</f>
        <v>1</v>
      </c>
      <c r="R20" s="9">
        <f>O20/Q20</f>
        <v>0.62403100775193798</v>
      </c>
      <c r="S20" s="12">
        <f t="shared" si="28"/>
        <v>-0.12403100775193798</v>
      </c>
      <c r="T20" s="12">
        <f t="shared" si="29"/>
        <v>-3.6387948746503695E-2</v>
      </c>
      <c r="U20" s="12">
        <f t="shared" si="30"/>
        <v>-0.16041895649844173</v>
      </c>
      <c r="V20" s="20">
        <f t="shared" si="31"/>
        <v>-2.849588476404985E-2</v>
      </c>
    </row>
    <row r="21" spans="1:22" x14ac:dyDescent="0.2">
      <c r="A21" s="4">
        <v>12</v>
      </c>
      <c r="B21" s="5">
        <v>0</v>
      </c>
      <c r="C21" s="5">
        <v>70</v>
      </c>
      <c r="D21" s="5">
        <v>1510</v>
      </c>
      <c r="E21" s="6">
        <f t="shared" si="19"/>
        <v>322.5</v>
      </c>
      <c r="F21" s="10">
        <f t="shared" si="20"/>
        <v>5.833333333333333</v>
      </c>
      <c r="G21" s="10">
        <f t="shared" si="21"/>
        <v>121.25</v>
      </c>
      <c r="H21" s="6">
        <f t="shared" si="22"/>
        <v>188.75</v>
      </c>
      <c r="I21" s="8">
        <f t="shared" si="23"/>
        <v>115.34457630647512</v>
      </c>
      <c r="J21" s="8">
        <f t="shared" si="24"/>
        <v>304.09457630647512</v>
      </c>
      <c r="K21" s="8">
        <f t="shared" si="18"/>
        <v>0.5852713178294574</v>
      </c>
      <c r="L21" s="8">
        <f t="shared" si="25"/>
        <v>0.35765760095031046</v>
      </c>
      <c r="M21" s="8">
        <f t="shared" si="32"/>
        <v>0.94292891877976781</v>
      </c>
      <c r="N21" s="8">
        <f t="shared" si="33"/>
        <v>0.62069505577032202</v>
      </c>
      <c r="O21" s="9">
        <f t="shared" si="26"/>
        <v>0.62403100775193798</v>
      </c>
      <c r="P21" s="9">
        <f t="shared" si="27"/>
        <v>0.37596899224806202</v>
      </c>
      <c r="Q21" s="9">
        <f t="shared" si="34"/>
        <v>1</v>
      </c>
      <c r="R21" s="9">
        <f t="shared" si="35"/>
        <v>0.62403100775193798</v>
      </c>
      <c r="S21" s="12">
        <f t="shared" si="28"/>
        <v>-3.8759689922480578E-2</v>
      </c>
      <c r="T21" s="12">
        <f t="shared" si="29"/>
        <v>-1.8311391297751556E-2</v>
      </c>
      <c r="U21" s="12">
        <f t="shared" si="30"/>
        <v>-5.7071081220232189E-2</v>
      </c>
      <c r="V21" s="20">
        <f t="shared" si="31"/>
        <v>-3.3359519816159589E-3</v>
      </c>
    </row>
    <row r="22" spans="1:22" x14ac:dyDescent="0.2">
      <c r="A22" s="4">
        <v>20</v>
      </c>
      <c r="B22" s="5">
        <v>0</v>
      </c>
      <c r="C22" s="5">
        <v>40</v>
      </c>
      <c r="D22" s="5">
        <v>1520</v>
      </c>
      <c r="E22" s="6">
        <f t="shared" si="19"/>
        <v>322.5</v>
      </c>
      <c r="F22" s="10">
        <f t="shared" si="20"/>
        <v>3.3333333333333335</v>
      </c>
      <c r="G22" s="10">
        <f t="shared" si="21"/>
        <v>121.25</v>
      </c>
      <c r="H22" s="6">
        <f t="shared" si="22"/>
        <v>190</v>
      </c>
      <c r="I22" s="8">
        <f t="shared" si="23"/>
        <v>117.84301478242764</v>
      </c>
      <c r="J22" s="8">
        <f t="shared" si="24"/>
        <v>307.84301478242764</v>
      </c>
      <c r="K22" s="8">
        <f t="shared" si="18"/>
        <v>0.58914728682170547</v>
      </c>
      <c r="L22" s="8">
        <f t="shared" si="25"/>
        <v>0.36540469699977562</v>
      </c>
      <c r="M22" s="8">
        <f t="shared" si="32"/>
        <v>0.9545519838214811</v>
      </c>
      <c r="N22" s="8">
        <f t="shared" si="33"/>
        <v>0.61719769777555344</v>
      </c>
      <c r="O22" s="9">
        <f t="shared" si="26"/>
        <v>0.62403100775193798</v>
      </c>
      <c r="P22" s="9">
        <f t="shared" si="27"/>
        <v>0.37596899224806202</v>
      </c>
      <c r="Q22" s="9">
        <f t="shared" si="34"/>
        <v>1</v>
      </c>
      <c r="R22" s="9">
        <f t="shared" si="35"/>
        <v>0.62403100775193798</v>
      </c>
      <c r="S22" s="12">
        <f t="shared" si="28"/>
        <v>-3.4883720930232509E-2</v>
      </c>
      <c r="T22" s="12">
        <f t="shared" si="29"/>
        <v>-1.0564295248286393E-2</v>
      </c>
      <c r="U22" s="12">
        <f t="shared" si="30"/>
        <v>-4.5448016178518902E-2</v>
      </c>
      <c r="V22" s="20">
        <f t="shared" si="31"/>
        <v>-6.8333099763845384E-3</v>
      </c>
    </row>
    <row r="23" spans="1:22" x14ac:dyDescent="0.2">
      <c r="A23" s="4">
        <v>24</v>
      </c>
      <c r="B23" s="5">
        <v>0</v>
      </c>
      <c r="C23" s="5">
        <v>50</v>
      </c>
      <c r="D23" s="5">
        <v>1520</v>
      </c>
      <c r="E23" s="6">
        <f t="shared" si="19"/>
        <v>322.5</v>
      </c>
      <c r="F23" s="10">
        <f t="shared" si="20"/>
        <v>4.166666666666667</v>
      </c>
      <c r="G23" s="10">
        <f t="shared" si="21"/>
        <v>121.25</v>
      </c>
      <c r="H23" s="6">
        <f t="shared" si="22"/>
        <v>190</v>
      </c>
      <c r="I23" s="8">
        <f t="shared" si="23"/>
        <v>117.01020195711014</v>
      </c>
      <c r="J23" s="8">
        <f t="shared" si="24"/>
        <v>307.01020195711016</v>
      </c>
      <c r="K23" s="8">
        <f t="shared" si="18"/>
        <v>0.58914728682170547</v>
      </c>
      <c r="L23" s="8">
        <f t="shared" si="25"/>
        <v>0.36282233164995392</v>
      </c>
      <c r="M23" s="8">
        <f t="shared" si="32"/>
        <v>0.9519696184716594</v>
      </c>
      <c r="N23" s="8">
        <f t="shared" si="33"/>
        <v>0.61887194232895015</v>
      </c>
      <c r="O23" s="9">
        <f t="shared" si="26"/>
        <v>0.62403100775193798</v>
      </c>
      <c r="P23" s="9">
        <f t="shared" si="27"/>
        <v>0.37596899224806202</v>
      </c>
      <c r="Q23" s="9">
        <f t="shared" si="34"/>
        <v>1</v>
      </c>
      <c r="R23" s="9">
        <f t="shared" si="35"/>
        <v>0.62403100775193798</v>
      </c>
      <c r="S23" s="12">
        <f t="shared" si="28"/>
        <v>-3.4883720930232509E-2</v>
      </c>
      <c r="T23" s="12">
        <f t="shared" si="29"/>
        <v>-1.3146660598108095E-2</v>
      </c>
      <c r="U23" s="12">
        <f t="shared" si="30"/>
        <v>-4.8030381528340604E-2</v>
      </c>
      <c r="V23" s="20">
        <f t="shared" si="31"/>
        <v>-5.1590654229878297E-3</v>
      </c>
    </row>
    <row r="24" spans="1:22" x14ac:dyDescent="0.2">
      <c r="V24" s="21"/>
    </row>
    <row r="25" spans="1:22" x14ac:dyDescent="0.2">
      <c r="A25" s="7" t="s">
        <v>10</v>
      </c>
      <c r="B25" s="7"/>
      <c r="V25" s="21"/>
    </row>
    <row r="26" spans="1:22" ht="68" x14ac:dyDescent="0.2">
      <c r="A26" s="1" t="s">
        <v>8</v>
      </c>
      <c r="B26" s="2" t="s">
        <v>0</v>
      </c>
      <c r="C26" s="2" t="s">
        <v>1</v>
      </c>
      <c r="D26" s="2" t="s">
        <v>2</v>
      </c>
      <c r="E26" s="3" t="s">
        <v>3</v>
      </c>
      <c r="F26" s="3" t="s">
        <v>19</v>
      </c>
      <c r="G26" s="3" t="s">
        <v>23</v>
      </c>
      <c r="H26" s="3" t="s">
        <v>11</v>
      </c>
      <c r="I26" s="3" t="s">
        <v>12</v>
      </c>
      <c r="J26" s="3" t="s">
        <v>4</v>
      </c>
      <c r="K26" s="3" t="s">
        <v>5</v>
      </c>
      <c r="L26" s="3" t="s">
        <v>6</v>
      </c>
      <c r="M26" s="3" t="s">
        <v>25</v>
      </c>
      <c r="N26" s="3" t="s">
        <v>15</v>
      </c>
      <c r="O26" s="1" t="s">
        <v>16</v>
      </c>
      <c r="P26" s="1" t="s">
        <v>17</v>
      </c>
      <c r="Q26" s="1" t="s">
        <v>26</v>
      </c>
      <c r="R26" s="1" t="s">
        <v>18</v>
      </c>
      <c r="S26" s="11" t="s">
        <v>22</v>
      </c>
      <c r="T26" s="11" t="s">
        <v>20</v>
      </c>
      <c r="U26" s="11" t="s">
        <v>24</v>
      </c>
      <c r="V26" s="11" t="s">
        <v>21</v>
      </c>
    </row>
    <row r="27" spans="1:22" x14ac:dyDescent="0.2">
      <c r="A27" s="4">
        <v>0</v>
      </c>
      <c r="B27" s="5">
        <v>2315</v>
      </c>
      <c r="C27" s="5">
        <v>1485</v>
      </c>
      <c r="D27" s="5">
        <v>0</v>
      </c>
      <c r="E27" s="6">
        <f>($B$27+160)/8</f>
        <v>309.375</v>
      </c>
      <c r="F27" s="10">
        <f>C27*8/96</f>
        <v>123.75</v>
      </c>
      <c r="G27" s="10">
        <f>$F$27</f>
        <v>123.75</v>
      </c>
      <c r="H27" s="6">
        <f>D27/8</f>
        <v>0</v>
      </c>
      <c r="I27" s="8">
        <f>($C$27-C27)*(8/96.06)</f>
        <v>0</v>
      </c>
      <c r="J27" s="8">
        <f>SUM(H27:I27)</f>
        <v>0</v>
      </c>
      <c r="K27" s="8">
        <f>H27/E27</f>
        <v>0</v>
      </c>
      <c r="L27" s="8">
        <f>I27/E27</f>
        <v>0</v>
      </c>
      <c r="M27" s="8">
        <f>SUM(K27:L27)</f>
        <v>0</v>
      </c>
      <c r="N27" s="8" t="s">
        <v>45</v>
      </c>
      <c r="O27" s="9">
        <f>1-P27</f>
        <v>0.6</v>
      </c>
      <c r="P27" s="9">
        <f>MIN(E27,G27)/E27</f>
        <v>0.4</v>
      </c>
      <c r="Q27" s="9">
        <f>P27+O27</f>
        <v>1</v>
      </c>
      <c r="R27" s="9">
        <f>O27/Q27</f>
        <v>0.6</v>
      </c>
      <c r="S27" s="12">
        <f>K27-O27</f>
        <v>-0.6</v>
      </c>
      <c r="T27" s="12">
        <f>L27-P27</f>
        <v>-0.4</v>
      </c>
      <c r="U27" s="12">
        <f>M27-Q27</f>
        <v>-1</v>
      </c>
      <c r="V27" s="20" t="str">
        <f>IF(N27="NC","NC",N27-R27)</f>
        <v>NC</v>
      </c>
    </row>
    <row r="28" spans="1:22" x14ac:dyDescent="0.2">
      <c r="A28" s="4">
        <v>1</v>
      </c>
      <c r="B28" s="5">
        <v>1940</v>
      </c>
      <c r="C28" s="5">
        <v>1290</v>
      </c>
      <c r="D28" s="5">
        <v>60</v>
      </c>
      <c r="E28" s="6">
        <f t="shared" ref="E28:E35" si="36">($B$27+160)/8</f>
        <v>309.375</v>
      </c>
      <c r="F28" s="10">
        <f t="shared" ref="F28:F35" si="37">C28*8/96</f>
        <v>107.5</v>
      </c>
      <c r="G28" s="10">
        <f t="shared" ref="G28:G35" si="38">$F$27</f>
        <v>123.75</v>
      </c>
      <c r="H28" s="6">
        <f t="shared" ref="H28:H35" si="39">D28/8</f>
        <v>7.5</v>
      </c>
      <c r="I28" s="8">
        <f t="shared" ref="I28:I35" si="40">($C$27-C28)*(8/96.06)</f>
        <v>16.239850093691444</v>
      </c>
      <c r="J28" s="8">
        <f t="shared" ref="J28:J35" si="41">SUM(H28:I28)</f>
        <v>23.739850093691444</v>
      </c>
      <c r="K28" s="8">
        <f t="shared" ref="K28:K35" si="42">H28/E28</f>
        <v>2.4242424242424242E-2</v>
      </c>
      <c r="L28" s="8">
        <f t="shared" ref="L28:L35" si="43">I28/E28</f>
        <v>5.2492444747285476E-2</v>
      </c>
      <c r="M28" s="8">
        <f>SUM(K28:L28)</f>
        <v>7.6734868989709715E-2</v>
      </c>
      <c r="N28" s="8">
        <f>K28/M28</f>
        <v>0.31592448858777872</v>
      </c>
      <c r="O28" s="9">
        <f t="shared" ref="O28:O35" si="44">1-P28</f>
        <v>0.6</v>
      </c>
      <c r="P28" s="9">
        <f t="shared" ref="P28:P35" si="45">MIN(E28,G28)/E28</f>
        <v>0.4</v>
      </c>
      <c r="Q28" s="9">
        <f>P28+O28</f>
        <v>1</v>
      </c>
      <c r="R28" s="9">
        <f>O28/Q28</f>
        <v>0.6</v>
      </c>
      <c r="S28" s="12">
        <f t="shared" ref="S28:S35" si="46">K28-O28</f>
        <v>-0.57575757575757569</v>
      </c>
      <c r="T28" s="12">
        <f t="shared" ref="T28:T35" si="47">L28-P28</f>
        <v>-0.34750755525271454</v>
      </c>
      <c r="U28" s="12">
        <f>M28-Q28</f>
        <v>-0.92326513101029029</v>
      </c>
      <c r="V28" s="20">
        <f t="shared" ref="V28:V35" si="48">N28-R28</f>
        <v>-0.28407551141222126</v>
      </c>
    </row>
    <row r="29" spans="1:22" x14ac:dyDescent="0.2">
      <c r="A29" s="4">
        <v>2</v>
      </c>
      <c r="B29" s="5">
        <v>850</v>
      </c>
      <c r="C29" s="5">
        <v>910</v>
      </c>
      <c r="D29" s="5">
        <v>185</v>
      </c>
      <c r="E29" s="6">
        <f t="shared" si="36"/>
        <v>309.375</v>
      </c>
      <c r="F29" s="10">
        <f t="shared" si="37"/>
        <v>75.833333333333329</v>
      </c>
      <c r="G29" s="10">
        <f t="shared" si="38"/>
        <v>123.75</v>
      </c>
      <c r="H29" s="6">
        <f t="shared" si="39"/>
        <v>23.125</v>
      </c>
      <c r="I29" s="8">
        <f t="shared" si="40"/>
        <v>47.886737455756816</v>
      </c>
      <c r="J29" s="8">
        <f t="shared" si="41"/>
        <v>71.011737455756816</v>
      </c>
      <c r="K29" s="8">
        <f t="shared" si="42"/>
        <v>7.4747474747474743E-2</v>
      </c>
      <c r="L29" s="8">
        <f t="shared" si="43"/>
        <v>0.15478541399840587</v>
      </c>
      <c r="M29" s="8">
        <f t="shared" ref="M29:M35" si="49">SUM(K29:L29)</f>
        <v>0.22953288874588063</v>
      </c>
      <c r="N29" s="8">
        <f t="shared" ref="N29:N35" si="50">K29/M29</f>
        <v>0.32565039004161539</v>
      </c>
      <c r="O29" s="9">
        <f t="shared" si="44"/>
        <v>0.6</v>
      </c>
      <c r="P29" s="9">
        <f t="shared" si="45"/>
        <v>0.4</v>
      </c>
      <c r="Q29" s="9">
        <f t="shared" ref="Q29:Q35" si="51">P29+O29</f>
        <v>1</v>
      </c>
      <c r="R29" s="9">
        <f t="shared" ref="R29:R35" si="52">O29/Q29</f>
        <v>0.6</v>
      </c>
      <c r="S29" s="12">
        <f t="shared" si="46"/>
        <v>-0.52525252525252519</v>
      </c>
      <c r="T29" s="12">
        <f t="shared" si="47"/>
        <v>-0.24521458600159415</v>
      </c>
      <c r="U29" s="12">
        <f t="shared" ref="U29:U35" si="53">M29-Q29</f>
        <v>-0.77046711125411937</v>
      </c>
      <c r="V29" s="20">
        <f t="shared" si="48"/>
        <v>-0.27434960995838459</v>
      </c>
    </row>
    <row r="30" spans="1:22" x14ac:dyDescent="0.2">
      <c r="A30" s="4">
        <v>4</v>
      </c>
      <c r="B30" s="5">
        <v>0</v>
      </c>
      <c r="C30" s="5">
        <v>295</v>
      </c>
      <c r="D30" s="5">
        <v>505</v>
      </c>
      <c r="E30" s="6">
        <f t="shared" si="36"/>
        <v>309.375</v>
      </c>
      <c r="F30" s="10">
        <f t="shared" si="37"/>
        <v>24.583333333333332</v>
      </c>
      <c r="G30" s="10">
        <f t="shared" si="38"/>
        <v>123.75</v>
      </c>
      <c r="H30" s="6">
        <f t="shared" si="39"/>
        <v>63.125</v>
      </c>
      <c r="I30" s="8">
        <f t="shared" si="40"/>
        <v>99.104726212783675</v>
      </c>
      <c r="J30" s="8">
        <f t="shared" si="41"/>
        <v>162.22972621278367</v>
      </c>
      <c r="K30" s="8">
        <f t="shared" si="42"/>
        <v>0.20404040404040405</v>
      </c>
      <c r="L30" s="8">
        <f t="shared" si="43"/>
        <v>0.32033850897061389</v>
      </c>
      <c r="M30" s="8">
        <f t="shared" si="49"/>
        <v>0.52437891301101791</v>
      </c>
      <c r="N30" s="8">
        <f t="shared" si="50"/>
        <v>0.3891087131417828</v>
      </c>
      <c r="O30" s="9">
        <f t="shared" si="44"/>
        <v>0.6</v>
      </c>
      <c r="P30" s="9">
        <f t="shared" si="45"/>
        <v>0.4</v>
      </c>
      <c r="Q30" s="9">
        <f t="shared" si="51"/>
        <v>1</v>
      </c>
      <c r="R30" s="9">
        <f t="shared" si="52"/>
        <v>0.6</v>
      </c>
      <c r="S30" s="12">
        <f t="shared" si="46"/>
        <v>-0.39595959595959596</v>
      </c>
      <c r="T30" s="12">
        <f t="shared" si="47"/>
        <v>-7.9661491029386133E-2</v>
      </c>
      <c r="U30" s="12">
        <f t="shared" si="53"/>
        <v>-0.47562108698898209</v>
      </c>
      <c r="V30" s="20">
        <f t="shared" si="48"/>
        <v>-0.21089128685821718</v>
      </c>
    </row>
    <row r="31" spans="1:22" x14ac:dyDescent="0.2">
      <c r="A31" s="4">
        <v>7</v>
      </c>
      <c r="B31" s="5">
        <v>0</v>
      </c>
      <c r="C31" s="5">
        <v>200</v>
      </c>
      <c r="D31" s="5">
        <v>1110</v>
      </c>
      <c r="E31" s="6">
        <f t="shared" si="36"/>
        <v>309.375</v>
      </c>
      <c r="F31" s="10">
        <f t="shared" si="37"/>
        <v>16.666666666666668</v>
      </c>
      <c r="G31" s="10">
        <f t="shared" si="38"/>
        <v>123.75</v>
      </c>
      <c r="H31" s="6">
        <f t="shared" si="39"/>
        <v>138.75</v>
      </c>
      <c r="I31" s="8">
        <f t="shared" si="40"/>
        <v>107.01644805330002</v>
      </c>
      <c r="J31" s="8">
        <f t="shared" si="41"/>
        <v>245.76644805330002</v>
      </c>
      <c r="K31" s="8">
        <f t="shared" si="42"/>
        <v>0.44848484848484849</v>
      </c>
      <c r="L31" s="8">
        <f t="shared" si="43"/>
        <v>0.34591175128339402</v>
      </c>
      <c r="M31" s="8">
        <f t="shared" si="49"/>
        <v>0.79439659976824251</v>
      </c>
      <c r="N31" s="8">
        <f t="shared" si="50"/>
        <v>0.56456038283105636</v>
      </c>
      <c r="O31" s="9">
        <f t="shared" si="44"/>
        <v>0.6</v>
      </c>
      <c r="P31" s="9">
        <f t="shared" si="45"/>
        <v>0.4</v>
      </c>
      <c r="Q31" s="9">
        <f>P31+O31</f>
        <v>1</v>
      </c>
      <c r="R31" s="9">
        <f>O31/Q31</f>
        <v>0.6</v>
      </c>
      <c r="S31" s="12">
        <f t="shared" si="46"/>
        <v>-0.15151515151515149</v>
      </c>
      <c r="T31" s="12">
        <f t="shared" si="47"/>
        <v>-5.4088248716606002E-2</v>
      </c>
      <c r="U31" s="12">
        <f t="shared" si="53"/>
        <v>-0.20560340023175749</v>
      </c>
      <c r="V31" s="20">
        <f t="shared" si="48"/>
        <v>-3.5439617168943616E-2</v>
      </c>
    </row>
    <row r="32" spans="1:22" x14ac:dyDescent="0.2">
      <c r="A32" s="4">
        <v>9</v>
      </c>
      <c r="B32" s="5">
        <v>0</v>
      </c>
      <c r="C32" s="5">
        <v>160</v>
      </c>
      <c r="D32" s="5">
        <v>1460</v>
      </c>
      <c r="E32" s="6">
        <f t="shared" si="36"/>
        <v>309.375</v>
      </c>
      <c r="F32" s="10">
        <f t="shared" si="37"/>
        <v>13.333333333333334</v>
      </c>
      <c r="G32" s="10">
        <f t="shared" si="38"/>
        <v>123.75</v>
      </c>
      <c r="H32" s="6">
        <f t="shared" si="39"/>
        <v>182.5</v>
      </c>
      <c r="I32" s="8">
        <f t="shared" si="40"/>
        <v>110.34769935457005</v>
      </c>
      <c r="J32" s="8">
        <f t="shared" si="41"/>
        <v>292.84769935457007</v>
      </c>
      <c r="K32" s="8">
        <f t="shared" si="42"/>
        <v>0.58989898989898992</v>
      </c>
      <c r="L32" s="8">
        <f t="shared" si="43"/>
        <v>0.35667943225719612</v>
      </c>
      <c r="M32" s="8">
        <f t="shared" si="49"/>
        <v>0.94657842215618604</v>
      </c>
      <c r="N32" s="8">
        <f t="shared" si="50"/>
        <v>0.6231908271850044</v>
      </c>
      <c r="O32" s="9">
        <f t="shared" si="44"/>
        <v>0.6</v>
      </c>
      <c r="P32" s="9">
        <f t="shared" si="45"/>
        <v>0.4</v>
      </c>
      <c r="Q32" s="9">
        <f t="shared" si="51"/>
        <v>1</v>
      </c>
      <c r="R32" s="9">
        <f t="shared" si="52"/>
        <v>0.6</v>
      </c>
      <c r="S32" s="12">
        <f t="shared" si="46"/>
        <v>-1.0101010101010055E-2</v>
      </c>
      <c r="T32" s="12">
        <f t="shared" si="47"/>
        <v>-4.3320567742803906E-2</v>
      </c>
      <c r="U32" s="12">
        <f t="shared" si="53"/>
        <v>-5.3421577843813961E-2</v>
      </c>
      <c r="V32" s="20">
        <f t="shared" si="48"/>
        <v>2.3190827185004426E-2</v>
      </c>
    </row>
    <row r="33" spans="1:22" x14ac:dyDescent="0.2">
      <c r="A33" s="4">
        <v>12</v>
      </c>
      <c r="B33" s="5">
        <v>0</v>
      </c>
      <c r="C33" s="5">
        <v>100</v>
      </c>
      <c r="D33" s="5">
        <v>1490</v>
      </c>
      <c r="E33" s="6">
        <f t="shared" si="36"/>
        <v>309.375</v>
      </c>
      <c r="F33" s="10">
        <f t="shared" si="37"/>
        <v>8.3333333333333339</v>
      </c>
      <c r="G33" s="10">
        <f t="shared" si="38"/>
        <v>123.75</v>
      </c>
      <c r="H33" s="6">
        <f t="shared" si="39"/>
        <v>186.25</v>
      </c>
      <c r="I33" s="8">
        <f t="shared" si="40"/>
        <v>115.34457630647512</v>
      </c>
      <c r="J33" s="8">
        <f t="shared" si="41"/>
        <v>301.59457630647512</v>
      </c>
      <c r="K33" s="8">
        <f t="shared" si="42"/>
        <v>0.60202020202020201</v>
      </c>
      <c r="L33" s="8">
        <f t="shared" si="43"/>
        <v>0.37283095371789937</v>
      </c>
      <c r="M33" s="8">
        <f t="shared" si="49"/>
        <v>0.97485115573810144</v>
      </c>
      <c r="N33" s="8">
        <f t="shared" si="50"/>
        <v>0.61755089325855783</v>
      </c>
      <c r="O33" s="9">
        <f t="shared" si="44"/>
        <v>0.6</v>
      </c>
      <c r="P33" s="9">
        <f t="shared" si="45"/>
        <v>0.4</v>
      </c>
      <c r="Q33" s="9">
        <f t="shared" si="51"/>
        <v>1</v>
      </c>
      <c r="R33" s="9">
        <f t="shared" si="52"/>
        <v>0.6</v>
      </c>
      <c r="S33" s="12">
        <f t="shared" si="46"/>
        <v>2.0202020202020332E-3</v>
      </c>
      <c r="T33" s="12">
        <f t="shared" si="47"/>
        <v>-2.7169046282100651E-2</v>
      </c>
      <c r="U33" s="12">
        <f t="shared" si="53"/>
        <v>-2.5148844261898562E-2</v>
      </c>
      <c r="V33" s="20">
        <f t="shared" si="48"/>
        <v>1.7550893258557854E-2</v>
      </c>
    </row>
    <row r="34" spans="1:22" x14ac:dyDescent="0.2">
      <c r="A34" s="4">
        <v>20</v>
      </c>
      <c r="B34" s="5">
        <v>0</v>
      </c>
      <c r="C34" s="5">
        <v>70</v>
      </c>
      <c r="D34" s="5">
        <v>1500</v>
      </c>
      <c r="E34" s="6">
        <f t="shared" si="36"/>
        <v>309.375</v>
      </c>
      <c r="F34" s="10">
        <f t="shared" si="37"/>
        <v>5.833333333333333</v>
      </c>
      <c r="G34" s="10">
        <f t="shared" si="38"/>
        <v>123.75</v>
      </c>
      <c r="H34" s="6">
        <f t="shared" si="39"/>
        <v>187.5</v>
      </c>
      <c r="I34" s="8">
        <f t="shared" si="40"/>
        <v>117.84301478242764</v>
      </c>
      <c r="J34" s="8">
        <f t="shared" si="41"/>
        <v>305.34301478242764</v>
      </c>
      <c r="K34" s="8">
        <f t="shared" si="42"/>
        <v>0.60606060606060608</v>
      </c>
      <c r="L34" s="8">
        <f t="shared" si="43"/>
        <v>0.38090671444825097</v>
      </c>
      <c r="M34" s="8">
        <f t="shared" si="49"/>
        <v>0.98696732050885705</v>
      </c>
      <c r="N34" s="8">
        <f t="shared" si="50"/>
        <v>0.61406349882804179</v>
      </c>
      <c r="O34" s="9">
        <f t="shared" si="44"/>
        <v>0.6</v>
      </c>
      <c r="P34" s="9">
        <f t="shared" si="45"/>
        <v>0.4</v>
      </c>
      <c r="Q34" s="9">
        <f t="shared" si="51"/>
        <v>1</v>
      </c>
      <c r="R34" s="9">
        <f t="shared" si="52"/>
        <v>0.6</v>
      </c>
      <c r="S34" s="12">
        <f t="shared" si="46"/>
        <v>6.0606060606060996E-3</v>
      </c>
      <c r="T34" s="12">
        <f t="shared" si="47"/>
        <v>-1.9093285551749051E-2</v>
      </c>
      <c r="U34" s="12">
        <f t="shared" si="53"/>
        <v>-1.3032679491142951E-2</v>
      </c>
      <c r="V34" s="20">
        <f t="shared" si="48"/>
        <v>1.4063498828041809E-2</v>
      </c>
    </row>
    <row r="35" spans="1:22" x14ac:dyDescent="0.2">
      <c r="A35" s="4">
        <v>24</v>
      </c>
      <c r="B35" s="5">
        <v>0</v>
      </c>
      <c r="C35" s="5">
        <v>80</v>
      </c>
      <c r="D35" s="5">
        <v>1500</v>
      </c>
      <c r="E35" s="6">
        <f t="shared" si="36"/>
        <v>309.375</v>
      </c>
      <c r="F35" s="10">
        <f t="shared" si="37"/>
        <v>6.666666666666667</v>
      </c>
      <c r="G35" s="10">
        <f t="shared" si="38"/>
        <v>123.75</v>
      </c>
      <c r="H35" s="6">
        <f t="shared" si="39"/>
        <v>187.5</v>
      </c>
      <c r="I35" s="8">
        <f t="shared" si="40"/>
        <v>117.01020195711014</v>
      </c>
      <c r="J35" s="8">
        <f t="shared" si="41"/>
        <v>304.51020195711016</v>
      </c>
      <c r="K35" s="8">
        <f t="shared" si="42"/>
        <v>0.60606060606060608</v>
      </c>
      <c r="L35" s="8">
        <f t="shared" si="43"/>
        <v>0.37821479420480048</v>
      </c>
      <c r="M35" s="8">
        <f t="shared" si="49"/>
        <v>0.98427540026540661</v>
      </c>
      <c r="N35" s="8">
        <f t="shared" si="50"/>
        <v>0.61574291696936023</v>
      </c>
      <c r="O35" s="9">
        <f t="shared" si="44"/>
        <v>0.6</v>
      </c>
      <c r="P35" s="9">
        <f t="shared" si="45"/>
        <v>0.4</v>
      </c>
      <c r="Q35" s="9">
        <f t="shared" si="51"/>
        <v>1</v>
      </c>
      <c r="R35" s="9">
        <f t="shared" si="52"/>
        <v>0.6</v>
      </c>
      <c r="S35" s="12">
        <f t="shared" si="46"/>
        <v>6.0606060606060996E-3</v>
      </c>
      <c r="T35" s="12">
        <f t="shared" si="47"/>
        <v>-2.1785205795199547E-2</v>
      </c>
      <c r="U35" s="12">
        <f t="shared" si="53"/>
        <v>-1.5724599734593392E-2</v>
      </c>
      <c r="V35" s="20">
        <f t="shared" si="48"/>
        <v>1.5742916969360254E-2</v>
      </c>
    </row>
  </sheetData>
  <phoneticPr fontId="2" type="noConversion"/>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AE267-C2AC-1F4F-B65B-FC87AFCB5FA3}">
  <dimension ref="A1:Y26"/>
  <sheetViews>
    <sheetView topLeftCell="A10" zoomScale="63" workbookViewId="0">
      <selection activeCell="J18" sqref="J18"/>
    </sheetView>
  </sheetViews>
  <sheetFormatPr baseColWidth="10" defaultRowHeight="16" x14ac:dyDescent="0.2"/>
  <cols>
    <col min="3" max="3" width="13.1640625" customWidth="1"/>
    <col min="6" max="6" width="14.83203125" customWidth="1"/>
  </cols>
  <sheetData>
    <row r="1" spans="1:25" x14ac:dyDescent="0.2">
      <c r="A1" s="7" t="s">
        <v>35</v>
      </c>
      <c r="B1" s="7"/>
      <c r="C1" s="7"/>
      <c r="D1" s="7"/>
      <c r="E1" s="7"/>
    </row>
    <row r="2" spans="1:25" ht="68" x14ac:dyDescent="0.2">
      <c r="A2" s="13" t="s">
        <v>27</v>
      </c>
      <c r="B2" s="13" t="s">
        <v>28</v>
      </c>
      <c r="C2" s="13" t="s">
        <v>29</v>
      </c>
      <c r="D2" s="13" t="s">
        <v>30</v>
      </c>
      <c r="E2" s="13" t="s">
        <v>31</v>
      </c>
      <c r="F2" s="13" t="s">
        <v>32</v>
      </c>
      <c r="G2" s="13" t="s">
        <v>33</v>
      </c>
      <c r="H2" s="13" t="s">
        <v>34</v>
      </c>
      <c r="I2" s="15" t="s">
        <v>3</v>
      </c>
      <c r="J2" s="15" t="s">
        <v>23</v>
      </c>
      <c r="K2" s="15" t="s">
        <v>11</v>
      </c>
      <c r="L2" s="15" t="s">
        <v>12</v>
      </c>
      <c r="M2" s="15" t="s">
        <v>4</v>
      </c>
      <c r="N2" s="3" t="s">
        <v>13</v>
      </c>
      <c r="O2" s="3" t="s">
        <v>14</v>
      </c>
      <c r="P2" s="3" t="s">
        <v>25</v>
      </c>
      <c r="Q2" s="3" t="s">
        <v>15</v>
      </c>
      <c r="R2" s="1" t="s">
        <v>16</v>
      </c>
      <c r="S2" s="1" t="s">
        <v>17</v>
      </c>
      <c r="T2" s="1" t="s">
        <v>26</v>
      </c>
      <c r="U2" s="1" t="s">
        <v>18</v>
      </c>
      <c r="V2" s="11" t="s">
        <v>22</v>
      </c>
      <c r="W2" s="11" t="s">
        <v>20</v>
      </c>
      <c r="X2" s="11" t="s">
        <v>24</v>
      </c>
      <c r="Y2" s="11" t="s">
        <v>21</v>
      </c>
    </row>
    <row r="3" spans="1:25" x14ac:dyDescent="0.2">
      <c r="A3" s="14">
        <v>12</v>
      </c>
      <c r="B3" s="14">
        <v>6.1</v>
      </c>
      <c r="C3" s="14">
        <v>3000</v>
      </c>
      <c r="D3" s="14">
        <v>3000</v>
      </c>
      <c r="E3" s="14">
        <v>46.4</v>
      </c>
      <c r="F3" s="14">
        <v>18.899999999999999</v>
      </c>
      <c r="G3" s="14">
        <v>1.9</v>
      </c>
      <c r="H3" s="14">
        <v>9.1</v>
      </c>
      <c r="I3" s="16">
        <f>C3/8</f>
        <v>375</v>
      </c>
      <c r="J3" s="17">
        <f>D3/96*8</f>
        <v>250</v>
      </c>
      <c r="K3" s="16">
        <f>I3*E3/100</f>
        <v>174</v>
      </c>
      <c r="L3" s="18">
        <f>I3*(F3+G3)/100</f>
        <v>77.999999999999986</v>
      </c>
      <c r="M3" s="18">
        <f>K3+L3</f>
        <v>252</v>
      </c>
      <c r="N3" s="8">
        <f>K3/I3</f>
        <v>0.46400000000000002</v>
      </c>
      <c r="O3" s="8">
        <f>L3/I3</f>
        <v>0.20799999999999996</v>
      </c>
      <c r="P3" s="8">
        <f>N3+O3</f>
        <v>0.67199999999999993</v>
      </c>
      <c r="Q3" s="8">
        <f>N3/P3</f>
        <v>0.69047619047619058</v>
      </c>
      <c r="R3" s="9">
        <f>1-S3</f>
        <v>0.33333333333333337</v>
      </c>
      <c r="S3" s="9">
        <f>MIN(J3,I3)/I3</f>
        <v>0.66666666666666663</v>
      </c>
      <c r="T3" s="9">
        <f>R3+S3</f>
        <v>1</v>
      </c>
      <c r="U3" s="9">
        <f>R3/T3</f>
        <v>0.33333333333333337</v>
      </c>
      <c r="V3" s="12">
        <f t="shared" ref="V3:Y7" si="0">N3-R3</f>
        <v>0.13066666666666665</v>
      </c>
      <c r="W3" s="12">
        <f t="shared" si="0"/>
        <v>-0.45866666666666667</v>
      </c>
      <c r="X3" s="12">
        <f t="shared" si="0"/>
        <v>-0.32800000000000007</v>
      </c>
      <c r="Y3" s="12">
        <f t="shared" si="0"/>
        <v>0.35714285714285721</v>
      </c>
    </row>
    <row r="4" spans="1:25" x14ac:dyDescent="0.2">
      <c r="A4" s="14">
        <v>6</v>
      </c>
      <c r="B4" s="14">
        <v>12.3</v>
      </c>
      <c r="C4" s="14">
        <v>3000</v>
      </c>
      <c r="D4" s="14">
        <v>3000</v>
      </c>
      <c r="E4" s="14">
        <v>53.9</v>
      </c>
      <c r="F4" s="14">
        <v>18.2</v>
      </c>
      <c r="G4" s="14">
        <v>3.2</v>
      </c>
      <c r="H4" s="14">
        <v>13.5</v>
      </c>
      <c r="I4" s="16">
        <f>C4/8</f>
        <v>375</v>
      </c>
      <c r="J4" s="17">
        <f>D4/96*8</f>
        <v>250</v>
      </c>
      <c r="K4" s="16">
        <f>I4*E4/100</f>
        <v>202.125</v>
      </c>
      <c r="L4" s="18">
        <f>I4*(F4+G4)/100</f>
        <v>80.249999999999986</v>
      </c>
      <c r="M4" s="18">
        <f>K4+L4</f>
        <v>282.375</v>
      </c>
      <c r="N4" s="8">
        <f>K4/I4</f>
        <v>0.53900000000000003</v>
      </c>
      <c r="O4" s="8">
        <f>L4/I4</f>
        <v>0.21399999999999997</v>
      </c>
      <c r="P4" s="8">
        <f>N4+O4</f>
        <v>0.753</v>
      </c>
      <c r="Q4" s="8">
        <f>N4/P4</f>
        <v>0.71580345285524571</v>
      </c>
      <c r="R4" s="9">
        <f>1-S4</f>
        <v>0.33333333333333337</v>
      </c>
      <c r="S4" s="9">
        <f>MIN(J4,I4)/I4</f>
        <v>0.66666666666666663</v>
      </c>
      <c r="T4" s="9">
        <f>R4+S4</f>
        <v>1</v>
      </c>
      <c r="U4" s="9">
        <f>R4/T4</f>
        <v>0.33333333333333337</v>
      </c>
      <c r="V4" s="12">
        <f t="shared" si="0"/>
        <v>0.20566666666666666</v>
      </c>
      <c r="W4" s="12">
        <f t="shared" si="0"/>
        <v>-0.45266666666666666</v>
      </c>
      <c r="X4" s="12">
        <f t="shared" si="0"/>
        <v>-0.247</v>
      </c>
      <c r="Y4" s="12">
        <f t="shared" si="0"/>
        <v>0.38247011952191234</v>
      </c>
    </row>
    <row r="5" spans="1:25" x14ac:dyDescent="0.2">
      <c r="A5" s="14">
        <v>4</v>
      </c>
      <c r="B5" s="14">
        <v>18</v>
      </c>
      <c r="C5" s="14">
        <v>3000</v>
      </c>
      <c r="D5" s="14">
        <v>3000</v>
      </c>
      <c r="E5" s="14">
        <v>54.3</v>
      </c>
      <c r="F5" s="14">
        <v>18.899999999999999</v>
      </c>
      <c r="G5" s="14">
        <v>3.4</v>
      </c>
      <c r="H5" s="14">
        <v>21.9</v>
      </c>
      <c r="I5" s="16">
        <f>C5/8</f>
        <v>375</v>
      </c>
      <c r="J5" s="17">
        <f>D5/96*8</f>
        <v>250</v>
      </c>
      <c r="K5" s="16">
        <f>I5*E5/100</f>
        <v>203.625</v>
      </c>
      <c r="L5" s="18">
        <f>I5*(F5+G5)/100</f>
        <v>83.624999999999986</v>
      </c>
      <c r="M5" s="18">
        <f>K5+L5</f>
        <v>287.25</v>
      </c>
      <c r="N5" s="8">
        <f>K5/I5</f>
        <v>0.54300000000000004</v>
      </c>
      <c r="O5" s="8">
        <f>L5/I5</f>
        <v>0.22299999999999995</v>
      </c>
      <c r="P5" s="8">
        <f>N5+O5</f>
        <v>0.76600000000000001</v>
      </c>
      <c r="Q5" s="8">
        <f>N5/P5</f>
        <v>0.70887728459530031</v>
      </c>
      <c r="R5" s="9">
        <f>1-S5</f>
        <v>0.33333333333333337</v>
      </c>
      <c r="S5" s="9">
        <f>MIN(J5,I5)/I5</f>
        <v>0.66666666666666663</v>
      </c>
      <c r="T5" s="9">
        <f>R5+S5</f>
        <v>1</v>
      </c>
      <c r="U5" s="9">
        <f>R5/T5</f>
        <v>0.33333333333333337</v>
      </c>
      <c r="V5" s="12">
        <f t="shared" si="0"/>
        <v>0.20966666666666667</v>
      </c>
      <c r="W5" s="12">
        <f t="shared" si="0"/>
        <v>-0.44366666666666665</v>
      </c>
      <c r="X5" s="12">
        <f t="shared" si="0"/>
        <v>-0.23399999999999999</v>
      </c>
      <c r="Y5" s="12">
        <f t="shared" si="0"/>
        <v>0.37554395126196694</v>
      </c>
    </row>
    <row r="6" spans="1:25" x14ac:dyDescent="0.2">
      <c r="A6" s="14">
        <v>3</v>
      </c>
      <c r="B6" s="14">
        <v>24.7</v>
      </c>
      <c r="C6" s="14">
        <v>3000</v>
      </c>
      <c r="D6" s="14">
        <v>3000</v>
      </c>
      <c r="E6" s="14">
        <v>49.3</v>
      </c>
      <c r="F6" s="14">
        <v>17.8</v>
      </c>
      <c r="G6" s="14">
        <v>3.2</v>
      </c>
      <c r="H6" s="14">
        <v>28.1</v>
      </c>
      <c r="I6" s="16">
        <f>C6/8</f>
        <v>375</v>
      </c>
      <c r="J6" s="17">
        <f>D6/96*8</f>
        <v>250</v>
      </c>
      <c r="K6" s="16">
        <f>I6*E6/100</f>
        <v>184.875</v>
      </c>
      <c r="L6" s="18">
        <f>I6*(F6+G6)/100</f>
        <v>78.75</v>
      </c>
      <c r="M6" s="18">
        <f>K6+L6</f>
        <v>263.625</v>
      </c>
      <c r="N6" s="8">
        <f>K6/I6</f>
        <v>0.49299999999999999</v>
      </c>
      <c r="O6" s="8">
        <f>L6/I6</f>
        <v>0.21</v>
      </c>
      <c r="P6" s="8">
        <f>N6+O6</f>
        <v>0.70299999999999996</v>
      </c>
      <c r="Q6" s="8">
        <f>N6/P6</f>
        <v>0.70128022759601705</v>
      </c>
      <c r="R6" s="9">
        <f>1-S6</f>
        <v>0.33333333333333337</v>
      </c>
      <c r="S6" s="9">
        <f>MIN(J6,I6)/I6</f>
        <v>0.66666666666666663</v>
      </c>
      <c r="T6" s="9">
        <f>R6+S6</f>
        <v>1</v>
      </c>
      <c r="U6" s="9">
        <f>R6/T6</f>
        <v>0.33333333333333337</v>
      </c>
      <c r="V6" s="12">
        <f t="shared" si="0"/>
        <v>0.15966666666666662</v>
      </c>
      <c r="W6" s="12">
        <f t="shared" si="0"/>
        <v>-0.45666666666666667</v>
      </c>
      <c r="X6" s="12">
        <f t="shared" si="0"/>
        <v>-0.29700000000000004</v>
      </c>
      <c r="Y6" s="12">
        <f t="shared" si="0"/>
        <v>0.36794689426268368</v>
      </c>
    </row>
    <row r="7" spans="1:25" x14ac:dyDescent="0.2">
      <c r="A7" s="14">
        <v>2</v>
      </c>
      <c r="B7" s="14">
        <v>37.799999999999997</v>
      </c>
      <c r="C7" s="14">
        <v>3000</v>
      </c>
      <c r="D7" s="14">
        <v>3000</v>
      </c>
      <c r="E7" s="14">
        <v>17.600000000000001</v>
      </c>
      <c r="F7" s="14">
        <v>16.899999999999999</v>
      </c>
      <c r="G7" s="14">
        <v>1.8</v>
      </c>
      <c r="H7" s="14">
        <v>57.8</v>
      </c>
      <c r="I7" s="16">
        <f>C7/8</f>
        <v>375</v>
      </c>
      <c r="J7" s="17">
        <f>D7/96*8</f>
        <v>250</v>
      </c>
      <c r="K7" s="16">
        <f>I7*E7/100</f>
        <v>66.000000000000014</v>
      </c>
      <c r="L7" s="18">
        <f>I7*(F7+G7)/100</f>
        <v>70.125</v>
      </c>
      <c r="M7" s="18">
        <f>K7+L7</f>
        <v>136.125</v>
      </c>
      <c r="N7" s="8">
        <f>K7/I7</f>
        <v>0.17600000000000005</v>
      </c>
      <c r="O7" s="8">
        <f>L7/I7</f>
        <v>0.187</v>
      </c>
      <c r="P7" s="8">
        <f>N7+O7</f>
        <v>0.36300000000000004</v>
      </c>
      <c r="Q7" s="8">
        <f>N7/P7</f>
        <v>0.48484848484848492</v>
      </c>
      <c r="R7" s="9">
        <f>1-S7</f>
        <v>0.33333333333333337</v>
      </c>
      <c r="S7" s="9">
        <f>MIN(J7,I7)/I7</f>
        <v>0.66666666666666663</v>
      </c>
      <c r="T7" s="9">
        <f>R7+S7</f>
        <v>1</v>
      </c>
      <c r="U7" s="9">
        <f>R7/T7</f>
        <v>0.33333333333333337</v>
      </c>
      <c r="V7" s="12">
        <f t="shared" si="0"/>
        <v>-0.15733333333333333</v>
      </c>
      <c r="W7" s="12">
        <f t="shared" si="0"/>
        <v>-0.47966666666666663</v>
      </c>
      <c r="X7" s="12">
        <f t="shared" si="0"/>
        <v>-0.63700000000000001</v>
      </c>
      <c r="Y7" s="12">
        <f t="shared" si="0"/>
        <v>0.15151515151515155</v>
      </c>
    </row>
    <row r="10" spans="1:25" x14ac:dyDescent="0.2">
      <c r="A10" s="7" t="s">
        <v>36</v>
      </c>
      <c r="B10" s="7"/>
      <c r="C10" s="7"/>
    </row>
    <row r="11" spans="1:25" ht="68" x14ac:dyDescent="0.2">
      <c r="A11" s="19" t="s">
        <v>37</v>
      </c>
      <c r="B11" s="19" t="s">
        <v>27</v>
      </c>
      <c r="C11" s="19" t="s">
        <v>29</v>
      </c>
      <c r="D11" s="19" t="s">
        <v>30</v>
      </c>
      <c r="E11" s="19" t="s">
        <v>38</v>
      </c>
      <c r="F11" s="19" t="s">
        <v>39</v>
      </c>
      <c r="G11" s="19" t="s">
        <v>40</v>
      </c>
      <c r="H11" s="15" t="s">
        <v>41</v>
      </c>
      <c r="I11" s="15" t="s">
        <v>23</v>
      </c>
      <c r="J11" s="15" t="s">
        <v>42</v>
      </c>
      <c r="K11" s="15" t="s">
        <v>12</v>
      </c>
      <c r="L11" s="15" t="s">
        <v>4</v>
      </c>
      <c r="M11" s="3" t="s">
        <v>13</v>
      </c>
      <c r="N11" s="3" t="s">
        <v>14</v>
      </c>
      <c r="O11" s="3" t="s">
        <v>25</v>
      </c>
      <c r="P11" s="3" t="s">
        <v>15</v>
      </c>
      <c r="Q11" s="1" t="s">
        <v>16</v>
      </c>
      <c r="R11" s="1" t="s">
        <v>17</v>
      </c>
      <c r="S11" s="1" t="s">
        <v>26</v>
      </c>
      <c r="T11" s="1" t="s">
        <v>18</v>
      </c>
      <c r="U11" s="11" t="s">
        <v>22</v>
      </c>
      <c r="V11" s="11" t="s">
        <v>20</v>
      </c>
      <c r="W11" s="11" t="s">
        <v>24</v>
      </c>
      <c r="X11" s="11" t="s">
        <v>21</v>
      </c>
    </row>
    <row r="12" spans="1:25" x14ac:dyDescent="0.2">
      <c r="A12" s="14">
        <v>20</v>
      </c>
      <c r="B12" s="14">
        <v>48</v>
      </c>
      <c r="C12" s="14">
        <v>3050</v>
      </c>
      <c r="D12" s="14">
        <v>2850</v>
      </c>
      <c r="E12" s="14">
        <v>1750</v>
      </c>
      <c r="F12" s="14">
        <v>0.35</v>
      </c>
      <c r="G12" s="14">
        <v>80</v>
      </c>
      <c r="H12" s="18">
        <f>(C12*24/B12)/8</f>
        <v>190.625</v>
      </c>
      <c r="I12" s="17">
        <f>(D12*24/B12)/96*8</f>
        <v>118.75</v>
      </c>
      <c r="J12" s="18">
        <f>(F12*G12/100)*1000*8/22.414</f>
        <v>99.937539038101178</v>
      </c>
      <c r="K12" s="18">
        <f>((D12-E12)*(24/B12))*8/96</f>
        <v>45.833333333333336</v>
      </c>
      <c r="L12" s="18">
        <f>J12+K12</f>
        <v>145.77087237143451</v>
      </c>
      <c r="M12" s="8">
        <f>J12/H12</f>
        <v>0.52426249987200613</v>
      </c>
      <c r="N12" s="8">
        <f>K12/H12</f>
        <v>0.24043715846994537</v>
      </c>
      <c r="O12" s="8">
        <f>M12+N12</f>
        <v>0.76469965834195153</v>
      </c>
      <c r="P12" s="8">
        <f>M12/O12</f>
        <v>0.6855796182892645</v>
      </c>
      <c r="Q12" s="9">
        <f>1-R12</f>
        <v>0.37704918032786883</v>
      </c>
      <c r="R12" s="9">
        <f>MIN(I12,H12)/H12</f>
        <v>0.62295081967213117</v>
      </c>
      <c r="S12" s="9">
        <f>Q12+R12</f>
        <v>1</v>
      </c>
      <c r="T12" s="9">
        <f>Q12/S12</f>
        <v>0.37704918032786883</v>
      </c>
      <c r="U12" s="12">
        <f t="shared" ref="U12:X16" si="1">M12-Q12</f>
        <v>0.1472133195441373</v>
      </c>
      <c r="V12" s="12">
        <f t="shared" si="1"/>
        <v>-0.38251366120218577</v>
      </c>
      <c r="W12" s="12">
        <f t="shared" si="1"/>
        <v>-0.23530034165804847</v>
      </c>
      <c r="X12" s="12">
        <f t="shared" si="1"/>
        <v>0.30853043796139568</v>
      </c>
    </row>
    <row r="13" spans="1:25" x14ac:dyDescent="0.2">
      <c r="A13" s="14">
        <v>40</v>
      </c>
      <c r="B13" s="14">
        <v>24</v>
      </c>
      <c r="C13" s="14">
        <v>2800</v>
      </c>
      <c r="D13" s="14">
        <v>2900</v>
      </c>
      <c r="E13" s="14">
        <v>1650</v>
      </c>
      <c r="F13" s="14">
        <v>0.55000000000000004</v>
      </c>
      <c r="G13" s="14">
        <v>77</v>
      </c>
      <c r="H13" s="18">
        <f t="shared" ref="H13:H26" si="2">(C13*24/B13)/8</f>
        <v>350</v>
      </c>
      <c r="I13" s="17">
        <f t="shared" ref="I13:I26" si="3">(D13*24/B13)/96*8</f>
        <v>241.66666666666666</v>
      </c>
      <c r="J13" s="18">
        <f t="shared" ref="J13:J26" si="4">(F13*G13/100)*1000*8/22.414</f>
        <v>151.15552779512802</v>
      </c>
      <c r="K13" s="18">
        <f t="shared" ref="K13:K26" si="5">((D13-E13)*(24/B13))*8/96</f>
        <v>104.16666666666667</v>
      </c>
      <c r="L13" s="18">
        <f>J13+K13</f>
        <v>255.32219446179471</v>
      </c>
      <c r="M13" s="8">
        <f>J13/H13</f>
        <v>0.43187293655750864</v>
      </c>
      <c r="N13" s="8">
        <f>K13/H13</f>
        <v>0.29761904761904762</v>
      </c>
      <c r="O13" s="8">
        <f>M13+N13</f>
        <v>0.72949198417655625</v>
      </c>
      <c r="P13" s="8">
        <f>M13/O13</f>
        <v>0.59201875541511639</v>
      </c>
      <c r="Q13" s="9">
        <f>1-R13</f>
        <v>0.30952380952380953</v>
      </c>
      <c r="R13" s="9">
        <f>MIN(I13,H13)/H13</f>
        <v>0.69047619047619047</v>
      </c>
      <c r="S13" s="9">
        <f>Q13+R13</f>
        <v>1</v>
      </c>
      <c r="T13" s="9">
        <f>Q13/S13</f>
        <v>0.30952380952380953</v>
      </c>
      <c r="U13" s="12">
        <f t="shared" si="1"/>
        <v>0.1223491270336991</v>
      </c>
      <c r="V13" s="12">
        <f t="shared" si="1"/>
        <v>-0.39285714285714285</v>
      </c>
      <c r="W13" s="12">
        <f t="shared" si="1"/>
        <v>-0.27050801582344375</v>
      </c>
      <c r="X13" s="12">
        <f t="shared" si="1"/>
        <v>0.28249494589130686</v>
      </c>
    </row>
    <row r="14" spans="1:25" x14ac:dyDescent="0.2">
      <c r="A14" s="14">
        <v>60</v>
      </c>
      <c r="B14" s="14">
        <v>12</v>
      </c>
      <c r="C14" s="14">
        <v>3000</v>
      </c>
      <c r="D14" s="14">
        <v>3050</v>
      </c>
      <c r="E14" s="14">
        <v>2000</v>
      </c>
      <c r="F14" s="14">
        <v>1.2</v>
      </c>
      <c r="G14" s="14">
        <v>80</v>
      </c>
      <c r="H14" s="18">
        <f t="shared" si="2"/>
        <v>750</v>
      </c>
      <c r="I14" s="17">
        <f t="shared" si="3"/>
        <v>508.33333333333331</v>
      </c>
      <c r="J14" s="18">
        <f t="shared" si="4"/>
        <v>342.64299098777548</v>
      </c>
      <c r="K14" s="18">
        <f t="shared" si="5"/>
        <v>175</v>
      </c>
      <c r="L14" s="18">
        <f>J14+K14</f>
        <v>517.64299098777542</v>
      </c>
      <c r="M14" s="8">
        <f>J14/H14</f>
        <v>0.45685732131703399</v>
      </c>
      <c r="N14" s="8">
        <f>K14/H14</f>
        <v>0.23333333333333334</v>
      </c>
      <c r="O14" s="8">
        <f>M14+N14</f>
        <v>0.69019065465036733</v>
      </c>
      <c r="P14" s="8">
        <f>M14/O14</f>
        <v>0.66192916151330106</v>
      </c>
      <c r="Q14" s="9">
        <f>1-R14</f>
        <v>0.3222222222222223</v>
      </c>
      <c r="R14" s="9">
        <f>MIN(I14,H14)/H14</f>
        <v>0.6777777777777777</v>
      </c>
      <c r="S14" s="9">
        <f>Q14+R14</f>
        <v>1</v>
      </c>
      <c r="T14" s="9">
        <f>Q14/S14</f>
        <v>0.3222222222222223</v>
      </c>
      <c r="U14" s="12">
        <f t="shared" si="1"/>
        <v>0.13463509909481169</v>
      </c>
      <c r="V14" s="12">
        <f t="shared" si="1"/>
        <v>-0.44444444444444436</v>
      </c>
      <c r="W14" s="12">
        <f t="shared" si="1"/>
        <v>-0.30980934534963267</v>
      </c>
      <c r="X14" s="12">
        <f t="shared" si="1"/>
        <v>0.33970693929107876</v>
      </c>
    </row>
    <row r="15" spans="1:25" x14ac:dyDescent="0.2">
      <c r="A15" s="14">
        <v>84</v>
      </c>
      <c r="B15" s="14">
        <v>6</v>
      </c>
      <c r="C15" s="14">
        <v>3000</v>
      </c>
      <c r="D15" s="14">
        <v>2900</v>
      </c>
      <c r="E15" s="14">
        <v>1950</v>
      </c>
      <c r="F15" s="14">
        <v>3.1</v>
      </c>
      <c r="G15" s="14">
        <v>78</v>
      </c>
      <c r="H15" s="18">
        <f t="shared" si="2"/>
        <v>1500</v>
      </c>
      <c r="I15" s="17">
        <f t="shared" si="3"/>
        <v>966.66666666666663</v>
      </c>
      <c r="J15" s="18">
        <f t="shared" si="4"/>
        <v>863.03203355045946</v>
      </c>
      <c r="K15" s="18">
        <f t="shared" si="5"/>
        <v>316.66666666666669</v>
      </c>
      <c r="L15" s="18">
        <f>J15+K15</f>
        <v>1179.6987002171261</v>
      </c>
      <c r="M15" s="8">
        <f>J15/H15</f>
        <v>0.57535468903363962</v>
      </c>
      <c r="N15" s="8">
        <f>K15/H15</f>
        <v>0.21111111111111111</v>
      </c>
      <c r="O15" s="8">
        <f>M15+N15</f>
        <v>0.78646580014475076</v>
      </c>
      <c r="P15" s="8">
        <f>M15/O15</f>
        <v>0.73156987745397739</v>
      </c>
      <c r="Q15" s="9">
        <f>1-R15</f>
        <v>0.35555555555555562</v>
      </c>
      <c r="R15" s="9">
        <f>MIN(I15,H15)/H15</f>
        <v>0.64444444444444438</v>
      </c>
      <c r="S15" s="9">
        <f>Q15+R15</f>
        <v>1</v>
      </c>
      <c r="T15" s="9">
        <f>Q15/S15</f>
        <v>0.35555555555555562</v>
      </c>
      <c r="U15" s="12">
        <f t="shared" si="1"/>
        <v>0.219799133478084</v>
      </c>
      <c r="V15" s="12">
        <f t="shared" si="1"/>
        <v>-0.43333333333333324</v>
      </c>
      <c r="W15" s="12">
        <f t="shared" si="1"/>
        <v>-0.21353419985524924</v>
      </c>
      <c r="X15" s="12">
        <f t="shared" si="1"/>
        <v>0.37601432189842177</v>
      </c>
    </row>
    <row r="16" spans="1:25" x14ac:dyDescent="0.2">
      <c r="A16" s="14">
        <v>100</v>
      </c>
      <c r="B16" s="14">
        <v>4</v>
      </c>
      <c r="C16" s="14">
        <v>3000</v>
      </c>
      <c r="D16" s="14">
        <v>2800</v>
      </c>
      <c r="E16" s="14">
        <v>1900</v>
      </c>
      <c r="F16" s="14">
        <v>4.5</v>
      </c>
      <c r="G16" s="14">
        <v>72</v>
      </c>
      <c r="H16" s="18">
        <f t="shared" si="2"/>
        <v>2250</v>
      </c>
      <c r="I16" s="17">
        <f t="shared" si="3"/>
        <v>1400</v>
      </c>
      <c r="J16" s="18">
        <f t="shared" si="4"/>
        <v>1156.4200945837422</v>
      </c>
      <c r="K16" s="18">
        <f t="shared" si="5"/>
        <v>450</v>
      </c>
      <c r="L16" s="18">
        <f>J16+K16</f>
        <v>1606.4200945837422</v>
      </c>
      <c r="M16" s="8">
        <f>J16/H16</f>
        <v>0.51396448648166315</v>
      </c>
      <c r="N16" s="8">
        <f>K16/H16</f>
        <v>0.2</v>
      </c>
      <c r="O16" s="8">
        <f>M16+N16</f>
        <v>0.71396448648166322</v>
      </c>
      <c r="P16" s="8">
        <f>M16/O16</f>
        <v>0.71987402204614181</v>
      </c>
      <c r="Q16" s="9">
        <f>1-R16</f>
        <v>0.37777777777777777</v>
      </c>
      <c r="R16" s="9">
        <f>MIN(I16,H16)/H16</f>
        <v>0.62222222222222223</v>
      </c>
      <c r="S16" s="9">
        <f>Q16+R16</f>
        <v>1</v>
      </c>
      <c r="T16" s="9">
        <f>Q16/S16</f>
        <v>0.37777777777777777</v>
      </c>
      <c r="U16" s="12">
        <f t="shared" si="1"/>
        <v>0.13618670870388538</v>
      </c>
      <c r="V16" s="12">
        <f t="shared" si="1"/>
        <v>-0.42222222222222222</v>
      </c>
      <c r="W16" s="12">
        <f t="shared" si="1"/>
        <v>-0.28603551351833678</v>
      </c>
      <c r="X16" s="12">
        <f t="shared" si="1"/>
        <v>0.34209624426836405</v>
      </c>
    </row>
    <row r="17" spans="1:24" x14ac:dyDescent="0.2">
      <c r="A17" s="14">
        <v>118</v>
      </c>
      <c r="B17" s="14">
        <v>3</v>
      </c>
      <c r="C17" s="14">
        <v>3100</v>
      </c>
      <c r="D17" s="14">
        <v>2900</v>
      </c>
      <c r="E17" s="14">
        <v>2125</v>
      </c>
      <c r="F17" s="14">
        <v>5.9</v>
      </c>
      <c r="G17" s="14">
        <v>70</v>
      </c>
      <c r="H17" s="18">
        <f t="shared" si="2"/>
        <v>3100</v>
      </c>
      <c r="I17" s="17">
        <f t="shared" si="3"/>
        <v>1933.3333333333333</v>
      </c>
      <c r="J17" s="18">
        <f t="shared" si="4"/>
        <v>1474.0787008119923</v>
      </c>
      <c r="K17" s="18">
        <f t="shared" si="5"/>
        <v>516.66666666666663</v>
      </c>
      <c r="L17" s="18">
        <f t="shared" ref="L17:L26" si="6">J17+K17</f>
        <v>1990.7453674786589</v>
      </c>
      <c r="M17" s="8">
        <f t="shared" ref="M17:M26" si="7">J17/H17</f>
        <v>0.47550925832644914</v>
      </c>
      <c r="N17" s="8">
        <f t="shared" ref="N17:N26" si="8">K17/H17</f>
        <v>0.16666666666666666</v>
      </c>
      <c r="O17" s="8">
        <f t="shared" ref="O17:O26" si="9">M17+N17</f>
        <v>0.64217592499311582</v>
      </c>
      <c r="P17" s="8">
        <f t="shared" ref="P17:P26" si="10">M17/O17</f>
        <v>0.74046571947016959</v>
      </c>
      <c r="Q17" s="9">
        <f t="shared" ref="Q17:Q26" si="11">1-R17</f>
        <v>0.37634408602150538</v>
      </c>
      <c r="R17" s="9">
        <f t="shared" ref="R17:R26" si="12">MIN(I17,H17)/H17</f>
        <v>0.62365591397849462</v>
      </c>
      <c r="S17" s="9">
        <f t="shared" ref="S17:S26" si="13">Q17+R17</f>
        <v>1</v>
      </c>
      <c r="T17" s="9">
        <f t="shared" ref="T17:T26" si="14">Q17/S17</f>
        <v>0.37634408602150538</v>
      </c>
      <c r="U17" s="12">
        <f t="shared" ref="U17:U26" si="15">M17-Q17</f>
        <v>9.9165172304943761E-2</v>
      </c>
      <c r="V17" s="12">
        <f t="shared" ref="V17:V26" si="16">N17-R17</f>
        <v>-0.456989247311828</v>
      </c>
      <c r="W17" s="12">
        <f t="shared" ref="W17:W26" si="17">O17-S17</f>
        <v>-0.35782407500688418</v>
      </c>
      <c r="X17" s="12">
        <f t="shared" ref="X17:X26" si="18">P17-T17</f>
        <v>0.36412163344866422</v>
      </c>
    </row>
    <row r="18" spans="1:24" x14ac:dyDescent="0.2">
      <c r="A18" s="14">
        <v>126</v>
      </c>
      <c r="B18" s="14">
        <v>3</v>
      </c>
      <c r="C18" s="14">
        <v>3000</v>
      </c>
      <c r="D18" s="14">
        <v>3000</v>
      </c>
      <c r="E18" s="14">
        <v>2150</v>
      </c>
      <c r="F18" s="14">
        <v>5.9</v>
      </c>
      <c r="G18" s="14">
        <v>75</v>
      </c>
      <c r="H18" s="18">
        <f t="shared" si="2"/>
        <v>3000</v>
      </c>
      <c r="I18" s="17">
        <f t="shared" si="3"/>
        <v>2000</v>
      </c>
      <c r="J18" s="18">
        <f t="shared" si="4"/>
        <v>1579.3700365842776</v>
      </c>
      <c r="K18" s="18">
        <f t="shared" si="5"/>
        <v>566.66666666666663</v>
      </c>
      <c r="L18" s="18">
        <f t="shared" si="6"/>
        <v>2146.0367032509444</v>
      </c>
      <c r="M18" s="8">
        <f t="shared" si="7"/>
        <v>0.52645667886142589</v>
      </c>
      <c r="N18" s="8">
        <f t="shared" si="8"/>
        <v>0.18888888888888888</v>
      </c>
      <c r="O18" s="8">
        <f t="shared" si="9"/>
        <v>0.71534556775031477</v>
      </c>
      <c r="P18" s="8">
        <f t="shared" si="10"/>
        <v>0.73594735550969548</v>
      </c>
      <c r="Q18" s="9">
        <f t="shared" si="11"/>
        <v>0.33333333333333337</v>
      </c>
      <c r="R18" s="9">
        <f t="shared" si="12"/>
        <v>0.66666666666666663</v>
      </c>
      <c r="S18" s="9">
        <f t="shared" si="13"/>
        <v>1</v>
      </c>
      <c r="T18" s="9">
        <f t="shared" si="14"/>
        <v>0.33333333333333337</v>
      </c>
      <c r="U18" s="12">
        <f t="shared" si="15"/>
        <v>0.19312334552809252</v>
      </c>
      <c r="V18" s="12">
        <f t="shared" si="16"/>
        <v>-0.47777777777777775</v>
      </c>
      <c r="W18" s="12">
        <f t="shared" si="17"/>
        <v>-0.28465443224968523</v>
      </c>
      <c r="X18" s="12">
        <f t="shared" si="18"/>
        <v>0.40261402217636211</v>
      </c>
    </row>
    <row r="19" spans="1:24" x14ac:dyDescent="0.2">
      <c r="A19" s="14">
        <v>131</v>
      </c>
      <c r="B19" s="14">
        <v>2</v>
      </c>
      <c r="C19" s="14">
        <v>3125</v>
      </c>
      <c r="D19" s="14">
        <v>2800</v>
      </c>
      <c r="E19" s="14">
        <v>1900</v>
      </c>
      <c r="F19" s="14">
        <v>4</v>
      </c>
      <c r="G19" s="14">
        <v>56</v>
      </c>
      <c r="H19" s="18">
        <f t="shared" si="2"/>
        <v>4687.5</v>
      </c>
      <c r="I19" s="17">
        <f t="shared" si="3"/>
        <v>2800</v>
      </c>
      <c r="J19" s="18">
        <f t="shared" si="4"/>
        <v>799.50031230480943</v>
      </c>
      <c r="K19" s="18">
        <f t="shared" si="5"/>
        <v>900</v>
      </c>
      <c r="L19" s="18">
        <f t="shared" si="6"/>
        <v>1699.5003123048095</v>
      </c>
      <c r="M19" s="8">
        <f t="shared" si="7"/>
        <v>0.17056006662502601</v>
      </c>
      <c r="N19" s="8">
        <f t="shared" si="8"/>
        <v>0.192</v>
      </c>
      <c r="O19" s="8">
        <f t="shared" si="9"/>
        <v>0.36256006662502605</v>
      </c>
      <c r="P19" s="8">
        <f t="shared" si="10"/>
        <v>0.47043257745598877</v>
      </c>
      <c r="Q19" s="9">
        <f t="shared" si="11"/>
        <v>0.40266666666666662</v>
      </c>
      <c r="R19" s="9">
        <f t="shared" si="12"/>
        <v>0.59733333333333338</v>
      </c>
      <c r="S19" s="9">
        <f t="shared" si="13"/>
        <v>1</v>
      </c>
      <c r="T19" s="9">
        <f t="shared" si="14"/>
        <v>0.40266666666666662</v>
      </c>
      <c r="U19" s="12">
        <f t="shared" si="15"/>
        <v>-0.2321066000416406</v>
      </c>
      <c r="V19" s="12">
        <f t="shared" si="16"/>
        <v>-0.40533333333333338</v>
      </c>
      <c r="W19" s="12">
        <f t="shared" si="17"/>
        <v>-0.63743993337497395</v>
      </c>
      <c r="X19" s="12">
        <f t="shared" si="18"/>
        <v>6.7765910789322148E-2</v>
      </c>
    </row>
    <row r="20" spans="1:24" x14ac:dyDescent="0.2">
      <c r="A20" s="14">
        <v>134</v>
      </c>
      <c r="B20" s="14">
        <v>2</v>
      </c>
      <c r="C20" s="14">
        <v>3100</v>
      </c>
      <c r="D20" s="14">
        <v>3150</v>
      </c>
      <c r="E20" s="14">
        <v>2050</v>
      </c>
      <c r="F20" s="14">
        <v>4.05</v>
      </c>
      <c r="G20" s="14">
        <v>57</v>
      </c>
      <c r="H20" s="18">
        <f t="shared" si="2"/>
        <v>4650</v>
      </c>
      <c r="I20" s="17">
        <f t="shared" si="3"/>
        <v>3150</v>
      </c>
      <c r="J20" s="18">
        <f t="shared" si="4"/>
        <v>823.94931739091635</v>
      </c>
      <c r="K20" s="18">
        <f t="shared" si="5"/>
        <v>1100</v>
      </c>
      <c r="L20" s="18">
        <f t="shared" si="6"/>
        <v>1923.9493173909163</v>
      </c>
      <c r="M20" s="8">
        <f t="shared" si="7"/>
        <v>0.17719340158944438</v>
      </c>
      <c r="N20" s="8">
        <f t="shared" si="8"/>
        <v>0.23655913978494625</v>
      </c>
      <c r="O20" s="8">
        <f t="shared" si="9"/>
        <v>0.41375254137439066</v>
      </c>
      <c r="P20" s="8">
        <f t="shared" si="10"/>
        <v>0.42825936730406228</v>
      </c>
      <c r="Q20" s="9">
        <f t="shared" si="11"/>
        <v>0.32258064516129037</v>
      </c>
      <c r="R20" s="9">
        <f t="shared" si="12"/>
        <v>0.67741935483870963</v>
      </c>
      <c r="S20" s="9">
        <f t="shared" si="13"/>
        <v>1</v>
      </c>
      <c r="T20" s="9">
        <f t="shared" si="14"/>
        <v>0.32258064516129037</v>
      </c>
      <c r="U20" s="12">
        <f t="shared" si="15"/>
        <v>-0.14538724357184599</v>
      </c>
      <c r="V20" s="12">
        <f t="shared" si="16"/>
        <v>-0.44086021505376338</v>
      </c>
      <c r="W20" s="12">
        <f t="shared" si="17"/>
        <v>-0.58624745862560934</v>
      </c>
      <c r="X20" s="12">
        <f t="shared" si="18"/>
        <v>0.10567872214277191</v>
      </c>
    </row>
    <row r="21" spans="1:24" x14ac:dyDescent="0.2">
      <c r="A21" s="14">
        <v>138</v>
      </c>
      <c r="B21" s="14">
        <v>6</v>
      </c>
      <c r="C21" s="14">
        <v>3150</v>
      </c>
      <c r="D21" s="14">
        <v>3000</v>
      </c>
      <c r="E21" s="14">
        <v>2100</v>
      </c>
      <c r="F21" s="14">
        <v>3.3</v>
      </c>
      <c r="G21" s="14">
        <v>69</v>
      </c>
      <c r="H21" s="18">
        <f t="shared" si="2"/>
        <v>1575</v>
      </c>
      <c r="I21" s="17">
        <f t="shared" si="3"/>
        <v>1000</v>
      </c>
      <c r="J21" s="18">
        <f t="shared" si="4"/>
        <v>812.70634424912976</v>
      </c>
      <c r="K21" s="18">
        <f t="shared" si="5"/>
        <v>300</v>
      </c>
      <c r="L21" s="18">
        <f t="shared" si="6"/>
        <v>1112.7063442491299</v>
      </c>
      <c r="M21" s="8">
        <f t="shared" si="7"/>
        <v>0.5160040280946856</v>
      </c>
      <c r="N21" s="8">
        <f t="shared" si="8"/>
        <v>0.19047619047619047</v>
      </c>
      <c r="O21" s="8">
        <f t="shared" si="9"/>
        <v>0.70648021857087606</v>
      </c>
      <c r="P21" s="8">
        <f t="shared" si="10"/>
        <v>0.73038708590949553</v>
      </c>
      <c r="Q21" s="9">
        <f t="shared" si="11"/>
        <v>0.36507936507936511</v>
      </c>
      <c r="R21" s="9">
        <f t="shared" si="12"/>
        <v>0.63492063492063489</v>
      </c>
      <c r="S21" s="9">
        <f t="shared" si="13"/>
        <v>1</v>
      </c>
      <c r="T21" s="9">
        <f t="shared" si="14"/>
        <v>0.36507936507936511</v>
      </c>
      <c r="U21" s="12">
        <f t="shared" si="15"/>
        <v>0.15092466301532048</v>
      </c>
      <c r="V21" s="12">
        <f t="shared" si="16"/>
        <v>-0.44444444444444442</v>
      </c>
      <c r="W21" s="12">
        <f t="shared" si="17"/>
        <v>-0.29351978142912394</v>
      </c>
      <c r="X21" s="12">
        <f t="shared" si="18"/>
        <v>0.36530772083013041</v>
      </c>
    </row>
    <row r="22" spans="1:24" x14ac:dyDescent="0.2">
      <c r="A22" s="14">
        <v>145</v>
      </c>
      <c r="B22" s="14">
        <v>6</v>
      </c>
      <c r="C22" s="14">
        <v>3100</v>
      </c>
      <c r="D22" s="14">
        <v>2950</v>
      </c>
      <c r="E22" s="14">
        <v>2050</v>
      </c>
      <c r="F22" s="14">
        <v>3.45</v>
      </c>
      <c r="G22" s="14">
        <v>76</v>
      </c>
      <c r="H22" s="18">
        <f t="shared" si="2"/>
        <v>1550</v>
      </c>
      <c r="I22" s="17">
        <f t="shared" si="3"/>
        <v>983.33333333333337</v>
      </c>
      <c r="J22" s="18">
        <f t="shared" si="4"/>
        <v>935.84366913536178</v>
      </c>
      <c r="K22" s="18">
        <f t="shared" si="5"/>
        <v>300</v>
      </c>
      <c r="L22" s="18">
        <f t="shared" si="6"/>
        <v>1235.8436691353618</v>
      </c>
      <c r="M22" s="8">
        <f t="shared" si="7"/>
        <v>0.60377010911958828</v>
      </c>
      <c r="N22" s="8">
        <f t="shared" si="8"/>
        <v>0.19354838709677419</v>
      </c>
      <c r="O22" s="8">
        <f t="shared" si="9"/>
        <v>0.79731849621636242</v>
      </c>
      <c r="P22" s="8">
        <f t="shared" si="10"/>
        <v>0.757250850174367</v>
      </c>
      <c r="Q22" s="9">
        <f t="shared" si="11"/>
        <v>0.36559139784946237</v>
      </c>
      <c r="R22" s="9">
        <f t="shared" si="12"/>
        <v>0.63440860215053763</v>
      </c>
      <c r="S22" s="9">
        <f t="shared" si="13"/>
        <v>1</v>
      </c>
      <c r="T22" s="9">
        <f t="shared" si="14"/>
        <v>0.36559139784946237</v>
      </c>
      <c r="U22" s="12">
        <f t="shared" si="15"/>
        <v>0.23817871127012591</v>
      </c>
      <c r="V22" s="12">
        <f t="shared" si="16"/>
        <v>-0.44086021505376344</v>
      </c>
      <c r="W22" s="12">
        <f t="shared" si="17"/>
        <v>-0.20268150378363758</v>
      </c>
      <c r="X22" s="12">
        <f t="shared" si="18"/>
        <v>0.39165945232490462</v>
      </c>
    </row>
    <row r="23" spans="1:24" x14ac:dyDescent="0.2">
      <c r="A23" s="14">
        <v>150</v>
      </c>
      <c r="B23" s="14">
        <v>6</v>
      </c>
      <c r="C23" s="14">
        <v>3150</v>
      </c>
      <c r="D23" s="14">
        <v>2900</v>
      </c>
      <c r="E23" s="14">
        <v>2000</v>
      </c>
      <c r="F23" s="14">
        <v>3.4</v>
      </c>
      <c r="G23" s="14">
        <v>77</v>
      </c>
      <c r="H23" s="18">
        <f t="shared" si="2"/>
        <v>1575</v>
      </c>
      <c r="I23" s="17">
        <f t="shared" si="3"/>
        <v>966.66666666666663</v>
      </c>
      <c r="J23" s="18">
        <f t="shared" si="4"/>
        <v>934.41599000624615</v>
      </c>
      <c r="K23" s="18">
        <f t="shared" si="5"/>
        <v>300</v>
      </c>
      <c r="L23" s="18">
        <f t="shared" si="6"/>
        <v>1234.4159900062461</v>
      </c>
      <c r="M23" s="8">
        <f t="shared" si="7"/>
        <v>0.59327999365475947</v>
      </c>
      <c r="N23" s="8">
        <f t="shared" si="8"/>
        <v>0.19047619047619047</v>
      </c>
      <c r="O23" s="8">
        <f t="shared" si="9"/>
        <v>0.78375618413094994</v>
      </c>
      <c r="P23" s="8">
        <f t="shared" si="10"/>
        <v>0.75697009563325413</v>
      </c>
      <c r="Q23" s="9">
        <f t="shared" si="11"/>
        <v>0.38624338624338628</v>
      </c>
      <c r="R23" s="9">
        <f t="shared" si="12"/>
        <v>0.61375661375661372</v>
      </c>
      <c r="S23" s="9">
        <f t="shared" si="13"/>
        <v>1</v>
      </c>
      <c r="T23" s="9">
        <f t="shared" si="14"/>
        <v>0.38624338624338628</v>
      </c>
      <c r="U23" s="12">
        <f t="shared" si="15"/>
        <v>0.2070366074113732</v>
      </c>
      <c r="V23" s="12">
        <f t="shared" si="16"/>
        <v>-0.42328042328042326</v>
      </c>
      <c r="W23" s="12">
        <f t="shared" si="17"/>
        <v>-0.21624381586905006</v>
      </c>
      <c r="X23" s="12">
        <f t="shared" si="18"/>
        <v>0.37072670938986785</v>
      </c>
    </row>
    <row r="24" spans="1:24" x14ac:dyDescent="0.2">
      <c r="A24" s="14">
        <v>160</v>
      </c>
      <c r="B24" s="14">
        <v>6</v>
      </c>
      <c r="C24" s="14">
        <v>3050</v>
      </c>
      <c r="D24" s="14">
        <v>2850</v>
      </c>
      <c r="E24" s="14">
        <v>1950</v>
      </c>
      <c r="F24" s="14">
        <v>3.1</v>
      </c>
      <c r="G24" s="14">
        <v>79</v>
      </c>
      <c r="H24" s="18">
        <f t="shared" si="2"/>
        <v>1525</v>
      </c>
      <c r="I24" s="17">
        <f t="shared" si="3"/>
        <v>950</v>
      </c>
      <c r="J24" s="18">
        <f t="shared" si="4"/>
        <v>874.09654680110634</v>
      </c>
      <c r="K24" s="18">
        <f t="shared" si="5"/>
        <v>300</v>
      </c>
      <c r="L24" s="18">
        <f t="shared" si="6"/>
        <v>1174.0965468011063</v>
      </c>
      <c r="M24" s="8">
        <f t="shared" si="7"/>
        <v>0.57317806347613531</v>
      </c>
      <c r="N24" s="8">
        <f t="shared" si="8"/>
        <v>0.19672131147540983</v>
      </c>
      <c r="O24" s="8">
        <f t="shared" si="9"/>
        <v>0.76989937495154515</v>
      </c>
      <c r="P24" s="8">
        <f t="shared" si="10"/>
        <v>0.74448438604357769</v>
      </c>
      <c r="Q24" s="9">
        <f t="shared" si="11"/>
        <v>0.37704918032786883</v>
      </c>
      <c r="R24" s="9">
        <f t="shared" si="12"/>
        <v>0.62295081967213117</v>
      </c>
      <c r="S24" s="9">
        <f t="shared" si="13"/>
        <v>1</v>
      </c>
      <c r="T24" s="9">
        <f t="shared" si="14"/>
        <v>0.37704918032786883</v>
      </c>
      <c r="U24" s="12">
        <f t="shared" si="15"/>
        <v>0.19612888314826649</v>
      </c>
      <c r="V24" s="12">
        <f t="shared" si="16"/>
        <v>-0.42622950819672134</v>
      </c>
      <c r="W24" s="12">
        <f t="shared" si="17"/>
        <v>-0.23010062504845485</v>
      </c>
      <c r="X24" s="12">
        <f t="shared" si="18"/>
        <v>0.36743520571570887</v>
      </c>
    </row>
    <row r="25" spans="1:24" x14ac:dyDescent="0.2">
      <c r="A25" s="14">
        <v>170</v>
      </c>
      <c r="B25" s="14">
        <v>6</v>
      </c>
      <c r="C25" s="14">
        <v>3000</v>
      </c>
      <c r="D25" s="14">
        <v>2950</v>
      </c>
      <c r="E25" s="14">
        <v>2100</v>
      </c>
      <c r="F25" s="14">
        <v>3.45</v>
      </c>
      <c r="G25" s="14">
        <v>80</v>
      </c>
      <c r="H25" s="18">
        <f t="shared" si="2"/>
        <v>1500</v>
      </c>
      <c r="I25" s="17">
        <f t="shared" si="3"/>
        <v>983.33333333333337</v>
      </c>
      <c r="J25" s="18">
        <f t="shared" si="4"/>
        <v>985.09859908985447</v>
      </c>
      <c r="K25" s="18">
        <f t="shared" si="5"/>
        <v>283.33333333333331</v>
      </c>
      <c r="L25" s="18">
        <f t="shared" si="6"/>
        <v>1268.4319324231878</v>
      </c>
      <c r="M25" s="8">
        <f t="shared" si="7"/>
        <v>0.65673239939323635</v>
      </c>
      <c r="N25" s="8">
        <f t="shared" si="8"/>
        <v>0.18888888888888888</v>
      </c>
      <c r="O25" s="8">
        <f t="shared" si="9"/>
        <v>0.84562128828212524</v>
      </c>
      <c r="P25" s="8">
        <f t="shared" si="10"/>
        <v>0.77662708885603438</v>
      </c>
      <c r="Q25" s="9">
        <f t="shared" si="11"/>
        <v>0.34444444444444444</v>
      </c>
      <c r="R25" s="9">
        <f t="shared" si="12"/>
        <v>0.65555555555555556</v>
      </c>
      <c r="S25" s="9">
        <f t="shared" si="13"/>
        <v>1</v>
      </c>
      <c r="T25" s="9">
        <f t="shared" si="14"/>
        <v>0.34444444444444444</v>
      </c>
      <c r="U25" s="12">
        <f t="shared" si="15"/>
        <v>0.31228795494879191</v>
      </c>
      <c r="V25" s="12">
        <f t="shared" si="16"/>
        <v>-0.46666666666666667</v>
      </c>
      <c r="W25" s="12">
        <f t="shared" si="17"/>
        <v>-0.15437871171787476</v>
      </c>
      <c r="X25" s="12">
        <f t="shared" si="18"/>
        <v>0.43218264441158993</v>
      </c>
    </row>
    <row r="26" spans="1:24" x14ac:dyDescent="0.2">
      <c r="A26" s="14">
        <v>180</v>
      </c>
      <c r="B26" s="14">
        <v>6</v>
      </c>
      <c r="C26" s="14">
        <v>3050</v>
      </c>
      <c r="D26" s="14">
        <v>3000</v>
      </c>
      <c r="E26" s="14">
        <v>1900</v>
      </c>
      <c r="F26" s="14">
        <v>3.3</v>
      </c>
      <c r="G26" s="14">
        <v>73</v>
      </c>
      <c r="H26" s="18">
        <f t="shared" si="2"/>
        <v>1525</v>
      </c>
      <c r="I26" s="17">
        <f t="shared" si="3"/>
        <v>1000</v>
      </c>
      <c r="J26" s="18">
        <f t="shared" si="4"/>
        <v>859.81975550994912</v>
      </c>
      <c r="K26" s="18">
        <f t="shared" si="5"/>
        <v>366.66666666666669</v>
      </c>
      <c r="L26" s="18">
        <f t="shared" si="6"/>
        <v>1226.4864221766159</v>
      </c>
      <c r="M26" s="8">
        <f t="shared" si="7"/>
        <v>0.56381623312127815</v>
      </c>
      <c r="N26" s="8">
        <f t="shared" si="8"/>
        <v>0.24043715846994537</v>
      </c>
      <c r="O26" s="8">
        <f t="shared" si="9"/>
        <v>0.80425339159122355</v>
      </c>
      <c r="P26" s="8">
        <f t="shared" si="10"/>
        <v>0.70104302824979325</v>
      </c>
      <c r="Q26" s="9">
        <f t="shared" si="11"/>
        <v>0.34426229508196726</v>
      </c>
      <c r="R26" s="9">
        <f t="shared" si="12"/>
        <v>0.65573770491803274</v>
      </c>
      <c r="S26" s="9">
        <f t="shared" si="13"/>
        <v>1</v>
      </c>
      <c r="T26" s="9">
        <f t="shared" si="14"/>
        <v>0.34426229508196726</v>
      </c>
      <c r="U26" s="12">
        <f t="shared" si="15"/>
        <v>0.21955393803931089</v>
      </c>
      <c r="V26" s="12">
        <f t="shared" si="16"/>
        <v>-0.41530054644808734</v>
      </c>
      <c r="W26" s="12">
        <f t="shared" si="17"/>
        <v>-0.19574660840877645</v>
      </c>
      <c r="X26" s="12">
        <f t="shared" si="18"/>
        <v>0.35678073316782599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Note</vt:lpstr>
      <vt:lpstr>Batch</vt:lpstr>
      <vt:lpstr>Continuous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Trung Kien Nguyen</dc:creator>
  <cp:lastModifiedBy>Vu Trung Kien Nguyen</cp:lastModifiedBy>
  <dcterms:created xsi:type="dcterms:W3CDTF">2026-08-26T19:53:17Z</dcterms:created>
  <dcterms:modified xsi:type="dcterms:W3CDTF">2026-10-15T17:53:43Z</dcterms:modified>
</cp:coreProperties>
</file>