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huongnguyen/Desktop/5_Paper_Chain/A15 (New perspective)/GD3.Audit data_prepare/20261008_Fourth_review/"/>
    </mc:Choice>
  </mc:AlternateContent>
  <xr:revisionPtr revIDLastSave="0" documentId="13_ncr:1_{B9779F00-8E8D-B14B-8494-0383D77E672F}" xr6:coauthVersionLast="47" xr6:coauthVersionMax="47" xr10:uidLastSave="{00000000-0000-0000-0000-000000000000}"/>
  <bookViews>
    <workbookView xWindow="3660" yWindow="660" windowWidth="22280" windowHeight="16720" activeTab="1" xr2:uid="{054D8A2F-50EC-B547-B741-EBA79C81D1B1}"/>
  </bookViews>
  <sheets>
    <sheet name="Mechanistic level" sheetId="1" r:id="rId1"/>
    <sheet name="Operational level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X2" i="1" l="1"/>
  <c r="N36" i="1"/>
  <c r="J51" i="1"/>
  <c r="J50" i="1"/>
  <c r="J49" i="1"/>
  <c r="J48" i="1"/>
  <c r="J47" i="1"/>
  <c r="J46" i="1"/>
  <c r="J45" i="1"/>
  <c r="J44" i="1"/>
  <c r="J43" i="1"/>
  <c r="J42" i="1"/>
  <c r="J41" i="1"/>
  <c r="J40" i="1"/>
  <c r="J39" i="1"/>
  <c r="J38" i="1"/>
  <c r="J37" i="1"/>
  <c r="J36" i="1"/>
  <c r="N55" i="1"/>
  <c r="W3" i="2"/>
  <c r="W4" i="2"/>
  <c r="W5" i="2"/>
  <c r="W6" i="2"/>
  <c r="W7" i="2"/>
  <c r="W8" i="2"/>
  <c r="W9" i="2"/>
  <c r="W10" i="2"/>
  <c r="W11" i="2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52" i="2"/>
  <c r="W53" i="2"/>
  <c r="W60" i="2"/>
  <c r="W61" i="2"/>
  <c r="W62" i="2"/>
  <c r="W2" i="2"/>
  <c r="D3" i="2"/>
  <c r="D4" i="2"/>
  <c r="D5" i="2"/>
  <c r="D6" i="2"/>
  <c r="D7" i="2"/>
  <c r="D8" i="2"/>
  <c r="D9" i="2"/>
  <c r="D10" i="2"/>
  <c r="D11" i="2"/>
  <c r="D12" i="2"/>
  <c r="D13" i="2"/>
  <c r="D14" i="2"/>
  <c r="D15" i="2"/>
  <c r="D16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31" i="2"/>
  <c r="D32" i="2"/>
  <c r="D33" i="2"/>
  <c r="D34" i="2"/>
  <c r="D35" i="2"/>
  <c r="D36" i="2"/>
  <c r="D37" i="2"/>
  <c r="D38" i="2"/>
  <c r="D39" i="2"/>
  <c r="D40" i="2"/>
  <c r="D41" i="2"/>
  <c r="D42" i="2"/>
  <c r="D43" i="2"/>
  <c r="D44" i="2"/>
  <c r="D45" i="2"/>
  <c r="D46" i="2"/>
  <c r="D47" i="2"/>
  <c r="D48" i="2"/>
  <c r="D49" i="2"/>
  <c r="D50" i="2"/>
  <c r="D51" i="2"/>
  <c r="D52" i="2"/>
  <c r="D53" i="2"/>
  <c r="D54" i="2"/>
  <c r="D55" i="2"/>
  <c r="D56" i="2"/>
  <c r="D57" i="2"/>
  <c r="D58" i="2"/>
  <c r="D59" i="2"/>
  <c r="D60" i="2"/>
  <c r="D61" i="2"/>
  <c r="D62" i="2"/>
  <c r="D2" i="2"/>
  <c r="M4" i="1"/>
  <c r="M3" i="1"/>
  <c r="M2" i="1"/>
  <c r="M35" i="1"/>
  <c r="N35" i="1"/>
  <c r="I35" i="1"/>
  <c r="M34" i="1"/>
  <c r="N34" i="1"/>
  <c r="T44" i="1" l="1"/>
  <c r="T37" i="1"/>
  <c r="T13" i="1"/>
  <c r="T14" i="1"/>
  <c r="M62" i="1"/>
  <c r="M61" i="1"/>
  <c r="M60" i="1"/>
  <c r="K61" i="1"/>
  <c r="K62" i="1"/>
  <c r="K60" i="1"/>
  <c r="M59" i="1"/>
  <c r="M58" i="1"/>
  <c r="M57" i="1"/>
  <c r="M56" i="1"/>
  <c r="M55" i="1"/>
  <c r="M54" i="1"/>
  <c r="J59" i="1"/>
  <c r="N59" i="1" s="1"/>
  <c r="J58" i="1"/>
  <c r="N58" i="1" s="1"/>
  <c r="J57" i="1"/>
  <c r="N57" i="1" s="1"/>
  <c r="J56" i="1"/>
  <c r="N56" i="1" s="1"/>
  <c r="J55" i="1"/>
  <c r="J54" i="1"/>
  <c r="N54" i="1" s="1"/>
  <c r="O61" i="1"/>
  <c r="P61" i="1"/>
  <c r="Q61" i="1"/>
  <c r="R61" i="1"/>
  <c r="S61" i="1"/>
  <c r="O62" i="1"/>
  <c r="P62" i="1"/>
  <c r="Z62" i="1" s="1"/>
  <c r="K62" i="2" s="1"/>
  <c r="T62" i="2" s="1"/>
  <c r="Q62" i="1"/>
  <c r="X62" i="1" s="1"/>
  <c r="I62" i="2" s="1"/>
  <c r="P62" i="2" s="1"/>
  <c r="R62" i="1"/>
  <c r="S62" i="1"/>
  <c r="G55" i="1"/>
  <c r="G56" i="1"/>
  <c r="G57" i="1"/>
  <c r="G58" i="1"/>
  <c r="G54" i="1"/>
  <c r="N53" i="1"/>
  <c r="N52" i="1"/>
  <c r="M53" i="1"/>
  <c r="M52" i="1"/>
  <c r="O52" i="1"/>
  <c r="T52" i="1" s="1"/>
  <c r="P52" i="1"/>
  <c r="Q52" i="1"/>
  <c r="X52" i="1" s="1"/>
  <c r="R52" i="1"/>
  <c r="S52" i="1"/>
  <c r="U52" i="1"/>
  <c r="Z52" i="1"/>
  <c r="K52" i="2" s="1"/>
  <c r="T52" i="2" s="1"/>
  <c r="O53" i="1"/>
  <c r="T53" i="1" s="1"/>
  <c r="P53" i="1"/>
  <c r="Q53" i="1"/>
  <c r="X53" i="1" s="1"/>
  <c r="R53" i="1"/>
  <c r="S53" i="1"/>
  <c r="U53" i="1"/>
  <c r="Z53" i="1"/>
  <c r="K53" i="2" s="1"/>
  <c r="T53" i="2" s="1"/>
  <c r="O54" i="1"/>
  <c r="P54" i="1"/>
  <c r="Q54" i="1"/>
  <c r="X54" i="1" s="1"/>
  <c r="R54" i="1"/>
  <c r="S54" i="1"/>
  <c r="O55" i="1"/>
  <c r="P55" i="1"/>
  <c r="Z55" i="1" s="1"/>
  <c r="K55" i="2" s="1"/>
  <c r="T55" i="2" s="1"/>
  <c r="Q55" i="1"/>
  <c r="R55" i="1"/>
  <c r="S55" i="1"/>
  <c r="O56" i="1"/>
  <c r="P56" i="1"/>
  <c r="Q56" i="1"/>
  <c r="R56" i="1"/>
  <c r="S56" i="1"/>
  <c r="O57" i="1"/>
  <c r="P57" i="1"/>
  <c r="Q57" i="1"/>
  <c r="R57" i="1"/>
  <c r="S57" i="1"/>
  <c r="O58" i="1"/>
  <c r="P58" i="1"/>
  <c r="Q58" i="1"/>
  <c r="R58" i="1"/>
  <c r="S58" i="1"/>
  <c r="O59" i="1"/>
  <c r="P59" i="1"/>
  <c r="Q59" i="1"/>
  <c r="R59" i="1"/>
  <c r="S59" i="1"/>
  <c r="O60" i="1"/>
  <c r="P60" i="1"/>
  <c r="AA60" i="1" s="1"/>
  <c r="L60" i="2" s="1"/>
  <c r="S60" i="2" s="1"/>
  <c r="Q60" i="1"/>
  <c r="X60" i="1" s="1"/>
  <c r="R60" i="1"/>
  <c r="S60" i="1"/>
  <c r="M51" i="1"/>
  <c r="M50" i="1"/>
  <c r="M49" i="1"/>
  <c r="M48" i="1"/>
  <c r="O51" i="1"/>
  <c r="T51" i="1" s="1"/>
  <c r="P51" i="1"/>
  <c r="Q51" i="1"/>
  <c r="X51" i="1" s="1"/>
  <c r="R51" i="1"/>
  <c r="S51" i="1"/>
  <c r="U51" i="1"/>
  <c r="AA51" i="1"/>
  <c r="L51" i="2" s="1"/>
  <c r="S51" i="2" s="1"/>
  <c r="N50" i="1"/>
  <c r="M42" i="1"/>
  <c r="M43" i="1"/>
  <c r="M44" i="1"/>
  <c r="M45" i="1"/>
  <c r="M46" i="1"/>
  <c r="M47" i="1"/>
  <c r="N42" i="1"/>
  <c r="Z42" i="1" s="1"/>
  <c r="K42" i="2" s="1"/>
  <c r="T42" i="2" s="1"/>
  <c r="M41" i="1"/>
  <c r="M40" i="1"/>
  <c r="N40" i="1" s="1"/>
  <c r="M39" i="1"/>
  <c r="M38" i="1"/>
  <c r="N38" i="1" s="1"/>
  <c r="M37" i="1"/>
  <c r="N37" i="1" s="1"/>
  <c r="Z37" i="1" s="1"/>
  <c r="N43" i="1"/>
  <c r="N44" i="1"/>
  <c r="N45" i="1"/>
  <c r="Z45" i="1" s="1"/>
  <c r="K45" i="2" s="1"/>
  <c r="T45" i="2" s="1"/>
  <c r="N51" i="1"/>
  <c r="Z51" i="1" s="1"/>
  <c r="M36" i="1"/>
  <c r="N49" i="1"/>
  <c r="N48" i="1"/>
  <c r="N47" i="1"/>
  <c r="N46" i="1"/>
  <c r="N41" i="1"/>
  <c r="K35" i="1"/>
  <c r="K34" i="1"/>
  <c r="H35" i="1"/>
  <c r="H34" i="1"/>
  <c r="G34" i="1"/>
  <c r="M33" i="1"/>
  <c r="M32" i="1"/>
  <c r="M31" i="1"/>
  <c r="M30" i="1"/>
  <c r="M29" i="1"/>
  <c r="K33" i="1"/>
  <c r="K32" i="1"/>
  <c r="K31" i="1"/>
  <c r="K30" i="1"/>
  <c r="K29" i="1"/>
  <c r="O44" i="1"/>
  <c r="U44" i="1" s="1"/>
  <c r="P44" i="1"/>
  <c r="Q44" i="1"/>
  <c r="X44" i="1" s="1"/>
  <c r="R44" i="1"/>
  <c r="S44" i="1"/>
  <c r="O45" i="1"/>
  <c r="T45" i="1" s="1"/>
  <c r="P45" i="1"/>
  <c r="Q45" i="1"/>
  <c r="X45" i="1" s="1"/>
  <c r="R45" i="1"/>
  <c r="S45" i="1"/>
  <c r="U45" i="1"/>
  <c r="O46" i="1"/>
  <c r="P46" i="1"/>
  <c r="Q46" i="1"/>
  <c r="R46" i="1"/>
  <c r="S46" i="1"/>
  <c r="O47" i="1"/>
  <c r="P47" i="1"/>
  <c r="Q47" i="1"/>
  <c r="X47" i="1" s="1"/>
  <c r="R47" i="1"/>
  <c r="S47" i="1"/>
  <c r="O48" i="1"/>
  <c r="P48" i="1"/>
  <c r="Q48" i="1"/>
  <c r="X48" i="1" s="1"/>
  <c r="R48" i="1"/>
  <c r="S48" i="1"/>
  <c r="O49" i="1"/>
  <c r="P49" i="1"/>
  <c r="Q49" i="1"/>
  <c r="R49" i="1"/>
  <c r="S49" i="1"/>
  <c r="O50" i="1"/>
  <c r="P50" i="1"/>
  <c r="Q50" i="1"/>
  <c r="R50" i="1"/>
  <c r="S50" i="1"/>
  <c r="O39" i="1"/>
  <c r="P39" i="1"/>
  <c r="Q39" i="1"/>
  <c r="R39" i="1"/>
  <c r="S39" i="1"/>
  <c r="O40" i="1"/>
  <c r="P40" i="1"/>
  <c r="Q40" i="1"/>
  <c r="R40" i="1"/>
  <c r="S40" i="1"/>
  <c r="O41" i="1"/>
  <c r="P41" i="1"/>
  <c r="Q41" i="1"/>
  <c r="R41" i="1"/>
  <c r="S41" i="1"/>
  <c r="O42" i="1"/>
  <c r="P42" i="1"/>
  <c r="Q42" i="1"/>
  <c r="R42" i="1"/>
  <c r="S42" i="1"/>
  <c r="O43" i="1"/>
  <c r="P43" i="1"/>
  <c r="Q43" i="1"/>
  <c r="X43" i="1" s="1"/>
  <c r="R43" i="1"/>
  <c r="S43" i="1"/>
  <c r="O29" i="1"/>
  <c r="T29" i="1" s="1"/>
  <c r="P29" i="1"/>
  <c r="Q29" i="1"/>
  <c r="X29" i="1" s="1"/>
  <c r="I29" i="2" s="1"/>
  <c r="O29" i="2" s="1"/>
  <c r="S29" i="1"/>
  <c r="U29" i="1"/>
  <c r="Z29" i="1"/>
  <c r="K29" i="2" s="1"/>
  <c r="S29" i="2" s="1"/>
  <c r="AA29" i="1"/>
  <c r="L29" i="2" s="1"/>
  <c r="T29" i="2" s="1"/>
  <c r="O30" i="1"/>
  <c r="T30" i="1" s="1"/>
  <c r="P30" i="1"/>
  <c r="Q30" i="1"/>
  <c r="X30" i="1" s="1"/>
  <c r="I30" i="2" s="1"/>
  <c r="O30" i="2" s="1"/>
  <c r="S30" i="1"/>
  <c r="U30" i="1"/>
  <c r="Z30" i="1"/>
  <c r="K30" i="2" s="1"/>
  <c r="S30" i="2" s="1"/>
  <c r="AA30" i="1"/>
  <c r="L30" i="2" s="1"/>
  <c r="T30" i="2" s="1"/>
  <c r="O31" i="1"/>
  <c r="T31" i="1" s="1"/>
  <c r="P31" i="1"/>
  <c r="Q31" i="1"/>
  <c r="X31" i="1" s="1"/>
  <c r="I31" i="2" s="1"/>
  <c r="O31" i="2" s="1"/>
  <c r="S31" i="1"/>
  <c r="U31" i="1"/>
  <c r="Z31" i="1"/>
  <c r="K31" i="2" s="1"/>
  <c r="S31" i="2" s="1"/>
  <c r="AA31" i="1"/>
  <c r="L31" i="2" s="1"/>
  <c r="T31" i="2" s="1"/>
  <c r="O32" i="1"/>
  <c r="P32" i="1"/>
  <c r="Q32" i="1"/>
  <c r="X32" i="1" s="1"/>
  <c r="S32" i="1"/>
  <c r="Z32" i="1"/>
  <c r="K32" i="2" s="1"/>
  <c r="S32" i="2" s="1"/>
  <c r="AA32" i="1"/>
  <c r="L32" i="2" s="1"/>
  <c r="T32" i="2" s="1"/>
  <c r="O33" i="1"/>
  <c r="P33" i="1"/>
  <c r="AA33" i="1" s="1"/>
  <c r="L33" i="2" s="1"/>
  <c r="T33" i="2" s="1"/>
  <c r="Q33" i="1"/>
  <c r="X33" i="1" s="1"/>
  <c r="S33" i="1"/>
  <c r="Z33" i="1"/>
  <c r="K33" i="2" s="1"/>
  <c r="S33" i="2" s="1"/>
  <c r="U33" i="2" s="1"/>
  <c r="V33" i="2" s="1"/>
  <c r="O34" i="1"/>
  <c r="P34" i="1"/>
  <c r="Z34" i="1" s="1"/>
  <c r="K34" i="2" s="1"/>
  <c r="T34" i="2" s="1"/>
  <c r="Q34" i="1"/>
  <c r="X34" i="1" s="1"/>
  <c r="R34" i="1"/>
  <c r="S34" i="1"/>
  <c r="O35" i="1"/>
  <c r="P35" i="1"/>
  <c r="Z35" i="1" s="1"/>
  <c r="K35" i="2" s="1"/>
  <c r="T35" i="2" s="1"/>
  <c r="Q35" i="1"/>
  <c r="R35" i="1"/>
  <c r="S35" i="1"/>
  <c r="O36" i="1"/>
  <c r="P36" i="1"/>
  <c r="Q36" i="1"/>
  <c r="X36" i="1" s="1"/>
  <c r="R36" i="1"/>
  <c r="S36" i="1"/>
  <c r="O37" i="1"/>
  <c r="U37" i="1" s="1"/>
  <c r="P37" i="1"/>
  <c r="Q37" i="1"/>
  <c r="R37" i="1"/>
  <c r="S37" i="1"/>
  <c r="X37" i="1"/>
  <c r="O38" i="1"/>
  <c r="T38" i="1" s="1"/>
  <c r="P38" i="1"/>
  <c r="Q38" i="1"/>
  <c r="X38" i="1" s="1"/>
  <c r="I38" i="2" s="1"/>
  <c r="P38" i="2" s="1"/>
  <c r="R38" i="1"/>
  <c r="S38" i="1"/>
  <c r="U38" i="1"/>
  <c r="AA38" i="1"/>
  <c r="L38" i="2" s="1"/>
  <c r="S38" i="2" s="1"/>
  <c r="R33" i="1"/>
  <c r="R32" i="1"/>
  <c r="R31" i="1"/>
  <c r="R30" i="1"/>
  <c r="R29" i="1"/>
  <c r="V29" i="1" s="1"/>
  <c r="W29" i="1" s="1"/>
  <c r="O25" i="1"/>
  <c r="T25" i="1" s="1"/>
  <c r="V25" i="1" s="1"/>
  <c r="W25" i="1" s="1"/>
  <c r="P25" i="1"/>
  <c r="Q25" i="1"/>
  <c r="R25" i="1"/>
  <c r="S25" i="1"/>
  <c r="U25" i="1"/>
  <c r="X25" i="1"/>
  <c r="O26" i="1"/>
  <c r="T26" i="1" s="1"/>
  <c r="P26" i="1"/>
  <c r="Q26" i="1"/>
  <c r="X26" i="1" s="1"/>
  <c r="I26" i="2" s="1"/>
  <c r="P26" i="2" s="1"/>
  <c r="R26" i="1"/>
  <c r="S26" i="1"/>
  <c r="U26" i="1"/>
  <c r="O27" i="1"/>
  <c r="T27" i="1" s="1"/>
  <c r="P27" i="1"/>
  <c r="Q27" i="1"/>
  <c r="R27" i="1"/>
  <c r="S27" i="1"/>
  <c r="U27" i="1"/>
  <c r="X27" i="1"/>
  <c r="O28" i="1"/>
  <c r="P28" i="1"/>
  <c r="Q28" i="1"/>
  <c r="X28" i="1" s="1"/>
  <c r="R28" i="1"/>
  <c r="S28" i="1"/>
  <c r="O17" i="1"/>
  <c r="T17" i="1" s="1"/>
  <c r="V17" i="1" s="1"/>
  <c r="W17" i="1" s="1"/>
  <c r="P17" i="1"/>
  <c r="Q17" i="1"/>
  <c r="R17" i="1"/>
  <c r="S17" i="1"/>
  <c r="U17" i="1"/>
  <c r="X17" i="1"/>
  <c r="AA17" i="1"/>
  <c r="L17" i="2" s="1"/>
  <c r="S17" i="2" s="1"/>
  <c r="O18" i="1"/>
  <c r="T18" i="1" s="1"/>
  <c r="P18" i="1"/>
  <c r="Q18" i="1"/>
  <c r="X18" i="1" s="1"/>
  <c r="I18" i="2" s="1"/>
  <c r="P18" i="2" s="1"/>
  <c r="R18" i="1"/>
  <c r="S18" i="1"/>
  <c r="U18" i="1"/>
  <c r="AA18" i="1"/>
  <c r="L18" i="2" s="1"/>
  <c r="S18" i="2" s="1"/>
  <c r="O19" i="1"/>
  <c r="P19" i="1"/>
  <c r="Q19" i="1"/>
  <c r="X19" i="1" s="1"/>
  <c r="I19" i="2" s="1"/>
  <c r="P19" i="2" s="1"/>
  <c r="R19" i="1"/>
  <c r="S19" i="1"/>
  <c r="AA19" i="1"/>
  <c r="L19" i="2" s="1"/>
  <c r="S19" i="2" s="1"/>
  <c r="O20" i="1"/>
  <c r="T20" i="1" s="1"/>
  <c r="P20" i="1"/>
  <c r="Q20" i="1"/>
  <c r="X20" i="1" s="1"/>
  <c r="R20" i="1"/>
  <c r="S20" i="1"/>
  <c r="U20" i="1"/>
  <c r="AA20" i="1"/>
  <c r="O21" i="1"/>
  <c r="P21" i="1"/>
  <c r="AA21" i="1" s="1"/>
  <c r="L21" i="2" s="1"/>
  <c r="S21" i="2" s="1"/>
  <c r="Q21" i="1"/>
  <c r="X21" i="1" s="1"/>
  <c r="R21" i="1"/>
  <c r="S21" i="1"/>
  <c r="O22" i="1"/>
  <c r="P22" i="1"/>
  <c r="Q22" i="1"/>
  <c r="X22" i="1" s="1"/>
  <c r="R22" i="1"/>
  <c r="S22" i="1"/>
  <c r="O23" i="1"/>
  <c r="P23" i="1"/>
  <c r="Q23" i="1"/>
  <c r="R23" i="1"/>
  <c r="S23" i="1"/>
  <c r="X23" i="1"/>
  <c r="O24" i="1"/>
  <c r="P24" i="1"/>
  <c r="Q24" i="1"/>
  <c r="X24" i="1" s="1"/>
  <c r="R24" i="1"/>
  <c r="S24" i="1"/>
  <c r="N28" i="1"/>
  <c r="Z28" i="1" s="1"/>
  <c r="N27" i="1"/>
  <c r="Z27" i="1" s="1"/>
  <c r="N26" i="1"/>
  <c r="Z26" i="1" s="1"/>
  <c r="N25" i="1"/>
  <c r="Z25" i="1" s="1"/>
  <c r="N24" i="1"/>
  <c r="N23" i="1"/>
  <c r="N22" i="1"/>
  <c r="N21" i="1"/>
  <c r="Z21" i="1" s="1"/>
  <c r="N20" i="1"/>
  <c r="Z20" i="1" s="1"/>
  <c r="N19" i="1"/>
  <c r="Z19" i="1" s="1"/>
  <c r="N18" i="1"/>
  <c r="Z18" i="1" s="1"/>
  <c r="N17" i="1"/>
  <c r="Z17" i="1" s="1"/>
  <c r="M28" i="1"/>
  <c r="AA28" i="1" s="1"/>
  <c r="L28" i="2" s="1"/>
  <c r="S28" i="2" s="1"/>
  <c r="M27" i="1"/>
  <c r="AA27" i="1" s="1"/>
  <c r="M26" i="1"/>
  <c r="AA26" i="1" s="1"/>
  <c r="L26" i="2" s="1"/>
  <c r="S26" i="2" s="1"/>
  <c r="M25" i="1"/>
  <c r="AA25" i="1" s="1"/>
  <c r="M24" i="1"/>
  <c r="AA24" i="1" s="1"/>
  <c r="M23" i="1"/>
  <c r="M22" i="1"/>
  <c r="M21" i="1"/>
  <c r="M20" i="1"/>
  <c r="M19" i="1"/>
  <c r="M18" i="1"/>
  <c r="M17" i="1"/>
  <c r="K18" i="1"/>
  <c r="K19" i="1"/>
  <c r="K20" i="1"/>
  <c r="K21" i="1"/>
  <c r="K22" i="1"/>
  <c r="K23" i="1"/>
  <c r="K24" i="1"/>
  <c r="K25" i="1"/>
  <c r="K26" i="1"/>
  <c r="K27" i="1"/>
  <c r="K28" i="1"/>
  <c r="K17" i="1"/>
  <c r="J28" i="1"/>
  <c r="J27" i="1"/>
  <c r="J26" i="1"/>
  <c r="J25" i="1"/>
  <c r="J24" i="1"/>
  <c r="J23" i="1"/>
  <c r="J22" i="1"/>
  <c r="J21" i="1"/>
  <c r="J20" i="1"/>
  <c r="J19" i="1"/>
  <c r="J18" i="1"/>
  <c r="J17" i="1"/>
  <c r="O14" i="1"/>
  <c r="P14" i="1"/>
  <c r="Q14" i="1"/>
  <c r="X14" i="1" s="1"/>
  <c r="R14" i="1"/>
  <c r="S14" i="1"/>
  <c r="U14" i="1"/>
  <c r="O15" i="1"/>
  <c r="T15" i="1" s="1"/>
  <c r="P15" i="1"/>
  <c r="Z15" i="1" s="1"/>
  <c r="Q15" i="1"/>
  <c r="X15" i="1" s="1"/>
  <c r="R15" i="1"/>
  <c r="S15" i="1"/>
  <c r="U15" i="1"/>
  <c r="O16" i="1"/>
  <c r="P16" i="1"/>
  <c r="Z16" i="1" s="1"/>
  <c r="Q16" i="1"/>
  <c r="X16" i="1" s="1"/>
  <c r="R16" i="1"/>
  <c r="S16" i="1"/>
  <c r="M16" i="1"/>
  <c r="AA16" i="1" s="1"/>
  <c r="M15" i="1"/>
  <c r="AA15" i="1" s="1"/>
  <c r="O5" i="1"/>
  <c r="T5" i="1" s="1"/>
  <c r="P5" i="1"/>
  <c r="Q5" i="1"/>
  <c r="X5" i="1" s="1"/>
  <c r="R5" i="1"/>
  <c r="S5" i="1"/>
  <c r="U5" i="1"/>
  <c r="O6" i="1"/>
  <c r="T6" i="1" s="1"/>
  <c r="P6" i="1"/>
  <c r="Q6" i="1"/>
  <c r="X6" i="1" s="1"/>
  <c r="R6" i="1"/>
  <c r="S6" i="1"/>
  <c r="U6" i="1"/>
  <c r="O7" i="1"/>
  <c r="T7" i="1" s="1"/>
  <c r="P7" i="1"/>
  <c r="Q7" i="1"/>
  <c r="X7" i="1" s="1"/>
  <c r="R7" i="1"/>
  <c r="S7" i="1"/>
  <c r="U7" i="1"/>
  <c r="O8" i="1"/>
  <c r="P8" i="1"/>
  <c r="Q8" i="1"/>
  <c r="X8" i="1" s="1"/>
  <c r="R8" i="1"/>
  <c r="S8" i="1"/>
  <c r="O9" i="1"/>
  <c r="P9" i="1"/>
  <c r="Q9" i="1"/>
  <c r="X9" i="1" s="1"/>
  <c r="R9" i="1"/>
  <c r="S9" i="1"/>
  <c r="O10" i="1"/>
  <c r="P10" i="1"/>
  <c r="Q10" i="1"/>
  <c r="X10" i="1" s="1"/>
  <c r="R10" i="1"/>
  <c r="S10" i="1"/>
  <c r="O11" i="1"/>
  <c r="T11" i="1" s="1"/>
  <c r="V11" i="1" s="1"/>
  <c r="W11" i="1" s="1"/>
  <c r="P11" i="1"/>
  <c r="Q11" i="1"/>
  <c r="X11" i="1" s="1"/>
  <c r="R11" i="1"/>
  <c r="S11" i="1"/>
  <c r="U11" i="1"/>
  <c r="O12" i="1"/>
  <c r="P12" i="1"/>
  <c r="Q12" i="1"/>
  <c r="X12" i="1" s="1"/>
  <c r="R12" i="1"/>
  <c r="S12" i="1"/>
  <c r="O13" i="1"/>
  <c r="R13" i="1"/>
  <c r="S13" i="1"/>
  <c r="U13" i="1"/>
  <c r="N13" i="1"/>
  <c r="N12" i="1"/>
  <c r="N11" i="1"/>
  <c r="M11" i="1"/>
  <c r="N10" i="1"/>
  <c r="N9" i="1"/>
  <c r="N8" i="1"/>
  <c r="N7" i="1"/>
  <c r="N6" i="1"/>
  <c r="N5" i="1"/>
  <c r="M13" i="1"/>
  <c r="M12" i="1"/>
  <c r="M10" i="1"/>
  <c r="M9" i="1"/>
  <c r="M8" i="1"/>
  <c r="M7" i="1"/>
  <c r="M6" i="1"/>
  <c r="M5" i="1"/>
  <c r="J13" i="1"/>
  <c r="Q13" i="1" s="1"/>
  <c r="J12" i="1"/>
  <c r="J11" i="1"/>
  <c r="J10" i="1"/>
  <c r="J9" i="1"/>
  <c r="J8" i="1"/>
  <c r="J7" i="1"/>
  <c r="J6" i="1"/>
  <c r="J5" i="1"/>
  <c r="I12" i="1"/>
  <c r="I13" i="1"/>
  <c r="P13" i="1" s="1"/>
  <c r="I11" i="1"/>
  <c r="I9" i="1"/>
  <c r="I10" i="1"/>
  <c r="I8" i="1"/>
  <c r="I6" i="1"/>
  <c r="I7" i="1"/>
  <c r="I5" i="1"/>
  <c r="Z59" i="1" l="1"/>
  <c r="K59" i="2" s="1"/>
  <c r="T59" i="2" s="1"/>
  <c r="Z54" i="1"/>
  <c r="K54" i="2" s="1"/>
  <c r="T54" i="2" s="1"/>
  <c r="Z46" i="1"/>
  <c r="K46" i="2" s="1"/>
  <c r="T46" i="2" s="1"/>
  <c r="Z41" i="1"/>
  <c r="AA45" i="1"/>
  <c r="Z40" i="1"/>
  <c r="Z36" i="1"/>
  <c r="Z23" i="1"/>
  <c r="K23" i="2" s="1"/>
  <c r="T23" i="2" s="1"/>
  <c r="V51" i="1"/>
  <c r="AA48" i="1"/>
  <c r="AA40" i="1"/>
  <c r="L40" i="2" s="1"/>
  <c r="S40" i="2" s="1"/>
  <c r="AA41" i="1"/>
  <c r="L41" i="2" s="1"/>
  <c r="S41" i="2" s="1"/>
  <c r="AA42" i="1"/>
  <c r="V30" i="1"/>
  <c r="W30" i="1" s="1"/>
  <c r="V18" i="1"/>
  <c r="W18" i="1" s="1"/>
  <c r="Z24" i="1"/>
  <c r="K24" i="2" s="1"/>
  <c r="T24" i="2" s="1"/>
  <c r="AA37" i="1"/>
  <c r="V15" i="1"/>
  <c r="V5" i="1"/>
  <c r="W5" i="1" s="1"/>
  <c r="V6" i="1"/>
  <c r="Z57" i="1"/>
  <c r="K57" i="2" s="1"/>
  <c r="T57" i="2" s="1"/>
  <c r="Z58" i="1"/>
  <c r="K58" i="2" s="1"/>
  <c r="T58" i="2" s="1"/>
  <c r="V13" i="1"/>
  <c r="W13" i="1" s="1"/>
  <c r="AA53" i="1"/>
  <c r="L53" i="2" s="1"/>
  <c r="S53" i="2" s="1"/>
  <c r="U53" i="2" s="1"/>
  <c r="V53" i="2" s="1"/>
  <c r="AA52" i="1"/>
  <c r="L52" i="2" s="1"/>
  <c r="S52" i="2" s="1"/>
  <c r="U52" i="2" s="1"/>
  <c r="V52" i="2" s="1"/>
  <c r="Z22" i="1"/>
  <c r="K22" i="2" s="1"/>
  <c r="T22" i="2" s="1"/>
  <c r="U61" i="1"/>
  <c r="T61" i="1"/>
  <c r="U62" i="1"/>
  <c r="T62" i="1"/>
  <c r="Y52" i="1"/>
  <c r="J52" i="2" s="1"/>
  <c r="O52" i="2" s="1"/>
  <c r="I52" i="2"/>
  <c r="P52" i="2" s="1"/>
  <c r="Y53" i="1"/>
  <c r="J53" i="2" s="1"/>
  <c r="O53" i="2" s="1"/>
  <c r="I53" i="2"/>
  <c r="P53" i="2" s="1"/>
  <c r="U54" i="1"/>
  <c r="T54" i="1"/>
  <c r="Y54" i="1"/>
  <c r="J54" i="2" s="1"/>
  <c r="O54" i="2" s="1"/>
  <c r="I54" i="2"/>
  <c r="P54" i="2" s="1"/>
  <c r="U55" i="1"/>
  <c r="T55" i="1"/>
  <c r="U56" i="1"/>
  <c r="T56" i="1"/>
  <c r="U57" i="1"/>
  <c r="T57" i="1"/>
  <c r="U58" i="1"/>
  <c r="T58" i="1"/>
  <c r="U59" i="1"/>
  <c r="T59" i="1"/>
  <c r="U60" i="1"/>
  <c r="T60" i="1"/>
  <c r="Y60" i="1"/>
  <c r="J60" i="2" s="1"/>
  <c r="O60" i="2" s="1"/>
  <c r="I60" i="2"/>
  <c r="P60" i="2" s="1"/>
  <c r="Y51" i="1"/>
  <c r="I51" i="2"/>
  <c r="P51" i="2" s="1"/>
  <c r="N39" i="1"/>
  <c r="Z39" i="1" s="1"/>
  <c r="K39" i="2" s="1"/>
  <c r="T39" i="2" s="1"/>
  <c r="U39" i="2" s="1"/>
  <c r="AA39" i="1"/>
  <c r="L39" i="2" s="1"/>
  <c r="S39" i="2" s="1"/>
  <c r="K37" i="2"/>
  <c r="T37" i="2" s="1"/>
  <c r="AB37" i="1"/>
  <c r="M37" i="2" s="1"/>
  <c r="AB51" i="1"/>
  <c r="M51" i="2" s="1"/>
  <c r="K51" i="2"/>
  <c r="T51" i="2" s="1"/>
  <c r="U51" i="2" s="1"/>
  <c r="Y44" i="1"/>
  <c r="J44" i="2" s="1"/>
  <c r="O44" i="2" s="1"/>
  <c r="I44" i="2"/>
  <c r="P44" i="2" s="1"/>
  <c r="Y45" i="1"/>
  <c r="J45" i="2" s="1"/>
  <c r="O45" i="2" s="1"/>
  <c r="I45" i="2"/>
  <c r="P45" i="2" s="1"/>
  <c r="U46" i="1"/>
  <c r="T46" i="1"/>
  <c r="U47" i="1"/>
  <c r="T47" i="1"/>
  <c r="Y47" i="1"/>
  <c r="J47" i="2" s="1"/>
  <c r="O47" i="2" s="1"/>
  <c r="I47" i="2"/>
  <c r="P47" i="2" s="1"/>
  <c r="U48" i="1"/>
  <c r="T48" i="1"/>
  <c r="Y48" i="1"/>
  <c r="J48" i="2" s="1"/>
  <c r="O48" i="2" s="1"/>
  <c r="I48" i="2"/>
  <c r="P48" i="2" s="1"/>
  <c r="U49" i="1"/>
  <c r="T49" i="1"/>
  <c r="U50" i="1"/>
  <c r="T50" i="1"/>
  <c r="V50" i="1" s="1"/>
  <c r="U39" i="1"/>
  <c r="T39" i="1"/>
  <c r="U40" i="1"/>
  <c r="T40" i="1"/>
  <c r="V40" i="1" s="1"/>
  <c r="U41" i="1"/>
  <c r="T41" i="1"/>
  <c r="V41" i="1" s="1"/>
  <c r="U42" i="1"/>
  <c r="T42" i="1"/>
  <c r="V42" i="1" s="1"/>
  <c r="U43" i="1"/>
  <c r="T43" i="1"/>
  <c r="V43" i="1" s="1"/>
  <c r="W43" i="1" s="1"/>
  <c r="Y43" i="1"/>
  <c r="J43" i="2" s="1"/>
  <c r="O43" i="2" s="1"/>
  <c r="I43" i="2"/>
  <c r="P43" i="2" s="1"/>
  <c r="U31" i="2"/>
  <c r="V31" i="2" s="1"/>
  <c r="U32" i="1"/>
  <c r="T32" i="1"/>
  <c r="Y32" i="1"/>
  <c r="J32" i="2" s="1"/>
  <c r="P32" i="2" s="1"/>
  <c r="I32" i="2"/>
  <c r="O32" i="2" s="1"/>
  <c r="Q32" i="2" s="1"/>
  <c r="R32" i="2" s="1"/>
  <c r="U33" i="1"/>
  <c r="T33" i="1"/>
  <c r="Y33" i="1"/>
  <c r="J33" i="2" s="1"/>
  <c r="P33" i="2" s="1"/>
  <c r="I33" i="2"/>
  <c r="O33" i="2" s="1"/>
  <c r="Q33" i="2" s="1"/>
  <c r="R33" i="2" s="1"/>
  <c r="U34" i="1"/>
  <c r="T34" i="1"/>
  <c r="Y34" i="1"/>
  <c r="J34" i="2" s="1"/>
  <c r="O34" i="2" s="1"/>
  <c r="I34" i="2"/>
  <c r="P34" i="2" s="1"/>
  <c r="U35" i="1"/>
  <c r="T35" i="1"/>
  <c r="U36" i="1"/>
  <c r="T36" i="1"/>
  <c r="V36" i="1" s="1"/>
  <c r="I36" i="2"/>
  <c r="P36" i="2" s="1"/>
  <c r="Y36" i="1"/>
  <c r="J36" i="2" s="1"/>
  <c r="O36" i="2" s="1"/>
  <c r="Q36" i="2" s="1"/>
  <c r="R36" i="2" s="1"/>
  <c r="Y37" i="1"/>
  <c r="J37" i="2" s="1"/>
  <c r="O37" i="2" s="1"/>
  <c r="I37" i="2"/>
  <c r="P37" i="2" s="1"/>
  <c r="Y25" i="1"/>
  <c r="J25" i="2" s="1"/>
  <c r="O25" i="2" s="1"/>
  <c r="I25" i="2"/>
  <c r="P25" i="2" s="1"/>
  <c r="Y27" i="1"/>
  <c r="J27" i="2" s="1"/>
  <c r="O27" i="2" s="1"/>
  <c r="I27" i="2"/>
  <c r="P27" i="2" s="1"/>
  <c r="U28" i="1"/>
  <c r="T28" i="1"/>
  <c r="V28" i="1" s="1"/>
  <c r="W28" i="1" s="1"/>
  <c r="Y28" i="1"/>
  <c r="J28" i="2" s="1"/>
  <c r="O28" i="2" s="1"/>
  <c r="I28" i="2"/>
  <c r="P28" i="2" s="1"/>
  <c r="Y17" i="1"/>
  <c r="I17" i="2"/>
  <c r="P17" i="2" s="1"/>
  <c r="U19" i="1"/>
  <c r="T19" i="1"/>
  <c r="V19" i="1" s="1"/>
  <c r="W19" i="1" s="1"/>
  <c r="Y20" i="1"/>
  <c r="J20" i="2" s="1"/>
  <c r="O20" i="2" s="1"/>
  <c r="I20" i="2"/>
  <c r="P20" i="2" s="1"/>
  <c r="AC20" i="1"/>
  <c r="N20" i="2" s="1"/>
  <c r="L20" i="2"/>
  <c r="S20" i="2" s="1"/>
  <c r="U21" i="1"/>
  <c r="T21" i="1"/>
  <c r="V21" i="1" s="1"/>
  <c r="Y21" i="1"/>
  <c r="I21" i="2"/>
  <c r="P21" i="2" s="1"/>
  <c r="U22" i="1"/>
  <c r="T22" i="1"/>
  <c r="Y22" i="1"/>
  <c r="J22" i="2" s="1"/>
  <c r="O22" i="2" s="1"/>
  <c r="I22" i="2"/>
  <c r="P22" i="2" s="1"/>
  <c r="U23" i="1"/>
  <c r="T23" i="1"/>
  <c r="V23" i="1" s="1"/>
  <c r="Y23" i="1"/>
  <c r="J23" i="2" s="1"/>
  <c r="O23" i="2" s="1"/>
  <c r="I23" i="2"/>
  <c r="P23" i="2" s="1"/>
  <c r="U24" i="1"/>
  <c r="T24" i="1"/>
  <c r="V24" i="1" s="1"/>
  <c r="Y24" i="1"/>
  <c r="J24" i="2" s="1"/>
  <c r="O24" i="2" s="1"/>
  <c r="I24" i="2"/>
  <c r="P24" i="2" s="1"/>
  <c r="K28" i="2"/>
  <c r="T28" i="2" s="1"/>
  <c r="U28" i="2" s="1"/>
  <c r="V28" i="2" s="1"/>
  <c r="AB28" i="1"/>
  <c r="M28" i="2" s="1"/>
  <c r="AB27" i="1"/>
  <c r="M27" i="2" s="1"/>
  <c r="K27" i="2"/>
  <c r="T27" i="2" s="1"/>
  <c r="AD27" i="1"/>
  <c r="K26" i="2"/>
  <c r="T26" i="2" s="1"/>
  <c r="U26" i="2" s="1"/>
  <c r="V26" i="2" s="1"/>
  <c r="AD26" i="1"/>
  <c r="K25" i="2"/>
  <c r="T25" i="2" s="1"/>
  <c r="AD25" i="1"/>
  <c r="AB25" i="1"/>
  <c r="M25" i="2" s="1"/>
  <c r="K21" i="2"/>
  <c r="T21" i="2" s="1"/>
  <c r="U21" i="2" s="1"/>
  <c r="V21" i="2" s="1"/>
  <c r="AB21" i="1"/>
  <c r="M21" i="2" s="1"/>
  <c r="K20" i="2"/>
  <c r="T20" i="2" s="1"/>
  <c r="AB20" i="1"/>
  <c r="M20" i="2" s="1"/>
  <c r="K19" i="2"/>
  <c r="T19" i="2" s="1"/>
  <c r="U19" i="2" s="1"/>
  <c r="V19" i="2" s="1"/>
  <c r="AD19" i="1"/>
  <c r="K18" i="2"/>
  <c r="T18" i="2" s="1"/>
  <c r="U18" i="2" s="1"/>
  <c r="V18" i="2" s="1"/>
  <c r="AD18" i="1"/>
  <c r="K17" i="2"/>
  <c r="T17" i="2" s="1"/>
  <c r="U17" i="2" s="1"/>
  <c r="V17" i="2" s="1"/>
  <c r="AD17" i="1"/>
  <c r="AB17" i="1"/>
  <c r="M17" i="2" s="1"/>
  <c r="L27" i="2"/>
  <c r="S27" i="2" s="1"/>
  <c r="AC27" i="1"/>
  <c r="N27" i="2" s="1"/>
  <c r="L25" i="2"/>
  <c r="S25" i="2" s="1"/>
  <c r="AC25" i="1"/>
  <c r="N25" i="2" s="1"/>
  <c r="L24" i="2"/>
  <c r="S24" i="2" s="1"/>
  <c r="AC24" i="1"/>
  <c r="N24" i="2" s="1"/>
  <c r="AA14" i="1"/>
  <c r="Z14" i="1"/>
  <c r="I14" i="2"/>
  <c r="O14" i="2" s="1"/>
  <c r="Q14" i="2" s="1"/>
  <c r="R14" i="2" s="1"/>
  <c r="Y14" i="1"/>
  <c r="J14" i="2" s="1"/>
  <c r="P14" i="2" s="1"/>
  <c r="K15" i="2"/>
  <c r="S15" i="2" s="1"/>
  <c r="AD15" i="1"/>
  <c r="AB15" i="1"/>
  <c r="M15" i="2" s="1"/>
  <c r="I15" i="2"/>
  <c r="O15" i="2" s="1"/>
  <c r="Y15" i="1"/>
  <c r="J15" i="2" s="1"/>
  <c r="P15" i="2" s="1"/>
  <c r="U16" i="1"/>
  <c r="T16" i="1"/>
  <c r="K16" i="2"/>
  <c r="S16" i="2" s="1"/>
  <c r="AD16" i="1"/>
  <c r="AB16" i="1"/>
  <c r="M16" i="2" s="1"/>
  <c r="I16" i="2"/>
  <c r="O16" i="2" s="1"/>
  <c r="Y16" i="1"/>
  <c r="J16" i="2" s="1"/>
  <c r="P16" i="2" s="1"/>
  <c r="L16" i="2"/>
  <c r="T16" i="2" s="1"/>
  <c r="AC16" i="1"/>
  <c r="N16" i="2" s="1"/>
  <c r="L15" i="2"/>
  <c r="T15" i="2" s="1"/>
  <c r="AC15" i="1"/>
  <c r="N15" i="2" s="1"/>
  <c r="Z5" i="1"/>
  <c r="AD5" i="1" s="1"/>
  <c r="AA5" i="1"/>
  <c r="I5" i="2"/>
  <c r="P5" i="2" s="1"/>
  <c r="Y5" i="1"/>
  <c r="J5" i="2" s="1"/>
  <c r="O5" i="2" s="1"/>
  <c r="Q5" i="2" s="1"/>
  <c r="R5" i="2" s="1"/>
  <c r="AA6" i="1"/>
  <c r="Z6" i="1"/>
  <c r="I6" i="2"/>
  <c r="P6" i="2" s="1"/>
  <c r="Y6" i="1"/>
  <c r="J6" i="2" s="1"/>
  <c r="O6" i="2" s="1"/>
  <c r="Z7" i="1"/>
  <c r="AA7" i="1"/>
  <c r="I7" i="2"/>
  <c r="P7" i="2" s="1"/>
  <c r="Y7" i="1"/>
  <c r="J7" i="2" s="1"/>
  <c r="O7" i="2" s="1"/>
  <c r="U8" i="1"/>
  <c r="T8" i="1"/>
  <c r="Z8" i="1"/>
  <c r="AA8" i="1"/>
  <c r="I8" i="2"/>
  <c r="P8" i="2" s="1"/>
  <c r="Y8" i="1"/>
  <c r="J8" i="2" s="1"/>
  <c r="O8" i="2" s="1"/>
  <c r="Q8" i="2" s="1"/>
  <c r="R8" i="2" s="1"/>
  <c r="U9" i="1"/>
  <c r="T9" i="1"/>
  <c r="V9" i="1" s="1"/>
  <c r="Z9" i="1"/>
  <c r="AA9" i="1"/>
  <c r="I9" i="2"/>
  <c r="P9" i="2" s="1"/>
  <c r="Y9" i="1"/>
  <c r="J9" i="2" s="1"/>
  <c r="O9" i="2" s="1"/>
  <c r="U10" i="1"/>
  <c r="T10" i="1"/>
  <c r="V10" i="1" s="1"/>
  <c r="Z10" i="1"/>
  <c r="AA10" i="1"/>
  <c r="I10" i="2"/>
  <c r="P10" i="2" s="1"/>
  <c r="Y10" i="1"/>
  <c r="J10" i="2" s="1"/>
  <c r="O10" i="2" s="1"/>
  <c r="Q10" i="2" s="1"/>
  <c r="R10" i="2" s="1"/>
  <c r="AA11" i="1"/>
  <c r="Z11" i="1"/>
  <c r="I11" i="2"/>
  <c r="P11" i="2" s="1"/>
  <c r="Y11" i="1"/>
  <c r="J11" i="2" s="1"/>
  <c r="O11" i="2" s="1"/>
  <c r="U12" i="1"/>
  <c r="T12" i="1"/>
  <c r="AA12" i="1"/>
  <c r="Z12" i="1"/>
  <c r="I12" i="2"/>
  <c r="P12" i="2" s="1"/>
  <c r="Y12" i="1"/>
  <c r="J12" i="2" s="1"/>
  <c r="O12" i="2" s="1"/>
  <c r="Q12" i="2" s="1"/>
  <c r="R12" i="2" s="1"/>
  <c r="AA13" i="1"/>
  <c r="Z13" i="1"/>
  <c r="U29" i="2"/>
  <c r="V29" i="2" s="1"/>
  <c r="U30" i="2"/>
  <c r="V30" i="2" s="1"/>
  <c r="U32" i="2"/>
  <c r="V32" i="2" s="1"/>
  <c r="X13" i="1"/>
  <c r="V48" i="1"/>
  <c r="V49" i="1"/>
  <c r="V27" i="1"/>
  <c r="AE29" i="1"/>
  <c r="V26" i="1"/>
  <c r="V38" i="1"/>
  <c r="AE11" i="1"/>
  <c r="V22" i="1"/>
  <c r="AE13" i="1"/>
  <c r="V16" i="1"/>
  <c r="W16" i="1" s="1"/>
  <c r="V20" i="1"/>
  <c r="W20" i="1" s="1"/>
  <c r="V14" i="1"/>
  <c r="W14" i="1" s="1"/>
  <c r="V12" i="1"/>
  <c r="W12" i="1" s="1"/>
  <c r="V8" i="1"/>
  <c r="W8" i="1" s="1"/>
  <c r="V7" i="1"/>
  <c r="W7" i="1" s="1"/>
  <c r="AE5" i="1"/>
  <c r="X61" i="1"/>
  <c r="V62" i="1"/>
  <c r="V60" i="1"/>
  <c r="W60" i="1" s="1"/>
  <c r="AA62" i="1"/>
  <c r="AA61" i="1"/>
  <c r="L61" i="2" s="1"/>
  <c r="S61" i="2" s="1"/>
  <c r="Z61" i="1"/>
  <c r="K61" i="2" s="1"/>
  <c r="T61" i="2" s="1"/>
  <c r="Z60" i="1"/>
  <c r="V61" i="1"/>
  <c r="W61" i="1" s="1"/>
  <c r="AA56" i="1"/>
  <c r="L56" i="2" s="1"/>
  <c r="S56" i="2" s="1"/>
  <c r="AB62" i="1"/>
  <c r="M62" i="2" s="1"/>
  <c r="Y62" i="1"/>
  <c r="J62" i="2" s="1"/>
  <c r="O62" i="2" s="1"/>
  <c r="Q62" i="2" s="1"/>
  <c r="R62" i="2" s="1"/>
  <c r="V58" i="1"/>
  <c r="AA59" i="1"/>
  <c r="X56" i="1"/>
  <c r="X59" i="1"/>
  <c r="V57" i="1"/>
  <c r="W57" i="1" s="1"/>
  <c r="V54" i="1"/>
  <c r="AA55" i="1"/>
  <c r="L55" i="2" s="1"/>
  <c r="S55" i="2" s="1"/>
  <c r="U55" i="2" s="1"/>
  <c r="AA54" i="1"/>
  <c r="V56" i="1"/>
  <c r="V59" i="1"/>
  <c r="W59" i="1" s="1"/>
  <c r="Z56" i="1"/>
  <c r="X55" i="1"/>
  <c r="V55" i="1"/>
  <c r="W55" i="1" s="1"/>
  <c r="X58" i="1"/>
  <c r="AD52" i="1"/>
  <c r="AC53" i="1"/>
  <c r="N53" i="2" s="1"/>
  <c r="AD53" i="1"/>
  <c r="V52" i="1"/>
  <c r="W52" i="1" s="1"/>
  <c r="V53" i="1"/>
  <c r="AC60" i="1"/>
  <c r="N60" i="2" s="1"/>
  <c r="AB54" i="1"/>
  <c r="M54" i="2" s="1"/>
  <c r="AC52" i="1"/>
  <c r="N52" i="2" s="1"/>
  <c r="AB52" i="1"/>
  <c r="M52" i="2" s="1"/>
  <c r="X57" i="1"/>
  <c r="AB53" i="1"/>
  <c r="M53" i="2" s="1"/>
  <c r="AA58" i="1"/>
  <c r="L58" i="2" s="1"/>
  <c r="S58" i="2" s="1"/>
  <c r="U58" i="2" s="1"/>
  <c r="AA57" i="1"/>
  <c r="AD51" i="1"/>
  <c r="Z49" i="1"/>
  <c r="AA46" i="1"/>
  <c r="Z38" i="1"/>
  <c r="AA43" i="1"/>
  <c r="Z50" i="1"/>
  <c r="K50" i="2" s="1"/>
  <c r="T50" i="2" s="1"/>
  <c r="Z47" i="1"/>
  <c r="X50" i="1"/>
  <c r="X49" i="1"/>
  <c r="Z44" i="1"/>
  <c r="V45" i="1"/>
  <c r="W45" i="1" s="1"/>
  <c r="X39" i="1"/>
  <c r="X42" i="1"/>
  <c r="X41" i="1"/>
  <c r="X40" i="1"/>
  <c r="AA44" i="1"/>
  <c r="L44" i="2" s="1"/>
  <c r="S44" i="2" s="1"/>
  <c r="X46" i="1"/>
  <c r="AA36" i="1"/>
  <c r="L36" i="2" s="1"/>
  <c r="S36" i="2" s="1"/>
  <c r="V37" i="1"/>
  <c r="W37" i="1" s="1"/>
  <c r="V44" i="1"/>
  <c r="W44" i="1" s="1"/>
  <c r="V39" i="1"/>
  <c r="W39" i="1" s="1"/>
  <c r="V46" i="1"/>
  <c r="V47" i="1"/>
  <c r="V34" i="1"/>
  <c r="W34" i="1" s="1"/>
  <c r="X35" i="1"/>
  <c r="V35" i="1"/>
  <c r="W35" i="1" s="1"/>
  <c r="AD31" i="1"/>
  <c r="AD30" i="1"/>
  <c r="AD29" i="1"/>
  <c r="V32" i="1"/>
  <c r="V33" i="1"/>
  <c r="V31" i="1"/>
  <c r="Z48" i="1"/>
  <c r="K48" i="2" s="1"/>
  <c r="T48" i="2" s="1"/>
  <c r="AA47" i="1"/>
  <c r="AB45" i="1"/>
  <c r="M45" i="2" s="1"/>
  <c r="AA50" i="1"/>
  <c r="L50" i="2" s="1"/>
  <c r="S50" i="2" s="1"/>
  <c r="AA49" i="1"/>
  <c r="Z43" i="1"/>
  <c r="K43" i="2" s="1"/>
  <c r="T43" i="2" s="1"/>
  <c r="AC33" i="1"/>
  <c r="N33" i="2" s="1"/>
  <c r="AB31" i="1"/>
  <c r="M31" i="2" s="1"/>
  <c r="Y31" i="1"/>
  <c r="J31" i="2" s="1"/>
  <c r="P31" i="2" s="1"/>
  <c r="Q31" i="2" s="1"/>
  <c r="R31" i="2" s="1"/>
  <c r="AB34" i="1"/>
  <c r="M34" i="2" s="1"/>
  <c r="AB30" i="1"/>
  <c r="M30" i="2" s="1"/>
  <c r="Y30" i="1"/>
  <c r="AC32" i="1"/>
  <c r="N32" i="2" s="1"/>
  <c r="AC31" i="1"/>
  <c r="N31" i="2" s="1"/>
  <c r="AB33" i="1"/>
  <c r="M33" i="2" s="1"/>
  <c r="AB32" i="1"/>
  <c r="M32" i="2" s="1"/>
  <c r="AB29" i="1"/>
  <c r="M29" i="2" s="1"/>
  <c r="Y29" i="1"/>
  <c r="AE30" i="1"/>
  <c r="Y38" i="1"/>
  <c r="AD33" i="1"/>
  <c r="AA35" i="1"/>
  <c r="L35" i="2" s="1"/>
  <c r="S35" i="2" s="1"/>
  <c r="AD32" i="1"/>
  <c r="AA34" i="1"/>
  <c r="Y26" i="1"/>
  <c r="AB26" i="1"/>
  <c r="M26" i="2" s="1"/>
  <c r="AE28" i="1"/>
  <c r="AC28" i="1"/>
  <c r="N28" i="2" s="1"/>
  <c r="AD28" i="1"/>
  <c r="AE25" i="1"/>
  <c r="AB18" i="1"/>
  <c r="M18" i="2" s="1"/>
  <c r="Y18" i="1"/>
  <c r="AB22" i="1"/>
  <c r="M22" i="2" s="1"/>
  <c r="AE19" i="1"/>
  <c r="AB23" i="1"/>
  <c r="M23" i="2" s="1"/>
  <c r="AE18" i="1"/>
  <c r="AD24" i="1"/>
  <c r="AB24" i="1"/>
  <c r="M24" i="2" s="1"/>
  <c r="Y19" i="1"/>
  <c r="AB19" i="1"/>
  <c r="M19" i="2" s="1"/>
  <c r="AD21" i="1"/>
  <c r="AA23" i="1"/>
  <c r="AD20" i="1"/>
  <c r="AA22" i="1"/>
  <c r="AE17" i="1"/>
  <c r="V58" i="2" l="1"/>
  <c r="W58" i="2"/>
  <c r="V55" i="2"/>
  <c r="W55" i="2"/>
  <c r="W51" i="1"/>
  <c r="AE51" i="1"/>
  <c r="K36" i="2"/>
  <c r="T36" i="2" s="1"/>
  <c r="AB36" i="1"/>
  <c r="M36" i="2" s="1"/>
  <c r="K41" i="2"/>
  <c r="T41" i="2" s="1"/>
  <c r="AD41" i="1"/>
  <c r="L45" i="2"/>
  <c r="S45" i="2" s="1"/>
  <c r="U45" i="2" s="1"/>
  <c r="AC45" i="1"/>
  <c r="N45" i="2" s="1"/>
  <c r="AD45" i="1"/>
  <c r="K40" i="2"/>
  <c r="T40" i="2" s="1"/>
  <c r="U40" i="2" s="1"/>
  <c r="AD40" i="1"/>
  <c r="L48" i="2"/>
  <c r="S48" i="2" s="1"/>
  <c r="U48" i="2" s="1"/>
  <c r="AC48" i="1"/>
  <c r="N48" i="2" s="1"/>
  <c r="L42" i="2"/>
  <c r="S42" i="2" s="1"/>
  <c r="U42" i="2" s="1"/>
  <c r="AD42" i="1"/>
  <c r="L37" i="2"/>
  <c r="S37" i="2" s="1"/>
  <c r="AC37" i="1"/>
  <c r="N37" i="2" s="1"/>
  <c r="AD37" i="1"/>
  <c r="J51" i="2"/>
  <c r="O51" i="2" s="1"/>
  <c r="AC51" i="1"/>
  <c r="N51" i="2" s="1"/>
  <c r="V51" i="2"/>
  <c r="W51" i="2"/>
  <c r="V39" i="2"/>
  <c r="W39" i="2"/>
  <c r="Q60" i="2"/>
  <c r="R60" i="2" s="1"/>
  <c r="Q45" i="2"/>
  <c r="R45" i="2" s="1"/>
  <c r="Q37" i="2"/>
  <c r="R37" i="2" s="1"/>
  <c r="Q15" i="2"/>
  <c r="R15" i="2" s="1"/>
  <c r="U41" i="2"/>
  <c r="U37" i="2"/>
  <c r="AE15" i="1"/>
  <c r="W15" i="1"/>
  <c r="AE6" i="1"/>
  <c r="W6" i="1"/>
  <c r="Q52" i="2"/>
  <c r="R52" i="2" s="1"/>
  <c r="Q54" i="2"/>
  <c r="R54" i="2" s="1"/>
  <c r="Q51" i="2"/>
  <c r="R51" i="2" s="1"/>
  <c r="Q48" i="2"/>
  <c r="R48" i="2" s="1"/>
  <c r="Q43" i="2"/>
  <c r="R43" i="2" s="1"/>
  <c r="Q25" i="2"/>
  <c r="R25" i="2" s="1"/>
  <c r="Q27" i="2"/>
  <c r="R27" i="2" s="1"/>
  <c r="Q28" i="2"/>
  <c r="R28" i="2"/>
  <c r="J17" i="2"/>
  <c r="O17" i="2" s="1"/>
  <c r="AC17" i="1"/>
  <c r="N17" i="2" s="1"/>
  <c r="Q20" i="2"/>
  <c r="R20" i="2" s="1"/>
  <c r="U20" i="2"/>
  <c r="V20" i="2" s="1"/>
  <c r="AC21" i="1"/>
  <c r="N21" i="2" s="1"/>
  <c r="J21" i="2"/>
  <c r="O21" i="2" s="1"/>
  <c r="Q22" i="2"/>
  <c r="R22" i="2" s="1"/>
  <c r="Q23" i="2"/>
  <c r="R23" i="2" s="1"/>
  <c r="Q24" i="2"/>
  <c r="R24" i="2" s="1"/>
  <c r="U27" i="2"/>
  <c r="V27" i="2" s="1"/>
  <c r="U25" i="2"/>
  <c r="V25" i="2" s="1"/>
  <c r="U24" i="2"/>
  <c r="V24" i="2" s="1"/>
  <c r="L14" i="2"/>
  <c r="T14" i="2" s="1"/>
  <c r="AC14" i="1"/>
  <c r="N14" i="2" s="1"/>
  <c r="K14" i="2"/>
  <c r="S14" i="2" s="1"/>
  <c r="U14" i="2" s="1"/>
  <c r="V14" i="2" s="1"/>
  <c r="AD14" i="1"/>
  <c r="AB14" i="1"/>
  <c r="M14" i="2" s="1"/>
  <c r="U16" i="2"/>
  <c r="V16" i="2" s="1"/>
  <c r="K5" i="2"/>
  <c r="T5" i="2" s="1"/>
  <c r="AB5" i="1"/>
  <c r="M5" i="2" s="1"/>
  <c r="L5" i="2"/>
  <c r="S5" i="2" s="1"/>
  <c r="AC5" i="1"/>
  <c r="N5" i="2" s="1"/>
  <c r="L6" i="2"/>
  <c r="S6" i="2" s="1"/>
  <c r="AC6" i="1"/>
  <c r="N6" i="2" s="1"/>
  <c r="K6" i="2"/>
  <c r="T6" i="2" s="1"/>
  <c r="AD6" i="1"/>
  <c r="AB6" i="1"/>
  <c r="M6" i="2" s="1"/>
  <c r="Q6" i="2"/>
  <c r="R6" i="2" s="1"/>
  <c r="K7" i="2"/>
  <c r="T7" i="2" s="1"/>
  <c r="U7" i="2" s="1"/>
  <c r="V7" i="2" s="1"/>
  <c r="AD7" i="1"/>
  <c r="AB7" i="1"/>
  <c r="M7" i="2" s="1"/>
  <c r="Q7" i="2"/>
  <c r="R7" i="2" s="1"/>
  <c r="K8" i="2"/>
  <c r="T8" i="2" s="1"/>
  <c r="AD8" i="1"/>
  <c r="AB8" i="1"/>
  <c r="M8" i="2" s="1"/>
  <c r="L8" i="2"/>
  <c r="S8" i="2" s="1"/>
  <c r="AC8" i="1"/>
  <c r="N8" i="2" s="1"/>
  <c r="K9" i="2"/>
  <c r="T9" i="2" s="1"/>
  <c r="U9" i="2" s="1"/>
  <c r="V9" i="2" s="1"/>
  <c r="AD9" i="1"/>
  <c r="AB9" i="1"/>
  <c r="M9" i="2" s="1"/>
  <c r="Q9" i="2"/>
  <c r="R9" i="2" s="1"/>
  <c r="K10" i="2"/>
  <c r="T10" i="2" s="1"/>
  <c r="AD10" i="1"/>
  <c r="AB10" i="1"/>
  <c r="M10" i="2" s="1"/>
  <c r="L10" i="2"/>
  <c r="S10" i="2" s="1"/>
  <c r="U10" i="2" s="1"/>
  <c r="V10" i="2" s="1"/>
  <c r="AC10" i="1"/>
  <c r="N10" i="2" s="1"/>
  <c r="K11" i="2"/>
  <c r="T11" i="2" s="1"/>
  <c r="U11" i="2" s="1"/>
  <c r="V11" i="2" s="1"/>
  <c r="AD11" i="1"/>
  <c r="AB11" i="1"/>
  <c r="M11" i="2" s="1"/>
  <c r="Q11" i="2"/>
  <c r="R11" i="2" s="1"/>
  <c r="L12" i="2"/>
  <c r="S12" i="2" s="1"/>
  <c r="AC12" i="1"/>
  <c r="N12" i="2" s="1"/>
  <c r="K12" i="2"/>
  <c r="T12" i="2" s="1"/>
  <c r="AD12" i="1"/>
  <c r="AB12" i="1"/>
  <c r="M12" i="2" s="1"/>
  <c r="K13" i="2"/>
  <c r="T13" i="2" s="1"/>
  <c r="AD13" i="1"/>
  <c r="AB13" i="1"/>
  <c r="M13" i="2" s="1"/>
  <c r="Y13" i="1"/>
  <c r="J13" i="2" s="1"/>
  <c r="O13" i="2" s="1"/>
  <c r="I13" i="2"/>
  <c r="P13" i="2" s="1"/>
  <c r="Q47" i="2"/>
  <c r="R47" i="2" s="1"/>
  <c r="Q16" i="2"/>
  <c r="R16" i="2" s="1"/>
  <c r="AC36" i="1"/>
  <c r="N36" i="2" s="1"/>
  <c r="Q53" i="2"/>
  <c r="R53" i="2" s="1"/>
  <c r="Q44" i="2"/>
  <c r="R44" i="2" s="1"/>
  <c r="Q34" i="2"/>
  <c r="R34" i="2" s="1"/>
  <c r="U15" i="2"/>
  <c r="V15" i="2" s="1"/>
  <c r="AB50" i="1"/>
  <c r="M50" i="2" s="1"/>
  <c r="W50" i="1"/>
  <c r="AE50" i="1"/>
  <c r="W40" i="1"/>
  <c r="AE40" i="1"/>
  <c r="W41" i="1"/>
  <c r="AE41" i="1"/>
  <c r="AE42" i="1"/>
  <c r="W42" i="1"/>
  <c r="W36" i="1"/>
  <c r="AE36" i="1"/>
  <c r="AE21" i="1"/>
  <c r="W21" i="1"/>
  <c r="AE23" i="1"/>
  <c r="W23" i="1"/>
  <c r="AE24" i="1"/>
  <c r="W24" i="1"/>
  <c r="L7" i="2"/>
  <c r="S7" i="2" s="1"/>
  <c r="AC7" i="1"/>
  <c r="N7" i="2" s="1"/>
  <c r="AE9" i="1"/>
  <c r="W9" i="1"/>
  <c r="L9" i="2"/>
  <c r="S9" i="2" s="1"/>
  <c r="AC9" i="1"/>
  <c r="N9" i="2" s="1"/>
  <c r="AE10" i="1"/>
  <c r="W10" i="1"/>
  <c r="L11" i="2"/>
  <c r="S11" i="2" s="1"/>
  <c r="AC11" i="1"/>
  <c r="N11" i="2" s="1"/>
  <c r="L13" i="2"/>
  <c r="S13" i="2" s="1"/>
  <c r="AC13" i="1"/>
  <c r="N13" i="2" s="1"/>
  <c r="W48" i="1"/>
  <c r="AE48" i="1"/>
  <c r="AE49" i="1"/>
  <c r="W49" i="1"/>
  <c r="AE27" i="1"/>
  <c r="W27" i="1"/>
  <c r="AE26" i="1"/>
  <c r="W26" i="1"/>
  <c r="W38" i="1"/>
  <c r="AE38" i="1"/>
  <c r="AE22" i="1"/>
  <c r="W22" i="1"/>
  <c r="Y61" i="1"/>
  <c r="I61" i="2"/>
  <c r="P61" i="2" s="1"/>
  <c r="AE62" i="1"/>
  <c r="W62" i="1"/>
  <c r="AD62" i="1"/>
  <c r="L62" i="2"/>
  <c r="S62" i="2" s="1"/>
  <c r="U62" i="2" s="1"/>
  <c r="V62" i="2" s="1"/>
  <c r="AD60" i="1"/>
  <c r="K60" i="2"/>
  <c r="T60" i="2" s="1"/>
  <c r="U60" i="2" s="1"/>
  <c r="V60" i="2" s="1"/>
  <c r="AE58" i="1"/>
  <c r="W58" i="1"/>
  <c r="AD59" i="1"/>
  <c r="L59" i="2"/>
  <c r="S59" i="2" s="1"/>
  <c r="U59" i="2" s="1"/>
  <c r="Y56" i="1"/>
  <c r="I56" i="2"/>
  <c r="P56" i="2" s="1"/>
  <c r="Y59" i="1"/>
  <c r="I59" i="2"/>
  <c r="P59" i="2" s="1"/>
  <c r="AE54" i="1"/>
  <c r="W54" i="1"/>
  <c r="AD54" i="1"/>
  <c r="L54" i="2"/>
  <c r="S54" i="2" s="1"/>
  <c r="U54" i="2" s="1"/>
  <c r="AE56" i="1"/>
  <c r="W56" i="1"/>
  <c r="AD56" i="1"/>
  <c r="K56" i="2"/>
  <c r="T56" i="2" s="1"/>
  <c r="U56" i="2" s="1"/>
  <c r="Y55" i="1"/>
  <c r="J55" i="2" s="1"/>
  <c r="O55" i="2" s="1"/>
  <c r="I55" i="2"/>
  <c r="P55" i="2" s="1"/>
  <c r="Y58" i="1"/>
  <c r="J58" i="2" s="1"/>
  <c r="O58" i="2" s="1"/>
  <c r="I58" i="2"/>
  <c r="P58" i="2" s="1"/>
  <c r="AE53" i="1"/>
  <c r="W53" i="1"/>
  <c r="Y57" i="1"/>
  <c r="J57" i="2" s="1"/>
  <c r="O57" i="2" s="1"/>
  <c r="I57" i="2"/>
  <c r="P57" i="2" s="1"/>
  <c r="AD57" i="1"/>
  <c r="L57" i="2"/>
  <c r="S57" i="2" s="1"/>
  <c r="U57" i="2" s="1"/>
  <c r="AB49" i="1"/>
  <c r="M49" i="2" s="1"/>
  <c r="K49" i="2"/>
  <c r="T49" i="2" s="1"/>
  <c r="L46" i="2"/>
  <c r="S46" i="2" s="1"/>
  <c r="U46" i="2" s="1"/>
  <c r="AD46" i="1"/>
  <c r="AD38" i="1"/>
  <c r="K38" i="2"/>
  <c r="T38" i="2" s="1"/>
  <c r="U38" i="2" s="1"/>
  <c r="AB38" i="1"/>
  <c r="M38" i="2" s="1"/>
  <c r="AC43" i="1"/>
  <c r="N43" i="2" s="1"/>
  <c r="L43" i="2"/>
  <c r="S43" i="2" s="1"/>
  <c r="U43" i="2" s="1"/>
  <c r="AB47" i="1"/>
  <c r="M47" i="2" s="1"/>
  <c r="K47" i="2"/>
  <c r="T47" i="2" s="1"/>
  <c r="Y50" i="1"/>
  <c r="I50" i="2"/>
  <c r="P50" i="2" s="1"/>
  <c r="Y49" i="1"/>
  <c r="J49" i="2" s="1"/>
  <c r="O49" i="2" s="1"/>
  <c r="I49" i="2"/>
  <c r="P49" i="2" s="1"/>
  <c r="AB44" i="1"/>
  <c r="M44" i="2" s="1"/>
  <c r="K44" i="2"/>
  <c r="T44" i="2" s="1"/>
  <c r="U44" i="2" s="1"/>
  <c r="Y39" i="1"/>
  <c r="I39" i="2"/>
  <c r="P39" i="2" s="1"/>
  <c r="Y42" i="1"/>
  <c r="I42" i="2"/>
  <c r="P42" i="2" s="1"/>
  <c r="Y41" i="1"/>
  <c r="I41" i="2"/>
  <c r="P41" i="2" s="1"/>
  <c r="Y40" i="1"/>
  <c r="I40" i="2"/>
  <c r="P40" i="2" s="1"/>
  <c r="Y46" i="1"/>
  <c r="I46" i="2"/>
  <c r="P46" i="2" s="1"/>
  <c r="U36" i="2"/>
  <c r="AE46" i="1"/>
  <c r="W46" i="1"/>
  <c r="AE47" i="1"/>
  <c r="W47" i="1"/>
  <c r="AE32" i="1"/>
  <c r="W32" i="1"/>
  <c r="AE33" i="1"/>
  <c r="W33" i="1"/>
  <c r="AE31" i="1"/>
  <c r="W31" i="1"/>
  <c r="AC47" i="1"/>
  <c r="N47" i="2" s="1"/>
  <c r="L47" i="2"/>
  <c r="S47" i="2" s="1"/>
  <c r="AC49" i="1"/>
  <c r="N49" i="2" s="1"/>
  <c r="L49" i="2"/>
  <c r="S49" i="2" s="1"/>
  <c r="AC30" i="1"/>
  <c r="N30" i="2" s="1"/>
  <c r="J30" i="2"/>
  <c r="P30" i="2" s="1"/>
  <c r="Q30" i="2" s="1"/>
  <c r="R30" i="2" s="1"/>
  <c r="AC29" i="1"/>
  <c r="N29" i="2" s="1"/>
  <c r="J29" i="2"/>
  <c r="P29" i="2" s="1"/>
  <c r="Q29" i="2" s="1"/>
  <c r="R29" i="2" s="1"/>
  <c r="AC38" i="1"/>
  <c r="N38" i="2" s="1"/>
  <c r="J38" i="2"/>
  <c r="O38" i="2" s="1"/>
  <c r="AC26" i="1"/>
  <c r="N26" i="2" s="1"/>
  <c r="J26" i="2"/>
  <c r="O26" i="2" s="1"/>
  <c r="AC18" i="1"/>
  <c r="N18" i="2" s="1"/>
  <c r="J18" i="2"/>
  <c r="O18" i="2" s="1"/>
  <c r="AC19" i="1"/>
  <c r="N19" i="2" s="1"/>
  <c r="J19" i="2"/>
  <c r="O19" i="2" s="1"/>
  <c r="AC23" i="1"/>
  <c r="N23" i="2" s="1"/>
  <c r="L23" i="2"/>
  <c r="S23" i="2" s="1"/>
  <c r="AD23" i="1"/>
  <c r="AC22" i="1"/>
  <c r="N22" i="2" s="1"/>
  <c r="AD22" i="1"/>
  <c r="L22" i="2"/>
  <c r="S22" i="2" s="1"/>
  <c r="U22" i="2" s="1"/>
  <c r="V22" i="2" s="1"/>
  <c r="U61" i="2"/>
  <c r="V61" i="2" s="1"/>
  <c r="U50" i="2"/>
  <c r="Y35" i="1"/>
  <c r="J35" i="2" s="1"/>
  <c r="O35" i="2" s="1"/>
  <c r="AB35" i="1"/>
  <c r="M35" i="2" s="1"/>
  <c r="I35" i="2"/>
  <c r="P35" i="2" s="1"/>
  <c r="U35" i="2"/>
  <c r="V35" i="2" s="1"/>
  <c r="AC34" i="1"/>
  <c r="N34" i="2" s="1"/>
  <c r="L34" i="2"/>
  <c r="S34" i="2" s="1"/>
  <c r="U34" i="2" s="1"/>
  <c r="V34" i="2" s="1"/>
  <c r="AE45" i="1"/>
  <c r="AE60" i="1"/>
  <c r="AE12" i="1"/>
  <c r="AE20" i="1"/>
  <c r="AE14" i="1"/>
  <c r="AE16" i="1"/>
  <c r="AE7" i="1"/>
  <c r="AE8" i="1"/>
  <c r="AC62" i="1"/>
  <c r="N62" i="2" s="1"/>
  <c r="AE61" i="1"/>
  <c r="AB60" i="1"/>
  <c r="M60" i="2" s="1"/>
  <c r="AB61" i="1"/>
  <c r="M61" i="2" s="1"/>
  <c r="AD61" i="1"/>
  <c r="AC54" i="1"/>
  <c r="N54" i="2" s="1"/>
  <c r="AB56" i="1"/>
  <c r="M56" i="2" s="1"/>
  <c r="AE57" i="1"/>
  <c r="AB59" i="1"/>
  <c r="M59" i="2" s="1"/>
  <c r="AB58" i="1"/>
  <c r="M58" i="2" s="1"/>
  <c r="AE59" i="1"/>
  <c r="AC58" i="1"/>
  <c r="N58" i="2" s="1"/>
  <c r="AC55" i="1"/>
  <c r="N55" i="2" s="1"/>
  <c r="AD55" i="1"/>
  <c r="AE55" i="1"/>
  <c r="AB55" i="1"/>
  <c r="M55" i="2" s="1"/>
  <c r="AE52" i="1"/>
  <c r="AD58" i="1"/>
  <c r="AB57" i="1"/>
  <c r="M57" i="2" s="1"/>
  <c r="AC57" i="1"/>
  <c r="N57" i="2" s="1"/>
  <c r="AD44" i="1"/>
  <c r="AC44" i="1"/>
  <c r="N44" i="2" s="1"/>
  <c r="AD49" i="1"/>
  <c r="AE44" i="1"/>
  <c r="AB41" i="1"/>
  <c r="M41" i="2" s="1"/>
  <c r="AE43" i="1"/>
  <c r="AB42" i="1"/>
  <c r="M42" i="2" s="1"/>
  <c r="AE39" i="1"/>
  <c r="AE37" i="1"/>
  <c r="AB40" i="1"/>
  <c r="M40" i="2" s="1"/>
  <c r="AD39" i="1"/>
  <c r="AB39" i="1"/>
  <c r="M39" i="2" s="1"/>
  <c r="AB46" i="1"/>
  <c r="M46" i="2" s="1"/>
  <c r="AD36" i="1"/>
  <c r="AC35" i="1"/>
  <c r="N35" i="2" s="1"/>
  <c r="AE35" i="1"/>
  <c r="AE34" i="1"/>
  <c r="AD35" i="1"/>
  <c r="AD48" i="1"/>
  <c r="AB48" i="1"/>
  <c r="M48" i="2" s="1"/>
  <c r="AD47" i="1"/>
  <c r="AD50" i="1"/>
  <c r="AD43" i="1"/>
  <c r="AB43" i="1"/>
  <c r="M43" i="2" s="1"/>
  <c r="AD34" i="1"/>
  <c r="S3" i="1"/>
  <c r="S4" i="1"/>
  <c r="S2" i="1"/>
  <c r="R3" i="1"/>
  <c r="R4" i="1"/>
  <c r="R2" i="1"/>
  <c r="Q3" i="1"/>
  <c r="Q4" i="1"/>
  <c r="Q2" i="1"/>
  <c r="P3" i="1"/>
  <c r="Z3" i="1" s="1"/>
  <c r="K3" i="2" s="1"/>
  <c r="T3" i="2" s="1"/>
  <c r="P4" i="1"/>
  <c r="Z4" i="1" s="1"/>
  <c r="K4" i="2" s="1"/>
  <c r="T4" i="2" s="1"/>
  <c r="P2" i="1"/>
  <c r="Z2" i="1" s="1"/>
  <c r="K2" i="2" s="1"/>
  <c r="T2" i="2" s="1"/>
  <c r="O3" i="1"/>
  <c r="O4" i="1"/>
  <c r="O2" i="1"/>
  <c r="V59" i="2" l="1"/>
  <c r="W59" i="2"/>
  <c r="V57" i="2"/>
  <c r="W57" i="2"/>
  <c r="V56" i="2"/>
  <c r="W56" i="2"/>
  <c r="V54" i="2"/>
  <c r="W54" i="2"/>
  <c r="V40" i="2"/>
  <c r="W45" i="2"/>
  <c r="V45" i="2"/>
  <c r="W48" i="2"/>
  <c r="V48" i="2"/>
  <c r="W42" i="2"/>
  <c r="V42" i="2"/>
  <c r="V41" i="2"/>
  <c r="V37" i="2"/>
  <c r="W37" i="2"/>
  <c r="V46" i="2"/>
  <c r="W46" i="2"/>
  <c r="V38" i="2"/>
  <c r="W38" i="2"/>
  <c r="V43" i="2"/>
  <c r="W43" i="2"/>
  <c r="V44" i="2"/>
  <c r="W44" i="2"/>
  <c r="J39" i="2"/>
  <c r="O39" i="2" s="1"/>
  <c r="AC39" i="1"/>
  <c r="N39" i="2" s="1"/>
  <c r="J46" i="2"/>
  <c r="O46" i="2" s="1"/>
  <c r="AC46" i="1"/>
  <c r="N46" i="2" s="1"/>
  <c r="V50" i="2"/>
  <c r="W50" i="2"/>
  <c r="V36" i="2"/>
  <c r="W36" i="2"/>
  <c r="U13" i="2"/>
  <c r="V13" i="2" s="1"/>
  <c r="Q55" i="2"/>
  <c r="R55" i="2" s="1"/>
  <c r="Q17" i="2"/>
  <c r="R17" i="2" s="1"/>
  <c r="Q21" i="2"/>
  <c r="R21" i="2"/>
  <c r="U5" i="2"/>
  <c r="V5" i="2" s="1"/>
  <c r="Q13" i="2"/>
  <c r="R13" i="2" s="1"/>
  <c r="AC61" i="1"/>
  <c r="N61" i="2" s="1"/>
  <c r="J61" i="2"/>
  <c r="O61" i="2" s="1"/>
  <c r="J56" i="2"/>
  <c r="O56" i="2" s="1"/>
  <c r="Q56" i="2" s="1"/>
  <c r="R56" i="2" s="1"/>
  <c r="AC56" i="1"/>
  <c r="N56" i="2" s="1"/>
  <c r="J59" i="2"/>
  <c r="O59" i="2" s="1"/>
  <c r="Q59" i="2" s="1"/>
  <c r="R59" i="2" s="1"/>
  <c r="AC59" i="1"/>
  <c r="N59" i="2" s="1"/>
  <c r="Q58" i="2"/>
  <c r="R58" i="2" s="1"/>
  <c r="Q57" i="2"/>
  <c r="R57" i="2" s="1"/>
  <c r="AC50" i="1"/>
  <c r="N50" i="2" s="1"/>
  <c r="J50" i="2"/>
  <c r="O50" i="2" s="1"/>
  <c r="J42" i="2"/>
  <c r="O42" i="2" s="1"/>
  <c r="Q42" i="2" s="1"/>
  <c r="R42" i="2" s="1"/>
  <c r="AC42" i="1"/>
  <c r="N42" i="2" s="1"/>
  <c r="J41" i="2"/>
  <c r="O41" i="2" s="1"/>
  <c r="AC41" i="1"/>
  <c r="N41" i="2" s="1"/>
  <c r="J40" i="2"/>
  <c r="O40" i="2" s="1"/>
  <c r="Q40" i="2" s="1"/>
  <c r="R40" i="2" s="1"/>
  <c r="AC40" i="1"/>
  <c r="N40" i="2" s="1"/>
  <c r="U47" i="2"/>
  <c r="Q38" i="2"/>
  <c r="R38" i="2" s="1"/>
  <c r="Q26" i="2"/>
  <c r="R26" i="2" s="1"/>
  <c r="Q18" i="2"/>
  <c r="R18" i="2" s="1"/>
  <c r="Q19" i="2"/>
  <c r="R19" i="2" s="1"/>
  <c r="U23" i="2"/>
  <c r="V23" i="2" s="1"/>
  <c r="U12" i="2"/>
  <c r="V12" i="2" s="1"/>
  <c r="Q49" i="2"/>
  <c r="R49" i="2" s="1"/>
  <c r="Q39" i="2"/>
  <c r="R39" i="2" s="1"/>
  <c r="Q46" i="2"/>
  <c r="R46" i="2" s="1"/>
  <c r="U49" i="2"/>
  <c r="U6" i="2"/>
  <c r="V6" i="2" s="1"/>
  <c r="X3" i="1"/>
  <c r="X4" i="1"/>
  <c r="U8" i="2"/>
  <c r="V8" i="2" s="1"/>
  <c r="U3" i="1"/>
  <c r="T3" i="1"/>
  <c r="V3" i="1" s="1"/>
  <c r="U4" i="1"/>
  <c r="T4" i="1"/>
  <c r="V4" i="1" s="1"/>
  <c r="T2" i="1"/>
  <c r="U2" i="1"/>
  <c r="V2" i="1" s="1"/>
  <c r="Q35" i="2"/>
  <c r="R35" i="2" s="1"/>
  <c r="AB2" i="1"/>
  <c r="M2" i="2" s="1"/>
  <c r="AB4" i="1"/>
  <c r="M4" i="2" s="1"/>
  <c r="AB3" i="1"/>
  <c r="M3" i="2" s="1"/>
  <c r="AA2" i="1"/>
  <c r="L2" i="2" s="1"/>
  <c r="S2" i="2" s="1"/>
  <c r="U2" i="2" s="1"/>
  <c r="V2" i="2" s="1"/>
  <c r="AA4" i="1"/>
  <c r="AA3" i="1"/>
  <c r="L3" i="2" s="1"/>
  <c r="S3" i="2" s="1"/>
  <c r="U3" i="2" s="1"/>
  <c r="V3" i="2" s="1"/>
  <c r="V47" i="2" l="1"/>
  <c r="W47" i="2"/>
  <c r="V49" i="2"/>
  <c r="W49" i="2"/>
  <c r="L4" i="2"/>
  <c r="S4" i="2" s="1"/>
  <c r="U4" i="2" s="1"/>
  <c r="V4" i="2" s="1"/>
  <c r="AD4" i="1"/>
  <c r="Q61" i="2"/>
  <c r="R61" i="2" s="1"/>
  <c r="Q50" i="2"/>
  <c r="R50" i="2" s="1"/>
  <c r="Q41" i="2"/>
  <c r="R41" i="2"/>
  <c r="I3" i="2"/>
  <c r="P3" i="2" s="1"/>
  <c r="Y3" i="1"/>
  <c r="I4" i="2"/>
  <c r="P4" i="2" s="1"/>
  <c r="Y4" i="1"/>
  <c r="I2" i="2"/>
  <c r="P2" i="2" s="1"/>
  <c r="Y2" i="1"/>
  <c r="AE3" i="1"/>
  <c r="W3" i="1"/>
  <c r="AE4" i="1"/>
  <c r="W4" i="1"/>
  <c r="W2" i="1"/>
  <c r="AE2" i="1"/>
  <c r="AE63" i="1" s="1"/>
  <c r="AD2" i="1"/>
  <c r="AD3" i="1"/>
  <c r="AC3" i="1" l="1"/>
  <c r="N3" i="2" s="1"/>
  <c r="J3" i="2"/>
  <c r="O3" i="2" s="1"/>
  <c r="Q3" i="2" s="1"/>
  <c r="R3" i="2" s="1"/>
  <c r="AC4" i="1"/>
  <c r="N4" i="2" s="1"/>
  <c r="J4" i="2"/>
  <c r="O4" i="2" s="1"/>
  <c r="AC2" i="1"/>
  <c r="N2" i="2" s="1"/>
  <c r="J2" i="2"/>
  <c r="O2" i="2" s="1"/>
  <c r="Q2" i="2" s="1"/>
  <c r="R2" i="2" s="1"/>
  <c r="Q4" i="2" l="1"/>
  <c r="R4" i="2" s="1"/>
</calcChain>
</file>

<file path=xl/sharedStrings.xml><?xml version="1.0" encoding="utf-8"?>
<sst xmlns="http://schemas.openxmlformats.org/spreadsheetml/2006/main" count="728" uniqueCount="210">
  <si>
    <t>No</t>
  </si>
  <si>
    <t>Condition</t>
  </si>
  <si>
    <t>Intervention</t>
  </si>
  <si>
    <t>pH</t>
  </si>
  <si>
    <t>Temp (C)</t>
  </si>
  <si>
    <t>SO4_in (mg/L)</t>
  </si>
  <si>
    <t>KHCO3_in (mg/L)</t>
  </si>
  <si>
    <t>%CH4 in biogas</t>
  </si>
  <si>
    <t>SO4_out (mg/L)</t>
  </si>
  <si>
    <t>T (K)</t>
  </si>
  <si>
    <t>alpha_HS</t>
  </si>
  <si>
    <t>B (mol/L)</t>
  </si>
  <si>
    <t>m_CH4 (mol/L)</t>
  </si>
  <si>
    <t>K</t>
  </si>
  <si>
    <t>y* (mol/L)</t>
  </si>
  <si>
    <t>Case</t>
  </si>
  <si>
    <t>f_SR_nom</t>
  </si>
  <si>
    <t>f_MG_nom</t>
  </si>
  <si>
    <t>f_SR_eff</t>
  </si>
  <si>
    <t>f_MG_eff</t>
  </si>
  <si>
    <t>d_f_SR</t>
  </si>
  <si>
    <t>d_f_MG</t>
  </si>
  <si>
    <t>Mode</t>
  </si>
  <si>
    <t>Continuous</t>
  </si>
  <si>
    <t>CFR-Control</t>
  </si>
  <si>
    <t>CFR-Fe3O4</t>
  </si>
  <si>
    <t>CFR-PAC</t>
  </si>
  <si>
    <t>Shu_01</t>
  </si>
  <si>
    <t>CaseID</t>
  </si>
  <si>
    <t>Shu_02</t>
  </si>
  <si>
    <t>Shu_03</t>
  </si>
  <si>
    <t>Control-No intervention</t>
  </si>
  <si>
    <t>Adding Fe3O4</t>
  </si>
  <si>
    <t>Adding PAC</t>
  </si>
  <si>
    <t>COD_in (mgCOD/L)</t>
  </si>
  <si>
    <t>V_CH4 (mL/L)</t>
  </si>
  <si>
    <t>sum_f_eff or fexpressed</t>
  </si>
  <si>
    <t>COD/SO4=10</t>
  </si>
  <si>
    <t>COD/SO4=7.5</t>
  </si>
  <si>
    <t>COD/SO4=5</t>
  </si>
  <si>
    <t>COD/SO4=3</t>
  </si>
  <si>
    <t>COD/SO4=2</t>
  </si>
  <si>
    <t>COD/SO4=1</t>
  </si>
  <si>
    <t>Control-10</t>
  </si>
  <si>
    <t>Control-7.5</t>
  </si>
  <si>
    <t>Control-5</t>
  </si>
  <si>
    <t>Control-3</t>
  </si>
  <si>
    <t>Control-2</t>
  </si>
  <si>
    <t>Control-1</t>
  </si>
  <si>
    <t>Cetecioglu_01</t>
  </si>
  <si>
    <t>Cetecioglu_02</t>
  </si>
  <si>
    <t>Cetecioglu_03</t>
  </si>
  <si>
    <t>Cetecioglu_04</t>
  </si>
  <si>
    <t>Cetecioglu_05</t>
  </si>
  <si>
    <t>Cetecioglu_06</t>
  </si>
  <si>
    <t>Batch</t>
  </si>
  <si>
    <t>Acetate/0.5</t>
  </si>
  <si>
    <t>Ace_COD/SO4=0.5</t>
  </si>
  <si>
    <t>Acetate/1.5</t>
  </si>
  <si>
    <t>Ace_COD/SO4=1.5</t>
  </si>
  <si>
    <t>Acetate/5</t>
  </si>
  <si>
    <t>Ace_COD/SO4=5</t>
  </si>
  <si>
    <t>Propionate/0.5</t>
  </si>
  <si>
    <t>Propionate_COD/SO4=0.5</t>
  </si>
  <si>
    <t>Propionate/1.5</t>
  </si>
  <si>
    <t>Propionate_COD/SO4=1.5</t>
  </si>
  <si>
    <t>Propionate/5</t>
  </si>
  <si>
    <t>Propionate_COD/SO4=5</t>
  </si>
  <si>
    <t>Butyrate/0.5</t>
  </si>
  <si>
    <t>Butyrate_COD/SO4=0.5</t>
  </si>
  <si>
    <t>Butyrate/1.5</t>
  </si>
  <si>
    <t>Butyrate_COD/SO4=1.5</t>
  </si>
  <si>
    <t>Butyrate/5</t>
  </si>
  <si>
    <t>Butyrate_COD/SO4=5</t>
  </si>
  <si>
    <t>Cetecioglu_07</t>
  </si>
  <si>
    <t>Cetecioglu_08</t>
  </si>
  <si>
    <t>Cetecioglu_09</t>
  </si>
  <si>
    <t>COD/SO4-0.62</t>
  </si>
  <si>
    <t>COD/SO4=0.62</t>
  </si>
  <si>
    <t>COD/SO4-0.69</t>
  </si>
  <si>
    <t>COD/SO4=0.69</t>
  </si>
  <si>
    <t>COD/SO4-1.2</t>
  </si>
  <si>
    <t>COD/SO4=1.2</t>
  </si>
  <si>
    <t>Mahesh_01</t>
  </si>
  <si>
    <t>Mahesh_02</t>
  </si>
  <si>
    <t>Mahesh_03</t>
  </si>
  <si>
    <t>Prakash_01</t>
  </si>
  <si>
    <t>Prakash_02</t>
  </si>
  <si>
    <t>Prakash_03</t>
  </si>
  <si>
    <t>Prakash_04</t>
  </si>
  <si>
    <t>Prakash_05</t>
  </si>
  <si>
    <t>Prakash_06</t>
  </si>
  <si>
    <t>Prakash_07</t>
  </si>
  <si>
    <t>Prakash_08</t>
  </si>
  <si>
    <t>Prakash_09</t>
  </si>
  <si>
    <t>Prakash_10</t>
  </si>
  <si>
    <t>Prakash_11</t>
  </si>
  <si>
    <t>Prakash_12</t>
  </si>
  <si>
    <t>EVR-10</t>
  </si>
  <si>
    <t>COD/SO4=10+an electrical voltage</t>
  </si>
  <si>
    <t>EVR-7.5</t>
  </si>
  <si>
    <t>COD/SO4=7.5+an electrical voltage</t>
  </si>
  <si>
    <t>EVR-5</t>
  </si>
  <si>
    <t>COD/SO4=5+an electrical voltage</t>
  </si>
  <si>
    <t>EVR-3</t>
  </si>
  <si>
    <t>COD/SO4=3+an electrical voltage</t>
  </si>
  <si>
    <t>EVR-2</t>
  </si>
  <si>
    <t>COD/SO4=2+an electrical voltage</t>
  </si>
  <si>
    <t>EVR-1</t>
  </si>
  <si>
    <t>COD/SO4=1+an electrical voltage</t>
  </si>
  <si>
    <t>Sarti&amp;Zaiat_1</t>
  </si>
  <si>
    <t>Sarti&amp;Zaiat_2</t>
  </si>
  <si>
    <t>Sarti&amp;Zaiat_3</t>
  </si>
  <si>
    <t>Sarti&amp;Zaiat_4</t>
  </si>
  <si>
    <t>Sarti&amp;Zaiat_5</t>
  </si>
  <si>
    <t>COD/SO4=2.60</t>
  </si>
  <si>
    <t>COD/SO4=3.09</t>
  </si>
  <si>
    <t>COD/SO4=3.67</t>
  </si>
  <si>
    <t>COD/SO4=3.65</t>
  </si>
  <si>
    <t>Paepatung_1</t>
  </si>
  <si>
    <t>Paepatung_2</t>
  </si>
  <si>
    <t>Semi-continuous</t>
  </si>
  <si>
    <t>COD/SO4=2+ZVI</t>
  </si>
  <si>
    <t>None</t>
  </si>
  <si>
    <t>Xu_01</t>
  </si>
  <si>
    <t>Xu_02</t>
  </si>
  <si>
    <t>Xu_03</t>
  </si>
  <si>
    <t>Xu_04</t>
  </si>
  <si>
    <t>Xu_05</t>
  </si>
  <si>
    <t>Xu_06</t>
  </si>
  <si>
    <t>Xu_07</t>
  </si>
  <si>
    <t>Xu_08</t>
  </si>
  <si>
    <t>Xu_09</t>
  </si>
  <si>
    <t>Xu_10</t>
  </si>
  <si>
    <t>Xu_11</t>
  </si>
  <si>
    <t>Xu_12</t>
  </si>
  <si>
    <t>SO4/COD=0.1</t>
  </si>
  <si>
    <t>SO4/COD=0.2</t>
  </si>
  <si>
    <t>SO4/COD=1</t>
  </si>
  <si>
    <t>SO4/COD=2</t>
  </si>
  <si>
    <t>SO4/COD=0.1+1g Biochar</t>
  </si>
  <si>
    <t>SO4/COD=0.2+1g Biochar</t>
  </si>
  <si>
    <t>SO4/COD=1+1g Biochar</t>
  </si>
  <si>
    <t>SO4/COD=2+1g Biochar</t>
  </si>
  <si>
    <t>SO4/COD=0.1+4g Biochar</t>
  </si>
  <si>
    <t>SO4/COD=0.2+4g Biochar</t>
  </si>
  <si>
    <t>SO4/COD=1+4g Biochar</t>
  </si>
  <si>
    <t>SO4/COD=2+4g Biochar</t>
  </si>
  <si>
    <t>1g Biochar</t>
  </si>
  <si>
    <t>4g Biochar</t>
  </si>
  <si>
    <t>Xu_13</t>
  </si>
  <si>
    <t>Xu_14</t>
  </si>
  <si>
    <t>Xu_15</t>
  </si>
  <si>
    <t>Xu_16</t>
  </si>
  <si>
    <t>SO4/COD=0.1+8g Biochar</t>
  </si>
  <si>
    <t>SO4/COD=0.2+8g Biochar</t>
  </si>
  <si>
    <t>SO4/COD=1+8g Biochar</t>
  </si>
  <si>
    <t>SO4/COD=2+8g Biochar</t>
  </si>
  <si>
    <t>8g Biochar</t>
  </si>
  <si>
    <t>Li_01</t>
  </si>
  <si>
    <t>Li_02</t>
  </si>
  <si>
    <t>18 g plastic threads – control</t>
  </si>
  <si>
    <t>18 g stainless steel</t>
  </si>
  <si>
    <t>Stainless steel</t>
  </si>
  <si>
    <t>COD/SO4=0.5</t>
  </si>
  <si>
    <t>Lu_01</t>
  </si>
  <si>
    <t>Lu_02</t>
  </si>
  <si>
    <t>Lu_03</t>
  </si>
  <si>
    <t>Lu_04</t>
  </si>
  <si>
    <t>Lu_05</t>
  </si>
  <si>
    <t>Lu_06</t>
  </si>
  <si>
    <t>Chen_01</t>
  </si>
  <si>
    <t>Chen_02</t>
  </si>
  <si>
    <t>Chen_03</t>
  </si>
  <si>
    <t>Control-no AHL</t>
  </si>
  <si>
    <t>Control_No N-acyl-homoserine lactones</t>
  </si>
  <si>
    <t>2 μM AHL</t>
  </si>
  <si>
    <t>Adding 2 μM No N-acyl-homoserine lactones</t>
  </si>
  <si>
    <t>20 μM AHL</t>
  </si>
  <si>
    <t>Adding 20 μM N-acyl-homoserine lactones</t>
  </si>
  <si>
    <t>Main objectives</t>
  </si>
  <si>
    <t>f_target_ nom</t>
  </si>
  <si>
    <t>f_competing_nom</t>
  </si>
  <si>
    <t>f_target_eff</t>
  </si>
  <si>
    <t>f_competing_eff</t>
  </si>
  <si>
    <t>f_expressed_nom</t>
  </si>
  <si>
    <t>f_expressed_eff</t>
  </si>
  <si>
    <t>A_target_nom</t>
  </si>
  <si>
    <t>A_target_eff</t>
  </si>
  <si>
    <t>Sulfate reduction</t>
  </si>
  <si>
    <t>E_in (mmol/L)</t>
  </si>
  <si>
    <t>Xsr (y*/C_SR)</t>
  </si>
  <si>
    <t>C_SR (mol/L)</t>
  </si>
  <si>
    <t>Interpretation of f_target, f_expressed</t>
  </si>
  <si>
    <t>Cosubstrate</t>
  </si>
  <si>
    <t>Starch</t>
  </si>
  <si>
    <t>Glucose</t>
  </si>
  <si>
    <t>Lactate</t>
  </si>
  <si>
    <t>Ethanol</t>
  </si>
  <si>
    <t>Acetate, propionate, butyrate</t>
  </si>
  <si>
    <t>Post-tanning wastewater</t>
  </si>
  <si>
    <t>Butanol + sulfonation wastewater</t>
  </si>
  <si>
    <t>Synthetic wastewater</t>
  </si>
  <si>
    <t>Ein type</t>
  </si>
  <si>
    <t>Defined substrate</t>
  </si>
  <si>
    <t>Total COD</t>
  </si>
  <si>
    <t>Mixed</t>
  </si>
  <si>
    <t>Excluded</t>
  </si>
  <si>
    <t>Methanogenesis</t>
  </si>
  <si>
    <t>Note: E_in type and Interpretation of f_target, f_expressed: as in Supplementary Data 1.                                                                   As calculated: E_in is based on a defined substrate. Lower bound: E_in is based on total COD or includes a real-waste or inoculum component (Total COD or Mixed); effective and nominal allocations are both lower bounds, whereas f_SR^eff/f_SR^nom is unaffected. Excluded: the electron balance was over-closed (f_expressed_eff &gt; 1) or sulfate reduction exceeded the sulfate supplied (f_SR^eff &gt; f_SR^nom); these cases were not included in Figures 4 and 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</si>
</sst>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0"/>
    <numFmt numFmtId="165" formatCode="0.0000"/>
    <numFmt numFmtId="166" formatCode="0.00000"/>
    <numFmt numFmtId="167" formatCode="0.0000000"/>
  </numFmts>
  <fonts count="3" x14ac:knownFonts="1">
    <font>
      <sz val="12"/>
      <color theme="1"/>
      <name val="Aptos Narrow"/>
      <family val="2"/>
      <scheme val="minor"/>
    </font>
    <font>
      <b/>
      <sz val="11"/>
      <color rgb="FFFFFFFF"/>
      <name val="Arial"/>
      <family val="2"/>
      <charset val="1"/>
    </font>
    <font>
      <sz val="8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305496"/>
        <bgColor rgb="FF666699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rgb="FF66669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/>
        <bgColor rgb="FF666699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-0.499984740745262"/>
        <bgColor rgb="FF666699"/>
      </patternFill>
    </fill>
    <fill>
      <patternFill patternType="solid">
        <fgColor theme="8"/>
        <bgColor rgb="FF666699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5"/>
        <bgColor rgb="FF666699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2" borderId="0" xfId="0" applyFont="1" applyFill="1" applyAlignment="1">
      <alignment horizontal="center" wrapText="1"/>
    </xf>
    <xf numFmtId="0" fontId="0" fillId="3" borderId="0" xfId="0" applyFill="1"/>
    <xf numFmtId="0" fontId="1" fillId="4" borderId="0" xfId="0" applyFont="1" applyFill="1" applyAlignment="1">
      <alignment horizontal="center" wrapText="1"/>
    </xf>
    <xf numFmtId="0" fontId="1" fillId="6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horizontal="center"/>
    </xf>
    <xf numFmtId="0" fontId="0" fillId="0" borderId="0" xfId="0" applyAlignment="1">
      <alignment horizontal="center"/>
    </xf>
    <xf numFmtId="0" fontId="0" fillId="3" borderId="0" xfId="0" applyFill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66" fontId="0" fillId="5" borderId="1" xfId="0" applyNumberFormat="1" applyFill="1" applyBorder="1" applyAlignment="1">
      <alignment horizontal="center"/>
    </xf>
    <xf numFmtId="166" fontId="0" fillId="0" borderId="0" xfId="0" applyNumberFormat="1"/>
    <xf numFmtId="167" fontId="0" fillId="5" borderId="1" xfId="0" applyNumberFormat="1" applyFill="1" applyBorder="1" applyAlignment="1">
      <alignment horizontal="center"/>
    </xf>
    <xf numFmtId="0" fontId="0" fillId="8" borderId="0" xfId="0" applyFill="1"/>
    <xf numFmtId="0" fontId="1" fillId="9" borderId="0" xfId="0" applyFont="1" applyFill="1" applyAlignment="1">
      <alignment horizontal="center" wrapText="1"/>
    </xf>
    <xf numFmtId="164" fontId="0" fillId="7" borderId="1" xfId="0" applyNumberFormat="1" applyFill="1" applyBorder="1" applyAlignment="1">
      <alignment horizontal="center"/>
    </xf>
    <xf numFmtId="165" fontId="0" fillId="8" borderId="1" xfId="0" applyNumberFormat="1" applyFill="1" applyBorder="1" applyAlignment="1">
      <alignment horizontal="center"/>
    </xf>
    <xf numFmtId="1" fontId="0" fillId="3" borderId="1" xfId="0" applyNumberFormat="1" applyFill="1" applyBorder="1" applyAlignment="1">
      <alignment horizontal="center"/>
    </xf>
    <xf numFmtId="1" fontId="0" fillId="3" borderId="2" xfId="0" applyNumberFormat="1" applyFill="1" applyBorder="1" applyAlignment="1">
      <alignment horizontal="center"/>
    </xf>
    <xf numFmtId="1" fontId="0" fillId="0" borderId="0" xfId="0" applyNumberFormat="1"/>
    <xf numFmtId="2" fontId="0" fillId="3" borderId="1" xfId="0" applyNumberFormat="1" applyFill="1" applyBorder="1" applyAlignment="1">
      <alignment horizontal="center"/>
    </xf>
    <xf numFmtId="165" fontId="0" fillId="0" borderId="0" xfId="0" applyNumberFormat="1" applyAlignment="1">
      <alignment horizontal="center"/>
    </xf>
    <xf numFmtId="0" fontId="1" fillId="10" borderId="0" xfId="0" applyFont="1" applyFill="1" applyAlignment="1">
      <alignment horizontal="center" wrapText="1"/>
    </xf>
    <xf numFmtId="1" fontId="0" fillId="11" borderId="2" xfId="0" applyNumberFormat="1" applyFill="1" applyBorder="1" applyAlignment="1">
      <alignment horizontal="center"/>
    </xf>
    <xf numFmtId="0" fontId="1" fillId="12" borderId="0" xfId="0" applyFont="1" applyFill="1" applyAlignment="1">
      <alignment horizontal="center" wrapText="1"/>
    </xf>
    <xf numFmtId="0" fontId="1" fillId="12" borderId="4" xfId="0" applyFont="1" applyFill="1" applyBorder="1" applyAlignment="1">
      <alignment horizontal="center" wrapText="1"/>
    </xf>
    <xf numFmtId="0" fontId="1" fillId="12" borderId="5" xfId="0" applyFont="1" applyFill="1" applyBorder="1" applyAlignment="1">
      <alignment horizontal="center" wrapText="1"/>
    </xf>
    <xf numFmtId="0" fontId="1" fillId="12" borderId="6" xfId="0" applyFont="1" applyFill="1" applyBorder="1" applyAlignment="1">
      <alignment horizontal="center" wrapText="1"/>
    </xf>
    <xf numFmtId="164" fontId="0" fillId="8" borderId="7" xfId="0" applyNumberFormat="1" applyFill="1" applyBorder="1"/>
    <xf numFmtId="164" fontId="0" fillId="8" borderId="1" xfId="0" applyNumberFormat="1" applyFill="1" applyBorder="1"/>
    <xf numFmtId="164" fontId="0" fillId="8" borderId="8" xfId="0" applyNumberFormat="1" applyFill="1" applyBorder="1"/>
    <xf numFmtId="164" fontId="0" fillId="8" borderId="3" xfId="0" applyNumberFormat="1" applyFill="1" applyBorder="1"/>
    <xf numFmtId="164" fontId="0" fillId="8" borderId="2" xfId="0" applyNumberFormat="1" applyFill="1" applyBorder="1"/>
    <xf numFmtId="0" fontId="1" fillId="10" borderId="1" xfId="0" applyFont="1" applyFill="1" applyBorder="1" applyAlignment="1">
      <alignment horizontal="center" wrapText="1"/>
    </xf>
    <xf numFmtId="0" fontId="0" fillId="11" borderId="1" xfId="0" applyFill="1" applyBorder="1" applyAlignment="1">
      <alignment horizontal="center"/>
    </xf>
    <xf numFmtId="0" fontId="0" fillId="0" borderId="4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9" xfId="0" applyBorder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10" xfId="0" applyBorder="1" applyAlignment="1">
      <alignment horizontal="center" vertical="top" wrapText="1"/>
    </xf>
    <xf numFmtId="0" fontId="0" fillId="0" borderId="11" xfId="0" applyBorder="1" applyAlignment="1">
      <alignment horizontal="center" vertical="top" wrapText="1"/>
    </xf>
    <xf numFmtId="0" fontId="0" fillId="0" borderId="1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42CC4B-5DF8-C04A-8FB9-9CCBA2BE6AB8}">
  <dimension ref="A1:AF467"/>
  <sheetViews>
    <sheetView topLeftCell="H1" workbookViewId="0">
      <pane ySplit="1" topLeftCell="A2" activePane="bottomLeft" state="frozen"/>
      <selection pane="bottomLeft" activeCell="X2" sqref="X2:AD62"/>
    </sheetView>
  </sheetViews>
  <sheetFormatPr baseColWidth="10" defaultRowHeight="16" x14ac:dyDescent="0.2"/>
  <cols>
    <col min="1" max="1" width="7.33203125" style="7" customWidth="1"/>
    <col min="2" max="2" width="17.5" style="7" customWidth="1"/>
    <col min="3" max="3" width="17.5" style="2" customWidth="1"/>
    <col min="4" max="4" width="21.5" style="2" customWidth="1"/>
    <col min="5" max="5" width="24.6640625" style="7" customWidth="1"/>
    <col min="6" max="6" width="23.33203125" style="7" customWidth="1"/>
    <col min="7" max="7" width="7.83203125" style="2" customWidth="1"/>
    <col min="8" max="12" width="10.83203125" style="2"/>
    <col min="13" max="13" width="13.1640625" style="2" customWidth="1"/>
    <col min="14" max="14" width="10.83203125" style="2"/>
    <col min="20" max="20" width="11.6640625" customWidth="1"/>
    <col min="21" max="21" width="12.6640625" bestFit="1" customWidth="1"/>
    <col min="23" max="23" width="18.6640625" customWidth="1"/>
    <col min="30" max="30" width="13.6640625" customWidth="1"/>
    <col min="31" max="31" width="12" style="13" customWidth="1"/>
  </cols>
  <sheetData>
    <row r="1" spans="1:31" ht="46" x14ac:dyDescent="0.2">
      <c r="A1" s="3" t="s">
        <v>0</v>
      </c>
      <c r="B1" s="3" t="s">
        <v>28</v>
      </c>
      <c r="C1" s="3" t="s">
        <v>22</v>
      </c>
      <c r="D1" s="3" t="s">
        <v>194</v>
      </c>
      <c r="E1" s="3" t="s">
        <v>1</v>
      </c>
      <c r="F1" s="3" t="s">
        <v>2</v>
      </c>
      <c r="G1" s="3" t="s">
        <v>3</v>
      </c>
      <c r="H1" s="3" t="s">
        <v>4</v>
      </c>
      <c r="I1" s="3" t="s">
        <v>34</v>
      </c>
      <c r="J1" s="3" t="s">
        <v>5</v>
      </c>
      <c r="K1" s="3" t="s">
        <v>6</v>
      </c>
      <c r="L1" s="3" t="s">
        <v>7</v>
      </c>
      <c r="M1" s="3" t="s">
        <v>35</v>
      </c>
      <c r="N1" s="3" t="s">
        <v>8</v>
      </c>
      <c r="O1" s="4" t="s">
        <v>9</v>
      </c>
      <c r="P1" s="4" t="s">
        <v>190</v>
      </c>
      <c r="Q1" s="4" t="s">
        <v>192</v>
      </c>
      <c r="R1" s="4" t="s">
        <v>10</v>
      </c>
      <c r="S1" s="4" t="s">
        <v>11</v>
      </c>
      <c r="T1" s="4" t="s">
        <v>12</v>
      </c>
      <c r="U1" s="4" t="s">
        <v>13</v>
      </c>
      <c r="V1" s="4" t="s">
        <v>14</v>
      </c>
      <c r="W1" s="4" t="s">
        <v>15</v>
      </c>
      <c r="X1" s="1" t="s">
        <v>16</v>
      </c>
      <c r="Y1" s="1" t="s">
        <v>17</v>
      </c>
      <c r="Z1" s="1" t="s">
        <v>18</v>
      </c>
      <c r="AA1" s="1" t="s">
        <v>19</v>
      </c>
      <c r="AB1" s="1" t="s">
        <v>20</v>
      </c>
      <c r="AC1" s="1" t="s">
        <v>21</v>
      </c>
      <c r="AD1" s="1" t="s">
        <v>36</v>
      </c>
      <c r="AE1" s="14" t="s">
        <v>191</v>
      </c>
    </row>
    <row r="2" spans="1:31" x14ac:dyDescent="0.2">
      <c r="A2" s="5">
        <v>1</v>
      </c>
      <c r="B2" s="5" t="s">
        <v>27</v>
      </c>
      <c r="C2" s="5" t="s">
        <v>23</v>
      </c>
      <c r="D2" s="5" t="s">
        <v>198</v>
      </c>
      <c r="E2" s="5" t="s">
        <v>24</v>
      </c>
      <c r="F2" s="5" t="s">
        <v>31</v>
      </c>
      <c r="G2" s="5">
        <v>7.7</v>
      </c>
      <c r="H2" s="5">
        <v>35</v>
      </c>
      <c r="I2" s="17">
        <v>5000</v>
      </c>
      <c r="J2" s="17">
        <v>2500</v>
      </c>
      <c r="K2" s="17">
        <v>3000</v>
      </c>
      <c r="L2" s="17">
        <v>50</v>
      </c>
      <c r="M2" s="20">
        <f>407*5/2.5</f>
        <v>814</v>
      </c>
      <c r="N2" s="18">
        <v>291.39999999999998</v>
      </c>
      <c r="O2" s="8">
        <f>H2+273.15</f>
        <v>308.14999999999998</v>
      </c>
      <c r="P2" s="8">
        <f>I2/8</f>
        <v>625</v>
      </c>
      <c r="Q2" s="8">
        <f>J2/1000/96</f>
        <v>2.6041666666666668E-2</v>
      </c>
      <c r="R2" s="8">
        <f>1/(1+10^(7-G2))</f>
        <v>0.83366246918343823</v>
      </c>
      <c r="S2" s="8">
        <f>K2/1000/100.1</f>
        <v>2.9970029970029972E-2</v>
      </c>
      <c r="T2" s="10">
        <f>0.0013*EXP(1900*(1/O2-1/298.15))*L2/100</f>
        <v>5.2856694513038341E-4</v>
      </c>
      <c r="U2" s="12">
        <f>EXP(-3957/O2)</f>
        <v>2.6494756878768538E-6</v>
      </c>
      <c r="V2" s="10">
        <f>(-(U2*R2*S2+T2)+SQRT((U2*R2*S2+T2)^2+8*U2*R2*T2*Q2))/(4*U2*R2)</f>
        <v>2.6032742410706852E-2</v>
      </c>
      <c r="W2" s="9" t="str">
        <f>IF(V2&gt;=Q2,"Capacity-limited","Crossover-limited")</f>
        <v>Crossover-limited</v>
      </c>
      <c r="X2" s="15">
        <f>MIN(8*Q2*1000,P2)/P2</f>
        <v>0.33333333333333337</v>
      </c>
      <c r="Y2" s="15">
        <f>1-X2</f>
        <v>0.66666666666666663</v>
      </c>
      <c r="Z2" s="15">
        <f>((J2-N2)/96*8)/P2</f>
        <v>0.29447999999999996</v>
      </c>
      <c r="AA2" s="15">
        <f>(M2/22.414*8)/P2</f>
        <v>0.46485232444008207</v>
      </c>
      <c r="AB2" s="15">
        <f>Z2-X2</f>
        <v>-3.8853333333333406E-2</v>
      </c>
      <c r="AC2" s="15">
        <f>AA2-Y2</f>
        <v>-0.20181434222658456</v>
      </c>
      <c r="AD2" s="15">
        <f>Z2+AA2</f>
        <v>0.75933232444008203</v>
      </c>
      <c r="AE2" s="16">
        <f>V2/Q2</f>
        <v>0.9996573085711431</v>
      </c>
    </row>
    <row r="3" spans="1:31" x14ac:dyDescent="0.2">
      <c r="A3" s="5">
        <v>2</v>
      </c>
      <c r="B3" s="5" t="s">
        <v>29</v>
      </c>
      <c r="C3" s="5" t="s">
        <v>23</v>
      </c>
      <c r="D3" s="5" t="s">
        <v>198</v>
      </c>
      <c r="E3" s="5" t="s">
        <v>25</v>
      </c>
      <c r="F3" s="5" t="s">
        <v>32</v>
      </c>
      <c r="G3" s="5">
        <v>7.5</v>
      </c>
      <c r="H3" s="5">
        <v>35</v>
      </c>
      <c r="I3" s="17">
        <v>5000</v>
      </c>
      <c r="J3" s="17">
        <v>2500</v>
      </c>
      <c r="K3" s="17">
        <v>3000</v>
      </c>
      <c r="L3" s="17">
        <v>50</v>
      </c>
      <c r="M3" s="20">
        <f>471*5/2.5</f>
        <v>942</v>
      </c>
      <c r="N3" s="18">
        <v>95.1</v>
      </c>
      <c r="O3" s="8">
        <f t="shared" ref="O3:O4" si="0">H3+273.15</f>
        <v>308.14999999999998</v>
      </c>
      <c r="P3" s="8">
        <f t="shared" ref="P3:P4" si="1">I3/8</f>
        <v>625</v>
      </c>
      <c r="Q3" s="8">
        <f t="shared" ref="Q3:Q4" si="2">J3/1000/96</f>
        <v>2.6041666666666668E-2</v>
      </c>
      <c r="R3" s="8">
        <f t="shared" ref="R3:R4" si="3">1/(1+10^(7-G3))</f>
        <v>0.75974692664795784</v>
      </c>
      <c r="S3" s="8">
        <f t="shared" ref="S3:S4" si="4">K3/1000/100.1</f>
        <v>2.9970029970029972E-2</v>
      </c>
      <c r="T3" s="10">
        <f t="shared" ref="T3:T62" si="5">0.0013*EXP(1900*(1/O3-1/298.15))*L3/100</f>
        <v>5.2856694513038341E-4</v>
      </c>
      <c r="U3" s="12">
        <f t="shared" ref="U3:U4" si="6">EXP(-3957/O3)</f>
        <v>2.6494756878768538E-6</v>
      </c>
      <c r="V3" s="10">
        <f t="shared" ref="V3:V4" si="7">(-(U3*R3*S3+T3)+SQRT((U3*R3*S3+T3)^2+8*U3*R3*T3*Q3))/(4*U3*R3)</f>
        <v>2.6033533263768741E-2</v>
      </c>
      <c r="W3" s="9" t="str">
        <f t="shared" ref="W3:W62" si="8">IF(V3&gt;=Q3,"Capacity-limited","Crossover-limited")</f>
        <v>Crossover-limited</v>
      </c>
      <c r="X3" s="15">
        <f t="shared" ref="X3:X4" si="9">MIN(8*Q3*1000,P3)/P3</f>
        <v>0.33333333333333337</v>
      </c>
      <c r="Y3" s="15">
        <f t="shared" ref="Y3:Y4" si="10">1-X3</f>
        <v>0.66666666666666663</v>
      </c>
      <c r="Z3" s="15">
        <f t="shared" ref="Z3:Z4" si="11">((J3-N3)/96*8)/P3</f>
        <v>0.32065333333333335</v>
      </c>
      <c r="AA3" s="15">
        <f t="shared" ref="AA3:AA4" si="12">(M3/22.414*8)/P3</f>
        <v>0.53794949585080754</v>
      </c>
      <c r="AB3" s="15">
        <f t="shared" ref="AB3:AC4" si="13">Z3-X3</f>
        <v>-1.2680000000000025E-2</v>
      </c>
      <c r="AC3" s="15">
        <f t="shared" si="13"/>
        <v>-0.12871717081585909</v>
      </c>
      <c r="AD3" s="15">
        <f t="shared" ref="AD3:AD4" si="14">Z3+AA3</f>
        <v>0.85860282918414088</v>
      </c>
      <c r="AE3" s="16">
        <f t="shared" ref="AE3:AE4" si="15">V3/Q3</f>
        <v>0.99968767732871955</v>
      </c>
    </row>
    <row r="4" spans="1:31" x14ac:dyDescent="0.2">
      <c r="A4" s="5">
        <v>3</v>
      </c>
      <c r="B4" s="5" t="s">
        <v>30</v>
      </c>
      <c r="C4" s="5" t="s">
        <v>23</v>
      </c>
      <c r="D4" s="5" t="s">
        <v>198</v>
      </c>
      <c r="E4" s="5" t="s">
        <v>26</v>
      </c>
      <c r="F4" s="5" t="s">
        <v>33</v>
      </c>
      <c r="G4" s="5">
        <v>7.9</v>
      </c>
      <c r="H4" s="5">
        <v>35</v>
      </c>
      <c r="I4" s="17">
        <v>5000</v>
      </c>
      <c r="J4" s="17">
        <v>2500</v>
      </c>
      <c r="K4" s="17">
        <v>3000</v>
      </c>
      <c r="L4" s="17">
        <v>50</v>
      </c>
      <c r="M4" s="20">
        <f>439*5/2.5</f>
        <v>878</v>
      </c>
      <c r="N4" s="18">
        <v>73.5</v>
      </c>
      <c r="O4" s="8">
        <f t="shared" si="0"/>
        <v>308.14999999999998</v>
      </c>
      <c r="P4" s="8">
        <f t="shared" si="1"/>
        <v>625</v>
      </c>
      <c r="Q4" s="8">
        <f t="shared" si="2"/>
        <v>2.6041666666666668E-2</v>
      </c>
      <c r="R4" s="8">
        <f t="shared" si="3"/>
        <v>0.8881842302218832</v>
      </c>
      <c r="S4" s="8">
        <f t="shared" si="4"/>
        <v>2.9970029970029972E-2</v>
      </c>
      <c r="T4" s="10">
        <f t="shared" si="5"/>
        <v>5.2856694513038341E-4</v>
      </c>
      <c r="U4" s="12">
        <f t="shared" si="6"/>
        <v>2.6494756878768538E-6</v>
      </c>
      <c r="V4" s="10">
        <f t="shared" si="7"/>
        <v>2.6032159110095453E-2</v>
      </c>
      <c r="W4" s="9" t="str">
        <f t="shared" si="8"/>
        <v>Crossover-limited</v>
      </c>
      <c r="X4" s="15">
        <f t="shared" si="9"/>
        <v>0.33333333333333337</v>
      </c>
      <c r="Y4" s="15">
        <f t="shared" si="10"/>
        <v>0.66666666666666663</v>
      </c>
      <c r="Z4" s="15">
        <f t="shared" si="11"/>
        <v>0.32353333333333334</v>
      </c>
      <c r="AA4" s="15">
        <f t="shared" si="12"/>
        <v>0.50140091014544474</v>
      </c>
      <c r="AB4" s="15">
        <f t="shared" si="13"/>
        <v>-9.8000000000000309E-3</v>
      </c>
      <c r="AC4" s="15">
        <f t="shared" si="13"/>
        <v>-0.16526575652122188</v>
      </c>
      <c r="AD4" s="15">
        <f t="shared" si="14"/>
        <v>0.82493424347877808</v>
      </c>
      <c r="AE4" s="16">
        <f t="shared" si="15"/>
        <v>0.99963490982766534</v>
      </c>
    </row>
    <row r="5" spans="1:31" x14ac:dyDescent="0.2">
      <c r="A5" s="5">
        <v>4</v>
      </c>
      <c r="B5" s="5" t="s">
        <v>49</v>
      </c>
      <c r="C5" s="5" t="s">
        <v>55</v>
      </c>
      <c r="D5" s="5" t="s">
        <v>199</v>
      </c>
      <c r="E5" s="5" t="s">
        <v>56</v>
      </c>
      <c r="F5" s="5" t="s">
        <v>57</v>
      </c>
      <c r="G5" s="5">
        <v>7</v>
      </c>
      <c r="H5" s="5">
        <v>35</v>
      </c>
      <c r="I5" s="17">
        <f>1350/30*64</f>
        <v>2880</v>
      </c>
      <c r="J5" s="17">
        <f>1792*3.2</f>
        <v>5734.4000000000005</v>
      </c>
      <c r="K5" s="17">
        <v>0</v>
      </c>
      <c r="L5" s="17">
        <v>50</v>
      </c>
      <c r="M5" s="20">
        <f>1237*0.022414/0.03</f>
        <v>924.20393333333334</v>
      </c>
      <c r="N5" s="18">
        <f>(1792-358)*3.2</f>
        <v>4588.8</v>
      </c>
      <c r="O5" s="8">
        <f t="shared" ref="O5:O13" si="16">H5+273.15</f>
        <v>308.14999999999998</v>
      </c>
      <c r="P5" s="8">
        <f t="shared" ref="P5:P13" si="17">I5/8</f>
        <v>360</v>
      </c>
      <c r="Q5" s="8">
        <f t="shared" ref="Q5:Q13" si="18">J5/1000/96</f>
        <v>5.973333333333334E-2</v>
      </c>
      <c r="R5" s="8">
        <f t="shared" ref="R5:R13" si="19">1/(1+10^(7-G5))</f>
        <v>0.5</v>
      </c>
      <c r="S5" s="8">
        <f t="shared" ref="S5:S13" si="20">K5/1000/100.1</f>
        <v>0</v>
      </c>
      <c r="T5" s="10">
        <f t="shared" si="5"/>
        <v>5.2856694513038341E-4</v>
      </c>
      <c r="U5" s="12">
        <f t="shared" ref="U5:U13" si="21">EXP(-3957/O5)</f>
        <v>2.6494756878768538E-6</v>
      </c>
      <c r="V5" s="10">
        <f t="shared" ref="V5:V13" si="22">(-(U5*R5*S5+T5)+SQRT((U5*R5*S5+T5)^2+8*U5*R5*T5*Q5))/(4*U5*R5)</f>
        <v>5.9715458850481636E-2</v>
      </c>
      <c r="W5" s="9" t="str">
        <f t="shared" si="8"/>
        <v>Crossover-limited</v>
      </c>
      <c r="X5" s="15">
        <f t="shared" ref="X5:X13" si="23">MIN(8*Q5*1000,P5)/P5</f>
        <v>1</v>
      </c>
      <c r="Y5" s="15">
        <f t="shared" ref="Y5:Y13" si="24">1-X5</f>
        <v>0</v>
      </c>
      <c r="Z5" s="15">
        <f t="shared" ref="Z5:Z13" si="25">((J5-N5)/96*8)/P5</f>
        <v>0.26518518518518525</v>
      </c>
      <c r="AA5" s="15">
        <f t="shared" ref="AA5:AA13" si="26">(M5/22.414*8)/P5</f>
        <v>0.91629629629629628</v>
      </c>
      <c r="AB5" s="15">
        <f t="shared" ref="AB5:AB13" si="27">Z5-X5</f>
        <v>-0.73481481481481481</v>
      </c>
      <c r="AC5" s="15">
        <f t="shared" ref="AC5:AC13" si="28">AA5-Y5</f>
        <v>0.91629629629629628</v>
      </c>
      <c r="AD5" s="15">
        <f t="shared" ref="AD5:AD13" si="29">Z5+AA5</f>
        <v>1.1814814814814816</v>
      </c>
      <c r="AE5" s="16">
        <f t="shared" ref="AE5:AE13" si="30">V5/Q5</f>
        <v>0.9997007620058308</v>
      </c>
    </row>
    <row r="6" spans="1:31" x14ac:dyDescent="0.2">
      <c r="A6" s="5">
        <v>5</v>
      </c>
      <c r="B6" s="5" t="s">
        <v>50</v>
      </c>
      <c r="C6" s="5" t="s">
        <v>55</v>
      </c>
      <c r="D6" s="5" t="s">
        <v>199</v>
      </c>
      <c r="E6" s="5" t="s">
        <v>58</v>
      </c>
      <c r="F6" s="5" t="s">
        <v>59</v>
      </c>
      <c r="G6" s="5">
        <v>7</v>
      </c>
      <c r="H6" s="5">
        <v>35</v>
      </c>
      <c r="I6" s="17">
        <f t="shared" ref="I6:I7" si="31">1350/30*64</f>
        <v>2880</v>
      </c>
      <c r="J6" s="17">
        <f>597*3.2</f>
        <v>1910.4</v>
      </c>
      <c r="K6" s="17">
        <v>0</v>
      </c>
      <c r="L6" s="17">
        <v>50</v>
      </c>
      <c r="M6" s="20">
        <f>1276*0.022414/0.03</f>
        <v>953.34213333333332</v>
      </c>
      <c r="N6" s="18">
        <f>(597-377)*3.2</f>
        <v>704</v>
      </c>
      <c r="O6" s="8">
        <f t="shared" si="16"/>
        <v>308.14999999999998</v>
      </c>
      <c r="P6" s="8">
        <f t="shared" si="17"/>
        <v>360</v>
      </c>
      <c r="Q6" s="8">
        <f t="shared" si="18"/>
        <v>1.9900000000000001E-2</v>
      </c>
      <c r="R6" s="8">
        <f t="shared" si="19"/>
        <v>0.5</v>
      </c>
      <c r="S6" s="8">
        <f t="shared" si="20"/>
        <v>0</v>
      </c>
      <c r="T6" s="10">
        <f t="shared" si="5"/>
        <v>5.2856694513038341E-4</v>
      </c>
      <c r="U6" s="12">
        <f t="shared" si="21"/>
        <v>2.6494756878768538E-6</v>
      </c>
      <c r="V6" s="10">
        <f t="shared" si="22"/>
        <v>1.9898015370413604E-2</v>
      </c>
      <c r="W6" s="9" t="str">
        <f t="shared" si="8"/>
        <v>Crossover-limited</v>
      </c>
      <c r="X6" s="15">
        <f t="shared" si="23"/>
        <v>0.44222222222222229</v>
      </c>
      <c r="Y6" s="15">
        <f t="shared" si="24"/>
        <v>0.55777777777777771</v>
      </c>
      <c r="Z6" s="15">
        <f t="shared" si="25"/>
        <v>0.27925925925925932</v>
      </c>
      <c r="AA6" s="15">
        <f t="shared" si="26"/>
        <v>0.94518518518518513</v>
      </c>
      <c r="AB6" s="15">
        <f t="shared" si="27"/>
        <v>-0.16296296296296298</v>
      </c>
      <c r="AC6" s="15">
        <f t="shared" si="28"/>
        <v>0.38740740740740742</v>
      </c>
      <c r="AD6" s="15">
        <f t="shared" si="29"/>
        <v>1.2244444444444444</v>
      </c>
      <c r="AE6" s="16">
        <f t="shared" si="30"/>
        <v>0.99990026987003033</v>
      </c>
    </row>
    <row r="7" spans="1:31" x14ac:dyDescent="0.2">
      <c r="A7" s="5">
        <v>6</v>
      </c>
      <c r="B7" s="5" t="s">
        <v>51</v>
      </c>
      <c r="C7" s="5" t="s">
        <v>55</v>
      </c>
      <c r="D7" s="5" t="s">
        <v>199</v>
      </c>
      <c r="E7" s="5" t="s">
        <v>60</v>
      </c>
      <c r="F7" s="5" t="s">
        <v>61</v>
      </c>
      <c r="G7" s="5">
        <v>7</v>
      </c>
      <c r="H7" s="5">
        <v>35</v>
      </c>
      <c r="I7" s="17">
        <f t="shared" si="31"/>
        <v>2880</v>
      </c>
      <c r="J7" s="17">
        <f>179*3.2</f>
        <v>572.80000000000007</v>
      </c>
      <c r="K7" s="17">
        <v>0</v>
      </c>
      <c r="L7" s="17">
        <v>50</v>
      </c>
      <c r="M7" s="20">
        <f>1307*0.022414/0.03</f>
        <v>976.50326666666672</v>
      </c>
      <c r="N7" s="18">
        <f>(179-126)*3.2</f>
        <v>169.60000000000002</v>
      </c>
      <c r="O7" s="8">
        <f t="shared" si="16"/>
        <v>308.14999999999998</v>
      </c>
      <c r="P7" s="8">
        <f t="shared" si="17"/>
        <v>360</v>
      </c>
      <c r="Q7" s="8">
        <f t="shared" si="18"/>
        <v>5.9666666666666679E-3</v>
      </c>
      <c r="R7" s="8">
        <f t="shared" si="19"/>
        <v>0.5</v>
      </c>
      <c r="S7" s="8">
        <f t="shared" si="20"/>
        <v>0</v>
      </c>
      <c r="T7" s="10">
        <f t="shared" si="5"/>
        <v>5.2856694513038341E-4</v>
      </c>
      <c r="U7" s="12">
        <f t="shared" si="21"/>
        <v>2.6494756878768538E-6</v>
      </c>
      <c r="V7" s="10">
        <f t="shared" si="22"/>
        <v>5.9664882244913802E-3</v>
      </c>
      <c r="W7" s="9" t="str">
        <f t="shared" si="8"/>
        <v>Crossover-limited</v>
      </c>
      <c r="X7" s="15">
        <f t="shared" si="23"/>
        <v>0.13259259259259262</v>
      </c>
      <c r="Y7" s="15">
        <f t="shared" si="24"/>
        <v>0.8674074074074074</v>
      </c>
      <c r="Z7" s="15">
        <f t="shared" si="25"/>
        <v>9.3333333333333338E-2</v>
      </c>
      <c r="AA7" s="15">
        <f t="shared" si="26"/>
        <v>0.96814814814814809</v>
      </c>
      <c r="AB7" s="15">
        <f t="shared" si="27"/>
        <v>-3.9259259259259285E-2</v>
      </c>
      <c r="AC7" s="15">
        <f t="shared" si="28"/>
        <v>0.10074074074074069</v>
      </c>
      <c r="AD7" s="15">
        <f t="shared" si="29"/>
        <v>1.0614814814814815</v>
      </c>
      <c r="AE7" s="16">
        <f t="shared" si="30"/>
        <v>0.99997009349017529</v>
      </c>
    </row>
    <row r="8" spans="1:31" x14ac:dyDescent="0.2">
      <c r="A8" s="5">
        <v>7</v>
      </c>
      <c r="B8" s="5" t="s">
        <v>52</v>
      </c>
      <c r="C8" s="5" t="s">
        <v>55</v>
      </c>
      <c r="D8" s="5" t="s">
        <v>199</v>
      </c>
      <c r="E8" s="5" t="s">
        <v>62</v>
      </c>
      <c r="F8" s="5" t="s">
        <v>63</v>
      </c>
      <c r="G8" s="5">
        <v>7</v>
      </c>
      <c r="H8" s="5">
        <v>35</v>
      </c>
      <c r="I8" s="17">
        <f>600/30*112</f>
        <v>2240</v>
      </c>
      <c r="J8" s="17">
        <f>1379*3.2</f>
        <v>4412.8</v>
      </c>
      <c r="K8" s="17">
        <v>0</v>
      </c>
      <c r="L8" s="17">
        <v>50</v>
      </c>
      <c r="M8" s="20">
        <f>961*0.022414/0.03</f>
        <v>717.99513333333334</v>
      </c>
      <c r="N8" s="18">
        <f>(1397-662)*3.2</f>
        <v>2352</v>
      </c>
      <c r="O8" s="8">
        <f t="shared" si="16"/>
        <v>308.14999999999998</v>
      </c>
      <c r="P8" s="8">
        <f t="shared" si="17"/>
        <v>280</v>
      </c>
      <c r="Q8" s="8">
        <f t="shared" si="18"/>
        <v>4.5966666666666663E-2</v>
      </c>
      <c r="R8" s="8">
        <f t="shared" si="19"/>
        <v>0.5</v>
      </c>
      <c r="S8" s="8">
        <f t="shared" si="20"/>
        <v>0</v>
      </c>
      <c r="T8" s="10">
        <f t="shared" si="5"/>
        <v>5.2856694513038341E-4</v>
      </c>
      <c r="U8" s="12">
        <f t="shared" si="21"/>
        <v>2.6494756878768538E-6</v>
      </c>
      <c r="V8" s="10">
        <f t="shared" si="22"/>
        <v>4.5956080325195214E-2</v>
      </c>
      <c r="W8" s="9" t="str">
        <f t="shared" si="8"/>
        <v>Crossover-limited</v>
      </c>
      <c r="X8" s="15">
        <f t="shared" si="23"/>
        <v>1</v>
      </c>
      <c r="Y8" s="15">
        <f t="shared" si="24"/>
        <v>0</v>
      </c>
      <c r="Z8" s="15">
        <f t="shared" si="25"/>
        <v>0.6133333333333334</v>
      </c>
      <c r="AA8" s="15">
        <f t="shared" si="26"/>
        <v>0.91523809523809518</v>
      </c>
      <c r="AB8" s="15">
        <f t="shared" si="27"/>
        <v>-0.3866666666666666</v>
      </c>
      <c r="AC8" s="15">
        <f t="shared" si="28"/>
        <v>0.91523809523809518</v>
      </c>
      <c r="AD8" s="15">
        <f t="shared" si="29"/>
        <v>1.5285714285714285</v>
      </c>
      <c r="AE8" s="16">
        <f t="shared" si="30"/>
        <v>0.99976969525442827</v>
      </c>
    </row>
    <row r="9" spans="1:31" x14ac:dyDescent="0.2">
      <c r="A9" s="5">
        <v>8</v>
      </c>
      <c r="B9" s="5" t="s">
        <v>53</v>
      </c>
      <c r="C9" s="5" t="s">
        <v>55</v>
      </c>
      <c r="D9" s="5" t="s">
        <v>199</v>
      </c>
      <c r="E9" s="5" t="s">
        <v>64</v>
      </c>
      <c r="F9" s="5" t="s">
        <v>65</v>
      </c>
      <c r="G9" s="5">
        <v>7</v>
      </c>
      <c r="H9" s="5">
        <v>35</v>
      </c>
      <c r="I9" s="17">
        <f t="shared" ref="I9:I10" si="32">600/30*112</f>
        <v>2240</v>
      </c>
      <c r="J9" s="17">
        <f>466*3.2</f>
        <v>1491.2</v>
      </c>
      <c r="K9" s="17">
        <v>0</v>
      </c>
      <c r="L9" s="17">
        <v>50</v>
      </c>
      <c r="M9" s="20">
        <f>869*0.022414/0.03</f>
        <v>649.25886666666668</v>
      </c>
      <c r="N9" s="18">
        <f>(466-357)*3.2</f>
        <v>348.8</v>
      </c>
      <c r="O9" s="8">
        <f t="shared" si="16"/>
        <v>308.14999999999998</v>
      </c>
      <c r="P9" s="8">
        <f t="shared" si="17"/>
        <v>280</v>
      </c>
      <c r="Q9" s="8">
        <f t="shared" si="18"/>
        <v>1.5533333333333335E-2</v>
      </c>
      <c r="R9" s="8">
        <f t="shared" si="19"/>
        <v>0.5</v>
      </c>
      <c r="S9" s="8">
        <f t="shared" si="20"/>
        <v>0</v>
      </c>
      <c r="T9" s="10">
        <f t="shared" si="5"/>
        <v>5.2856694513038341E-4</v>
      </c>
      <c r="U9" s="12">
        <f t="shared" si="21"/>
        <v>2.6494756878768538E-6</v>
      </c>
      <c r="V9" s="10">
        <f t="shared" si="22"/>
        <v>1.5532124067897127E-2</v>
      </c>
      <c r="W9" s="9" t="str">
        <f t="shared" si="8"/>
        <v>Crossover-limited</v>
      </c>
      <c r="X9" s="15">
        <f t="shared" si="23"/>
        <v>0.44380952380952388</v>
      </c>
      <c r="Y9" s="15">
        <f t="shared" si="24"/>
        <v>0.55619047619047612</v>
      </c>
      <c r="Z9" s="15">
        <f t="shared" si="25"/>
        <v>0.34</v>
      </c>
      <c r="AA9" s="15">
        <f t="shared" si="26"/>
        <v>0.82761904761904759</v>
      </c>
      <c r="AB9" s="15">
        <f t="shared" si="27"/>
        <v>-0.10380952380952385</v>
      </c>
      <c r="AC9" s="15">
        <f t="shared" si="28"/>
        <v>0.27142857142857146</v>
      </c>
      <c r="AD9" s="15">
        <f t="shared" si="29"/>
        <v>1.1676190476190476</v>
      </c>
      <c r="AE9" s="16">
        <f t="shared" si="30"/>
        <v>0.99992215029380638</v>
      </c>
    </row>
    <row r="10" spans="1:31" x14ac:dyDescent="0.2">
      <c r="A10" s="5">
        <v>9</v>
      </c>
      <c r="B10" s="5" t="s">
        <v>54</v>
      </c>
      <c r="C10" s="5" t="s">
        <v>55</v>
      </c>
      <c r="D10" s="5" t="s">
        <v>199</v>
      </c>
      <c r="E10" s="5" t="s">
        <v>66</v>
      </c>
      <c r="F10" s="5" t="s">
        <v>67</v>
      </c>
      <c r="G10" s="5">
        <v>7</v>
      </c>
      <c r="H10" s="5">
        <v>35</v>
      </c>
      <c r="I10" s="17">
        <f t="shared" si="32"/>
        <v>2240</v>
      </c>
      <c r="J10" s="17">
        <f>140*3.2</f>
        <v>448</v>
      </c>
      <c r="K10" s="17">
        <v>0</v>
      </c>
      <c r="L10" s="17">
        <v>50</v>
      </c>
      <c r="M10" s="20">
        <f>1214*0.022414/0.03</f>
        <v>907.01986666666664</v>
      </c>
      <c r="N10" s="18">
        <f>(140-138)*3.2</f>
        <v>6.4</v>
      </c>
      <c r="O10" s="8">
        <f t="shared" si="16"/>
        <v>308.14999999999998</v>
      </c>
      <c r="P10" s="8">
        <f t="shared" si="17"/>
        <v>280</v>
      </c>
      <c r="Q10" s="8">
        <f t="shared" si="18"/>
        <v>4.6666666666666671E-3</v>
      </c>
      <c r="R10" s="8">
        <f t="shared" si="19"/>
        <v>0.5</v>
      </c>
      <c r="S10" s="8">
        <f t="shared" si="20"/>
        <v>0</v>
      </c>
      <c r="T10" s="10">
        <f t="shared" si="5"/>
        <v>5.2856694513038341E-4</v>
      </c>
      <c r="U10" s="12">
        <f t="shared" si="21"/>
        <v>2.6494756878768538E-6</v>
      </c>
      <c r="V10" s="10">
        <f t="shared" si="22"/>
        <v>4.6665575092657147E-3</v>
      </c>
      <c r="W10" s="9" t="str">
        <f t="shared" si="8"/>
        <v>Crossover-limited</v>
      </c>
      <c r="X10" s="15">
        <f t="shared" si="23"/>
        <v>0.13333333333333333</v>
      </c>
      <c r="Y10" s="15">
        <f t="shared" si="24"/>
        <v>0.8666666666666667</v>
      </c>
      <c r="Z10" s="15">
        <f t="shared" si="25"/>
        <v>0.13142857142857145</v>
      </c>
      <c r="AA10" s="15">
        <f t="shared" si="26"/>
        <v>1.156190476190476</v>
      </c>
      <c r="AB10" s="15">
        <f t="shared" si="27"/>
        <v>-1.9047619047618813E-3</v>
      </c>
      <c r="AC10" s="15">
        <f t="shared" si="28"/>
        <v>0.28952380952380929</v>
      </c>
      <c r="AD10" s="15">
        <f t="shared" si="29"/>
        <v>1.2876190476190474</v>
      </c>
      <c r="AE10" s="16">
        <f t="shared" si="30"/>
        <v>0.99997660912836739</v>
      </c>
    </row>
    <row r="11" spans="1:31" x14ac:dyDescent="0.2">
      <c r="A11" s="5">
        <v>10</v>
      </c>
      <c r="B11" s="5" t="s">
        <v>74</v>
      </c>
      <c r="C11" s="5" t="s">
        <v>55</v>
      </c>
      <c r="D11" s="5" t="s">
        <v>199</v>
      </c>
      <c r="E11" s="5" t="s">
        <v>68</v>
      </c>
      <c r="F11" s="5" t="s">
        <v>69</v>
      </c>
      <c r="G11" s="5">
        <v>7</v>
      </c>
      <c r="H11" s="5">
        <v>35</v>
      </c>
      <c r="I11" s="17">
        <f>600/30*160</f>
        <v>3200</v>
      </c>
      <c r="J11" s="17">
        <f>2002*3.2</f>
        <v>6406.4000000000005</v>
      </c>
      <c r="K11" s="17">
        <v>0</v>
      </c>
      <c r="L11" s="17">
        <v>50</v>
      </c>
      <c r="M11" s="20">
        <f>667*0.022414/0.03</f>
        <v>498.33793333333335</v>
      </c>
      <c r="N11" s="18">
        <f>(2002-1694)*3.2</f>
        <v>985.6</v>
      </c>
      <c r="O11" s="8">
        <f t="shared" si="16"/>
        <v>308.14999999999998</v>
      </c>
      <c r="P11" s="8">
        <f t="shared" si="17"/>
        <v>400</v>
      </c>
      <c r="Q11" s="8">
        <f t="shared" si="18"/>
        <v>6.6733333333333339E-2</v>
      </c>
      <c r="R11" s="8">
        <f t="shared" si="19"/>
        <v>0.5</v>
      </c>
      <c r="S11" s="8">
        <f t="shared" si="20"/>
        <v>0</v>
      </c>
      <c r="T11" s="10">
        <f t="shared" si="5"/>
        <v>5.2856694513038341E-4</v>
      </c>
      <c r="U11" s="12">
        <f t="shared" si="21"/>
        <v>2.6494756878768538E-6</v>
      </c>
      <c r="V11" s="10">
        <f t="shared" si="22"/>
        <v>6.6711025613912886E-2</v>
      </c>
      <c r="W11" s="9" t="str">
        <f t="shared" si="8"/>
        <v>Crossover-limited</v>
      </c>
      <c r="X11" s="15">
        <f t="shared" si="23"/>
        <v>1</v>
      </c>
      <c r="Y11" s="15">
        <f t="shared" si="24"/>
        <v>0</v>
      </c>
      <c r="Z11" s="15">
        <f t="shared" si="25"/>
        <v>1.1293333333333333</v>
      </c>
      <c r="AA11" s="15">
        <f t="shared" si="26"/>
        <v>0.44466666666666671</v>
      </c>
      <c r="AB11" s="15">
        <f t="shared" si="27"/>
        <v>0.1293333333333333</v>
      </c>
      <c r="AC11" s="15">
        <f t="shared" si="28"/>
        <v>0.44466666666666671</v>
      </c>
      <c r="AD11" s="15">
        <f t="shared" si="29"/>
        <v>1.5740000000000001</v>
      </c>
      <c r="AE11" s="16">
        <f t="shared" si="30"/>
        <v>0.99966571849020303</v>
      </c>
    </row>
    <row r="12" spans="1:31" x14ac:dyDescent="0.2">
      <c r="A12" s="5">
        <v>11</v>
      </c>
      <c r="B12" s="5" t="s">
        <v>75</v>
      </c>
      <c r="C12" s="5" t="s">
        <v>55</v>
      </c>
      <c r="D12" s="5" t="s">
        <v>199</v>
      </c>
      <c r="E12" s="5" t="s">
        <v>70</v>
      </c>
      <c r="F12" s="5" t="s">
        <v>71</v>
      </c>
      <c r="G12" s="5">
        <v>7</v>
      </c>
      <c r="H12" s="5">
        <v>35</v>
      </c>
      <c r="I12" s="17">
        <f t="shared" ref="I12:I13" si="33">600/30*160</f>
        <v>3200</v>
      </c>
      <c r="J12" s="17">
        <f>667*3.2</f>
        <v>2134.4</v>
      </c>
      <c r="K12" s="17">
        <v>0</v>
      </c>
      <c r="L12" s="17">
        <v>50</v>
      </c>
      <c r="M12" s="20">
        <f>683*0.022414/0.03</f>
        <v>510.2920666666667</v>
      </c>
      <c r="N12" s="18">
        <f>(667-665)*3.2</f>
        <v>6.4</v>
      </c>
      <c r="O12" s="8">
        <f t="shared" si="16"/>
        <v>308.14999999999998</v>
      </c>
      <c r="P12" s="8">
        <f t="shared" si="17"/>
        <v>400</v>
      </c>
      <c r="Q12" s="8">
        <f t="shared" si="18"/>
        <v>2.2233333333333338E-2</v>
      </c>
      <c r="R12" s="8">
        <f t="shared" si="19"/>
        <v>0.5</v>
      </c>
      <c r="S12" s="8">
        <f t="shared" si="20"/>
        <v>0</v>
      </c>
      <c r="T12" s="10">
        <f t="shared" si="5"/>
        <v>5.2856694513038341E-4</v>
      </c>
      <c r="U12" s="12">
        <f t="shared" si="21"/>
        <v>2.6494756878768538E-6</v>
      </c>
      <c r="V12" s="10">
        <f t="shared" si="22"/>
        <v>2.2230856069210773E-2</v>
      </c>
      <c r="W12" s="9" t="str">
        <f t="shared" si="8"/>
        <v>Crossover-limited</v>
      </c>
      <c r="X12" s="15">
        <f t="shared" si="23"/>
        <v>0.44466666666666677</v>
      </c>
      <c r="Y12" s="15">
        <f t="shared" si="24"/>
        <v>0.55533333333333323</v>
      </c>
      <c r="Z12" s="15">
        <f t="shared" si="25"/>
        <v>0.44333333333333336</v>
      </c>
      <c r="AA12" s="15">
        <f t="shared" si="26"/>
        <v>0.45533333333333331</v>
      </c>
      <c r="AB12" s="15">
        <f t="shared" si="27"/>
        <v>-1.3333333333334085E-3</v>
      </c>
      <c r="AC12" s="15">
        <f t="shared" si="28"/>
        <v>-9.9999999999999922E-2</v>
      </c>
      <c r="AD12" s="15">
        <f t="shared" si="29"/>
        <v>0.89866666666666672</v>
      </c>
      <c r="AE12" s="16">
        <f t="shared" si="30"/>
        <v>0.99988857882507209</v>
      </c>
    </row>
    <row r="13" spans="1:31" x14ac:dyDescent="0.2">
      <c r="A13" s="5">
        <v>12</v>
      </c>
      <c r="B13" s="5" t="s">
        <v>76</v>
      </c>
      <c r="C13" s="5" t="s">
        <v>55</v>
      </c>
      <c r="D13" s="5" t="s">
        <v>199</v>
      </c>
      <c r="E13" s="5" t="s">
        <v>72</v>
      </c>
      <c r="F13" s="5" t="s">
        <v>73</v>
      </c>
      <c r="G13" s="5">
        <v>7</v>
      </c>
      <c r="H13" s="5">
        <v>35</v>
      </c>
      <c r="I13" s="17">
        <f t="shared" si="33"/>
        <v>3200</v>
      </c>
      <c r="J13" s="17">
        <f>200*3.2</f>
        <v>640</v>
      </c>
      <c r="K13" s="17">
        <v>0</v>
      </c>
      <c r="L13" s="17">
        <v>50</v>
      </c>
      <c r="M13" s="20">
        <f>656*0.022414/0.03</f>
        <v>490.11946666666665</v>
      </c>
      <c r="N13" s="18">
        <f>(200-199)*3.2</f>
        <v>3.2</v>
      </c>
      <c r="O13" s="8">
        <f t="shared" si="16"/>
        <v>308.14999999999998</v>
      </c>
      <c r="P13" s="8">
        <f t="shared" si="17"/>
        <v>400</v>
      </c>
      <c r="Q13" s="8">
        <f t="shared" si="18"/>
        <v>6.6666666666666671E-3</v>
      </c>
      <c r="R13" s="8">
        <f t="shared" si="19"/>
        <v>0.5</v>
      </c>
      <c r="S13" s="8">
        <f t="shared" si="20"/>
        <v>0</v>
      </c>
      <c r="T13" s="10">
        <f t="shared" si="5"/>
        <v>5.2856694513038341E-4</v>
      </c>
      <c r="U13" s="12">
        <f t="shared" si="21"/>
        <v>2.6494756878768538E-6</v>
      </c>
      <c r="V13" s="10">
        <f t="shared" si="22"/>
        <v>6.6664439009290833E-3</v>
      </c>
      <c r="W13" s="9" t="str">
        <f t="shared" si="8"/>
        <v>Crossover-limited</v>
      </c>
      <c r="X13" s="15">
        <f t="shared" si="23"/>
        <v>0.13333333333333333</v>
      </c>
      <c r="Y13" s="15">
        <f t="shared" si="24"/>
        <v>0.8666666666666667</v>
      </c>
      <c r="Z13" s="15">
        <f t="shared" si="25"/>
        <v>0.13266666666666665</v>
      </c>
      <c r="AA13" s="15">
        <f t="shared" si="26"/>
        <v>0.4373333333333333</v>
      </c>
      <c r="AB13" s="15">
        <f t="shared" si="27"/>
        <v>-6.6666666666667651E-4</v>
      </c>
      <c r="AC13" s="15">
        <f t="shared" si="28"/>
        <v>-0.4293333333333334</v>
      </c>
      <c r="AD13" s="15">
        <f t="shared" si="29"/>
        <v>0.56999999999999995</v>
      </c>
      <c r="AE13" s="16">
        <f t="shared" si="30"/>
        <v>0.99996658513936243</v>
      </c>
    </row>
    <row r="14" spans="1:31" x14ac:dyDescent="0.2">
      <c r="A14" s="5">
        <v>13</v>
      </c>
      <c r="B14" s="5" t="s">
        <v>83</v>
      </c>
      <c r="C14" s="5" t="s">
        <v>55</v>
      </c>
      <c r="D14" s="5" t="s">
        <v>200</v>
      </c>
      <c r="E14" s="5" t="s">
        <v>77</v>
      </c>
      <c r="F14" s="5" t="s">
        <v>78</v>
      </c>
      <c r="G14" s="5">
        <v>8.98</v>
      </c>
      <c r="H14" s="5">
        <v>30</v>
      </c>
      <c r="I14" s="17">
        <v>3027</v>
      </c>
      <c r="J14" s="17">
        <v>4853</v>
      </c>
      <c r="K14" s="17">
        <v>0</v>
      </c>
      <c r="L14" s="17">
        <v>50</v>
      </c>
      <c r="M14" s="20">
        <v>0</v>
      </c>
      <c r="N14" s="18">
        <v>2670</v>
      </c>
      <c r="O14" s="8">
        <f t="shared" ref="O14:O16" si="34">H14+273.15</f>
        <v>303.14999999999998</v>
      </c>
      <c r="P14" s="8">
        <f t="shared" ref="P14:P16" si="35">I14/8</f>
        <v>378.375</v>
      </c>
      <c r="Q14" s="8">
        <f t="shared" ref="Q14:Q16" si="36">J14/1000/96</f>
        <v>5.0552083333333331E-2</v>
      </c>
      <c r="R14" s="8">
        <f t="shared" ref="R14:R16" si="37">1/(1+10^(7-G14))</f>
        <v>0.98963722608354032</v>
      </c>
      <c r="S14" s="8">
        <f t="shared" ref="S14:S16" si="38">K14/1000/100.1</f>
        <v>0</v>
      </c>
      <c r="T14" s="10">
        <f t="shared" si="5"/>
        <v>5.8514838514410277E-4</v>
      </c>
      <c r="U14" s="12">
        <f t="shared" ref="U14:U16" si="39">EXP(-3957/O14)</f>
        <v>2.1437710923454474E-6</v>
      </c>
      <c r="V14" s="10">
        <f t="shared" ref="V14:V16" si="40">(-(U14*R14*S14+T14)+SQRT((U14*R14*S14+T14)^2+8*U14*R14*T14*Q14))/(4*U14*R14)</f>
        <v>5.0533566005693011E-2</v>
      </c>
      <c r="W14" s="9" t="str">
        <f t="shared" si="8"/>
        <v>Crossover-limited</v>
      </c>
      <c r="X14" s="15">
        <f t="shared" ref="X14:X16" si="41">MIN(8*Q14*1000,P14)/P14</f>
        <v>1</v>
      </c>
      <c r="Y14" s="15">
        <f t="shared" ref="Y14:Y16" si="42">1-X14</f>
        <v>0</v>
      </c>
      <c r="Z14" s="15">
        <f t="shared" ref="Z14:Z16" si="43">((J14-N14)/96*8)/P14</f>
        <v>0.48078405461953527</v>
      </c>
      <c r="AA14" s="15">
        <f t="shared" ref="AA14:AA16" si="44">(M14/22.414*8)/P14</f>
        <v>0</v>
      </c>
      <c r="AB14" s="15">
        <f t="shared" ref="AB14:AB16" si="45">Z14-X14</f>
        <v>-0.51921594538046478</v>
      </c>
      <c r="AC14" s="15">
        <f t="shared" ref="AC14:AC16" si="46">AA14-Y14</f>
        <v>0</v>
      </c>
      <c r="AD14" s="15">
        <f t="shared" ref="AD14:AD16" si="47">Z14+AA14</f>
        <v>0.48078405461953527</v>
      </c>
      <c r="AE14" s="16">
        <f t="shared" ref="AE14:AE16" si="48">V14/Q14</f>
        <v>0.99963369803142987</v>
      </c>
    </row>
    <row r="15" spans="1:31" x14ac:dyDescent="0.2">
      <c r="A15" s="5">
        <v>14</v>
      </c>
      <c r="B15" s="5" t="s">
        <v>84</v>
      </c>
      <c r="C15" s="5" t="s">
        <v>55</v>
      </c>
      <c r="D15" s="5" t="s">
        <v>200</v>
      </c>
      <c r="E15" s="5" t="s">
        <v>79</v>
      </c>
      <c r="F15" s="5" t="s">
        <v>80</v>
      </c>
      <c r="G15" s="5">
        <v>8.34</v>
      </c>
      <c r="H15" s="5">
        <v>30</v>
      </c>
      <c r="I15" s="17">
        <v>3097</v>
      </c>
      <c r="J15" s="17">
        <v>4480</v>
      </c>
      <c r="K15" s="17">
        <v>0</v>
      </c>
      <c r="L15" s="17">
        <v>50</v>
      </c>
      <c r="M15" s="20">
        <f>(I15-1317)*0.05</f>
        <v>89</v>
      </c>
      <c r="N15" s="18">
        <v>2380</v>
      </c>
      <c r="O15" s="8">
        <f t="shared" si="34"/>
        <v>303.14999999999998</v>
      </c>
      <c r="P15" s="8">
        <f t="shared" si="35"/>
        <v>387.125</v>
      </c>
      <c r="Q15" s="8">
        <f t="shared" si="36"/>
        <v>4.6666666666666669E-2</v>
      </c>
      <c r="R15" s="8">
        <f t="shared" si="37"/>
        <v>0.95628915226431599</v>
      </c>
      <c r="S15" s="8">
        <f t="shared" si="38"/>
        <v>0</v>
      </c>
      <c r="T15" s="10">
        <f t="shared" si="5"/>
        <v>5.8514838514410277E-4</v>
      </c>
      <c r="U15" s="12">
        <f t="shared" si="39"/>
        <v>2.1437710923454474E-6</v>
      </c>
      <c r="V15" s="10">
        <f t="shared" si="40"/>
        <v>4.6651416966552832E-2</v>
      </c>
      <c r="W15" s="9" t="str">
        <f t="shared" si="8"/>
        <v>Crossover-limited</v>
      </c>
      <c r="X15" s="15">
        <f t="shared" si="41"/>
        <v>0.96437412549779367</v>
      </c>
      <c r="Y15" s="15">
        <f t="shared" si="42"/>
        <v>3.5625874502206334E-2</v>
      </c>
      <c r="Z15" s="15">
        <f t="shared" si="43"/>
        <v>0.45205037132709075</v>
      </c>
      <c r="AA15" s="15">
        <f t="shared" si="44"/>
        <v>8.2055823371843764E-2</v>
      </c>
      <c r="AB15" s="15">
        <f t="shared" si="45"/>
        <v>-0.51232375417070286</v>
      </c>
      <c r="AC15" s="15">
        <f t="shared" si="46"/>
        <v>4.642994886963743E-2</v>
      </c>
      <c r="AD15" s="15">
        <f t="shared" si="47"/>
        <v>0.5341061946989345</v>
      </c>
      <c r="AE15" s="16">
        <f t="shared" si="48"/>
        <v>0.99967322071184639</v>
      </c>
    </row>
    <row r="16" spans="1:31" x14ac:dyDescent="0.2">
      <c r="A16" s="5">
        <v>15</v>
      </c>
      <c r="B16" s="5" t="s">
        <v>85</v>
      </c>
      <c r="C16" s="5" t="s">
        <v>55</v>
      </c>
      <c r="D16" s="5" t="s">
        <v>200</v>
      </c>
      <c r="E16" s="5" t="s">
        <v>81</v>
      </c>
      <c r="F16" s="5" t="s">
        <v>82</v>
      </c>
      <c r="G16" s="5">
        <v>7.26</v>
      </c>
      <c r="H16" s="5">
        <v>30</v>
      </c>
      <c r="I16" s="17">
        <v>3320</v>
      </c>
      <c r="J16" s="17">
        <v>2753</v>
      </c>
      <c r="K16" s="17">
        <v>0</v>
      </c>
      <c r="L16" s="17">
        <v>50</v>
      </c>
      <c r="M16" s="20">
        <f>(I16-1220)*0.18</f>
        <v>378</v>
      </c>
      <c r="N16" s="18">
        <v>1153</v>
      </c>
      <c r="O16" s="8">
        <f t="shared" si="34"/>
        <v>303.14999999999998</v>
      </c>
      <c r="P16" s="8">
        <f t="shared" si="35"/>
        <v>415</v>
      </c>
      <c r="Q16" s="8">
        <f t="shared" si="36"/>
        <v>2.8677083333333336E-2</v>
      </c>
      <c r="R16" s="8">
        <f t="shared" si="37"/>
        <v>0.64535245043938227</v>
      </c>
      <c r="S16" s="8">
        <f t="shared" si="38"/>
        <v>0</v>
      </c>
      <c r="T16" s="10">
        <f t="shared" si="5"/>
        <v>5.8514838514410277E-4</v>
      </c>
      <c r="U16" s="12">
        <f t="shared" si="39"/>
        <v>2.1437710923454474E-6</v>
      </c>
      <c r="V16" s="10">
        <f t="shared" si="40"/>
        <v>2.8673195643992802E-2</v>
      </c>
      <c r="W16" s="9" t="str">
        <f t="shared" si="8"/>
        <v>Crossover-limited</v>
      </c>
      <c r="X16" s="15">
        <f t="shared" si="41"/>
        <v>0.55281124497991974</v>
      </c>
      <c r="Y16" s="15">
        <f t="shared" si="42"/>
        <v>0.44718875502008026</v>
      </c>
      <c r="Z16" s="15">
        <f t="shared" si="43"/>
        <v>0.32128514056224899</v>
      </c>
      <c r="AA16" s="15">
        <f t="shared" si="44"/>
        <v>0.32509801855767856</v>
      </c>
      <c r="AB16" s="15">
        <f t="shared" si="45"/>
        <v>-0.23152610441767074</v>
      </c>
      <c r="AC16" s="15">
        <f t="shared" si="46"/>
        <v>-0.12209073646240171</v>
      </c>
      <c r="AD16" s="15">
        <f t="shared" si="47"/>
        <v>0.64638315911992761</v>
      </c>
      <c r="AE16" s="16">
        <f t="shared" si="48"/>
        <v>0.99986443219153964</v>
      </c>
    </row>
    <row r="17" spans="1:31" x14ac:dyDescent="0.2">
      <c r="A17" s="5">
        <v>16</v>
      </c>
      <c r="B17" s="5" t="s">
        <v>86</v>
      </c>
      <c r="C17" s="5" t="s">
        <v>23</v>
      </c>
      <c r="D17" s="5" t="s">
        <v>196</v>
      </c>
      <c r="E17" s="5" t="s">
        <v>43</v>
      </c>
      <c r="F17" s="5" t="s">
        <v>37</v>
      </c>
      <c r="G17" s="5">
        <v>7.9</v>
      </c>
      <c r="H17" s="5">
        <v>37</v>
      </c>
      <c r="I17" s="17">
        <v>8000</v>
      </c>
      <c r="J17" s="17">
        <f>I17/10</f>
        <v>800</v>
      </c>
      <c r="K17" s="17">
        <f>I17/2*(100.115/61.017)</f>
        <v>6563.088975203631</v>
      </c>
      <c r="L17" s="17">
        <v>50</v>
      </c>
      <c r="M17" s="20">
        <f>I17*(22.414/64)*0.658</f>
        <v>1843.5515</v>
      </c>
      <c r="N17" s="18">
        <f>J17-(I17*5.4/100*1.5)</f>
        <v>152</v>
      </c>
      <c r="O17" s="8">
        <f t="shared" ref="O17:O25" si="49">H17+273.15</f>
        <v>310.14999999999998</v>
      </c>
      <c r="P17" s="8">
        <f t="shared" ref="P17:P25" si="50">I17/8</f>
        <v>1000</v>
      </c>
      <c r="Q17" s="8">
        <f t="shared" ref="Q17:Q25" si="51">J17/1000/96</f>
        <v>8.3333333333333332E-3</v>
      </c>
      <c r="R17" s="8">
        <f t="shared" ref="R17:R25" si="52">1/(1+10^(7-G17))</f>
        <v>0.8881842302218832</v>
      </c>
      <c r="S17" s="8">
        <f t="shared" ref="S17:S25" si="53">K17/1000/100.1</f>
        <v>6.5565324427608707E-2</v>
      </c>
      <c r="T17" s="10">
        <f t="shared" si="5"/>
        <v>5.0796328360295823E-4</v>
      </c>
      <c r="U17" s="12">
        <f t="shared" ref="U17:U25" si="54">EXP(-3957/O17)</f>
        <v>2.8782078339679551E-6</v>
      </c>
      <c r="V17" s="10">
        <f t="shared" ref="V17:V25" si="55">(-(U17*R17*S17+T17)+SQRT((U17*R17*S17+T17)^2+8*U17*R17*T17*Q17))/(4*U17*R17)</f>
        <v>8.3298863724144152E-3</v>
      </c>
      <c r="W17" s="9" t="str">
        <f t="shared" si="8"/>
        <v>Crossover-limited</v>
      </c>
      <c r="X17" s="15">
        <f t="shared" ref="X17:X25" si="56">MIN(8*Q17*1000,P17)/P17</f>
        <v>6.6666666666666666E-2</v>
      </c>
      <c r="Y17" s="15">
        <f t="shared" ref="Y17:Y25" si="57">1-X17</f>
        <v>0.93333333333333335</v>
      </c>
      <c r="Z17" s="15">
        <f t="shared" ref="Z17:Z25" si="58">((J17-N17)/96*8)/P17</f>
        <v>5.3999999999999999E-2</v>
      </c>
      <c r="AA17" s="15">
        <f t="shared" ref="AA17:AA25" si="59">(M17/22.414*8)/P17</f>
        <v>0.65800000000000003</v>
      </c>
      <c r="AB17" s="15">
        <f t="shared" ref="AB17:AB25" si="60">Z17-X17</f>
        <v>-1.2666666666666666E-2</v>
      </c>
      <c r="AC17" s="15">
        <f t="shared" ref="AC17:AC25" si="61">AA17-Y17</f>
        <v>-0.27533333333333332</v>
      </c>
      <c r="AD17" s="15">
        <f t="shared" ref="AD17:AD25" si="62">Z17+AA17</f>
        <v>0.71200000000000008</v>
      </c>
      <c r="AE17" s="16">
        <f t="shared" ref="AE17:AE25" si="63">V17/Q17</f>
        <v>0.99958636468972983</v>
      </c>
    </row>
    <row r="18" spans="1:31" x14ac:dyDescent="0.2">
      <c r="A18" s="5">
        <v>17</v>
      </c>
      <c r="B18" s="5" t="s">
        <v>87</v>
      </c>
      <c r="C18" s="5" t="s">
        <v>23</v>
      </c>
      <c r="D18" s="5" t="s">
        <v>196</v>
      </c>
      <c r="E18" s="5" t="s">
        <v>44</v>
      </c>
      <c r="F18" s="5" t="s">
        <v>38</v>
      </c>
      <c r="G18" s="5">
        <v>7.9</v>
      </c>
      <c r="H18" s="5">
        <v>37</v>
      </c>
      <c r="I18" s="17">
        <v>8000</v>
      </c>
      <c r="J18" s="17">
        <f>I18/7.5</f>
        <v>1066.6666666666667</v>
      </c>
      <c r="K18" s="17">
        <f t="shared" ref="K18:K28" si="64">I18/2*(100.115/61.017)</f>
        <v>6563.088975203631</v>
      </c>
      <c r="L18" s="17">
        <v>50</v>
      </c>
      <c r="M18" s="20">
        <f>I18*(22.414/64)*0.668</f>
        <v>1871.5690000000002</v>
      </c>
      <c r="N18" s="18">
        <f>J18-(I18*7.1/100*1.5)</f>
        <v>214.66666666666674</v>
      </c>
      <c r="O18" s="8">
        <f t="shared" si="49"/>
        <v>310.14999999999998</v>
      </c>
      <c r="P18" s="8">
        <f t="shared" si="50"/>
        <v>1000</v>
      </c>
      <c r="Q18" s="8">
        <f t="shared" si="51"/>
        <v>1.1111111111111112E-2</v>
      </c>
      <c r="R18" s="8">
        <f t="shared" si="52"/>
        <v>0.8881842302218832</v>
      </c>
      <c r="S18" s="8">
        <f t="shared" si="53"/>
        <v>6.5565324427608707E-2</v>
      </c>
      <c r="T18" s="10">
        <f t="shared" si="5"/>
        <v>5.0796328360295823E-4</v>
      </c>
      <c r="U18" s="12">
        <f t="shared" si="54"/>
        <v>2.8782078339679551E-6</v>
      </c>
      <c r="V18" s="10">
        <f t="shared" si="55"/>
        <v>1.1106204937229202E-2</v>
      </c>
      <c r="W18" s="9" t="str">
        <f t="shared" si="8"/>
        <v>Crossover-limited</v>
      </c>
      <c r="X18" s="15">
        <f t="shared" si="56"/>
        <v>8.8888888888888892E-2</v>
      </c>
      <c r="Y18" s="15">
        <f t="shared" si="57"/>
        <v>0.91111111111111109</v>
      </c>
      <c r="Z18" s="15">
        <f t="shared" si="58"/>
        <v>7.0999999999999994E-2</v>
      </c>
      <c r="AA18" s="15">
        <f t="shared" si="59"/>
        <v>0.66800000000000004</v>
      </c>
      <c r="AB18" s="15">
        <f t="shared" si="60"/>
        <v>-1.7888888888888899E-2</v>
      </c>
      <c r="AC18" s="15">
        <f t="shared" si="61"/>
        <v>-0.24311111111111106</v>
      </c>
      <c r="AD18" s="15">
        <f t="shared" si="62"/>
        <v>0.73899999999999999</v>
      </c>
      <c r="AE18" s="16">
        <f t="shared" si="63"/>
        <v>0.99955844435062813</v>
      </c>
    </row>
    <row r="19" spans="1:31" x14ac:dyDescent="0.2">
      <c r="A19" s="5">
        <v>18</v>
      </c>
      <c r="B19" s="5" t="s">
        <v>88</v>
      </c>
      <c r="C19" s="5" t="s">
        <v>23</v>
      </c>
      <c r="D19" s="5" t="s">
        <v>196</v>
      </c>
      <c r="E19" s="5" t="s">
        <v>45</v>
      </c>
      <c r="F19" s="5" t="s">
        <v>39</v>
      </c>
      <c r="G19" s="5">
        <v>7.9</v>
      </c>
      <c r="H19" s="5">
        <v>37</v>
      </c>
      <c r="I19" s="17">
        <v>8000</v>
      </c>
      <c r="J19" s="17">
        <f>I19/5</f>
        <v>1600</v>
      </c>
      <c r="K19" s="17">
        <f t="shared" si="64"/>
        <v>6563.088975203631</v>
      </c>
      <c r="L19" s="17">
        <v>50</v>
      </c>
      <c r="M19" s="20">
        <f>I19*(22.414/64)*0.647</f>
        <v>1812.73225</v>
      </c>
      <c r="N19" s="18">
        <f>J19-(I19*10.1/100*1.5)</f>
        <v>388</v>
      </c>
      <c r="O19" s="8">
        <f t="shared" si="49"/>
        <v>310.14999999999998</v>
      </c>
      <c r="P19" s="8">
        <f t="shared" si="50"/>
        <v>1000</v>
      </c>
      <c r="Q19" s="8">
        <f t="shared" si="51"/>
        <v>1.6666666666666666E-2</v>
      </c>
      <c r="R19" s="8">
        <f t="shared" si="52"/>
        <v>0.8881842302218832</v>
      </c>
      <c r="S19" s="8">
        <f t="shared" si="53"/>
        <v>6.5565324427608707E-2</v>
      </c>
      <c r="T19" s="10">
        <f t="shared" si="5"/>
        <v>5.0796328360295823E-4</v>
      </c>
      <c r="U19" s="12">
        <f t="shared" si="54"/>
        <v>2.8782078339679551E-6</v>
      </c>
      <c r="V19" s="10">
        <f t="shared" si="55"/>
        <v>1.6658376883789541E-2</v>
      </c>
      <c r="W19" s="9" t="str">
        <f t="shared" si="8"/>
        <v>Crossover-limited</v>
      </c>
      <c r="X19" s="15">
        <f t="shared" si="56"/>
        <v>0.13333333333333333</v>
      </c>
      <c r="Y19" s="15">
        <f t="shared" si="57"/>
        <v>0.8666666666666667</v>
      </c>
      <c r="Z19" s="15">
        <f t="shared" si="58"/>
        <v>0.10100000000000001</v>
      </c>
      <c r="AA19" s="15">
        <f t="shared" si="59"/>
        <v>0.64700000000000002</v>
      </c>
      <c r="AB19" s="15">
        <f t="shared" si="60"/>
        <v>-3.2333333333333325E-2</v>
      </c>
      <c r="AC19" s="15">
        <f t="shared" si="61"/>
        <v>-0.21966666666666668</v>
      </c>
      <c r="AD19" s="15">
        <f t="shared" si="62"/>
        <v>0.748</v>
      </c>
      <c r="AE19" s="16">
        <f t="shared" si="63"/>
        <v>0.99950261302737242</v>
      </c>
    </row>
    <row r="20" spans="1:31" x14ac:dyDescent="0.2">
      <c r="A20" s="5">
        <v>19</v>
      </c>
      <c r="B20" s="5" t="s">
        <v>89</v>
      </c>
      <c r="C20" s="5" t="s">
        <v>23</v>
      </c>
      <c r="D20" s="5" t="s">
        <v>196</v>
      </c>
      <c r="E20" s="5" t="s">
        <v>46</v>
      </c>
      <c r="F20" s="5" t="s">
        <v>40</v>
      </c>
      <c r="G20" s="5">
        <v>7.9</v>
      </c>
      <c r="H20" s="5">
        <v>37</v>
      </c>
      <c r="I20" s="17">
        <v>8000</v>
      </c>
      <c r="J20" s="17">
        <f>I20/3</f>
        <v>2666.6666666666665</v>
      </c>
      <c r="K20" s="17">
        <f t="shared" si="64"/>
        <v>6563.088975203631</v>
      </c>
      <c r="L20" s="17">
        <v>50</v>
      </c>
      <c r="M20" s="20">
        <f>I20*(22.414/64)*0.628</f>
        <v>1759.499</v>
      </c>
      <c r="N20" s="18">
        <f>J20-(I20*16/100*1.5)</f>
        <v>746.66666666666652</v>
      </c>
      <c r="O20" s="8">
        <f t="shared" si="49"/>
        <v>310.14999999999998</v>
      </c>
      <c r="P20" s="8">
        <f t="shared" si="50"/>
        <v>1000</v>
      </c>
      <c r="Q20" s="8">
        <f t="shared" si="51"/>
        <v>2.7777777777777776E-2</v>
      </c>
      <c r="R20" s="8">
        <f t="shared" si="52"/>
        <v>0.8881842302218832</v>
      </c>
      <c r="S20" s="8">
        <f t="shared" si="53"/>
        <v>6.5565324427608707E-2</v>
      </c>
      <c r="T20" s="10">
        <f t="shared" si="5"/>
        <v>5.0796328360295823E-4</v>
      </c>
      <c r="U20" s="12">
        <f t="shared" si="54"/>
        <v>2.8782078339679551E-6</v>
      </c>
      <c r="V20" s="10">
        <f t="shared" si="55"/>
        <v>2.7760860771929283E-2</v>
      </c>
      <c r="W20" s="9" t="str">
        <f t="shared" si="8"/>
        <v>Crossover-limited</v>
      </c>
      <c r="X20" s="15">
        <f t="shared" si="56"/>
        <v>0.22222222222222221</v>
      </c>
      <c r="Y20" s="15">
        <f t="shared" si="57"/>
        <v>0.77777777777777779</v>
      </c>
      <c r="Z20" s="15">
        <f t="shared" si="58"/>
        <v>0.16</v>
      </c>
      <c r="AA20" s="15">
        <f t="shared" si="59"/>
        <v>0.628</v>
      </c>
      <c r="AB20" s="15">
        <f t="shared" si="60"/>
        <v>-6.2222222222222207E-2</v>
      </c>
      <c r="AC20" s="15">
        <f t="shared" si="61"/>
        <v>-0.14977777777777779</v>
      </c>
      <c r="AD20" s="15">
        <f t="shared" si="62"/>
        <v>0.78800000000000003</v>
      </c>
      <c r="AE20" s="16">
        <f t="shared" si="63"/>
        <v>0.99939098778945423</v>
      </c>
    </row>
    <row r="21" spans="1:31" x14ac:dyDescent="0.2">
      <c r="A21" s="5">
        <v>20</v>
      </c>
      <c r="B21" s="5" t="s">
        <v>90</v>
      </c>
      <c r="C21" s="5" t="s">
        <v>23</v>
      </c>
      <c r="D21" s="5" t="s">
        <v>196</v>
      </c>
      <c r="E21" s="5" t="s">
        <v>47</v>
      </c>
      <c r="F21" s="5" t="s">
        <v>41</v>
      </c>
      <c r="G21" s="5">
        <v>7.9</v>
      </c>
      <c r="H21" s="5">
        <v>37</v>
      </c>
      <c r="I21" s="17">
        <v>8000</v>
      </c>
      <c r="J21" s="17">
        <f>I21/2</f>
        <v>4000</v>
      </c>
      <c r="K21" s="17">
        <f t="shared" si="64"/>
        <v>6563.088975203631</v>
      </c>
      <c r="L21" s="17">
        <v>50</v>
      </c>
      <c r="M21" s="20">
        <f>I21*(22.414/64)*0.504</f>
        <v>1412.0820000000001</v>
      </c>
      <c r="N21" s="18">
        <f>J21-(I21*23.1/100*1.5)</f>
        <v>1228</v>
      </c>
      <c r="O21" s="8">
        <f t="shared" si="49"/>
        <v>310.14999999999998</v>
      </c>
      <c r="P21" s="8">
        <f t="shared" si="50"/>
        <v>1000</v>
      </c>
      <c r="Q21" s="8">
        <f t="shared" si="51"/>
        <v>4.1666666666666664E-2</v>
      </c>
      <c r="R21" s="8">
        <f t="shared" si="52"/>
        <v>0.8881842302218832</v>
      </c>
      <c r="S21" s="8">
        <f t="shared" si="53"/>
        <v>6.5565324427608707E-2</v>
      </c>
      <c r="T21" s="10">
        <f t="shared" si="5"/>
        <v>5.0796328360295823E-4</v>
      </c>
      <c r="U21" s="12">
        <f t="shared" si="54"/>
        <v>2.8782078339679551E-6</v>
      </c>
      <c r="V21" s="10">
        <f t="shared" si="55"/>
        <v>4.1635480263659222E-2</v>
      </c>
      <c r="W21" s="9" t="str">
        <f t="shared" si="8"/>
        <v>Crossover-limited</v>
      </c>
      <c r="X21" s="15">
        <f t="shared" si="56"/>
        <v>0.33333333333333331</v>
      </c>
      <c r="Y21" s="15">
        <f t="shared" si="57"/>
        <v>0.66666666666666674</v>
      </c>
      <c r="Z21" s="15">
        <f t="shared" si="58"/>
        <v>0.23100000000000001</v>
      </c>
      <c r="AA21" s="15">
        <f t="shared" si="59"/>
        <v>0.504</v>
      </c>
      <c r="AB21" s="15">
        <f t="shared" si="60"/>
        <v>-0.1023333333333333</v>
      </c>
      <c r="AC21" s="15">
        <f t="shared" si="61"/>
        <v>-0.16266666666666674</v>
      </c>
      <c r="AD21" s="15">
        <f t="shared" si="62"/>
        <v>0.73499999999999999</v>
      </c>
      <c r="AE21" s="16">
        <f t="shared" si="63"/>
        <v>0.99925152632782133</v>
      </c>
    </row>
    <row r="22" spans="1:31" x14ac:dyDescent="0.2">
      <c r="A22" s="5">
        <v>21</v>
      </c>
      <c r="B22" s="5" t="s">
        <v>91</v>
      </c>
      <c r="C22" s="5" t="s">
        <v>23</v>
      </c>
      <c r="D22" s="5" t="s">
        <v>196</v>
      </c>
      <c r="E22" s="5" t="s">
        <v>48</v>
      </c>
      <c r="F22" s="5" t="s">
        <v>42</v>
      </c>
      <c r="G22" s="5">
        <v>7.9</v>
      </c>
      <c r="H22" s="5">
        <v>37</v>
      </c>
      <c r="I22" s="17">
        <v>8000</v>
      </c>
      <c r="J22" s="17">
        <f>I22/1</f>
        <v>8000</v>
      </c>
      <c r="K22" s="17">
        <f t="shared" si="64"/>
        <v>6563.088975203631</v>
      </c>
      <c r="L22" s="17">
        <v>50</v>
      </c>
      <c r="M22" s="20">
        <f>I22*(22.414/64)*0.372</f>
        <v>1042.251</v>
      </c>
      <c r="N22" s="18">
        <f>J22-(I22*26.7/100*1.5)</f>
        <v>4796</v>
      </c>
      <c r="O22" s="8">
        <f t="shared" si="49"/>
        <v>310.14999999999998</v>
      </c>
      <c r="P22" s="8">
        <f t="shared" si="50"/>
        <v>1000</v>
      </c>
      <c r="Q22" s="8">
        <f t="shared" si="51"/>
        <v>8.3333333333333329E-2</v>
      </c>
      <c r="R22" s="8">
        <f t="shared" si="52"/>
        <v>0.8881842302218832</v>
      </c>
      <c r="S22" s="8">
        <f t="shared" si="53"/>
        <v>6.5565324427608707E-2</v>
      </c>
      <c r="T22" s="10">
        <f t="shared" si="5"/>
        <v>5.0796328360295823E-4</v>
      </c>
      <c r="U22" s="12">
        <f t="shared" si="54"/>
        <v>2.8782078339679551E-6</v>
      </c>
      <c r="V22" s="10">
        <f t="shared" si="55"/>
        <v>8.3236134033026321E-2</v>
      </c>
      <c r="W22" s="9" t="str">
        <f t="shared" si="8"/>
        <v>Crossover-limited</v>
      </c>
      <c r="X22" s="15">
        <f t="shared" si="56"/>
        <v>0.66666666666666663</v>
      </c>
      <c r="Y22" s="15">
        <f t="shared" si="57"/>
        <v>0.33333333333333337</v>
      </c>
      <c r="Z22" s="15">
        <f t="shared" si="58"/>
        <v>0.26700000000000002</v>
      </c>
      <c r="AA22" s="15">
        <f t="shared" si="59"/>
        <v>0.37199999999999994</v>
      </c>
      <c r="AB22" s="15">
        <f t="shared" si="60"/>
        <v>-0.39966666666666661</v>
      </c>
      <c r="AC22" s="15">
        <f t="shared" si="61"/>
        <v>3.8666666666666571E-2</v>
      </c>
      <c r="AD22" s="15">
        <f t="shared" si="62"/>
        <v>0.63900000000000001</v>
      </c>
      <c r="AE22" s="16">
        <f t="shared" si="63"/>
        <v>0.99883360839631585</v>
      </c>
    </row>
    <row r="23" spans="1:31" x14ac:dyDescent="0.2">
      <c r="A23" s="5">
        <v>22</v>
      </c>
      <c r="B23" s="5" t="s">
        <v>92</v>
      </c>
      <c r="C23" s="5" t="s">
        <v>23</v>
      </c>
      <c r="D23" s="5" t="s">
        <v>196</v>
      </c>
      <c r="E23" s="5" t="s">
        <v>98</v>
      </c>
      <c r="F23" s="5" t="s">
        <v>99</v>
      </c>
      <c r="G23" s="5">
        <v>7.9</v>
      </c>
      <c r="H23" s="5">
        <v>37</v>
      </c>
      <c r="I23" s="17">
        <v>8000</v>
      </c>
      <c r="J23" s="17">
        <f>I23/10</f>
        <v>800</v>
      </c>
      <c r="K23" s="17">
        <f t="shared" si="64"/>
        <v>6563.088975203631</v>
      </c>
      <c r="L23" s="17">
        <v>50</v>
      </c>
      <c r="M23" s="20">
        <f>I23*(22.414/64)*0.826</f>
        <v>2314.2455</v>
      </c>
      <c r="N23" s="18">
        <f>J23-(I23*6/100*1.5)</f>
        <v>80</v>
      </c>
      <c r="O23" s="8">
        <f t="shared" si="49"/>
        <v>310.14999999999998</v>
      </c>
      <c r="P23" s="8">
        <f t="shared" si="50"/>
        <v>1000</v>
      </c>
      <c r="Q23" s="8">
        <f t="shared" si="51"/>
        <v>8.3333333333333332E-3</v>
      </c>
      <c r="R23" s="8">
        <f t="shared" si="52"/>
        <v>0.8881842302218832</v>
      </c>
      <c r="S23" s="8">
        <f t="shared" si="53"/>
        <v>6.5565324427608707E-2</v>
      </c>
      <c r="T23" s="10">
        <f>0.0013*EXP(1900*(1/O23-1/298.15))*L23/100</f>
        <v>5.0796328360295823E-4</v>
      </c>
      <c r="U23" s="12">
        <f t="shared" si="54"/>
        <v>2.8782078339679551E-6</v>
      </c>
      <c r="V23" s="10">
        <f t="shared" si="55"/>
        <v>8.3298863724144152E-3</v>
      </c>
      <c r="W23" s="9" t="str">
        <f t="shared" si="8"/>
        <v>Crossover-limited</v>
      </c>
      <c r="X23" s="15">
        <f t="shared" si="56"/>
        <v>6.6666666666666666E-2</v>
      </c>
      <c r="Y23" s="15">
        <f t="shared" si="57"/>
        <v>0.93333333333333335</v>
      </c>
      <c r="Z23" s="15">
        <f t="shared" si="58"/>
        <v>0.06</v>
      </c>
      <c r="AA23" s="15">
        <f t="shared" si="59"/>
        <v>0.82599999999999985</v>
      </c>
      <c r="AB23" s="15">
        <f t="shared" si="60"/>
        <v>-6.666666666666668E-3</v>
      </c>
      <c r="AC23" s="15">
        <f t="shared" si="61"/>
        <v>-0.1073333333333335</v>
      </c>
      <c r="AD23" s="15">
        <f t="shared" si="62"/>
        <v>0.8859999999999999</v>
      </c>
      <c r="AE23" s="16">
        <f t="shared" si="63"/>
        <v>0.99958636468972983</v>
      </c>
    </row>
    <row r="24" spans="1:31" x14ac:dyDescent="0.2">
      <c r="A24" s="5">
        <v>23</v>
      </c>
      <c r="B24" s="5" t="s">
        <v>93</v>
      </c>
      <c r="C24" s="5" t="s">
        <v>23</v>
      </c>
      <c r="D24" s="5" t="s">
        <v>196</v>
      </c>
      <c r="E24" s="5" t="s">
        <v>100</v>
      </c>
      <c r="F24" s="5" t="s">
        <v>101</v>
      </c>
      <c r="G24" s="5">
        <v>7.9</v>
      </c>
      <c r="H24" s="5">
        <v>37</v>
      </c>
      <c r="I24" s="17">
        <v>8000</v>
      </c>
      <c r="J24" s="17">
        <f>I24/7.5</f>
        <v>1066.6666666666667</v>
      </c>
      <c r="K24" s="17">
        <f t="shared" si="64"/>
        <v>6563.088975203631</v>
      </c>
      <c r="L24" s="17">
        <v>50</v>
      </c>
      <c r="M24" s="20">
        <f>I24*(22.414/64)*0.817</f>
        <v>2289.0297499999997</v>
      </c>
      <c r="N24" s="18">
        <f>J24-(I24*8.1/100*1.5)</f>
        <v>94.666666666666742</v>
      </c>
      <c r="O24" s="8">
        <f t="shared" si="49"/>
        <v>310.14999999999998</v>
      </c>
      <c r="P24" s="8">
        <f t="shared" si="50"/>
        <v>1000</v>
      </c>
      <c r="Q24" s="8">
        <f t="shared" si="51"/>
        <v>1.1111111111111112E-2</v>
      </c>
      <c r="R24" s="8">
        <f t="shared" si="52"/>
        <v>0.8881842302218832</v>
      </c>
      <c r="S24" s="8">
        <f t="shared" si="53"/>
        <v>6.5565324427608707E-2</v>
      </c>
      <c r="T24" s="10">
        <f t="shared" si="5"/>
        <v>5.0796328360295823E-4</v>
      </c>
      <c r="U24" s="12">
        <f t="shared" si="54"/>
        <v>2.8782078339679551E-6</v>
      </c>
      <c r="V24" s="10">
        <f t="shared" si="55"/>
        <v>1.1106204937229202E-2</v>
      </c>
      <c r="W24" s="9" t="str">
        <f t="shared" si="8"/>
        <v>Crossover-limited</v>
      </c>
      <c r="X24" s="15">
        <f t="shared" si="56"/>
        <v>8.8888888888888892E-2</v>
      </c>
      <c r="Y24" s="15">
        <f t="shared" si="57"/>
        <v>0.91111111111111109</v>
      </c>
      <c r="Z24" s="15">
        <f t="shared" si="58"/>
        <v>8.1000000000000003E-2</v>
      </c>
      <c r="AA24" s="15">
        <f t="shared" si="59"/>
        <v>0.81699999999999984</v>
      </c>
      <c r="AB24" s="15">
        <f t="shared" si="60"/>
        <v>-7.8888888888888897E-3</v>
      </c>
      <c r="AC24" s="15">
        <f t="shared" si="61"/>
        <v>-9.4111111111111256E-2</v>
      </c>
      <c r="AD24" s="15">
        <f t="shared" si="62"/>
        <v>0.8979999999999998</v>
      </c>
      <c r="AE24" s="16">
        <f t="shared" si="63"/>
        <v>0.99955844435062813</v>
      </c>
    </row>
    <row r="25" spans="1:31" x14ac:dyDescent="0.2">
      <c r="A25" s="5">
        <v>24</v>
      </c>
      <c r="B25" s="5" t="s">
        <v>94</v>
      </c>
      <c r="C25" s="5" t="s">
        <v>23</v>
      </c>
      <c r="D25" s="5" t="s">
        <v>196</v>
      </c>
      <c r="E25" s="5" t="s">
        <v>102</v>
      </c>
      <c r="F25" s="5" t="s">
        <v>103</v>
      </c>
      <c r="G25" s="5">
        <v>7.9</v>
      </c>
      <c r="H25" s="5">
        <v>37</v>
      </c>
      <c r="I25" s="17">
        <v>8000</v>
      </c>
      <c r="J25" s="17">
        <f>I25/5</f>
        <v>1600</v>
      </c>
      <c r="K25" s="17">
        <f t="shared" si="64"/>
        <v>6563.088975203631</v>
      </c>
      <c r="L25" s="17">
        <v>50</v>
      </c>
      <c r="M25" s="20">
        <f>I25*(22.414/64)*0.778</f>
        <v>2179.7615000000001</v>
      </c>
      <c r="N25" s="18">
        <f>J25-(I25*12/100*1.5)</f>
        <v>160</v>
      </c>
      <c r="O25" s="8">
        <f t="shared" si="49"/>
        <v>310.14999999999998</v>
      </c>
      <c r="P25" s="8">
        <f t="shared" si="50"/>
        <v>1000</v>
      </c>
      <c r="Q25" s="8">
        <f t="shared" si="51"/>
        <v>1.6666666666666666E-2</v>
      </c>
      <c r="R25" s="8">
        <f t="shared" si="52"/>
        <v>0.8881842302218832</v>
      </c>
      <c r="S25" s="8">
        <f t="shared" si="53"/>
        <v>6.5565324427608707E-2</v>
      </c>
      <c r="T25" s="10">
        <f t="shared" si="5"/>
        <v>5.0796328360295823E-4</v>
      </c>
      <c r="U25" s="12">
        <f t="shared" si="54"/>
        <v>2.8782078339679551E-6</v>
      </c>
      <c r="V25" s="10">
        <f t="shared" si="55"/>
        <v>1.6658376883789541E-2</v>
      </c>
      <c r="W25" s="9" t="str">
        <f t="shared" si="8"/>
        <v>Crossover-limited</v>
      </c>
      <c r="X25" s="15">
        <f t="shared" si="56"/>
        <v>0.13333333333333333</v>
      </c>
      <c r="Y25" s="15">
        <f t="shared" si="57"/>
        <v>0.8666666666666667</v>
      </c>
      <c r="Z25" s="15">
        <f t="shared" si="58"/>
        <v>0.12</v>
      </c>
      <c r="AA25" s="15">
        <f t="shared" si="59"/>
        <v>0.77800000000000002</v>
      </c>
      <c r="AB25" s="15">
        <f t="shared" si="60"/>
        <v>-1.3333333333333336E-2</v>
      </c>
      <c r="AC25" s="15">
        <f t="shared" si="61"/>
        <v>-8.8666666666666671E-2</v>
      </c>
      <c r="AD25" s="15">
        <f t="shared" si="62"/>
        <v>0.89800000000000002</v>
      </c>
      <c r="AE25" s="16">
        <f t="shared" si="63"/>
        <v>0.99950261302737242</v>
      </c>
    </row>
    <row r="26" spans="1:31" x14ac:dyDescent="0.2">
      <c r="A26" s="5">
        <v>25</v>
      </c>
      <c r="B26" s="5" t="s">
        <v>95</v>
      </c>
      <c r="C26" s="5" t="s">
        <v>23</v>
      </c>
      <c r="D26" s="5" t="s">
        <v>196</v>
      </c>
      <c r="E26" s="5" t="s">
        <v>104</v>
      </c>
      <c r="F26" s="5" t="s">
        <v>105</v>
      </c>
      <c r="G26" s="5">
        <v>7.9</v>
      </c>
      <c r="H26" s="5">
        <v>37</v>
      </c>
      <c r="I26" s="17">
        <v>8000</v>
      </c>
      <c r="J26" s="17">
        <f>I26/3</f>
        <v>2666.6666666666665</v>
      </c>
      <c r="K26" s="17">
        <f t="shared" si="64"/>
        <v>6563.088975203631</v>
      </c>
      <c r="L26" s="17">
        <v>50</v>
      </c>
      <c r="M26" s="20">
        <f>I26*(22.414/64)*0.692</f>
        <v>1938.8109999999999</v>
      </c>
      <c r="N26" s="18">
        <f>J26-(I26*18.9/100*1.5)</f>
        <v>398.66666666666652</v>
      </c>
      <c r="O26" s="8">
        <f t="shared" ref="O26:O28" si="65">H26+273.15</f>
        <v>310.14999999999998</v>
      </c>
      <c r="P26" s="8">
        <f t="shared" ref="P26:P28" si="66">I26/8</f>
        <v>1000</v>
      </c>
      <c r="Q26" s="8">
        <f t="shared" ref="Q26:Q28" si="67">J26/1000/96</f>
        <v>2.7777777777777776E-2</v>
      </c>
      <c r="R26" s="8">
        <f t="shared" ref="R26:R28" si="68">1/(1+10^(7-G26))</f>
        <v>0.8881842302218832</v>
      </c>
      <c r="S26" s="8">
        <f t="shared" ref="S26:S28" si="69">K26/1000/100.1</f>
        <v>6.5565324427608707E-2</v>
      </c>
      <c r="T26" s="10">
        <f t="shared" si="5"/>
        <v>5.0796328360295823E-4</v>
      </c>
      <c r="U26" s="12">
        <f t="shared" ref="U26:U28" si="70">EXP(-3957/O26)</f>
        <v>2.8782078339679551E-6</v>
      </c>
      <c r="V26" s="10">
        <f t="shared" ref="V26:V28" si="71">(-(U26*R26*S26+T26)+SQRT((U26*R26*S26+T26)^2+8*U26*R26*T26*Q26))/(4*U26*R26)</f>
        <v>2.7760860771929283E-2</v>
      </c>
      <c r="W26" s="9" t="str">
        <f t="shared" si="8"/>
        <v>Crossover-limited</v>
      </c>
      <c r="X26" s="15">
        <f t="shared" ref="X26:X28" si="72">MIN(8*Q26*1000,P26)/P26</f>
        <v>0.22222222222222221</v>
      </c>
      <c r="Y26" s="15">
        <f t="shared" ref="Y26:Y28" si="73">1-X26</f>
        <v>0.77777777777777779</v>
      </c>
      <c r="Z26" s="15">
        <f t="shared" ref="Z26:Z28" si="74">((J26-N26)/96*8)/P26</f>
        <v>0.189</v>
      </c>
      <c r="AA26" s="15">
        <f t="shared" ref="AA26:AA28" si="75">(M26/22.414*8)/P26</f>
        <v>0.69199999999999984</v>
      </c>
      <c r="AB26" s="15">
        <f t="shared" ref="AB26:AB28" si="76">Z26-X26</f>
        <v>-3.3222222222222209E-2</v>
      </c>
      <c r="AC26" s="15">
        <f t="shared" ref="AC26:AC28" si="77">AA26-Y26</f>
        <v>-8.5777777777777953E-2</v>
      </c>
      <c r="AD26" s="15">
        <f t="shared" ref="AD26:AD28" si="78">Z26+AA26</f>
        <v>0.88099999999999978</v>
      </c>
      <c r="AE26" s="16">
        <f t="shared" ref="AE26:AE28" si="79">V26/Q26</f>
        <v>0.99939098778945423</v>
      </c>
    </row>
    <row r="27" spans="1:31" x14ac:dyDescent="0.2">
      <c r="A27" s="5">
        <v>26</v>
      </c>
      <c r="B27" s="5" t="s">
        <v>96</v>
      </c>
      <c r="C27" s="5" t="s">
        <v>23</v>
      </c>
      <c r="D27" s="5" t="s">
        <v>196</v>
      </c>
      <c r="E27" s="5" t="s">
        <v>106</v>
      </c>
      <c r="F27" s="5" t="s">
        <v>107</v>
      </c>
      <c r="G27" s="5">
        <v>7.9</v>
      </c>
      <c r="H27" s="5">
        <v>37</v>
      </c>
      <c r="I27" s="17">
        <v>8000</v>
      </c>
      <c r="J27" s="17">
        <f>I27/2</f>
        <v>4000</v>
      </c>
      <c r="K27" s="17">
        <f t="shared" si="64"/>
        <v>6563.088975203631</v>
      </c>
      <c r="L27" s="17">
        <v>50</v>
      </c>
      <c r="M27" s="20">
        <f>I27*(22.414/64)*0.593</f>
        <v>1661.4377499999998</v>
      </c>
      <c r="N27" s="18">
        <f>J27-(I27*27.3/100*1.5)</f>
        <v>724</v>
      </c>
      <c r="O27" s="8">
        <f t="shared" si="65"/>
        <v>310.14999999999998</v>
      </c>
      <c r="P27" s="8">
        <f t="shared" si="66"/>
        <v>1000</v>
      </c>
      <c r="Q27" s="8">
        <f t="shared" si="67"/>
        <v>4.1666666666666664E-2</v>
      </c>
      <c r="R27" s="8">
        <f t="shared" si="68"/>
        <v>0.8881842302218832</v>
      </c>
      <c r="S27" s="8">
        <f t="shared" si="69"/>
        <v>6.5565324427608707E-2</v>
      </c>
      <c r="T27" s="10">
        <f t="shared" si="5"/>
        <v>5.0796328360295823E-4</v>
      </c>
      <c r="U27" s="12">
        <f t="shared" si="70"/>
        <v>2.8782078339679551E-6</v>
      </c>
      <c r="V27" s="10">
        <f t="shared" si="71"/>
        <v>4.1635480263659222E-2</v>
      </c>
      <c r="W27" s="9" t="str">
        <f t="shared" si="8"/>
        <v>Crossover-limited</v>
      </c>
      <c r="X27" s="15">
        <f t="shared" si="72"/>
        <v>0.33333333333333331</v>
      </c>
      <c r="Y27" s="15">
        <f t="shared" si="73"/>
        <v>0.66666666666666674</v>
      </c>
      <c r="Z27" s="15">
        <f t="shared" si="74"/>
        <v>0.27300000000000002</v>
      </c>
      <c r="AA27" s="15">
        <f t="shared" si="75"/>
        <v>0.59299999999999986</v>
      </c>
      <c r="AB27" s="15">
        <f t="shared" si="76"/>
        <v>-6.0333333333333294E-2</v>
      </c>
      <c r="AC27" s="15">
        <f t="shared" si="77"/>
        <v>-7.366666666666688E-2</v>
      </c>
      <c r="AD27" s="15">
        <f t="shared" si="78"/>
        <v>0.86599999999999988</v>
      </c>
      <c r="AE27" s="16">
        <f t="shared" si="79"/>
        <v>0.99925152632782133</v>
      </c>
    </row>
    <row r="28" spans="1:31" x14ac:dyDescent="0.2">
      <c r="A28" s="5">
        <v>27</v>
      </c>
      <c r="B28" s="5" t="s">
        <v>97</v>
      </c>
      <c r="C28" s="5" t="s">
        <v>23</v>
      </c>
      <c r="D28" s="5" t="s">
        <v>196</v>
      </c>
      <c r="E28" s="5" t="s">
        <v>108</v>
      </c>
      <c r="F28" s="5" t="s">
        <v>109</v>
      </c>
      <c r="G28" s="5">
        <v>7.9</v>
      </c>
      <c r="H28" s="5">
        <v>37</v>
      </c>
      <c r="I28" s="17">
        <v>8000</v>
      </c>
      <c r="J28" s="17">
        <f>I28/1</f>
        <v>8000</v>
      </c>
      <c r="K28" s="17">
        <f t="shared" si="64"/>
        <v>6563.088975203631</v>
      </c>
      <c r="L28" s="17">
        <v>50</v>
      </c>
      <c r="M28" s="20">
        <f>I28*(22.414/64)*0.521</f>
        <v>1459.7117500000002</v>
      </c>
      <c r="N28" s="18">
        <f>J28-(I28*31.4/100*1.5)</f>
        <v>4232</v>
      </c>
      <c r="O28" s="8">
        <f t="shared" si="65"/>
        <v>310.14999999999998</v>
      </c>
      <c r="P28" s="8">
        <f t="shared" si="66"/>
        <v>1000</v>
      </c>
      <c r="Q28" s="8">
        <f t="shared" si="67"/>
        <v>8.3333333333333329E-2</v>
      </c>
      <c r="R28" s="8">
        <f t="shared" si="68"/>
        <v>0.8881842302218832</v>
      </c>
      <c r="S28" s="8">
        <f t="shared" si="69"/>
        <v>6.5565324427608707E-2</v>
      </c>
      <c r="T28" s="10">
        <f t="shared" si="5"/>
        <v>5.0796328360295823E-4</v>
      </c>
      <c r="U28" s="12">
        <f t="shared" si="70"/>
        <v>2.8782078339679551E-6</v>
      </c>
      <c r="V28" s="10">
        <f t="shared" si="71"/>
        <v>8.3236134033026321E-2</v>
      </c>
      <c r="W28" s="9" t="str">
        <f t="shared" si="8"/>
        <v>Crossover-limited</v>
      </c>
      <c r="X28" s="15">
        <f t="shared" si="72"/>
        <v>0.66666666666666663</v>
      </c>
      <c r="Y28" s="15">
        <f t="shared" si="73"/>
        <v>0.33333333333333337</v>
      </c>
      <c r="Z28" s="15">
        <f t="shared" si="74"/>
        <v>0.314</v>
      </c>
      <c r="AA28" s="15">
        <f t="shared" si="75"/>
        <v>0.52100000000000002</v>
      </c>
      <c r="AB28" s="15">
        <f t="shared" si="76"/>
        <v>-0.35266666666666663</v>
      </c>
      <c r="AC28" s="15">
        <f t="shared" si="77"/>
        <v>0.18766666666666665</v>
      </c>
      <c r="AD28" s="15">
        <f t="shared" si="78"/>
        <v>0.83499999999999996</v>
      </c>
      <c r="AE28" s="16">
        <f t="shared" si="79"/>
        <v>0.99883360839631585</v>
      </c>
    </row>
    <row r="29" spans="1:31" x14ac:dyDescent="0.2">
      <c r="A29" s="5">
        <v>28</v>
      </c>
      <c r="B29" s="5" t="s">
        <v>110</v>
      </c>
      <c r="C29" s="5" t="s">
        <v>55</v>
      </c>
      <c r="D29" s="5" t="s">
        <v>201</v>
      </c>
      <c r="E29" s="5" t="s">
        <v>115</v>
      </c>
      <c r="F29" s="5" t="s">
        <v>115</v>
      </c>
      <c r="G29" s="5">
        <v>7.3</v>
      </c>
      <c r="H29" s="5">
        <v>25</v>
      </c>
      <c r="I29" s="17">
        <v>762</v>
      </c>
      <c r="J29" s="17">
        <v>289</v>
      </c>
      <c r="K29" s="17">
        <f>14.2*(100.115/50)</f>
        <v>28.432659999999998</v>
      </c>
      <c r="L29" s="17">
        <v>50</v>
      </c>
      <c r="M29" s="20">
        <f>0.0035*22.414</f>
        <v>7.8449000000000005E-2</v>
      </c>
      <c r="N29" s="18">
        <v>103.6</v>
      </c>
      <c r="O29" s="8">
        <f t="shared" ref="O29:O39" si="80">H29+273.15</f>
        <v>298.14999999999998</v>
      </c>
      <c r="P29" s="8">
        <f t="shared" ref="P29:P39" si="81">I29/8</f>
        <v>95.25</v>
      </c>
      <c r="Q29" s="8">
        <f t="shared" ref="Q29:Q39" si="82">J29/1000/96</f>
        <v>3.0104166666666664E-3</v>
      </c>
      <c r="R29" s="8">
        <f t="shared" ref="R29:R39" si="83">1/(1+10^(7-G29))</f>
        <v>0.66613942458312203</v>
      </c>
      <c r="S29" s="8">
        <f t="shared" ref="S29:S39" si="84">K29/1000/100.1</f>
        <v>2.8404255744255742E-4</v>
      </c>
      <c r="T29" s="10">
        <f t="shared" si="5"/>
        <v>6.4999999999999997E-4</v>
      </c>
      <c r="U29" s="12">
        <f t="shared" ref="U29:U39" si="85">EXP(-3957/O29)</f>
        <v>1.7223119167621215E-6</v>
      </c>
      <c r="V29" s="10">
        <f t="shared" ref="V29:V39" si="86">(-(U29*R29*S29+T29)+SQRT((U29*R29*S29+T29)^2+8*U29*R29*T29*Q29))/(4*U29*R29)</f>
        <v>3.0103831657159546E-3</v>
      </c>
      <c r="W29" s="9" t="str">
        <f t="shared" si="8"/>
        <v>Crossover-limited</v>
      </c>
      <c r="X29" s="15">
        <f t="shared" ref="X29:X39" si="87">MIN(8*Q29*1000,P29)/P29</f>
        <v>0.252843394575678</v>
      </c>
      <c r="Y29" s="15">
        <f t="shared" ref="Y29:Y39" si="88">1-X29</f>
        <v>0.74715660542432194</v>
      </c>
      <c r="Z29" s="15">
        <f t="shared" ref="Z29:Z39" si="89">((J29-N29)/96*8)/P29</f>
        <v>0.16220472440944883</v>
      </c>
      <c r="AA29" s="15">
        <f t="shared" ref="AA29:AA39" si="90">(M29/22.414*8)/P29</f>
        <v>2.9396325459317586E-4</v>
      </c>
      <c r="AB29" s="15">
        <f t="shared" ref="AB29:AB39" si="91">Z29-X29</f>
        <v>-9.0638670166229174E-2</v>
      </c>
      <c r="AC29" s="15">
        <f t="shared" ref="AC29:AC39" si="92">AA29-Y29</f>
        <v>-0.74686264216972875</v>
      </c>
      <c r="AD29" s="15">
        <f t="shared" ref="AD29:AD39" si="93">Z29+AA29</f>
        <v>0.16249868766404202</v>
      </c>
      <c r="AE29" s="16">
        <f>V29/Q29</f>
        <v>0.99998887165651096</v>
      </c>
    </row>
    <row r="30" spans="1:31" x14ac:dyDescent="0.2">
      <c r="A30" s="5">
        <v>29</v>
      </c>
      <c r="B30" s="5" t="s">
        <v>111</v>
      </c>
      <c r="C30" s="5" t="s">
        <v>55</v>
      </c>
      <c r="D30" s="5" t="s">
        <v>201</v>
      </c>
      <c r="E30" s="5" t="s">
        <v>116</v>
      </c>
      <c r="F30" s="5" t="s">
        <v>116</v>
      </c>
      <c r="G30" s="5">
        <v>7.2</v>
      </c>
      <c r="H30" s="5">
        <v>25</v>
      </c>
      <c r="I30" s="17">
        <v>1757</v>
      </c>
      <c r="J30" s="17">
        <v>572</v>
      </c>
      <c r="K30" s="17">
        <f>18.8*(100.115/50)</f>
        <v>37.643239999999999</v>
      </c>
      <c r="L30" s="17">
        <v>50</v>
      </c>
      <c r="M30" s="20">
        <f>0.0085*22.414</f>
        <v>0.19051900000000002</v>
      </c>
      <c r="N30" s="18">
        <v>31.9</v>
      </c>
      <c r="O30" s="8">
        <f t="shared" si="80"/>
        <v>298.14999999999998</v>
      </c>
      <c r="P30" s="8">
        <f t="shared" si="81"/>
        <v>219.625</v>
      </c>
      <c r="Q30" s="8">
        <f t="shared" si="82"/>
        <v>5.9583333333333328E-3</v>
      </c>
      <c r="R30" s="8">
        <f t="shared" si="83"/>
        <v>0.61313682015314319</v>
      </c>
      <c r="S30" s="8">
        <f t="shared" si="84"/>
        <v>3.7605634365634372E-4</v>
      </c>
      <c r="T30" s="10">
        <f t="shared" si="5"/>
        <v>6.4999999999999997E-4</v>
      </c>
      <c r="U30" s="12">
        <f t="shared" si="85"/>
        <v>1.7223119167621215E-6</v>
      </c>
      <c r="V30" s="10">
        <f t="shared" si="86"/>
        <v>5.9582143430039845E-3</v>
      </c>
      <c r="W30" s="9" t="str">
        <f t="shared" si="8"/>
        <v>Crossover-limited</v>
      </c>
      <c r="X30" s="15">
        <f t="shared" si="87"/>
        <v>0.21703661544298994</v>
      </c>
      <c r="Y30" s="15">
        <f t="shared" si="88"/>
        <v>0.78296338455701009</v>
      </c>
      <c r="Z30" s="15">
        <f t="shared" si="89"/>
        <v>0.20493265035097705</v>
      </c>
      <c r="AA30" s="15">
        <f t="shared" si="90"/>
        <v>3.0961866818440527E-4</v>
      </c>
      <c r="AB30" s="15">
        <f t="shared" si="91"/>
        <v>-1.2103965092012892E-2</v>
      </c>
      <c r="AC30" s="15">
        <f t="shared" si="92"/>
        <v>-0.78265376588882574</v>
      </c>
      <c r="AD30" s="15">
        <f t="shared" si="93"/>
        <v>0.20524226901916146</v>
      </c>
      <c r="AE30" s="16">
        <f t="shared" ref="AE30:AE39" si="94">V30/Q30</f>
        <v>0.99998002959507437</v>
      </c>
    </row>
    <row r="31" spans="1:31" x14ac:dyDescent="0.2">
      <c r="A31" s="5">
        <v>30</v>
      </c>
      <c r="B31" s="5" t="s">
        <v>112</v>
      </c>
      <c r="C31" s="5" t="s">
        <v>55</v>
      </c>
      <c r="D31" s="5" t="s">
        <v>201</v>
      </c>
      <c r="E31" s="5" t="s">
        <v>117</v>
      </c>
      <c r="F31" s="5" t="s">
        <v>117</v>
      </c>
      <c r="G31" s="5">
        <v>7.1</v>
      </c>
      <c r="H31" s="5">
        <v>25</v>
      </c>
      <c r="I31" s="17">
        <v>3839</v>
      </c>
      <c r="J31" s="17">
        <v>1048</v>
      </c>
      <c r="K31" s="17">
        <f>15.7*(100.115/50)</f>
        <v>31.436109999999999</v>
      </c>
      <c r="L31" s="17">
        <v>50</v>
      </c>
      <c r="M31" s="20">
        <f>0.017*22.414</f>
        <v>0.38103800000000004</v>
      </c>
      <c r="N31" s="18">
        <v>56.4</v>
      </c>
      <c r="O31" s="8">
        <f t="shared" si="80"/>
        <v>298.14999999999998</v>
      </c>
      <c r="P31" s="8">
        <f t="shared" si="81"/>
        <v>479.875</v>
      </c>
      <c r="Q31" s="8">
        <f t="shared" si="82"/>
        <v>1.0916666666666667E-2</v>
      </c>
      <c r="R31" s="8">
        <f t="shared" si="83"/>
        <v>0.55731163376229254</v>
      </c>
      <c r="S31" s="8">
        <f t="shared" si="84"/>
        <v>3.1404705294705291E-4</v>
      </c>
      <c r="T31" s="10">
        <f t="shared" si="5"/>
        <v>6.4999999999999997E-4</v>
      </c>
      <c r="U31" s="12">
        <f t="shared" si="85"/>
        <v>1.7223119167621215E-6</v>
      </c>
      <c r="V31" s="10">
        <f t="shared" si="86"/>
        <v>1.0916309656342127E-2</v>
      </c>
      <c r="W31" s="9" t="str">
        <f t="shared" si="8"/>
        <v>Crossover-limited</v>
      </c>
      <c r="X31" s="15">
        <f t="shared" si="87"/>
        <v>0.18199183815229661</v>
      </c>
      <c r="Y31" s="15">
        <f t="shared" si="88"/>
        <v>0.81800816184770342</v>
      </c>
      <c r="Z31" s="15">
        <f t="shared" si="89"/>
        <v>0.17219762090822263</v>
      </c>
      <c r="AA31" s="15">
        <f t="shared" si="90"/>
        <v>2.8340713727533211E-4</v>
      </c>
      <c r="AB31" s="15">
        <f t="shared" si="91"/>
        <v>-9.7942172440739772E-3</v>
      </c>
      <c r="AC31" s="15">
        <f t="shared" si="92"/>
        <v>-0.81772475471042805</v>
      </c>
      <c r="AD31" s="15">
        <f t="shared" si="93"/>
        <v>0.17248102804549797</v>
      </c>
      <c r="AE31" s="16">
        <f t="shared" si="94"/>
        <v>0.99996729676416429</v>
      </c>
    </row>
    <row r="32" spans="1:31" x14ac:dyDescent="0.2">
      <c r="A32" s="5">
        <v>31</v>
      </c>
      <c r="B32" s="5" t="s">
        <v>113</v>
      </c>
      <c r="C32" s="5" t="s">
        <v>55</v>
      </c>
      <c r="D32" s="5" t="s">
        <v>201</v>
      </c>
      <c r="E32" s="5" t="s">
        <v>118</v>
      </c>
      <c r="F32" s="5" t="s">
        <v>118</v>
      </c>
      <c r="G32" s="5">
        <v>6.5</v>
      </c>
      <c r="H32" s="5">
        <v>25</v>
      </c>
      <c r="I32" s="17">
        <v>7614</v>
      </c>
      <c r="J32" s="17">
        <v>2092</v>
      </c>
      <c r="K32" s="17">
        <f>15.2*(100.115/50)</f>
        <v>30.434959999999997</v>
      </c>
      <c r="L32" s="17">
        <v>50</v>
      </c>
      <c r="M32" s="20">
        <f>0.002*22.414</f>
        <v>4.4828000000000007E-2</v>
      </c>
      <c r="N32" s="18">
        <v>247.8</v>
      </c>
      <c r="O32" s="8">
        <f t="shared" si="80"/>
        <v>298.14999999999998</v>
      </c>
      <c r="P32" s="8">
        <f t="shared" si="81"/>
        <v>951.75</v>
      </c>
      <c r="Q32" s="8">
        <f t="shared" si="82"/>
        <v>2.1791666666666668E-2</v>
      </c>
      <c r="R32" s="8">
        <f t="shared" si="83"/>
        <v>0.2402530733520421</v>
      </c>
      <c r="S32" s="8">
        <f t="shared" si="84"/>
        <v>3.0404555444555443E-4</v>
      </c>
      <c r="T32" s="10">
        <f t="shared" si="5"/>
        <v>6.4999999999999997E-4</v>
      </c>
      <c r="U32" s="12">
        <f t="shared" si="85"/>
        <v>1.7223119167621215E-6</v>
      </c>
      <c r="V32" s="10">
        <f t="shared" si="86"/>
        <v>2.1791057868545859E-2</v>
      </c>
      <c r="W32" s="9" t="str">
        <f t="shared" si="8"/>
        <v>Crossover-limited</v>
      </c>
      <c r="X32" s="15">
        <f t="shared" si="87"/>
        <v>0.1831713510200508</v>
      </c>
      <c r="Y32" s="15">
        <f t="shared" si="88"/>
        <v>0.81682864897994922</v>
      </c>
      <c r="Z32" s="15">
        <f t="shared" si="89"/>
        <v>0.1614744768409071</v>
      </c>
      <c r="AA32" s="15">
        <f t="shared" si="90"/>
        <v>1.6811137378513264E-5</v>
      </c>
      <c r="AB32" s="15">
        <f t="shared" si="91"/>
        <v>-2.1696874179143705E-2</v>
      </c>
      <c r="AC32" s="15">
        <f t="shared" si="92"/>
        <v>-0.81681183784257072</v>
      </c>
      <c r="AD32" s="15">
        <f t="shared" si="93"/>
        <v>0.1614912879782856</v>
      </c>
      <c r="AE32" s="16">
        <f t="shared" si="94"/>
        <v>0.99997206280133955</v>
      </c>
    </row>
    <row r="33" spans="1:31" x14ac:dyDescent="0.2">
      <c r="A33" s="5">
        <v>32</v>
      </c>
      <c r="B33" s="5" t="s">
        <v>114</v>
      </c>
      <c r="C33" s="5" t="s">
        <v>55</v>
      </c>
      <c r="D33" s="5" t="s">
        <v>201</v>
      </c>
      <c r="E33" s="5" t="s">
        <v>117</v>
      </c>
      <c r="F33" s="5" t="s">
        <v>117</v>
      </c>
      <c r="G33" s="5">
        <v>6.05</v>
      </c>
      <c r="H33" s="5">
        <v>25</v>
      </c>
      <c r="I33" s="17">
        <v>11652</v>
      </c>
      <c r="J33" s="17">
        <v>3179</v>
      </c>
      <c r="K33" s="17">
        <f>17.8*(100.115/50)</f>
        <v>35.640940000000001</v>
      </c>
      <c r="L33" s="17">
        <v>50</v>
      </c>
      <c r="M33" s="20">
        <f>0.0005*22.414</f>
        <v>1.1207000000000002E-2</v>
      </c>
      <c r="N33" s="18">
        <v>485.8</v>
      </c>
      <c r="O33" s="8">
        <f t="shared" si="80"/>
        <v>298.14999999999998</v>
      </c>
      <c r="P33" s="8">
        <f t="shared" si="81"/>
        <v>1456.5</v>
      </c>
      <c r="Q33" s="8">
        <f t="shared" si="82"/>
        <v>3.3114583333333329E-2</v>
      </c>
      <c r="R33" s="8">
        <f t="shared" si="83"/>
        <v>0.10088262835672326</v>
      </c>
      <c r="S33" s="8">
        <f t="shared" si="84"/>
        <v>3.5605334665334671E-4</v>
      </c>
      <c r="T33" s="10">
        <f t="shared" si="5"/>
        <v>6.4999999999999997E-4</v>
      </c>
      <c r="U33" s="12">
        <f t="shared" si="85"/>
        <v>1.7223119167621215E-6</v>
      </c>
      <c r="V33" s="10">
        <f t="shared" si="86"/>
        <v>3.3113993951823247E-2</v>
      </c>
      <c r="W33" s="9" t="str">
        <f t="shared" si="8"/>
        <v>Crossover-limited</v>
      </c>
      <c r="X33" s="15">
        <f t="shared" si="87"/>
        <v>0.18188579929053664</v>
      </c>
      <c r="Y33" s="15">
        <f t="shared" si="88"/>
        <v>0.81811420070946339</v>
      </c>
      <c r="Z33" s="15">
        <f t="shared" si="89"/>
        <v>0.15409085707746881</v>
      </c>
      <c r="AA33" s="15">
        <f t="shared" si="90"/>
        <v>2.7463096464126333E-6</v>
      </c>
      <c r="AB33" s="15">
        <f t="shared" si="91"/>
        <v>-2.779494221306783E-2</v>
      </c>
      <c r="AC33" s="15">
        <f t="shared" si="92"/>
        <v>-0.81811145439981703</v>
      </c>
      <c r="AD33" s="15">
        <f t="shared" si="93"/>
        <v>0.15409360338711522</v>
      </c>
      <c r="AE33" s="16">
        <f t="shared" si="94"/>
        <v>0.99998220175370622</v>
      </c>
    </row>
    <row r="34" spans="1:31" x14ac:dyDescent="0.2">
      <c r="A34" s="5">
        <v>33</v>
      </c>
      <c r="B34" s="5" t="s">
        <v>119</v>
      </c>
      <c r="C34" s="5" t="s">
        <v>121</v>
      </c>
      <c r="D34" s="5" t="s">
        <v>196</v>
      </c>
      <c r="E34" s="5" t="s">
        <v>41</v>
      </c>
      <c r="F34" s="5" t="s">
        <v>123</v>
      </c>
      <c r="G34" s="5">
        <f>(7+7.7)/2</f>
        <v>7.35</v>
      </c>
      <c r="H34" s="5">
        <f>(28+30)/2</f>
        <v>29</v>
      </c>
      <c r="I34" s="17">
        <v>9000</v>
      </c>
      <c r="J34" s="17">
        <v>4500</v>
      </c>
      <c r="K34" s="17">
        <f>((7000/84.01) + (1000/79.06)) *100.12</f>
        <v>9608.7201621793847</v>
      </c>
      <c r="L34" s="17">
        <v>2</v>
      </c>
      <c r="M34" s="20">
        <f>(7.57/(311.85/9))*1000/64*22.414</f>
        <v>76.512436868686862</v>
      </c>
      <c r="N34" s="18">
        <f>4500-(39.92/(311.85/9))*1000*96/64</f>
        <v>2771.8614718614717</v>
      </c>
      <c r="O34" s="8">
        <f t="shared" si="80"/>
        <v>302.14999999999998</v>
      </c>
      <c r="P34" s="8">
        <f t="shared" si="81"/>
        <v>1125</v>
      </c>
      <c r="Q34" s="8">
        <f t="shared" si="82"/>
        <v>4.6875E-2</v>
      </c>
      <c r="R34" s="8">
        <f t="shared" si="83"/>
        <v>0.69123615241476277</v>
      </c>
      <c r="S34" s="8">
        <f t="shared" si="84"/>
        <v>9.5991210411382463E-2</v>
      </c>
      <c r="T34" s="10">
        <f t="shared" si="5"/>
        <v>2.389651730765551E-5</v>
      </c>
      <c r="U34" s="12">
        <f t="shared" si="85"/>
        <v>2.0531316440963097E-6</v>
      </c>
      <c r="V34" s="10">
        <f t="shared" si="86"/>
        <v>4.6355498429426406E-2</v>
      </c>
      <c r="W34" s="9" t="str">
        <f t="shared" si="8"/>
        <v>Crossover-limited</v>
      </c>
      <c r="X34" s="15">
        <f t="shared" si="87"/>
        <v>0.33333333333333331</v>
      </c>
      <c r="Y34" s="15">
        <f t="shared" si="88"/>
        <v>0.66666666666666674</v>
      </c>
      <c r="Z34" s="15">
        <f t="shared" si="89"/>
        <v>0.12801026134359469</v>
      </c>
      <c r="AA34" s="15">
        <f t="shared" si="90"/>
        <v>2.4274490941157606E-2</v>
      </c>
      <c r="AB34" s="15">
        <f t="shared" si="91"/>
        <v>-0.20532307198973862</v>
      </c>
      <c r="AC34" s="15">
        <f t="shared" si="92"/>
        <v>-0.64239217572550911</v>
      </c>
      <c r="AD34" s="15">
        <f t="shared" si="93"/>
        <v>0.1522847522847523</v>
      </c>
      <c r="AE34" s="16">
        <f t="shared" si="94"/>
        <v>0.98891729982776333</v>
      </c>
    </row>
    <row r="35" spans="1:31" x14ac:dyDescent="0.2">
      <c r="A35" s="5">
        <v>34</v>
      </c>
      <c r="B35" s="5" t="s">
        <v>120</v>
      </c>
      <c r="C35" s="5" t="s">
        <v>121</v>
      </c>
      <c r="D35" s="5" t="s">
        <v>196</v>
      </c>
      <c r="E35" s="5" t="s">
        <v>122</v>
      </c>
      <c r="F35" s="5" t="s">
        <v>122</v>
      </c>
      <c r="G35" s="5">
        <v>7.38</v>
      </c>
      <c r="H35" s="5">
        <f>(28+30)/2</f>
        <v>29</v>
      </c>
      <c r="I35" s="17">
        <f>(441.18+28.85)/(441.18/9)*1000</f>
        <v>9588.535291717666</v>
      </c>
      <c r="J35" s="17">
        <v>4500</v>
      </c>
      <c r="K35" s="17">
        <f>((7000/84.01) + (1000/79.06)) *100.12</f>
        <v>9608.7201621793847</v>
      </c>
      <c r="L35" s="17">
        <v>75</v>
      </c>
      <c r="M35" s="20">
        <f>(226.84/(441.18/9))*1000/64*22.414</f>
        <v>1620.636908404733</v>
      </c>
      <c r="N35" s="18">
        <f>4500-(127.41/(441.18/9))*1000*96/64</f>
        <v>601.2851897184828</v>
      </c>
      <c r="O35" s="8">
        <f t="shared" si="80"/>
        <v>302.14999999999998</v>
      </c>
      <c r="P35" s="8">
        <f t="shared" si="81"/>
        <v>1198.5669114647083</v>
      </c>
      <c r="Q35" s="8">
        <f t="shared" si="82"/>
        <v>4.6875E-2</v>
      </c>
      <c r="R35" s="8">
        <f t="shared" si="83"/>
        <v>0.70578135971200251</v>
      </c>
      <c r="S35" s="8">
        <f t="shared" si="84"/>
        <v>9.5991210411382463E-2</v>
      </c>
      <c r="T35" s="10">
        <f t="shared" si="5"/>
        <v>8.9611939903708161E-4</v>
      </c>
      <c r="U35" s="12">
        <f t="shared" si="85"/>
        <v>2.0531316440963097E-6</v>
      </c>
      <c r="V35" s="10">
        <f t="shared" si="86"/>
        <v>4.686062443155084E-2</v>
      </c>
      <c r="W35" s="9" t="str">
        <f t="shared" si="8"/>
        <v>Crossover-limited</v>
      </c>
      <c r="X35" s="15">
        <f t="shared" si="87"/>
        <v>0.31287364636299814</v>
      </c>
      <c r="Y35" s="15">
        <f t="shared" si="88"/>
        <v>0.68712635363700181</v>
      </c>
      <c r="Z35" s="15">
        <f t="shared" si="89"/>
        <v>0.2710678041827117</v>
      </c>
      <c r="AA35" s="15">
        <f t="shared" si="90"/>
        <v>0.48260749313873585</v>
      </c>
      <c r="AB35" s="15">
        <f t="shared" si="91"/>
        <v>-4.1805842180286434E-2</v>
      </c>
      <c r="AC35" s="15">
        <f t="shared" si="92"/>
        <v>-0.20451886049826595</v>
      </c>
      <c r="AD35" s="15">
        <f t="shared" si="93"/>
        <v>0.75367529732144756</v>
      </c>
      <c r="AE35" s="16">
        <f t="shared" si="94"/>
        <v>0.99969332120641796</v>
      </c>
    </row>
    <row r="36" spans="1:31" x14ac:dyDescent="0.2">
      <c r="A36" s="5">
        <v>35</v>
      </c>
      <c r="B36" s="5" t="s">
        <v>124</v>
      </c>
      <c r="C36" s="5" t="s">
        <v>55</v>
      </c>
      <c r="D36" s="5" t="s">
        <v>202</v>
      </c>
      <c r="E36" s="5" t="s">
        <v>136</v>
      </c>
      <c r="F36" s="5" t="s">
        <v>123</v>
      </c>
      <c r="G36" s="5">
        <v>7.4</v>
      </c>
      <c r="H36" s="5">
        <v>35</v>
      </c>
      <c r="I36" s="17">
        <v>12283</v>
      </c>
      <c r="J36" s="17">
        <f>725*0.7</f>
        <v>507.49999999999994</v>
      </c>
      <c r="K36" s="17">
        <v>0</v>
      </c>
      <c r="L36" s="17">
        <v>50</v>
      </c>
      <c r="M36" s="20">
        <f>2816/0.8</f>
        <v>3520</v>
      </c>
      <c r="N36" s="18">
        <f>J36-(M36/22414*96000*(0.08/99.92))</f>
        <v>495.42931016536255</v>
      </c>
      <c r="O36" s="8">
        <f t="shared" si="80"/>
        <v>308.14999999999998</v>
      </c>
      <c r="P36" s="8">
        <f t="shared" si="81"/>
        <v>1535.375</v>
      </c>
      <c r="Q36" s="8">
        <f t="shared" si="82"/>
        <v>5.2864583333333331E-3</v>
      </c>
      <c r="R36" s="8">
        <f t="shared" si="83"/>
        <v>0.71525275104919883</v>
      </c>
      <c r="S36" s="8">
        <f t="shared" si="84"/>
        <v>0</v>
      </c>
      <c r="T36" s="10">
        <f t="shared" si="5"/>
        <v>5.2856694513038341E-4</v>
      </c>
      <c r="U36" s="12">
        <f t="shared" si="85"/>
        <v>2.6494756878768538E-6</v>
      </c>
      <c r="V36" s="10">
        <f t="shared" si="86"/>
        <v>5.2862579571235826E-3</v>
      </c>
      <c r="W36" s="9" t="str">
        <f t="shared" si="8"/>
        <v>Crossover-limited</v>
      </c>
      <c r="X36" s="15">
        <f t="shared" si="87"/>
        <v>2.7544845178973647E-2</v>
      </c>
      <c r="Y36" s="15">
        <f t="shared" si="88"/>
        <v>0.9724551548210264</v>
      </c>
      <c r="Z36" s="15">
        <f t="shared" si="89"/>
        <v>6.5514341418423255E-4</v>
      </c>
      <c r="AA36" s="15">
        <f t="shared" si="90"/>
        <v>0.81827412431610747</v>
      </c>
      <c r="AB36" s="15">
        <f t="shared" si="91"/>
        <v>-2.6889701764789414E-2</v>
      </c>
      <c r="AC36" s="15">
        <f t="shared" si="92"/>
        <v>-0.15418103050491894</v>
      </c>
      <c r="AD36" s="15">
        <f t="shared" si="93"/>
        <v>0.81892926773029173</v>
      </c>
      <c r="AE36" s="16">
        <f t="shared" si="94"/>
        <v>0.99996209632288457</v>
      </c>
    </row>
    <row r="37" spans="1:31" x14ac:dyDescent="0.2">
      <c r="A37" s="5">
        <v>36</v>
      </c>
      <c r="B37" s="5" t="s">
        <v>125</v>
      </c>
      <c r="C37" s="5" t="s">
        <v>55</v>
      </c>
      <c r="D37" s="5" t="s">
        <v>202</v>
      </c>
      <c r="E37" s="5" t="s">
        <v>137</v>
      </c>
      <c r="F37" s="5" t="s">
        <v>123</v>
      </c>
      <c r="G37" s="5">
        <v>7.4</v>
      </c>
      <c r="H37" s="5">
        <v>35</v>
      </c>
      <c r="I37" s="17">
        <v>12283</v>
      </c>
      <c r="J37" s="17">
        <f>1450*0.7</f>
        <v>1014.9999999999999</v>
      </c>
      <c r="K37" s="17">
        <v>0</v>
      </c>
      <c r="L37" s="17">
        <v>50</v>
      </c>
      <c r="M37" s="20">
        <f>2339/0.8</f>
        <v>2923.75</v>
      </c>
      <c r="N37" s="18">
        <f>J37-(M37/22414*96000*(6.85/93.15))</f>
        <v>94.126845468534043</v>
      </c>
      <c r="O37" s="8">
        <f t="shared" si="80"/>
        <v>308.14999999999998</v>
      </c>
      <c r="P37" s="8">
        <f t="shared" si="81"/>
        <v>1535.375</v>
      </c>
      <c r="Q37" s="8">
        <f t="shared" si="82"/>
        <v>1.0572916666666666E-2</v>
      </c>
      <c r="R37" s="8">
        <f t="shared" si="83"/>
        <v>0.71525275104919883</v>
      </c>
      <c r="S37" s="8">
        <f t="shared" si="84"/>
        <v>0</v>
      </c>
      <c r="T37" s="10">
        <f t="shared" si="5"/>
        <v>5.2856694513038341E-4</v>
      </c>
      <c r="U37" s="12">
        <f t="shared" si="85"/>
        <v>2.6494756878768538E-6</v>
      </c>
      <c r="V37" s="10">
        <f t="shared" si="86"/>
        <v>1.0572115222544984E-2</v>
      </c>
      <c r="W37" s="9" t="str">
        <f t="shared" si="8"/>
        <v>Crossover-limited</v>
      </c>
      <c r="X37" s="15">
        <f t="shared" si="87"/>
        <v>5.5089690357947294E-2</v>
      </c>
      <c r="Y37" s="15">
        <f t="shared" si="88"/>
        <v>0.94491030964205269</v>
      </c>
      <c r="Z37" s="15">
        <f t="shared" si="89"/>
        <v>4.9980903391216365E-2</v>
      </c>
      <c r="AA37" s="15">
        <f t="shared" si="90"/>
        <v>0.67966732129807361</v>
      </c>
      <c r="AB37" s="15">
        <f t="shared" si="91"/>
        <v>-5.1087869667309285E-3</v>
      </c>
      <c r="AC37" s="15">
        <f t="shared" si="92"/>
        <v>-0.26524298834397908</v>
      </c>
      <c r="AD37" s="15">
        <f t="shared" si="93"/>
        <v>0.72964822468929003</v>
      </c>
      <c r="AE37" s="16">
        <f t="shared" si="94"/>
        <v>0.99992419838849111</v>
      </c>
    </row>
    <row r="38" spans="1:31" x14ac:dyDescent="0.2">
      <c r="A38" s="5">
        <v>37</v>
      </c>
      <c r="B38" s="5" t="s">
        <v>126</v>
      </c>
      <c r="C38" s="5" t="s">
        <v>55</v>
      </c>
      <c r="D38" s="5" t="s">
        <v>202</v>
      </c>
      <c r="E38" s="5" t="s">
        <v>138</v>
      </c>
      <c r="F38" s="5" t="s">
        <v>123</v>
      </c>
      <c r="G38" s="5">
        <v>7.4</v>
      </c>
      <c r="H38" s="5">
        <v>35</v>
      </c>
      <c r="I38" s="17">
        <v>12283</v>
      </c>
      <c r="J38" s="17">
        <f>7250*0.7</f>
        <v>5075</v>
      </c>
      <c r="K38" s="17">
        <v>0</v>
      </c>
      <c r="L38" s="17">
        <v>50</v>
      </c>
      <c r="M38" s="20">
        <f>1964/0.8</f>
        <v>2455</v>
      </c>
      <c r="N38" s="18">
        <f>J38-(M38/22414*96000*(19.91/80.09))</f>
        <v>2461.0557047320162</v>
      </c>
      <c r="O38" s="8">
        <f t="shared" si="80"/>
        <v>308.14999999999998</v>
      </c>
      <c r="P38" s="8">
        <f t="shared" si="81"/>
        <v>1535.375</v>
      </c>
      <c r="Q38" s="8">
        <f t="shared" si="82"/>
        <v>5.2864583333333333E-2</v>
      </c>
      <c r="R38" s="8">
        <f t="shared" si="83"/>
        <v>0.71525275104919883</v>
      </c>
      <c r="S38" s="8">
        <f t="shared" si="84"/>
        <v>0</v>
      </c>
      <c r="T38" s="10">
        <f t="shared" si="5"/>
        <v>5.2856694513038341E-4</v>
      </c>
      <c r="U38" s="12">
        <f t="shared" si="85"/>
        <v>2.6494756878768538E-6</v>
      </c>
      <c r="V38" s="10">
        <f t="shared" si="86"/>
        <v>5.2844559370391161E-2</v>
      </c>
      <c r="W38" s="9" t="str">
        <f t="shared" si="8"/>
        <v>Crossover-limited</v>
      </c>
      <c r="X38" s="15">
        <f t="shared" si="87"/>
        <v>0.27544845178973648</v>
      </c>
      <c r="Y38" s="15">
        <f t="shared" si="88"/>
        <v>0.72455154821026357</v>
      </c>
      <c r="Z38" s="15">
        <f t="shared" si="89"/>
        <v>0.14187328260023249</v>
      </c>
      <c r="AA38" s="15">
        <f t="shared" si="90"/>
        <v>0.57069970886251242</v>
      </c>
      <c r="AB38" s="15">
        <f t="shared" si="91"/>
        <v>-0.13357516918950399</v>
      </c>
      <c r="AC38" s="15">
        <f t="shared" si="92"/>
        <v>-0.15385183934775115</v>
      </c>
      <c r="AD38" s="15">
        <f t="shared" si="93"/>
        <v>0.71257299146274489</v>
      </c>
      <c r="AE38" s="16">
        <f t="shared" si="94"/>
        <v>0.99962122158769484</v>
      </c>
    </row>
    <row r="39" spans="1:31" x14ac:dyDescent="0.2">
      <c r="A39" s="5">
        <v>38</v>
      </c>
      <c r="B39" s="5" t="s">
        <v>127</v>
      </c>
      <c r="C39" s="5" t="s">
        <v>55</v>
      </c>
      <c r="D39" s="5" t="s">
        <v>202</v>
      </c>
      <c r="E39" s="5" t="s">
        <v>139</v>
      </c>
      <c r="F39" s="5" t="s">
        <v>123</v>
      </c>
      <c r="G39" s="5">
        <v>7.4</v>
      </c>
      <c r="H39" s="5">
        <v>35</v>
      </c>
      <c r="I39" s="17">
        <v>12283</v>
      </c>
      <c r="J39" s="17">
        <f>14500*0.7</f>
        <v>10150</v>
      </c>
      <c r="K39" s="17">
        <v>0</v>
      </c>
      <c r="L39" s="17">
        <v>50</v>
      </c>
      <c r="M39" s="20">
        <f>1688/0.8</f>
        <v>2110</v>
      </c>
      <c r="N39" s="18">
        <f>J39-(M39/22414*96000*(38.23/61.77))</f>
        <v>4556.7913912647309</v>
      </c>
      <c r="O39" s="8">
        <f t="shared" si="80"/>
        <v>308.14999999999998</v>
      </c>
      <c r="P39" s="8">
        <f t="shared" si="81"/>
        <v>1535.375</v>
      </c>
      <c r="Q39" s="8">
        <f t="shared" si="82"/>
        <v>0.10572916666666667</v>
      </c>
      <c r="R39" s="8">
        <f t="shared" si="83"/>
        <v>0.71525275104919883</v>
      </c>
      <c r="S39" s="8">
        <f t="shared" si="84"/>
        <v>0</v>
      </c>
      <c r="T39" s="10">
        <f t="shared" si="5"/>
        <v>5.2856694513038341E-4</v>
      </c>
      <c r="U39" s="12">
        <f t="shared" si="85"/>
        <v>2.6494756878768538E-6</v>
      </c>
      <c r="V39" s="10">
        <f t="shared" si="86"/>
        <v>0.10564913141171978</v>
      </c>
      <c r="W39" s="9" t="str">
        <f t="shared" si="8"/>
        <v>Crossover-limited</v>
      </c>
      <c r="X39" s="15">
        <f t="shared" si="87"/>
        <v>0.55089690357947296</v>
      </c>
      <c r="Y39" s="15">
        <f t="shared" si="88"/>
        <v>0.44910309642052704</v>
      </c>
      <c r="Z39" s="15">
        <f t="shared" si="89"/>
        <v>0.30357451267254304</v>
      </c>
      <c r="AA39" s="15">
        <f t="shared" si="90"/>
        <v>0.4904995461099394</v>
      </c>
      <c r="AB39" s="15">
        <f t="shared" si="91"/>
        <v>-0.24732239090692992</v>
      </c>
      <c r="AC39" s="15">
        <f t="shared" si="92"/>
        <v>4.1396449689412362E-2</v>
      </c>
      <c r="AD39" s="15">
        <f t="shared" si="93"/>
        <v>0.79407405878248238</v>
      </c>
      <c r="AE39" s="16">
        <f t="shared" si="94"/>
        <v>0.99924301630789147</v>
      </c>
    </row>
    <row r="40" spans="1:31" x14ac:dyDescent="0.2">
      <c r="A40" s="5">
        <v>39</v>
      </c>
      <c r="B40" s="5" t="s">
        <v>128</v>
      </c>
      <c r="C40" s="5" t="s">
        <v>55</v>
      </c>
      <c r="D40" s="5" t="s">
        <v>202</v>
      </c>
      <c r="E40" s="5" t="s">
        <v>140</v>
      </c>
      <c r="F40" s="5" t="s">
        <v>148</v>
      </c>
      <c r="G40" s="5">
        <v>7.4</v>
      </c>
      <c r="H40" s="5">
        <v>35</v>
      </c>
      <c r="I40" s="17">
        <v>12283</v>
      </c>
      <c r="J40" s="17">
        <f>725*0.7</f>
        <v>507.49999999999994</v>
      </c>
      <c r="K40" s="17">
        <v>0</v>
      </c>
      <c r="L40" s="17">
        <v>50</v>
      </c>
      <c r="M40" s="20">
        <f>1974/0.8</f>
        <v>2467.5</v>
      </c>
      <c r="N40" s="18">
        <f>J40-(M40/22414*96000*(4.96/95.04))</f>
        <v>-44.049221130732747</v>
      </c>
      <c r="O40" s="8">
        <f t="shared" ref="O40:O50" si="95">H40+273.15</f>
        <v>308.14999999999998</v>
      </c>
      <c r="P40" s="8">
        <f t="shared" ref="P40:P50" si="96">I40/8</f>
        <v>1535.375</v>
      </c>
      <c r="Q40" s="8">
        <f t="shared" ref="Q40:Q50" si="97">J40/1000/96</f>
        <v>5.2864583333333331E-3</v>
      </c>
      <c r="R40" s="8">
        <f t="shared" ref="R40:R50" si="98">1/(1+10^(7-G40))</f>
        <v>0.71525275104919883</v>
      </c>
      <c r="S40" s="8">
        <f t="shared" ref="S40:S50" si="99">K40/1000/100.1</f>
        <v>0</v>
      </c>
      <c r="T40" s="10">
        <f t="shared" si="5"/>
        <v>5.2856694513038341E-4</v>
      </c>
      <c r="U40" s="12">
        <f t="shared" ref="U40:U50" si="100">EXP(-3957/O40)</f>
        <v>2.6494756878768538E-6</v>
      </c>
      <c r="V40" s="10">
        <f t="shared" ref="V40:V50" si="101">(-(U40*R40*S40+T40)+SQRT((U40*R40*S40+T40)^2+8*U40*R40*T40*Q40))/(4*U40*R40)</f>
        <v>5.2862579571235826E-3</v>
      </c>
      <c r="W40" s="9" t="str">
        <f t="shared" si="8"/>
        <v>Crossover-limited</v>
      </c>
      <c r="X40" s="15">
        <f t="shared" ref="X40:X50" si="102">MIN(8*Q40*1000,P40)/P40</f>
        <v>2.7544845178973647E-2</v>
      </c>
      <c r="Y40" s="15">
        <f t="shared" ref="Y40:Y50" si="103">1-X40</f>
        <v>0.9724551548210264</v>
      </c>
      <c r="Z40" s="15">
        <f t="shared" ref="Z40:Z50" si="104">((J40-N40)/96*8)/P40</f>
        <v>2.9935641191388241E-2</v>
      </c>
      <c r="AA40" s="15">
        <f t="shared" ref="AA40:AA50" si="105">(M40/22.414*8)/P40</f>
        <v>0.573605511860794</v>
      </c>
      <c r="AB40" s="15">
        <f t="shared" ref="AB40:AB50" si="106">Z40-X40</f>
        <v>2.3907960124145942E-3</v>
      </c>
      <c r="AC40" s="15">
        <f t="shared" ref="AC40:AC50" si="107">AA40-Y40</f>
        <v>-0.3988496429602324</v>
      </c>
      <c r="AD40" s="15">
        <f t="shared" ref="AD40:AD50" si="108">Z40+AA40</f>
        <v>0.60354115305218226</v>
      </c>
      <c r="AE40" s="16">
        <f t="shared" ref="AE40:AE50" si="109">V40/Q40</f>
        <v>0.99996209632288457</v>
      </c>
    </row>
    <row r="41" spans="1:31" x14ac:dyDescent="0.2">
      <c r="A41" s="5">
        <v>40</v>
      </c>
      <c r="B41" s="5" t="s">
        <v>129</v>
      </c>
      <c r="C41" s="5" t="s">
        <v>55</v>
      </c>
      <c r="D41" s="5" t="s">
        <v>202</v>
      </c>
      <c r="E41" s="5" t="s">
        <v>141</v>
      </c>
      <c r="F41" s="5" t="s">
        <v>148</v>
      </c>
      <c r="G41" s="5">
        <v>7.4</v>
      </c>
      <c r="H41" s="5">
        <v>35</v>
      </c>
      <c r="I41" s="17">
        <v>12283</v>
      </c>
      <c r="J41" s="17">
        <f>1450*0.7</f>
        <v>1014.9999999999999</v>
      </c>
      <c r="K41" s="17">
        <v>0</v>
      </c>
      <c r="L41" s="17">
        <v>50</v>
      </c>
      <c r="M41" s="20">
        <f>1749/0.8</f>
        <v>2186.25</v>
      </c>
      <c r="N41" s="18">
        <f>J41-(M41/22414*96000*(13.08/86.92))</f>
        <v>-394.09318435559669</v>
      </c>
      <c r="O41" s="8">
        <f t="shared" si="95"/>
        <v>308.14999999999998</v>
      </c>
      <c r="P41" s="8">
        <f t="shared" si="96"/>
        <v>1535.375</v>
      </c>
      <c r="Q41" s="8">
        <f t="shared" si="97"/>
        <v>1.0572916666666666E-2</v>
      </c>
      <c r="R41" s="8">
        <f t="shared" si="98"/>
        <v>0.71525275104919883</v>
      </c>
      <c r="S41" s="8">
        <f t="shared" si="99"/>
        <v>0</v>
      </c>
      <c r="T41" s="10">
        <f t="shared" si="5"/>
        <v>5.2856694513038341E-4</v>
      </c>
      <c r="U41" s="12">
        <f t="shared" si="100"/>
        <v>2.6494756878768538E-6</v>
      </c>
      <c r="V41" s="10">
        <f t="shared" si="101"/>
        <v>1.0572115222544984E-2</v>
      </c>
      <c r="W41" s="9" t="str">
        <f t="shared" si="8"/>
        <v>Crossover-limited</v>
      </c>
      <c r="X41" s="15">
        <f t="shared" si="102"/>
        <v>5.5089690357947294E-2</v>
      </c>
      <c r="Y41" s="15">
        <f t="shared" si="103"/>
        <v>0.94491030964205269</v>
      </c>
      <c r="Z41" s="15">
        <f t="shared" si="104"/>
        <v>7.6479317449895334E-2</v>
      </c>
      <c r="AA41" s="15">
        <f t="shared" si="105"/>
        <v>0.50822494439945731</v>
      </c>
      <c r="AB41" s="15">
        <f t="shared" si="106"/>
        <v>2.1389627091948041E-2</v>
      </c>
      <c r="AC41" s="15">
        <f t="shared" si="107"/>
        <v>-0.43668536524259538</v>
      </c>
      <c r="AD41" s="15">
        <f t="shared" si="108"/>
        <v>0.58470426184935265</v>
      </c>
      <c r="AE41" s="16">
        <f t="shared" si="109"/>
        <v>0.99992419838849111</v>
      </c>
    </row>
    <row r="42" spans="1:31" x14ac:dyDescent="0.2">
      <c r="A42" s="5">
        <v>41</v>
      </c>
      <c r="B42" s="5" t="s">
        <v>130</v>
      </c>
      <c r="C42" s="5" t="s">
        <v>55</v>
      </c>
      <c r="D42" s="5" t="s">
        <v>202</v>
      </c>
      <c r="E42" s="5" t="s">
        <v>142</v>
      </c>
      <c r="F42" s="5" t="s">
        <v>148</v>
      </c>
      <c r="G42" s="5">
        <v>7.4</v>
      </c>
      <c r="H42" s="5">
        <v>35</v>
      </c>
      <c r="I42" s="17">
        <v>12283</v>
      </c>
      <c r="J42" s="17">
        <f>7250*0.7</f>
        <v>5075</v>
      </c>
      <c r="K42" s="17">
        <v>0</v>
      </c>
      <c r="L42" s="17">
        <v>50</v>
      </c>
      <c r="M42" s="20">
        <f>1737/0.8</f>
        <v>2171.25</v>
      </c>
      <c r="N42" s="18">
        <f>J42-(M42/22414*96000*(25.45/74.55))</f>
        <v>1900.3062588971866</v>
      </c>
      <c r="O42" s="8">
        <f t="shared" si="95"/>
        <v>308.14999999999998</v>
      </c>
      <c r="P42" s="8">
        <f t="shared" si="96"/>
        <v>1535.375</v>
      </c>
      <c r="Q42" s="8">
        <f t="shared" si="97"/>
        <v>5.2864583333333333E-2</v>
      </c>
      <c r="R42" s="8">
        <f t="shared" si="98"/>
        <v>0.71525275104919883</v>
      </c>
      <c r="S42" s="8">
        <f t="shared" si="99"/>
        <v>0</v>
      </c>
      <c r="T42" s="10">
        <f>0.0013*EXP(1900*(1/O42-1/298.15))*L42/100</f>
        <v>5.2856694513038341E-4</v>
      </c>
      <c r="U42" s="12">
        <f t="shared" si="100"/>
        <v>2.6494756878768538E-6</v>
      </c>
      <c r="V42" s="10">
        <f t="shared" si="101"/>
        <v>5.2844559370391161E-2</v>
      </c>
      <c r="W42" s="9" t="str">
        <f t="shared" si="8"/>
        <v>Crossover-limited</v>
      </c>
      <c r="X42" s="15">
        <f t="shared" si="102"/>
        <v>0.27544845178973648</v>
      </c>
      <c r="Y42" s="15">
        <f t="shared" si="103"/>
        <v>0.72455154821026357</v>
      </c>
      <c r="Z42" s="15">
        <f t="shared" si="104"/>
        <v>0.17230827111198746</v>
      </c>
      <c r="AA42" s="15">
        <f t="shared" si="105"/>
        <v>0.50473798080151933</v>
      </c>
      <c r="AB42" s="15">
        <f t="shared" si="106"/>
        <v>-0.10314018067774902</v>
      </c>
      <c r="AC42" s="15">
        <f t="shared" si="107"/>
        <v>-0.21981356740874425</v>
      </c>
      <c r="AD42" s="15">
        <f t="shared" si="108"/>
        <v>0.67704625191350676</v>
      </c>
      <c r="AE42" s="16">
        <f t="shared" si="109"/>
        <v>0.99962122158769484</v>
      </c>
    </row>
    <row r="43" spans="1:31" x14ac:dyDescent="0.2">
      <c r="A43" s="5">
        <v>42</v>
      </c>
      <c r="B43" s="5" t="s">
        <v>131</v>
      </c>
      <c r="C43" s="5" t="s">
        <v>55</v>
      </c>
      <c r="D43" s="5" t="s">
        <v>202</v>
      </c>
      <c r="E43" s="5" t="s">
        <v>143</v>
      </c>
      <c r="F43" s="5" t="s">
        <v>148</v>
      </c>
      <c r="G43" s="5">
        <v>7.4</v>
      </c>
      <c r="H43" s="5">
        <v>35</v>
      </c>
      <c r="I43" s="17">
        <v>12283</v>
      </c>
      <c r="J43" s="17">
        <f>14500*0.7</f>
        <v>10150</v>
      </c>
      <c r="K43" s="17">
        <v>0</v>
      </c>
      <c r="L43" s="17">
        <v>50</v>
      </c>
      <c r="M43" s="20">
        <f>1731/0.8</f>
        <v>2163.75</v>
      </c>
      <c r="N43" s="18">
        <f>J43-(M43/22414*96000*(45.86/54.14))</f>
        <v>2299.9080226159513</v>
      </c>
      <c r="O43" s="8">
        <f t="shared" si="95"/>
        <v>308.14999999999998</v>
      </c>
      <c r="P43" s="8">
        <f t="shared" si="96"/>
        <v>1535.375</v>
      </c>
      <c r="Q43" s="8">
        <f t="shared" si="97"/>
        <v>0.10572916666666667</v>
      </c>
      <c r="R43" s="8">
        <f t="shared" si="98"/>
        <v>0.71525275104919883</v>
      </c>
      <c r="S43" s="8">
        <f t="shared" si="99"/>
        <v>0</v>
      </c>
      <c r="T43" s="10">
        <f t="shared" si="5"/>
        <v>5.2856694513038341E-4</v>
      </c>
      <c r="U43" s="12">
        <f t="shared" si="100"/>
        <v>2.6494756878768538E-6</v>
      </c>
      <c r="V43" s="10">
        <f t="shared" si="101"/>
        <v>0.10564913141171978</v>
      </c>
      <c r="W43" s="9" t="str">
        <f t="shared" si="8"/>
        <v>Crossover-limited</v>
      </c>
      <c r="X43" s="15">
        <f t="shared" si="102"/>
        <v>0.55089690357947296</v>
      </c>
      <c r="Y43" s="15">
        <f t="shared" si="103"/>
        <v>0.44910309642052704</v>
      </c>
      <c r="Z43" s="15">
        <f t="shared" si="104"/>
        <v>0.42606811459654531</v>
      </c>
      <c r="AA43" s="15">
        <f t="shared" si="105"/>
        <v>0.50299449900255044</v>
      </c>
      <c r="AB43" s="15">
        <f t="shared" si="106"/>
        <v>-0.12482878898292765</v>
      </c>
      <c r="AC43" s="15">
        <f t="shared" si="107"/>
        <v>5.3891402582023407E-2</v>
      </c>
      <c r="AD43" s="15">
        <f t="shared" si="108"/>
        <v>0.92906261359909581</v>
      </c>
      <c r="AE43" s="16">
        <f t="shared" si="109"/>
        <v>0.99924301630789147</v>
      </c>
    </row>
    <row r="44" spans="1:31" x14ac:dyDescent="0.2">
      <c r="A44" s="5">
        <v>43</v>
      </c>
      <c r="B44" s="5" t="s">
        <v>132</v>
      </c>
      <c r="C44" s="5" t="s">
        <v>55</v>
      </c>
      <c r="D44" s="5" t="s">
        <v>202</v>
      </c>
      <c r="E44" s="5" t="s">
        <v>144</v>
      </c>
      <c r="F44" s="5" t="s">
        <v>149</v>
      </c>
      <c r="G44" s="5">
        <v>7.4</v>
      </c>
      <c r="H44" s="5">
        <v>35</v>
      </c>
      <c r="I44" s="17">
        <v>12283</v>
      </c>
      <c r="J44" s="17">
        <f>725*0.7</f>
        <v>507.49999999999994</v>
      </c>
      <c r="K44" s="17">
        <v>0</v>
      </c>
      <c r="L44" s="17">
        <v>50</v>
      </c>
      <c r="M44" s="20">
        <f>1636/0.8</f>
        <v>2045</v>
      </c>
      <c r="N44" s="18">
        <f>J44-(M44/22414*96000*(1.26/98.74))</f>
        <v>395.73068223640348</v>
      </c>
      <c r="O44" s="8">
        <f t="shared" si="95"/>
        <v>308.14999999999998</v>
      </c>
      <c r="P44" s="8">
        <f t="shared" si="96"/>
        <v>1535.375</v>
      </c>
      <c r="Q44" s="8">
        <f t="shared" si="97"/>
        <v>5.2864583333333331E-3</v>
      </c>
      <c r="R44" s="8">
        <f t="shared" si="98"/>
        <v>0.71525275104919883</v>
      </c>
      <c r="S44" s="8">
        <f t="shared" si="99"/>
        <v>0</v>
      </c>
      <c r="T44" s="10">
        <f t="shared" si="5"/>
        <v>5.2856694513038341E-4</v>
      </c>
      <c r="U44" s="12">
        <f t="shared" si="100"/>
        <v>2.6494756878768538E-6</v>
      </c>
      <c r="V44" s="10">
        <f t="shared" si="101"/>
        <v>5.2862579571235826E-3</v>
      </c>
      <c r="W44" s="9" t="str">
        <f t="shared" si="8"/>
        <v>Crossover-limited</v>
      </c>
      <c r="X44" s="15">
        <f t="shared" si="102"/>
        <v>2.7544845178973647E-2</v>
      </c>
      <c r="Y44" s="15">
        <f t="shared" si="103"/>
        <v>0.9724551548210264</v>
      </c>
      <c r="Z44" s="15">
        <f t="shared" si="104"/>
        <v>6.0663419774537415E-3</v>
      </c>
      <c r="AA44" s="15">
        <f t="shared" si="105"/>
        <v>0.47538937051887492</v>
      </c>
      <c r="AB44" s="15">
        <f t="shared" si="106"/>
        <v>-2.1478503201519904E-2</v>
      </c>
      <c r="AC44" s="15">
        <f t="shared" si="107"/>
        <v>-0.49706578430215148</v>
      </c>
      <c r="AD44" s="15">
        <f t="shared" si="108"/>
        <v>0.48145571249632868</v>
      </c>
      <c r="AE44" s="16">
        <f t="shared" si="109"/>
        <v>0.99996209632288457</v>
      </c>
    </row>
    <row r="45" spans="1:31" x14ac:dyDescent="0.2">
      <c r="A45" s="5">
        <v>44</v>
      </c>
      <c r="B45" s="5" t="s">
        <v>133</v>
      </c>
      <c r="C45" s="5" t="s">
        <v>55</v>
      </c>
      <c r="D45" s="5" t="s">
        <v>202</v>
      </c>
      <c r="E45" s="5" t="s">
        <v>145</v>
      </c>
      <c r="F45" s="5" t="s">
        <v>149</v>
      </c>
      <c r="G45" s="5">
        <v>7.4</v>
      </c>
      <c r="H45" s="5">
        <v>35</v>
      </c>
      <c r="I45" s="17">
        <v>12283</v>
      </c>
      <c r="J45" s="17">
        <f>1450*0.7</f>
        <v>1014.9999999999999</v>
      </c>
      <c r="K45" s="17">
        <v>0</v>
      </c>
      <c r="L45" s="17">
        <v>50</v>
      </c>
      <c r="M45" s="20">
        <f>1486/0.8</f>
        <v>1857.5</v>
      </c>
      <c r="N45" s="18">
        <f>J45-(M45/22414*96000*(7.45/92.55))</f>
        <v>374.58641269442739</v>
      </c>
      <c r="O45" s="8">
        <f t="shared" si="95"/>
        <v>308.14999999999998</v>
      </c>
      <c r="P45" s="8">
        <f t="shared" si="96"/>
        <v>1535.375</v>
      </c>
      <c r="Q45" s="8">
        <f t="shared" si="97"/>
        <v>1.0572916666666666E-2</v>
      </c>
      <c r="R45" s="8">
        <f t="shared" si="98"/>
        <v>0.71525275104919883</v>
      </c>
      <c r="S45" s="8">
        <f t="shared" si="99"/>
        <v>0</v>
      </c>
      <c r="T45" s="10">
        <f t="shared" si="5"/>
        <v>5.2856694513038341E-4</v>
      </c>
      <c r="U45" s="12">
        <f t="shared" si="100"/>
        <v>2.6494756878768538E-6</v>
      </c>
      <c r="V45" s="10">
        <f t="shared" si="101"/>
        <v>1.0572115222544984E-2</v>
      </c>
      <c r="W45" s="9" t="str">
        <f t="shared" si="8"/>
        <v>Crossover-limited</v>
      </c>
      <c r="X45" s="15">
        <f t="shared" si="102"/>
        <v>5.5089690357947294E-2</v>
      </c>
      <c r="Y45" s="15">
        <f t="shared" si="103"/>
        <v>0.94491030964205269</v>
      </c>
      <c r="Z45" s="15">
        <f t="shared" si="104"/>
        <v>3.4758804163237671E-2</v>
      </c>
      <c r="AA45" s="15">
        <f t="shared" si="105"/>
        <v>0.43180232554465048</v>
      </c>
      <c r="AB45" s="15">
        <f t="shared" si="106"/>
        <v>-2.0330886194709623E-2</v>
      </c>
      <c r="AC45" s="15">
        <f t="shared" si="107"/>
        <v>-0.51310798409740221</v>
      </c>
      <c r="AD45" s="15">
        <f t="shared" si="108"/>
        <v>0.46656112970788816</v>
      </c>
      <c r="AE45" s="16">
        <f t="shared" si="109"/>
        <v>0.99992419838849111</v>
      </c>
    </row>
    <row r="46" spans="1:31" x14ac:dyDescent="0.2">
      <c r="A46" s="5">
        <v>45</v>
      </c>
      <c r="B46" s="5" t="s">
        <v>134</v>
      </c>
      <c r="C46" s="5" t="s">
        <v>55</v>
      </c>
      <c r="D46" s="5" t="s">
        <v>202</v>
      </c>
      <c r="E46" s="5" t="s">
        <v>146</v>
      </c>
      <c r="F46" s="5" t="s">
        <v>149</v>
      </c>
      <c r="G46" s="5">
        <v>7.4</v>
      </c>
      <c r="H46" s="5">
        <v>35</v>
      </c>
      <c r="I46" s="17">
        <v>12283</v>
      </c>
      <c r="J46" s="17">
        <f>7250*0.7</f>
        <v>5075</v>
      </c>
      <c r="K46" s="17">
        <v>0</v>
      </c>
      <c r="L46" s="17">
        <v>50</v>
      </c>
      <c r="M46" s="20">
        <f>1243/0.8</f>
        <v>1553.75</v>
      </c>
      <c r="N46" s="18">
        <f>J46-(M46/22414*96000*(20.81/79.19))</f>
        <v>3326.2217454515403</v>
      </c>
      <c r="O46" s="8">
        <f t="shared" si="95"/>
        <v>308.14999999999998</v>
      </c>
      <c r="P46" s="8">
        <f t="shared" si="96"/>
        <v>1535.375</v>
      </c>
      <c r="Q46" s="8">
        <f t="shared" si="97"/>
        <v>5.2864583333333333E-2</v>
      </c>
      <c r="R46" s="8">
        <f t="shared" si="98"/>
        <v>0.71525275104919883</v>
      </c>
      <c r="S46" s="8">
        <f t="shared" si="99"/>
        <v>0</v>
      </c>
      <c r="T46" s="10">
        <f t="shared" si="5"/>
        <v>5.2856694513038341E-4</v>
      </c>
      <c r="U46" s="12">
        <f t="shared" si="100"/>
        <v>2.6494756878768538E-6</v>
      </c>
      <c r="V46" s="10">
        <f t="shared" si="101"/>
        <v>5.2844559370391161E-2</v>
      </c>
      <c r="W46" s="9" t="str">
        <f t="shared" si="8"/>
        <v>Crossover-limited</v>
      </c>
      <c r="X46" s="15">
        <f t="shared" si="102"/>
        <v>0.27544845178973648</v>
      </c>
      <c r="Y46" s="15">
        <f t="shared" si="103"/>
        <v>0.72455154821026357</v>
      </c>
      <c r="Z46" s="15">
        <f t="shared" si="104"/>
        <v>9.4915913840183427E-2</v>
      </c>
      <c r="AA46" s="15">
        <f t="shared" si="105"/>
        <v>0.36119131268640681</v>
      </c>
      <c r="AB46" s="15">
        <f t="shared" si="106"/>
        <v>-0.18053253794955304</v>
      </c>
      <c r="AC46" s="15">
        <f t="shared" si="107"/>
        <v>-0.36336023552385677</v>
      </c>
      <c r="AD46" s="15">
        <f t="shared" si="108"/>
        <v>0.45610722652659025</v>
      </c>
      <c r="AE46" s="16">
        <f t="shared" si="109"/>
        <v>0.99962122158769484</v>
      </c>
    </row>
    <row r="47" spans="1:31" x14ac:dyDescent="0.2">
      <c r="A47" s="5">
        <v>46</v>
      </c>
      <c r="B47" s="5" t="s">
        <v>135</v>
      </c>
      <c r="C47" s="5" t="s">
        <v>55</v>
      </c>
      <c r="D47" s="5" t="s">
        <v>202</v>
      </c>
      <c r="E47" s="5" t="s">
        <v>147</v>
      </c>
      <c r="F47" s="5" t="s">
        <v>149</v>
      </c>
      <c r="G47" s="5">
        <v>7.4</v>
      </c>
      <c r="H47" s="5">
        <v>35</v>
      </c>
      <c r="I47" s="17">
        <v>12283</v>
      </c>
      <c r="J47" s="17">
        <f>14500*0.7</f>
        <v>10150</v>
      </c>
      <c r="K47" s="17">
        <v>0</v>
      </c>
      <c r="L47" s="17">
        <v>50</v>
      </c>
      <c r="M47" s="20">
        <f>1009/0.8</f>
        <v>1261.25</v>
      </c>
      <c r="N47" s="18">
        <f>J47-(M47/22414*96000*(33.37/66.63))</f>
        <v>7444.550460860014</v>
      </c>
      <c r="O47" s="8">
        <f t="shared" si="95"/>
        <v>308.14999999999998</v>
      </c>
      <c r="P47" s="8">
        <f t="shared" si="96"/>
        <v>1535.375</v>
      </c>
      <c r="Q47" s="8">
        <f t="shared" si="97"/>
        <v>0.10572916666666667</v>
      </c>
      <c r="R47" s="8">
        <f t="shared" si="98"/>
        <v>0.71525275104919883</v>
      </c>
      <c r="S47" s="8">
        <f t="shared" si="99"/>
        <v>0</v>
      </c>
      <c r="T47" s="10">
        <f t="shared" si="5"/>
        <v>5.2856694513038341E-4</v>
      </c>
      <c r="U47" s="12">
        <f t="shared" si="100"/>
        <v>2.6494756878768538E-6</v>
      </c>
      <c r="V47" s="10">
        <f t="shared" si="101"/>
        <v>0.10564913141171978</v>
      </c>
      <c r="W47" s="9" t="str">
        <f t="shared" si="8"/>
        <v>Crossover-limited</v>
      </c>
      <c r="X47" s="15">
        <f t="shared" si="102"/>
        <v>0.55089690357947296</v>
      </c>
      <c r="Y47" s="15">
        <f t="shared" si="103"/>
        <v>0.44910309642052704</v>
      </c>
      <c r="Z47" s="15">
        <f t="shared" si="104"/>
        <v>0.14683978068007197</v>
      </c>
      <c r="AA47" s="15">
        <f t="shared" si="105"/>
        <v>0.29319552252661663</v>
      </c>
      <c r="AB47" s="15">
        <f t="shared" si="106"/>
        <v>-0.40405712289940099</v>
      </c>
      <c r="AC47" s="15">
        <f t="shared" si="107"/>
        <v>-0.15590757389391041</v>
      </c>
      <c r="AD47" s="15">
        <f t="shared" si="108"/>
        <v>0.4400353032066886</v>
      </c>
      <c r="AE47" s="16">
        <f t="shared" si="109"/>
        <v>0.99924301630789147</v>
      </c>
    </row>
    <row r="48" spans="1:31" x14ac:dyDescent="0.2">
      <c r="A48" s="5">
        <v>47</v>
      </c>
      <c r="B48" s="5" t="s">
        <v>150</v>
      </c>
      <c r="C48" s="5" t="s">
        <v>55</v>
      </c>
      <c r="D48" s="5" t="s">
        <v>202</v>
      </c>
      <c r="E48" s="5" t="s">
        <v>154</v>
      </c>
      <c r="F48" s="5" t="s">
        <v>158</v>
      </c>
      <c r="G48" s="5">
        <v>7.4</v>
      </c>
      <c r="H48" s="5">
        <v>35</v>
      </c>
      <c r="I48" s="17">
        <v>12283</v>
      </c>
      <c r="J48" s="17">
        <f>725*0.7</f>
        <v>507.49999999999994</v>
      </c>
      <c r="K48" s="17">
        <v>0</v>
      </c>
      <c r="L48" s="17">
        <v>50</v>
      </c>
      <c r="M48" s="20">
        <f>1234/0.8</f>
        <v>1542.5</v>
      </c>
      <c r="N48" s="18">
        <f>J48-(M48/22414*96000*(0.17/99.83))</f>
        <v>496.24967966646176</v>
      </c>
      <c r="O48" s="8">
        <f t="shared" si="95"/>
        <v>308.14999999999998</v>
      </c>
      <c r="P48" s="8">
        <f t="shared" si="96"/>
        <v>1535.375</v>
      </c>
      <c r="Q48" s="8">
        <f t="shared" si="97"/>
        <v>5.2864583333333331E-3</v>
      </c>
      <c r="R48" s="8">
        <f t="shared" si="98"/>
        <v>0.71525275104919883</v>
      </c>
      <c r="S48" s="8">
        <f t="shared" si="99"/>
        <v>0</v>
      </c>
      <c r="T48" s="10">
        <f t="shared" si="5"/>
        <v>5.2856694513038341E-4</v>
      </c>
      <c r="U48" s="12">
        <f t="shared" si="100"/>
        <v>2.6494756878768538E-6</v>
      </c>
      <c r="V48" s="10">
        <f t="shared" si="101"/>
        <v>5.2862579571235826E-3</v>
      </c>
      <c r="W48" s="9" t="str">
        <f t="shared" si="8"/>
        <v>Crossover-limited</v>
      </c>
      <c r="X48" s="15">
        <f t="shared" si="102"/>
        <v>2.7544845178973647E-2</v>
      </c>
      <c r="Y48" s="15">
        <f t="shared" si="103"/>
        <v>0.9724551548210264</v>
      </c>
      <c r="Z48" s="15">
        <f t="shared" si="104"/>
        <v>6.1061740256387876E-4</v>
      </c>
      <c r="AA48" s="15">
        <f t="shared" si="105"/>
        <v>0.35857608998795332</v>
      </c>
      <c r="AB48" s="15">
        <f t="shared" si="106"/>
        <v>-2.6934227776409768E-2</v>
      </c>
      <c r="AC48" s="15">
        <f t="shared" si="107"/>
        <v>-0.61387906483307308</v>
      </c>
      <c r="AD48" s="15">
        <f t="shared" si="108"/>
        <v>0.35918670739051717</v>
      </c>
      <c r="AE48" s="16">
        <f t="shared" si="109"/>
        <v>0.99996209632288457</v>
      </c>
    </row>
    <row r="49" spans="1:32" x14ac:dyDescent="0.2">
      <c r="A49" s="5">
        <v>48</v>
      </c>
      <c r="B49" s="5" t="s">
        <v>151</v>
      </c>
      <c r="C49" s="5" t="s">
        <v>55</v>
      </c>
      <c r="D49" s="5" t="s">
        <v>202</v>
      </c>
      <c r="E49" s="5" t="s">
        <v>155</v>
      </c>
      <c r="F49" s="5" t="s">
        <v>158</v>
      </c>
      <c r="G49" s="5">
        <v>7.4</v>
      </c>
      <c r="H49" s="5">
        <v>35</v>
      </c>
      <c r="I49" s="17">
        <v>12283</v>
      </c>
      <c r="J49" s="17">
        <f>1450*0.7</f>
        <v>1014.9999999999999</v>
      </c>
      <c r="K49" s="17">
        <v>0</v>
      </c>
      <c r="L49" s="17">
        <v>50</v>
      </c>
      <c r="M49" s="20">
        <f>984/0.8</f>
        <v>1230</v>
      </c>
      <c r="N49" s="18">
        <f>J49-(M49/22414*96000*(12.95/87.05))</f>
        <v>231.28534147777395</v>
      </c>
      <c r="O49" s="8">
        <f t="shared" si="95"/>
        <v>308.14999999999998</v>
      </c>
      <c r="P49" s="8">
        <f t="shared" si="96"/>
        <v>1535.375</v>
      </c>
      <c r="Q49" s="8">
        <f t="shared" si="97"/>
        <v>1.0572916666666666E-2</v>
      </c>
      <c r="R49" s="8">
        <f t="shared" si="98"/>
        <v>0.71525275104919883</v>
      </c>
      <c r="S49" s="8">
        <f t="shared" si="99"/>
        <v>0</v>
      </c>
      <c r="T49" s="10">
        <f t="shared" si="5"/>
        <v>5.2856694513038341E-4</v>
      </c>
      <c r="U49" s="12">
        <f t="shared" si="100"/>
        <v>2.6494756878768538E-6</v>
      </c>
      <c r="V49" s="10">
        <f t="shared" si="101"/>
        <v>1.0572115222544984E-2</v>
      </c>
      <c r="W49" s="9" t="str">
        <f t="shared" si="8"/>
        <v>Crossover-limited</v>
      </c>
      <c r="X49" s="15">
        <f t="shared" si="102"/>
        <v>5.5089690357947294E-2</v>
      </c>
      <c r="Y49" s="15">
        <f t="shared" si="103"/>
        <v>0.94491030964205269</v>
      </c>
      <c r="Z49" s="15">
        <f t="shared" si="104"/>
        <v>4.2536549622634312E-2</v>
      </c>
      <c r="AA49" s="15">
        <f t="shared" si="105"/>
        <v>0.28593101503091251</v>
      </c>
      <c r="AB49" s="15">
        <f t="shared" si="106"/>
        <v>-1.2553140735312981E-2</v>
      </c>
      <c r="AC49" s="15">
        <f t="shared" si="107"/>
        <v>-0.65897929461114013</v>
      </c>
      <c r="AD49" s="15">
        <f t="shared" si="108"/>
        <v>0.32846756465354682</v>
      </c>
      <c r="AE49" s="16">
        <f t="shared" si="109"/>
        <v>0.99992419838849111</v>
      </c>
    </row>
    <row r="50" spans="1:32" x14ac:dyDescent="0.2">
      <c r="A50" s="5">
        <v>49</v>
      </c>
      <c r="B50" s="5" t="s">
        <v>152</v>
      </c>
      <c r="C50" s="5" t="s">
        <v>55</v>
      </c>
      <c r="D50" s="5" t="s">
        <v>202</v>
      </c>
      <c r="E50" s="5" t="s">
        <v>156</v>
      </c>
      <c r="F50" s="5" t="s">
        <v>158</v>
      </c>
      <c r="G50" s="5">
        <v>7.4</v>
      </c>
      <c r="H50" s="5">
        <v>35</v>
      </c>
      <c r="I50" s="17">
        <v>12283</v>
      </c>
      <c r="J50" s="17">
        <f>7250*0.7</f>
        <v>5075</v>
      </c>
      <c r="K50" s="17">
        <v>0</v>
      </c>
      <c r="L50" s="17">
        <v>50</v>
      </c>
      <c r="M50" s="20">
        <f>1012/0.8</f>
        <v>1265</v>
      </c>
      <c r="N50" s="18">
        <f>J50-(M50/22414*96000*(32.87/67.13))</f>
        <v>2422.0720953901482</v>
      </c>
      <c r="O50" s="8">
        <f t="shared" si="95"/>
        <v>308.14999999999998</v>
      </c>
      <c r="P50" s="8">
        <f t="shared" si="96"/>
        <v>1535.375</v>
      </c>
      <c r="Q50" s="8">
        <f t="shared" si="97"/>
        <v>5.2864583333333333E-2</v>
      </c>
      <c r="R50" s="8">
        <f t="shared" si="98"/>
        <v>0.71525275104919883</v>
      </c>
      <c r="S50" s="8">
        <f t="shared" si="99"/>
        <v>0</v>
      </c>
      <c r="T50" s="10">
        <f t="shared" si="5"/>
        <v>5.2856694513038341E-4</v>
      </c>
      <c r="U50" s="12">
        <f t="shared" si="100"/>
        <v>2.6494756878768538E-6</v>
      </c>
      <c r="V50" s="10">
        <f t="shared" si="101"/>
        <v>5.2844559370391161E-2</v>
      </c>
      <c r="W50" s="9" t="str">
        <f t="shared" si="8"/>
        <v>Crossover-limited</v>
      </c>
      <c r="X50" s="15">
        <f t="shared" si="102"/>
        <v>0.27544845178973648</v>
      </c>
      <c r="Y50" s="15">
        <f t="shared" si="103"/>
        <v>0.72455154821026357</v>
      </c>
      <c r="Z50" s="15">
        <f t="shared" si="104"/>
        <v>0.14398913971124599</v>
      </c>
      <c r="AA50" s="15">
        <f t="shared" si="105"/>
        <v>0.29406726342610112</v>
      </c>
      <c r="AB50" s="15">
        <f t="shared" si="106"/>
        <v>-0.13145931207849049</v>
      </c>
      <c r="AC50" s="15">
        <f t="shared" si="107"/>
        <v>-0.43048428478416245</v>
      </c>
      <c r="AD50" s="15">
        <f t="shared" si="108"/>
        <v>0.43805640313734712</v>
      </c>
      <c r="AE50" s="16">
        <f t="shared" si="109"/>
        <v>0.99962122158769484</v>
      </c>
    </row>
    <row r="51" spans="1:32" x14ac:dyDescent="0.2">
      <c r="A51" s="5">
        <v>50</v>
      </c>
      <c r="B51" s="5" t="s">
        <v>153</v>
      </c>
      <c r="C51" s="5" t="s">
        <v>55</v>
      </c>
      <c r="D51" s="5" t="s">
        <v>202</v>
      </c>
      <c r="E51" s="5" t="s">
        <v>157</v>
      </c>
      <c r="F51" s="5" t="s">
        <v>158</v>
      </c>
      <c r="G51" s="5">
        <v>7.4</v>
      </c>
      <c r="H51" s="5">
        <v>35</v>
      </c>
      <c r="I51" s="17">
        <v>12283</v>
      </c>
      <c r="J51" s="17">
        <f>14500*0.7</f>
        <v>10150</v>
      </c>
      <c r="K51" s="17">
        <v>0</v>
      </c>
      <c r="L51" s="17">
        <v>50</v>
      </c>
      <c r="M51" s="20">
        <f>1063/0.8</f>
        <v>1328.75</v>
      </c>
      <c r="N51" s="18">
        <f>J51-(M51/22414*96000*(46.85/53.15))</f>
        <v>5133.4924600695995</v>
      </c>
      <c r="O51" s="8">
        <f t="shared" ref="O51" si="110">H51+273.15</f>
        <v>308.14999999999998</v>
      </c>
      <c r="P51" s="8">
        <f t="shared" ref="P51" si="111">I51/8</f>
        <v>1535.375</v>
      </c>
      <c r="Q51" s="8">
        <f t="shared" ref="Q51" si="112">J51/1000/96</f>
        <v>0.10572916666666667</v>
      </c>
      <c r="R51" s="8">
        <f t="shared" ref="R51" si="113">1/(1+10^(7-G51))</f>
        <v>0.71525275104919883</v>
      </c>
      <c r="S51" s="8">
        <f t="shared" ref="S51" si="114">K51/1000/100.1</f>
        <v>0</v>
      </c>
      <c r="T51" s="10">
        <f t="shared" si="5"/>
        <v>5.2856694513038341E-4</v>
      </c>
      <c r="U51" s="12">
        <f t="shared" ref="U51" si="115">EXP(-3957/O51)</f>
        <v>2.6494756878768538E-6</v>
      </c>
      <c r="V51" s="10">
        <f t="shared" ref="V51" si="116">(-(U51*R51*S51+T51)+SQRT((U51*R51*S51+T51)^2+8*U51*R51*T51*Q51))/(4*U51*R51)</f>
        <v>0.10564913141171978</v>
      </c>
      <c r="W51" s="9" t="str">
        <f t="shared" si="8"/>
        <v>Crossover-limited</v>
      </c>
      <c r="X51" s="15">
        <f t="shared" ref="X51" si="117">MIN(8*Q51*1000,P51)/P51</f>
        <v>0.55089690357947296</v>
      </c>
      <c r="Y51" s="15">
        <f t="shared" ref="Y51" si="118">1-X51</f>
        <v>0.44910309642052704</v>
      </c>
      <c r="Z51" s="15">
        <f t="shared" ref="Z51" si="119">((J51-N51)/96*8)/P51</f>
        <v>0.27227374093898887</v>
      </c>
      <c r="AA51" s="15">
        <f t="shared" ref="AA51" si="120">(M51/22.414*8)/P51</f>
        <v>0.3088868587173374</v>
      </c>
      <c r="AB51" s="15">
        <f t="shared" ref="AB51" si="121">Z51-X51</f>
        <v>-0.27862316264048409</v>
      </c>
      <c r="AC51" s="15">
        <f t="shared" ref="AC51" si="122">AA51-Y51</f>
        <v>-0.14021623770318964</v>
      </c>
      <c r="AD51" s="15">
        <f t="shared" ref="AD51" si="123">Z51+AA51</f>
        <v>0.58116059965632627</v>
      </c>
      <c r="AE51" s="16">
        <f t="shared" ref="AE51" si="124">V51/Q51</f>
        <v>0.99924301630789147</v>
      </c>
    </row>
    <row r="52" spans="1:32" x14ac:dyDescent="0.2">
      <c r="A52" s="5">
        <v>51</v>
      </c>
      <c r="B52" s="5" t="s">
        <v>159</v>
      </c>
      <c r="C52" s="5" t="s">
        <v>23</v>
      </c>
      <c r="D52" s="5" t="s">
        <v>197</v>
      </c>
      <c r="E52" s="5" t="s">
        <v>161</v>
      </c>
      <c r="F52" s="5" t="s">
        <v>123</v>
      </c>
      <c r="G52" s="5">
        <v>7</v>
      </c>
      <c r="H52" s="5">
        <v>37</v>
      </c>
      <c r="I52" s="17">
        <v>1600</v>
      </c>
      <c r="J52" s="17">
        <v>1300</v>
      </c>
      <c r="K52" s="17">
        <v>0</v>
      </c>
      <c r="L52" s="17">
        <v>50</v>
      </c>
      <c r="M52" s="20">
        <f>39.4/(0.7/(6/24))</f>
        <v>14.071428571428571</v>
      </c>
      <c r="N52" s="18">
        <f>J52*(1-0.831)</f>
        <v>219.70000000000005</v>
      </c>
      <c r="O52" s="8">
        <f t="shared" ref="O52:O60" si="125">H52+273.15</f>
        <v>310.14999999999998</v>
      </c>
      <c r="P52" s="8">
        <f t="shared" ref="P52:P60" si="126">I52/8</f>
        <v>200</v>
      </c>
      <c r="Q52" s="8">
        <f t="shared" ref="Q52:Q60" si="127">J52/1000/96</f>
        <v>1.3541666666666667E-2</v>
      </c>
      <c r="R52" s="8">
        <f t="shared" ref="R52:R60" si="128">1/(1+10^(7-G52))</f>
        <v>0.5</v>
      </c>
      <c r="S52" s="8">
        <f t="shared" ref="S52:S60" si="129">K52/1000/100.1</f>
        <v>0</v>
      </c>
      <c r="T52" s="10">
        <f t="shared" si="5"/>
        <v>5.0796328360295823E-4</v>
      </c>
      <c r="U52" s="12">
        <f t="shared" ref="U52:U60" si="130">EXP(-3957/O52)</f>
        <v>2.8782078339679551E-6</v>
      </c>
      <c r="V52" s="10">
        <f t="shared" ref="V52:V60" si="131">(-(U52*R52*S52+T52)+SQRT((U52*R52*S52+T52)^2+8*U52*R52*T52*Q52))/(4*U52*R52)</f>
        <v>1.3540627781781766E-2</v>
      </c>
      <c r="W52" s="9" t="str">
        <f t="shared" si="8"/>
        <v>Crossover-limited</v>
      </c>
      <c r="X52" s="15">
        <f t="shared" ref="X52:X60" si="132">MIN(8*Q52*1000,P52)/P52</f>
        <v>0.54166666666666674</v>
      </c>
      <c r="Y52" s="15">
        <f t="shared" ref="Y52:Y60" si="133">1-X52</f>
        <v>0.45833333333333326</v>
      </c>
      <c r="Z52" s="15">
        <f t="shared" ref="Z52:Z60" si="134">((J52-N52)/96*8)/P52</f>
        <v>0.45012499999999994</v>
      </c>
      <c r="AA52" s="15">
        <f t="shared" ref="AA52:AA60" si="135">(M52/22.414*8)/P52</f>
        <v>2.5111856110339201E-2</v>
      </c>
      <c r="AB52" s="15">
        <f t="shared" ref="AB52:AB60" si="136">Z52-X52</f>
        <v>-9.1541666666666799E-2</v>
      </c>
      <c r="AC52" s="15">
        <f t="shared" ref="AC52:AC60" si="137">AA52-Y52</f>
        <v>-0.43322147722299403</v>
      </c>
      <c r="AD52" s="15">
        <f t="shared" ref="AD52:AD60" si="138">Z52+AA52</f>
        <v>0.47523685611033917</v>
      </c>
      <c r="AE52" s="16">
        <f t="shared" ref="AE52:AE60" si="139">V52/Q52</f>
        <v>0.99992328234696115</v>
      </c>
    </row>
    <row r="53" spans="1:32" x14ac:dyDescent="0.2">
      <c r="A53" s="5">
        <v>52</v>
      </c>
      <c r="B53" s="5" t="s">
        <v>160</v>
      </c>
      <c r="C53" s="5" t="s">
        <v>23</v>
      </c>
      <c r="D53" s="5" t="s">
        <v>197</v>
      </c>
      <c r="E53" s="5" t="s">
        <v>162</v>
      </c>
      <c r="F53" s="5" t="s">
        <v>163</v>
      </c>
      <c r="G53" s="5">
        <v>7</v>
      </c>
      <c r="H53" s="5">
        <v>37</v>
      </c>
      <c r="I53" s="17">
        <v>1600</v>
      </c>
      <c r="J53" s="17">
        <v>1300</v>
      </c>
      <c r="K53" s="17">
        <v>0</v>
      </c>
      <c r="L53" s="17">
        <v>50</v>
      </c>
      <c r="M53" s="20">
        <f>159.9/(0.7/(6/24))</f>
        <v>57.107142857142861</v>
      </c>
      <c r="N53" s="18">
        <f>J53*(1-0.803)</f>
        <v>256.09999999999997</v>
      </c>
      <c r="O53" s="8">
        <f t="shared" si="125"/>
        <v>310.14999999999998</v>
      </c>
      <c r="P53" s="8">
        <f t="shared" si="126"/>
        <v>200</v>
      </c>
      <c r="Q53" s="8">
        <f t="shared" si="127"/>
        <v>1.3541666666666667E-2</v>
      </c>
      <c r="R53" s="8">
        <f t="shared" si="128"/>
        <v>0.5</v>
      </c>
      <c r="S53" s="8">
        <f t="shared" si="129"/>
        <v>0</v>
      </c>
      <c r="T53" s="10">
        <f t="shared" si="5"/>
        <v>5.0796328360295823E-4</v>
      </c>
      <c r="U53" s="12">
        <f t="shared" si="130"/>
        <v>2.8782078339679551E-6</v>
      </c>
      <c r="V53" s="10">
        <f t="shared" si="131"/>
        <v>1.3540627781781766E-2</v>
      </c>
      <c r="W53" s="9" t="str">
        <f t="shared" si="8"/>
        <v>Crossover-limited</v>
      </c>
      <c r="X53" s="15">
        <f t="shared" si="132"/>
        <v>0.54166666666666674</v>
      </c>
      <c r="Y53" s="15">
        <f t="shared" si="133"/>
        <v>0.45833333333333326</v>
      </c>
      <c r="Z53" s="15">
        <f t="shared" si="134"/>
        <v>0.43495833333333339</v>
      </c>
      <c r="AA53" s="15">
        <f t="shared" si="135"/>
        <v>0.1019133449757167</v>
      </c>
      <c r="AB53" s="15">
        <f t="shared" si="136"/>
        <v>-0.10670833333333335</v>
      </c>
      <c r="AC53" s="15">
        <f t="shared" si="137"/>
        <v>-0.35641998835761657</v>
      </c>
      <c r="AD53" s="15">
        <f t="shared" si="138"/>
        <v>0.53687167830905014</v>
      </c>
      <c r="AE53" s="16">
        <f t="shared" si="139"/>
        <v>0.99992328234696115</v>
      </c>
    </row>
    <row r="54" spans="1:32" x14ac:dyDescent="0.2">
      <c r="A54" s="5">
        <v>53</v>
      </c>
      <c r="B54" s="5" t="s">
        <v>165</v>
      </c>
      <c r="C54" s="5" t="s">
        <v>23</v>
      </c>
      <c r="D54" s="5" t="s">
        <v>195</v>
      </c>
      <c r="E54" s="5" t="s">
        <v>37</v>
      </c>
      <c r="F54" s="5" t="s">
        <v>37</v>
      </c>
      <c r="G54" s="5">
        <f>(6.9+7.5)/2</f>
        <v>7.2</v>
      </c>
      <c r="H54" s="5">
        <v>35</v>
      </c>
      <c r="I54" s="17">
        <v>830.2</v>
      </c>
      <c r="J54" s="17">
        <f>1000/10</f>
        <v>100</v>
      </c>
      <c r="K54" s="17">
        <v>1500</v>
      </c>
      <c r="L54" s="17">
        <v>67.2</v>
      </c>
      <c r="M54" s="20">
        <f>(I54*(0.724+0.022))/2.85</f>
        <v>217.30849122807018</v>
      </c>
      <c r="N54" s="18">
        <f>J54*(1-0.809)</f>
        <v>19.099999999999994</v>
      </c>
      <c r="O54" s="8">
        <f t="shared" si="125"/>
        <v>308.14999999999998</v>
      </c>
      <c r="P54" s="8">
        <f t="shared" si="126"/>
        <v>103.77500000000001</v>
      </c>
      <c r="Q54" s="8">
        <f t="shared" si="127"/>
        <v>1.0416666666666667E-3</v>
      </c>
      <c r="R54" s="8">
        <f t="shared" si="128"/>
        <v>0.61313682015314319</v>
      </c>
      <c r="S54" s="8">
        <f t="shared" si="129"/>
        <v>1.4985014985014986E-2</v>
      </c>
      <c r="T54" s="10">
        <f t="shared" si="5"/>
        <v>7.1039397425523532E-4</v>
      </c>
      <c r="U54" s="12">
        <f t="shared" si="130"/>
        <v>2.6494756878768538E-6</v>
      </c>
      <c r="V54" s="10">
        <f t="shared" si="131"/>
        <v>1.0416260111782484E-3</v>
      </c>
      <c r="W54" s="9" t="str">
        <f t="shared" si="8"/>
        <v>Crossover-limited</v>
      </c>
      <c r="X54" s="15">
        <f t="shared" si="132"/>
        <v>8.0301935276640174E-2</v>
      </c>
      <c r="Y54" s="15">
        <f t="shared" si="133"/>
        <v>0.9196980647233598</v>
      </c>
      <c r="Z54" s="15">
        <f t="shared" si="134"/>
        <v>6.4964265638801894E-2</v>
      </c>
      <c r="AA54" s="15">
        <f t="shared" si="135"/>
        <v>0.74740254759321789</v>
      </c>
      <c r="AB54" s="15">
        <f t="shared" si="136"/>
        <v>-1.533766963783828E-2</v>
      </c>
      <c r="AC54" s="15">
        <f t="shared" si="137"/>
        <v>-0.17229551713014191</v>
      </c>
      <c r="AD54" s="15">
        <f t="shared" si="138"/>
        <v>0.81236681323201976</v>
      </c>
      <c r="AE54" s="16">
        <f t="shared" si="139"/>
        <v>0.99996097073111845</v>
      </c>
    </row>
    <row r="55" spans="1:32" x14ac:dyDescent="0.2">
      <c r="A55" s="5">
        <v>54</v>
      </c>
      <c r="B55" s="5" t="s">
        <v>166</v>
      </c>
      <c r="C55" s="5" t="s">
        <v>23</v>
      </c>
      <c r="D55" s="5" t="s">
        <v>195</v>
      </c>
      <c r="E55" s="5" t="s">
        <v>39</v>
      </c>
      <c r="F55" s="5" t="s">
        <v>39</v>
      </c>
      <c r="G55" s="5">
        <f t="shared" ref="G55:G58" si="140">(6.9+7.5)/2</f>
        <v>7.2</v>
      </c>
      <c r="H55" s="5">
        <v>35</v>
      </c>
      <c r="I55" s="17">
        <v>928.6</v>
      </c>
      <c r="J55" s="17">
        <f>1000/5</f>
        <v>200</v>
      </c>
      <c r="K55" s="17">
        <v>1500</v>
      </c>
      <c r="L55" s="17">
        <v>64</v>
      </c>
      <c r="M55" s="20">
        <f>(I55*(0.626+0.05))/2.85</f>
        <v>220.25740350877194</v>
      </c>
      <c r="N55" s="18">
        <f>J55*(1-0.826)</f>
        <v>34.800000000000011</v>
      </c>
      <c r="O55" s="8">
        <f t="shared" si="125"/>
        <v>308.14999999999998</v>
      </c>
      <c r="P55" s="8">
        <f t="shared" si="126"/>
        <v>116.075</v>
      </c>
      <c r="Q55" s="8">
        <f t="shared" si="127"/>
        <v>2.0833333333333333E-3</v>
      </c>
      <c r="R55" s="8">
        <f t="shared" si="128"/>
        <v>0.61313682015314319</v>
      </c>
      <c r="S55" s="8">
        <f t="shared" si="129"/>
        <v>1.4985014985014986E-2</v>
      </c>
      <c r="T55" s="10">
        <f t="shared" si="5"/>
        <v>6.7656568976689081E-4</v>
      </c>
      <c r="U55" s="12">
        <f t="shared" si="130"/>
        <v>2.6494756878768538E-6</v>
      </c>
      <c r="V55" s="10">
        <f t="shared" si="131"/>
        <v>2.083237537032428E-3</v>
      </c>
      <c r="W55" s="9" t="str">
        <f t="shared" si="8"/>
        <v>Crossover-limited</v>
      </c>
      <c r="X55" s="15">
        <f t="shared" si="132"/>
        <v>0.14358532557972575</v>
      </c>
      <c r="Y55" s="15">
        <f t="shared" si="133"/>
        <v>0.8564146744202743</v>
      </c>
      <c r="Z55" s="15">
        <f>((J55-N55)/96*8)/P55</f>
        <v>0.11860147892885346</v>
      </c>
      <c r="AA55" s="15">
        <f t="shared" si="135"/>
        <v>0.67727094125069076</v>
      </c>
      <c r="AB55" s="15">
        <f t="shared" si="136"/>
        <v>-2.4983846650872291E-2</v>
      </c>
      <c r="AC55" s="15">
        <f t="shared" si="137"/>
        <v>-0.17914373316958354</v>
      </c>
      <c r="AD55" s="15">
        <f t="shared" si="138"/>
        <v>0.79587242017954418</v>
      </c>
      <c r="AE55" s="16">
        <f t="shared" si="139"/>
        <v>0.99995401777556547</v>
      </c>
    </row>
    <row r="56" spans="1:32" x14ac:dyDescent="0.2">
      <c r="A56" s="5">
        <v>55</v>
      </c>
      <c r="B56" s="5" t="s">
        <v>167</v>
      </c>
      <c r="C56" s="5" t="s">
        <v>23</v>
      </c>
      <c r="D56" s="5" t="s">
        <v>195</v>
      </c>
      <c r="E56" s="5" t="s">
        <v>40</v>
      </c>
      <c r="F56" s="5" t="s">
        <v>40</v>
      </c>
      <c r="G56" s="5">
        <f t="shared" si="140"/>
        <v>7.2</v>
      </c>
      <c r="H56" s="5">
        <v>35</v>
      </c>
      <c r="I56" s="17">
        <v>1051.8</v>
      </c>
      <c r="J56" s="17">
        <f>1000/3</f>
        <v>333.33333333333331</v>
      </c>
      <c r="K56" s="17">
        <v>1500</v>
      </c>
      <c r="L56" s="17">
        <v>61.6</v>
      </c>
      <c r="M56" s="20">
        <f>(I56*(0.489+0.183))/2.85</f>
        <v>248.00336842105261</v>
      </c>
      <c r="N56" s="18">
        <f>J56*(1-0.826)</f>
        <v>58.000000000000014</v>
      </c>
      <c r="O56" s="8">
        <f t="shared" si="125"/>
        <v>308.14999999999998</v>
      </c>
      <c r="P56" s="8">
        <f t="shared" si="126"/>
        <v>131.47499999999999</v>
      </c>
      <c r="Q56" s="8">
        <f t="shared" si="127"/>
        <v>3.472222222222222E-3</v>
      </c>
      <c r="R56" s="8">
        <f t="shared" si="128"/>
        <v>0.61313682015314319</v>
      </c>
      <c r="S56" s="8">
        <f t="shared" si="129"/>
        <v>1.4985014985014986E-2</v>
      </c>
      <c r="T56" s="10">
        <f t="shared" si="5"/>
        <v>6.5119447640063239E-4</v>
      </c>
      <c r="U56" s="12">
        <f t="shared" si="130"/>
        <v>2.6494756878768538E-6</v>
      </c>
      <c r="V56" s="10">
        <f t="shared" si="131"/>
        <v>3.472032284689119E-3</v>
      </c>
      <c r="W56" s="9" t="str">
        <f t="shared" si="8"/>
        <v>Crossover-limited</v>
      </c>
      <c r="X56" s="15">
        <f t="shared" si="132"/>
        <v>0.21127802074750163</v>
      </c>
      <c r="Y56" s="15">
        <f t="shared" si="133"/>
        <v>0.78872197925249843</v>
      </c>
      <c r="Z56" s="15">
        <f t="shared" si="134"/>
        <v>0.17451564513743634</v>
      </c>
      <c r="AA56" s="15">
        <f t="shared" si="135"/>
        <v>0.67326342088826063</v>
      </c>
      <c r="AB56" s="15">
        <f t="shared" si="136"/>
        <v>-3.676237561006529E-2</v>
      </c>
      <c r="AC56" s="15">
        <f t="shared" si="137"/>
        <v>-0.1154585583642378</v>
      </c>
      <c r="AD56" s="15">
        <f t="shared" si="138"/>
        <v>0.84777906602569697</v>
      </c>
      <c r="AE56" s="16">
        <f t="shared" si="139"/>
        <v>0.99994529799046628</v>
      </c>
    </row>
    <row r="57" spans="1:32" x14ac:dyDescent="0.2">
      <c r="A57" s="5">
        <v>56</v>
      </c>
      <c r="B57" s="5" t="s">
        <v>168</v>
      </c>
      <c r="C57" s="5" t="s">
        <v>23</v>
      </c>
      <c r="D57" s="5" t="s">
        <v>195</v>
      </c>
      <c r="E57" s="5" t="s">
        <v>41</v>
      </c>
      <c r="F57" s="5" t="s">
        <v>41</v>
      </c>
      <c r="G57" s="5">
        <f t="shared" si="140"/>
        <v>7.2</v>
      </c>
      <c r="H57" s="5">
        <v>35</v>
      </c>
      <c r="I57" s="17">
        <v>976.3</v>
      </c>
      <c r="J57" s="17">
        <f>1000/2</f>
        <v>500</v>
      </c>
      <c r="K57" s="17">
        <v>1500</v>
      </c>
      <c r="L57" s="17">
        <v>64</v>
      </c>
      <c r="M57" s="20">
        <f>(I57*(0.449+0.023))/2.85</f>
        <v>161.68898245614034</v>
      </c>
      <c r="N57" s="18">
        <f>J57*(1-0.826)</f>
        <v>87.000000000000028</v>
      </c>
      <c r="O57" s="8">
        <f t="shared" si="125"/>
        <v>308.14999999999998</v>
      </c>
      <c r="P57" s="8">
        <f t="shared" si="126"/>
        <v>122.03749999999999</v>
      </c>
      <c r="Q57" s="8">
        <f t="shared" si="127"/>
        <v>5.208333333333333E-3</v>
      </c>
      <c r="R57" s="8">
        <f t="shared" si="128"/>
        <v>0.61313682015314319</v>
      </c>
      <c r="S57" s="8">
        <f t="shared" si="129"/>
        <v>1.4985014985014986E-2</v>
      </c>
      <c r="T57" s="10">
        <f t="shared" si="5"/>
        <v>6.7656568976689081E-4</v>
      </c>
      <c r="U57" s="12">
        <f t="shared" si="130"/>
        <v>2.6494756878768538E-6</v>
      </c>
      <c r="V57" s="10">
        <f t="shared" si="131"/>
        <v>5.2080156962123142E-3</v>
      </c>
      <c r="W57" s="9" t="str">
        <f t="shared" si="8"/>
        <v>Crossover-limited</v>
      </c>
      <c r="X57" s="15">
        <f t="shared" si="132"/>
        <v>0.34142510840247192</v>
      </c>
      <c r="Y57" s="15">
        <f t="shared" si="133"/>
        <v>0.65857489159752802</v>
      </c>
      <c r="Z57" s="15">
        <f t="shared" si="134"/>
        <v>0.28201713954044177</v>
      </c>
      <c r="AA57" s="15">
        <f t="shared" si="135"/>
        <v>0.47288740276675445</v>
      </c>
      <c r="AB57" s="15">
        <f t="shared" si="136"/>
        <v>-5.9407968862030147E-2</v>
      </c>
      <c r="AC57" s="15">
        <f t="shared" si="137"/>
        <v>-0.18568748883077357</v>
      </c>
      <c r="AD57" s="15">
        <f t="shared" si="138"/>
        <v>0.75490454230719628</v>
      </c>
      <c r="AE57" s="16">
        <f t="shared" si="139"/>
        <v>0.99993901367276439</v>
      </c>
    </row>
    <row r="58" spans="1:32" x14ac:dyDescent="0.2">
      <c r="A58" s="5">
        <v>57</v>
      </c>
      <c r="B58" s="5" t="s">
        <v>169</v>
      </c>
      <c r="C58" s="5" t="s">
        <v>23</v>
      </c>
      <c r="D58" s="5" t="s">
        <v>195</v>
      </c>
      <c r="E58" s="5" t="s">
        <v>42</v>
      </c>
      <c r="F58" s="5" t="s">
        <v>42</v>
      </c>
      <c r="G58" s="5">
        <f t="shared" si="140"/>
        <v>7.2</v>
      </c>
      <c r="H58" s="5">
        <v>35</v>
      </c>
      <c r="I58" s="17">
        <v>919.7</v>
      </c>
      <c r="J58" s="17">
        <f>1000/1</f>
        <v>1000</v>
      </c>
      <c r="K58" s="17">
        <v>1500</v>
      </c>
      <c r="L58" s="17">
        <v>58</v>
      </c>
      <c r="M58" s="20">
        <f>(I58*(0.022+0.022))/2.85</f>
        <v>14.198877192982456</v>
      </c>
      <c r="N58" s="18">
        <f>J58*(1-0.212)</f>
        <v>788</v>
      </c>
      <c r="O58" s="8">
        <f t="shared" si="125"/>
        <v>308.14999999999998</v>
      </c>
      <c r="P58" s="8">
        <f t="shared" si="126"/>
        <v>114.96250000000001</v>
      </c>
      <c r="Q58" s="8">
        <f t="shared" si="127"/>
        <v>1.0416666666666666E-2</v>
      </c>
      <c r="R58" s="8">
        <f t="shared" si="128"/>
        <v>0.61313682015314319</v>
      </c>
      <c r="S58" s="8">
        <f t="shared" si="129"/>
        <v>1.4985014985014986E-2</v>
      </c>
      <c r="T58" s="10">
        <f t="shared" si="5"/>
        <v>6.1313765635124477E-4</v>
      </c>
      <c r="U58" s="12">
        <f t="shared" si="130"/>
        <v>2.6494756878768538E-6</v>
      </c>
      <c r="V58" s="10">
        <f t="shared" si="131"/>
        <v>1.0415678276337074E-2</v>
      </c>
      <c r="W58" s="9" t="str">
        <f t="shared" si="8"/>
        <v>Crossover-limited</v>
      </c>
      <c r="X58" s="15">
        <f t="shared" si="132"/>
        <v>0.72487405313326803</v>
      </c>
      <c r="Y58" s="15">
        <f t="shared" si="133"/>
        <v>0.27512594686673197</v>
      </c>
      <c r="Z58" s="15">
        <f t="shared" si="134"/>
        <v>0.15367329926425283</v>
      </c>
      <c r="AA58" s="15">
        <f t="shared" si="135"/>
        <v>4.4082723986731347E-2</v>
      </c>
      <c r="AB58" s="15">
        <f t="shared" si="136"/>
        <v>-0.57120075386901514</v>
      </c>
      <c r="AC58" s="15">
        <f t="shared" si="137"/>
        <v>-0.23104322288000062</v>
      </c>
      <c r="AD58" s="15">
        <f t="shared" si="138"/>
        <v>0.19775602325098418</v>
      </c>
      <c r="AE58" s="16">
        <f t="shared" si="139"/>
        <v>0.99990511452835917</v>
      </c>
    </row>
    <row r="59" spans="1:32" x14ac:dyDescent="0.2">
      <c r="A59" s="5">
        <v>58</v>
      </c>
      <c r="B59" s="5" t="s">
        <v>170</v>
      </c>
      <c r="C59" s="5" t="s">
        <v>23</v>
      </c>
      <c r="D59" s="5" t="s">
        <v>195</v>
      </c>
      <c r="E59" s="5" t="s">
        <v>164</v>
      </c>
      <c r="F59" s="5" t="s">
        <v>164</v>
      </c>
      <c r="G59" s="5">
        <v>7.4</v>
      </c>
      <c r="H59" s="5">
        <v>35</v>
      </c>
      <c r="I59" s="17">
        <v>991.8</v>
      </c>
      <c r="J59" s="17">
        <f>1000/0.5</f>
        <v>2000</v>
      </c>
      <c r="K59" s="17">
        <v>1500</v>
      </c>
      <c r="L59" s="17">
        <v>60</v>
      </c>
      <c r="M59" s="20">
        <f>(I59*(0.008+0.015))/2.85</f>
        <v>8.0039999999999996</v>
      </c>
      <c r="N59" s="18">
        <f>J59*(1-0.15)</f>
        <v>1700</v>
      </c>
      <c r="O59" s="8">
        <f t="shared" si="125"/>
        <v>308.14999999999998</v>
      </c>
      <c r="P59" s="8">
        <f t="shared" si="126"/>
        <v>123.97499999999999</v>
      </c>
      <c r="Q59" s="8">
        <f t="shared" si="127"/>
        <v>2.0833333333333332E-2</v>
      </c>
      <c r="R59" s="8">
        <f t="shared" si="128"/>
        <v>0.71525275104919883</v>
      </c>
      <c r="S59" s="8">
        <f t="shared" si="129"/>
        <v>1.4985014985014986E-2</v>
      </c>
      <c r="T59" s="10">
        <f t="shared" si="5"/>
        <v>6.3428033415646008E-4</v>
      </c>
      <c r="U59" s="12">
        <f t="shared" si="130"/>
        <v>2.6494756878768538E-6</v>
      </c>
      <c r="V59" s="10">
        <f t="shared" si="131"/>
        <v>2.0829808145578731E-2</v>
      </c>
      <c r="W59" s="9" t="str">
        <f t="shared" si="8"/>
        <v>Crossover-limited</v>
      </c>
      <c r="X59" s="15">
        <f t="shared" si="132"/>
        <v>1</v>
      </c>
      <c r="Y59" s="15">
        <f t="shared" si="133"/>
        <v>0</v>
      </c>
      <c r="Z59" s="15">
        <f t="shared" si="134"/>
        <v>0.20165355918531963</v>
      </c>
      <c r="AA59" s="15">
        <f t="shared" si="135"/>
        <v>2.3043242083973205E-2</v>
      </c>
      <c r="AB59" s="15">
        <f t="shared" si="136"/>
        <v>-0.79834644081468031</v>
      </c>
      <c r="AC59" s="15">
        <f t="shared" si="137"/>
        <v>2.3043242083973205E-2</v>
      </c>
      <c r="AD59" s="15">
        <f t="shared" si="138"/>
        <v>0.22469680126929284</v>
      </c>
      <c r="AE59" s="16">
        <f t="shared" si="139"/>
        <v>0.99983079098777916</v>
      </c>
    </row>
    <row r="60" spans="1:32" x14ac:dyDescent="0.2">
      <c r="A60" s="5">
        <v>59</v>
      </c>
      <c r="B60" s="5" t="s">
        <v>171</v>
      </c>
      <c r="C60" s="5" t="s">
        <v>55</v>
      </c>
      <c r="D60" s="5" t="s">
        <v>196</v>
      </c>
      <c r="E60" s="5" t="s">
        <v>174</v>
      </c>
      <c r="F60" s="5" t="s">
        <v>175</v>
      </c>
      <c r="G60" s="5">
        <v>7.4</v>
      </c>
      <c r="H60" s="5">
        <v>35</v>
      </c>
      <c r="I60" s="17">
        <v>4000</v>
      </c>
      <c r="J60" s="17">
        <v>1000</v>
      </c>
      <c r="K60" s="17">
        <f>2000 / 84.0066*100.115</f>
        <v>2383.5032009389738</v>
      </c>
      <c r="L60" s="17">
        <v>50</v>
      </c>
      <c r="M60" s="20">
        <f>141.2/0.2</f>
        <v>705.99999999999989</v>
      </c>
      <c r="N60" s="18">
        <v>483</v>
      </c>
      <c r="O60" s="8">
        <f t="shared" si="125"/>
        <v>308.14999999999998</v>
      </c>
      <c r="P60" s="8">
        <f t="shared" si="126"/>
        <v>500</v>
      </c>
      <c r="Q60" s="8">
        <f t="shared" si="127"/>
        <v>1.0416666666666666E-2</v>
      </c>
      <c r="R60" s="8">
        <f t="shared" si="128"/>
        <v>0.71525275104919883</v>
      </c>
      <c r="S60" s="8">
        <f t="shared" si="129"/>
        <v>2.3811220788601137E-2</v>
      </c>
      <c r="T60" s="10">
        <f t="shared" si="5"/>
        <v>5.2856694513038341E-4</v>
      </c>
      <c r="U60" s="12">
        <f t="shared" si="130"/>
        <v>2.6494756878768538E-6</v>
      </c>
      <c r="V60" s="10">
        <f t="shared" si="131"/>
        <v>1.0414999746514508E-2</v>
      </c>
      <c r="W60" s="9" t="str">
        <f t="shared" si="8"/>
        <v>Crossover-limited</v>
      </c>
      <c r="X60" s="15">
        <f t="shared" si="132"/>
        <v>0.16666666666666666</v>
      </c>
      <c r="Y60" s="15">
        <f t="shared" si="133"/>
        <v>0.83333333333333337</v>
      </c>
      <c r="Z60" s="15">
        <f t="shared" si="134"/>
        <v>8.6166666666666669E-2</v>
      </c>
      <c r="AA60" s="15">
        <f t="shared" si="135"/>
        <v>0.50397073257785308</v>
      </c>
      <c r="AB60" s="15">
        <f t="shared" si="136"/>
        <v>-8.0499999999999988E-2</v>
      </c>
      <c r="AC60" s="15">
        <f t="shared" si="137"/>
        <v>-0.32936260075548029</v>
      </c>
      <c r="AD60" s="15">
        <f t="shared" si="138"/>
        <v>0.5901373992445198</v>
      </c>
      <c r="AE60" s="16">
        <f t="shared" si="139"/>
        <v>0.99983997566539273</v>
      </c>
    </row>
    <row r="61" spans="1:32" x14ac:dyDescent="0.2">
      <c r="A61" s="5">
        <v>60</v>
      </c>
      <c r="B61" s="5" t="s">
        <v>172</v>
      </c>
      <c r="C61" s="5" t="s">
        <v>55</v>
      </c>
      <c r="D61" s="5" t="s">
        <v>196</v>
      </c>
      <c r="E61" s="5" t="s">
        <v>176</v>
      </c>
      <c r="F61" s="5" t="s">
        <v>177</v>
      </c>
      <c r="G61" s="5">
        <v>7.5</v>
      </c>
      <c r="H61" s="5">
        <v>35</v>
      </c>
      <c r="I61" s="17">
        <v>4000</v>
      </c>
      <c r="J61" s="17">
        <v>1000</v>
      </c>
      <c r="K61" s="17">
        <f t="shared" ref="K61:K62" si="141">2000 / 84.0066*100.115</f>
        <v>2383.5032009389738</v>
      </c>
      <c r="L61" s="17">
        <v>50</v>
      </c>
      <c r="M61" s="20">
        <f>147.1/0.2</f>
        <v>735.49999999999989</v>
      </c>
      <c r="N61" s="18">
        <v>471</v>
      </c>
      <c r="O61" s="8">
        <f t="shared" ref="O61:O62" si="142">H61+273.15</f>
        <v>308.14999999999998</v>
      </c>
      <c r="P61" s="8">
        <f t="shared" ref="P61:P62" si="143">I61/8</f>
        <v>500</v>
      </c>
      <c r="Q61" s="8">
        <f t="shared" ref="Q61:Q62" si="144">J61/1000/96</f>
        <v>1.0416666666666666E-2</v>
      </c>
      <c r="R61" s="8">
        <f t="shared" ref="R61:R62" si="145">1/(1+10^(7-G61))</f>
        <v>0.75974692664795784</v>
      </c>
      <c r="S61" s="8">
        <f t="shared" ref="S61:S62" si="146">K61/1000/100.1</f>
        <v>2.3811220788601137E-2</v>
      </c>
      <c r="T61" s="10">
        <f t="shared" si="5"/>
        <v>5.2856694513038341E-4</v>
      </c>
      <c r="U61" s="12">
        <f t="shared" ref="U61:U62" si="147">EXP(-3957/O61)</f>
        <v>2.6494756878768538E-6</v>
      </c>
      <c r="V61" s="10">
        <f t="shared" ref="V61:V62" si="148">(-(U61*R61*S61+T61)+SQRT((U61*R61*S61+T61)^2+8*U61*R61*T61*Q61))/(4*U61*R61)</f>
        <v>1.0414896077221927E-2</v>
      </c>
      <c r="W61" s="9" t="str">
        <f t="shared" si="8"/>
        <v>Crossover-limited</v>
      </c>
      <c r="X61" s="15">
        <f t="shared" ref="X61:X62" si="149">MIN(8*Q61*1000,P61)/P61</f>
        <v>0.16666666666666666</v>
      </c>
      <c r="Y61" s="15">
        <f t="shared" ref="Y61:Y62" si="150">1-X61</f>
        <v>0.83333333333333337</v>
      </c>
      <c r="Z61" s="15">
        <f t="shared" ref="Z61:Z62" si="151">((J61-N61)/96*8)/P61</f>
        <v>8.8166666666666671E-2</v>
      </c>
      <c r="AA61" s="15">
        <f t="shared" ref="AA61:AA62" si="152">(M61/22.414*8)/P61</f>
        <v>0.52502899973230999</v>
      </c>
      <c r="AB61" s="15">
        <f t="shared" ref="AB61:AB62" si="153">Z61-X61</f>
        <v>-7.8499999999999986E-2</v>
      </c>
      <c r="AC61" s="15">
        <f t="shared" ref="AC61:AC62" si="154">AA61-Y61</f>
        <v>-0.30830433360102338</v>
      </c>
      <c r="AD61" s="15">
        <f t="shared" ref="AD61:AD62" si="155">Z61+AA61</f>
        <v>0.6131956663989766</v>
      </c>
      <c r="AE61" s="16">
        <f t="shared" ref="AE61:AE62" si="156">V61/Q61</f>
        <v>0.99983002341330496</v>
      </c>
    </row>
    <row r="62" spans="1:32" x14ac:dyDescent="0.2">
      <c r="A62" s="5">
        <v>61</v>
      </c>
      <c r="B62" s="5" t="s">
        <v>173</v>
      </c>
      <c r="C62" s="5" t="s">
        <v>55</v>
      </c>
      <c r="D62" s="5" t="s">
        <v>196</v>
      </c>
      <c r="E62" s="5" t="s">
        <v>178</v>
      </c>
      <c r="F62" s="5" t="s">
        <v>179</v>
      </c>
      <c r="G62" s="5">
        <v>7.6</v>
      </c>
      <c r="H62" s="5">
        <v>35</v>
      </c>
      <c r="I62" s="17">
        <v>4000</v>
      </c>
      <c r="J62" s="17">
        <v>1000</v>
      </c>
      <c r="K62" s="17">
        <f t="shared" si="141"/>
        <v>2383.5032009389738</v>
      </c>
      <c r="L62" s="17">
        <v>50</v>
      </c>
      <c r="M62" s="20">
        <f>163.1/0.2</f>
        <v>815.49999999999989</v>
      </c>
      <c r="N62" s="18">
        <v>438</v>
      </c>
      <c r="O62" s="8">
        <f t="shared" si="142"/>
        <v>308.14999999999998</v>
      </c>
      <c r="P62" s="8">
        <f t="shared" si="143"/>
        <v>500</v>
      </c>
      <c r="Q62" s="8">
        <f t="shared" si="144"/>
        <v>1.0416666666666666E-2</v>
      </c>
      <c r="R62" s="8">
        <f t="shared" si="145"/>
        <v>0.79923999108689814</v>
      </c>
      <c r="S62" s="8">
        <f t="shared" si="146"/>
        <v>2.3811220788601137E-2</v>
      </c>
      <c r="T62" s="10">
        <f t="shared" si="5"/>
        <v>5.2856694513038341E-4</v>
      </c>
      <c r="U62" s="12">
        <f t="shared" si="147"/>
        <v>2.6494756878768538E-6</v>
      </c>
      <c r="V62" s="10">
        <f t="shared" si="148"/>
        <v>1.0414804062805342E-2</v>
      </c>
      <c r="W62" s="9" t="str">
        <f t="shared" si="8"/>
        <v>Crossover-limited</v>
      </c>
      <c r="X62" s="15">
        <f t="shared" si="149"/>
        <v>0.16666666666666666</v>
      </c>
      <c r="Y62" s="15">
        <f t="shared" si="150"/>
        <v>0.83333333333333337</v>
      </c>
      <c r="Z62" s="15">
        <f t="shared" si="151"/>
        <v>9.3666666666666676E-2</v>
      </c>
      <c r="AA62" s="15">
        <f t="shared" si="152"/>
        <v>0.5821361648969392</v>
      </c>
      <c r="AB62" s="15">
        <f t="shared" si="153"/>
        <v>-7.2999999999999982E-2</v>
      </c>
      <c r="AC62" s="15">
        <f t="shared" si="154"/>
        <v>-0.25119716843639417</v>
      </c>
      <c r="AD62" s="15">
        <f t="shared" si="155"/>
        <v>0.67580283156360588</v>
      </c>
      <c r="AE62" s="16">
        <f t="shared" si="156"/>
        <v>0.99982119002931291</v>
      </c>
    </row>
    <row r="63" spans="1:32" x14ac:dyDescent="0.2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21">
        <f>MIN(AE2:AE62)</f>
        <v>0.98891729982776333</v>
      </c>
      <c r="AF63" s="6"/>
    </row>
    <row r="64" spans="1:32" x14ac:dyDescent="0.2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</row>
    <row r="65" spans="1:32" x14ac:dyDescent="0.2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</row>
    <row r="66" spans="1:32" x14ac:dyDescent="0.2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</row>
    <row r="67" spans="1:32" x14ac:dyDescent="0.2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</row>
    <row r="68" spans="1:32" x14ac:dyDescent="0.2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</row>
    <row r="69" spans="1:32" x14ac:dyDescent="0.2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</row>
    <row r="70" spans="1:32" x14ac:dyDescent="0.2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</row>
    <row r="71" spans="1:32" x14ac:dyDescent="0.2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</row>
    <row r="72" spans="1:32" x14ac:dyDescent="0.2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</row>
    <row r="73" spans="1:32" x14ac:dyDescent="0.2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</row>
    <row r="74" spans="1:32" x14ac:dyDescent="0.2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</row>
    <row r="75" spans="1:32" x14ac:dyDescent="0.2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</row>
    <row r="76" spans="1:32" x14ac:dyDescent="0.2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</row>
    <row r="77" spans="1:32" x14ac:dyDescent="0.2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</row>
    <row r="78" spans="1:32" x14ac:dyDescent="0.2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</row>
    <row r="79" spans="1:32" x14ac:dyDescent="0.2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</row>
    <row r="80" spans="1:32" x14ac:dyDescent="0.2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</row>
    <row r="81" spans="1:32" x14ac:dyDescent="0.2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</row>
    <row r="82" spans="1:32" x14ac:dyDescent="0.2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</row>
    <row r="83" spans="1:32" x14ac:dyDescent="0.2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</row>
    <row r="84" spans="1:32" x14ac:dyDescent="0.2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</row>
    <row r="85" spans="1:32" x14ac:dyDescent="0.2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</row>
    <row r="86" spans="1:32" x14ac:dyDescent="0.2">
      <c r="A86" s="6"/>
      <c r="B86" s="6"/>
      <c r="C86"/>
      <c r="D86"/>
      <c r="E86" s="6"/>
      <c r="F86" s="6"/>
      <c r="G86"/>
      <c r="H86"/>
      <c r="I86" s="19"/>
      <c r="J86" s="19"/>
      <c r="K86" s="19"/>
      <c r="L86" s="19"/>
      <c r="M86" s="19"/>
      <c r="N86" s="19"/>
      <c r="V86" s="11"/>
      <c r="AE86"/>
    </row>
    <row r="87" spans="1:32" x14ac:dyDescent="0.2">
      <c r="A87" s="6"/>
      <c r="B87" s="6"/>
      <c r="C87"/>
      <c r="D87"/>
      <c r="E87" s="6"/>
      <c r="F87" s="6"/>
      <c r="G87"/>
      <c r="H87"/>
      <c r="I87" s="19"/>
      <c r="J87" s="19"/>
      <c r="K87" s="19"/>
      <c r="L87" s="19"/>
      <c r="M87" s="19"/>
      <c r="N87" s="19"/>
      <c r="V87" s="11"/>
      <c r="AE87"/>
    </row>
    <row r="88" spans="1:32" x14ac:dyDescent="0.2">
      <c r="A88" s="6"/>
      <c r="B88" s="6"/>
      <c r="C88"/>
      <c r="D88"/>
      <c r="E88" s="6"/>
      <c r="F88" s="6"/>
      <c r="G88"/>
      <c r="H88"/>
      <c r="I88" s="19"/>
      <c r="J88" s="19"/>
      <c r="K88" s="19"/>
      <c r="L88" s="19"/>
      <c r="M88" s="19"/>
      <c r="N88" s="19"/>
      <c r="AE88"/>
    </row>
    <row r="89" spans="1:32" x14ac:dyDescent="0.2">
      <c r="A89" s="6"/>
      <c r="B89" s="6"/>
      <c r="C89"/>
      <c r="D89"/>
      <c r="E89" s="6"/>
      <c r="F89" s="6"/>
      <c r="G89"/>
      <c r="H89"/>
      <c r="I89"/>
      <c r="J89"/>
      <c r="K89"/>
      <c r="L89"/>
      <c r="M89"/>
      <c r="N89"/>
      <c r="AE89"/>
    </row>
    <row r="90" spans="1:32" x14ac:dyDescent="0.2">
      <c r="A90" s="6"/>
      <c r="B90" s="6"/>
      <c r="C90"/>
      <c r="D90"/>
      <c r="E90" s="6"/>
      <c r="F90" s="6"/>
      <c r="G90"/>
      <c r="H90"/>
      <c r="I90"/>
      <c r="J90"/>
      <c r="K90"/>
      <c r="L90"/>
      <c r="M90"/>
      <c r="N90"/>
      <c r="AE90"/>
    </row>
    <row r="91" spans="1:32" x14ac:dyDescent="0.2">
      <c r="A91" s="6"/>
      <c r="B91" s="6"/>
      <c r="C91"/>
      <c r="D91"/>
      <c r="E91" s="6"/>
      <c r="F91" s="6"/>
      <c r="G91"/>
      <c r="H91"/>
      <c r="I91"/>
      <c r="J91"/>
      <c r="K91"/>
      <c r="L91"/>
      <c r="M91"/>
      <c r="N91"/>
      <c r="AE91"/>
    </row>
    <row r="92" spans="1:32" x14ac:dyDescent="0.2">
      <c r="A92" s="6"/>
      <c r="B92" s="6"/>
      <c r="C92"/>
      <c r="D92"/>
      <c r="E92" s="6"/>
      <c r="F92" s="6"/>
      <c r="G92"/>
      <c r="H92"/>
      <c r="I92"/>
      <c r="J92"/>
      <c r="K92"/>
      <c r="L92"/>
      <c r="M92"/>
      <c r="N92"/>
      <c r="AE92"/>
    </row>
    <row r="93" spans="1:32" x14ac:dyDescent="0.2">
      <c r="A93" s="6"/>
      <c r="B93" s="6"/>
      <c r="C93"/>
      <c r="D93"/>
      <c r="E93" s="6"/>
      <c r="F93" s="6"/>
      <c r="G93"/>
      <c r="H93"/>
      <c r="I93"/>
      <c r="J93"/>
      <c r="K93"/>
      <c r="L93"/>
      <c r="M93"/>
      <c r="N93"/>
      <c r="AE93"/>
    </row>
    <row r="94" spans="1:32" x14ac:dyDescent="0.2">
      <c r="A94" s="6"/>
      <c r="B94" s="6"/>
      <c r="C94"/>
      <c r="D94"/>
      <c r="E94" s="6"/>
      <c r="F94" s="6"/>
      <c r="G94"/>
      <c r="H94"/>
      <c r="I94"/>
      <c r="J94"/>
      <c r="K94"/>
      <c r="L94"/>
      <c r="M94"/>
      <c r="N94"/>
      <c r="AE94"/>
    </row>
    <row r="95" spans="1:32" x14ac:dyDescent="0.2">
      <c r="A95" s="6"/>
      <c r="B95" s="6"/>
      <c r="C95"/>
      <c r="D95"/>
      <c r="E95" s="6"/>
      <c r="F95" s="6"/>
      <c r="G95"/>
      <c r="H95"/>
      <c r="I95"/>
      <c r="J95"/>
      <c r="K95"/>
      <c r="L95"/>
      <c r="M95"/>
      <c r="N95"/>
      <c r="AE95"/>
    </row>
    <row r="96" spans="1:32" x14ac:dyDescent="0.2">
      <c r="A96" s="6"/>
      <c r="B96" s="6"/>
      <c r="C96"/>
      <c r="D96"/>
      <c r="E96" s="6"/>
      <c r="F96" s="6"/>
      <c r="G96"/>
      <c r="H96"/>
      <c r="I96"/>
      <c r="J96"/>
      <c r="K96"/>
      <c r="L96"/>
      <c r="M96"/>
      <c r="N96"/>
      <c r="AE96"/>
    </row>
    <row r="97" spans="1:31" x14ac:dyDescent="0.2">
      <c r="A97" s="6"/>
      <c r="B97" s="6"/>
      <c r="C97"/>
      <c r="D97"/>
      <c r="E97" s="6"/>
      <c r="F97" s="6"/>
      <c r="G97"/>
      <c r="H97"/>
      <c r="I97"/>
      <c r="J97"/>
      <c r="K97"/>
      <c r="L97"/>
      <c r="M97"/>
      <c r="N97"/>
      <c r="AE97"/>
    </row>
    <row r="98" spans="1:31" x14ac:dyDescent="0.2">
      <c r="A98" s="6"/>
      <c r="B98" s="6"/>
      <c r="C98"/>
      <c r="D98"/>
      <c r="E98" s="6"/>
      <c r="F98" s="6"/>
      <c r="G98"/>
      <c r="H98"/>
      <c r="I98"/>
      <c r="J98"/>
      <c r="K98"/>
      <c r="L98"/>
      <c r="M98"/>
      <c r="N98"/>
      <c r="AE98"/>
    </row>
    <row r="99" spans="1:31" x14ac:dyDescent="0.2">
      <c r="A99" s="6"/>
      <c r="B99" s="6"/>
      <c r="C99"/>
      <c r="D99"/>
      <c r="E99" s="6"/>
      <c r="F99" s="6"/>
      <c r="G99"/>
      <c r="H99"/>
      <c r="I99"/>
      <c r="J99"/>
      <c r="K99"/>
      <c r="L99"/>
      <c r="M99"/>
      <c r="N99"/>
      <c r="AE99"/>
    </row>
    <row r="100" spans="1:31" x14ac:dyDescent="0.2">
      <c r="A100" s="6"/>
      <c r="B100" s="6"/>
      <c r="C100"/>
      <c r="D100"/>
      <c r="E100" s="6"/>
      <c r="F100" s="6"/>
      <c r="G100"/>
      <c r="H100"/>
      <c r="I100"/>
      <c r="J100"/>
      <c r="K100"/>
      <c r="L100"/>
      <c r="M100"/>
      <c r="N100"/>
      <c r="AE100"/>
    </row>
    <row r="101" spans="1:31" x14ac:dyDescent="0.2">
      <c r="A101" s="6"/>
      <c r="B101" s="6"/>
      <c r="C101"/>
      <c r="D101"/>
      <c r="E101" s="6"/>
      <c r="F101" s="6"/>
      <c r="G101"/>
      <c r="H101"/>
      <c r="I101"/>
      <c r="J101"/>
      <c r="K101"/>
      <c r="L101"/>
      <c r="M101"/>
      <c r="N101"/>
      <c r="AE101"/>
    </row>
    <row r="102" spans="1:31" x14ac:dyDescent="0.2">
      <c r="A102" s="6"/>
      <c r="B102" s="6"/>
      <c r="C102"/>
      <c r="D102"/>
      <c r="E102" s="6"/>
      <c r="F102" s="6"/>
      <c r="G102"/>
      <c r="H102"/>
      <c r="I102"/>
      <c r="J102"/>
      <c r="K102"/>
      <c r="L102"/>
      <c r="M102"/>
      <c r="N102"/>
      <c r="AE102"/>
    </row>
    <row r="103" spans="1:31" x14ac:dyDescent="0.2">
      <c r="A103" s="6"/>
      <c r="B103" s="6"/>
      <c r="C103"/>
      <c r="D103"/>
      <c r="E103" s="6"/>
      <c r="F103" s="6"/>
      <c r="G103"/>
      <c r="H103"/>
      <c r="I103"/>
      <c r="J103"/>
      <c r="K103"/>
      <c r="L103"/>
      <c r="M103"/>
      <c r="N103"/>
      <c r="AE103"/>
    </row>
    <row r="104" spans="1:31" x14ac:dyDescent="0.2">
      <c r="A104" s="6"/>
      <c r="B104" s="6"/>
      <c r="C104"/>
      <c r="D104"/>
      <c r="E104" s="6"/>
      <c r="F104" s="6"/>
      <c r="G104"/>
      <c r="H104"/>
      <c r="I104"/>
      <c r="J104"/>
      <c r="K104"/>
      <c r="L104"/>
      <c r="M104"/>
      <c r="N104"/>
      <c r="AE104"/>
    </row>
    <row r="105" spans="1:31" x14ac:dyDescent="0.2">
      <c r="A105" s="6"/>
      <c r="B105" s="6"/>
      <c r="C105"/>
      <c r="D105"/>
      <c r="E105" s="6"/>
      <c r="F105" s="6"/>
      <c r="G105"/>
      <c r="H105"/>
      <c r="I105"/>
      <c r="J105"/>
      <c r="K105"/>
      <c r="L105"/>
      <c r="M105"/>
      <c r="N105"/>
      <c r="AE105"/>
    </row>
    <row r="106" spans="1:31" x14ac:dyDescent="0.2">
      <c r="A106" s="6"/>
      <c r="B106" s="6"/>
      <c r="C106"/>
      <c r="D106"/>
      <c r="E106" s="6"/>
      <c r="F106" s="6"/>
      <c r="G106"/>
      <c r="H106"/>
      <c r="I106"/>
      <c r="J106"/>
      <c r="K106"/>
      <c r="L106"/>
      <c r="M106"/>
      <c r="N106"/>
      <c r="AE106"/>
    </row>
    <row r="107" spans="1:31" x14ac:dyDescent="0.2">
      <c r="A107" s="6"/>
      <c r="B107" s="6"/>
      <c r="C107"/>
      <c r="D107"/>
      <c r="E107" s="6"/>
      <c r="F107" s="6"/>
      <c r="G107"/>
      <c r="H107"/>
      <c r="I107"/>
      <c r="J107"/>
      <c r="K107"/>
      <c r="L107"/>
      <c r="M107"/>
      <c r="N107"/>
      <c r="AE107"/>
    </row>
    <row r="108" spans="1:31" x14ac:dyDescent="0.2">
      <c r="A108" s="6"/>
      <c r="B108" s="6"/>
      <c r="C108"/>
      <c r="D108"/>
      <c r="E108" s="6"/>
      <c r="F108" s="6"/>
      <c r="G108"/>
      <c r="H108"/>
      <c r="I108"/>
      <c r="J108"/>
      <c r="K108"/>
      <c r="L108"/>
      <c r="M108"/>
      <c r="N108"/>
      <c r="AE108"/>
    </row>
    <row r="109" spans="1:31" x14ac:dyDescent="0.2">
      <c r="A109" s="6"/>
      <c r="B109" s="6"/>
      <c r="C109"/>
      <c r="D109"/>
      <c r="E109" s="6"/>
      <c r="F109" s="6"/>
      <c r="G109"/>
      <c r="H109"/>
      <c r="I109"/>
      <c r="J109"/>
      <c r="K109"/>
      <c r="L109"/>
      <c r="M109"/>
      <c r="N109"/>
      <c r="AE109"/>
    </row>
    <row r="110" spans="1:31" x14ac:dyDescent="0.2">
      <c r="A110" s="6"/>
      <c r="B110" s="6"/>
      <c r="C110"/>
      <c r="D110"/>
      <c r="E110" s="6"/>
      <c r="F110" s="6"/>
      <c r="G110"/>
      <c r="H110"/>
      <c r="I110"/>
      <c r="J110"/>
      <c r="K110"/>
      <c r="L110"/>
      <c r="M110"/>
      <c r="N110"/>
      <c r="AE110"/>
    </row>
    <row r="111" spans="1:31" x14ac:dyDescent="0.2">
      <c r="A111" s="6"/>
      <c r="B111" s="6"/>
      <c r="C111"/>
      <c r="D111"/>
      <c r="E111" s="6"/>
      <c r="F111" s="6"/>
      <c r="G111"/>
      <c r="H111"/>
      <c r="I111"/>
      <c r="J111"/>
      <c r="K111"/>
      <c r="L111"/>
      <c r="M111"/>
      <c r="N111"/>
      <c r="AE111"/>
    </row>
    <row r="112" spans="1:31" x14ac:dyDescent="0.2">
      <c r="A112" s="6"/>
      <c r="B112" s="6"/>
      <c r="C112"/>
      <c r="D112"/>
      <c r="E112" s="6"/>
      <c r="F112" s="6"/>
      <c r="G112"/>
      <c r="H112"/>
      <c r="I112"/>
      <c r="J112"/>
      <c r="K112"/>
      <c r="L112"/>
      <c r="M112"/>
      <c r="N112"/>
      <c r="AE112"/>
    </row>
    <row r="113" spans="1:31" x14ac:dyDescent="0.2">
      <c r="A113" s="6"/>
      <c r="B113" s="6"/>
      <c r="C113"/>
      <c r="D113"/>
      <c r="E113" s="6"/>
      <c r="F113" s="6"/>
      <c r="G113"/>
      <c r="H113"/>
      <c r="I113"/>
      <c r="J113"/>
      <c r="K113"/>
      <c r="L113"/>
      <c r="M113"/>
      <c r="N113"/>
      <c r="AE113"/>
    </row>
    <row r="114" spans="1:31" x14ac:dyDescent="0.2">
      <c r="A114" s="6"/>
      <c r="B114" s="6"/>
      <c r="C114"/>
      <c r="D114"/>
      <c r="E114" s="6"/>
      <c r="F114" s="6"/>
      <c r="G114"/>
      <c r="H114"/>
      <c r="I114"/>
      <c r="J114"/>
      <c r="K114"/>
      <c r="L114"/>
      <c r="M114"/>
      <c r="N114"/>
      <c r="AE114"/>
    </row>
    <row r="115" spans="1:31" x14ac:dyDescent="0.2">
      <c r="A115" s="6"/>
      <c r="B115" s="6"/>
      <c r="C115"/>
      <c r="D115"/>
      <c r="E115" s="6"/>
      <c r="F115" s="6"/>
      <c r="G115"/>
      <c r="H115"/>
      <c r="I115"/>
      <c r="J115"/>
      <c r="K115"/>
      <c r="L115"/>
      <c r="M115"/>
      <c r="N115"/>
      <c r="AE115"/>
    </row>
    <row r="116" spans="1:31" x14ac:dyDescent="0.2">
      <c r="A116" s="6"/>
      <c r="B116" s="6"/>
      <c r="C116"/>
      <c r="D116"/>
      <c r="E116" s="6"/>
      <c r="F116" s="6"/>
      <c r="G116"/>
      <c r="H116"/>
      <c r="I116"/>
      <c r="J116"/>
      <c r="K116"/>
      <c r="L116"/>
      <c r="M116"/>
      <c r="N116"/>
      <c r="AE116"/>
    </row>
    <row r="117" spans="1:31" x14ac:dyDescent="0.2">
      <c r="A117" s="6"/>
      <c r="B117" s="6"/>
      <c r="C117"/>
      <c r="D117"/>
      <c r="E117" s="6"/>
      <c r="F117" s="6"/>
      <c r="G117"/>
      <c r="H117"/>
      <c r="I117"/>
      <c r="J117"/>
      <c r="K117"/>
      <c r="L117"/>
      <c r="M117"/>
      <c r="N117"/>
      <c r="AE117"/>
    </row>
    <row r="118" spans="1:31" x14ac:dyDescent="0.2">
      <c r="A118" s="6"/>
      <c r="B118" s="6"/>
      <c r="C118"/>
      <c r="D118"/>
      <c r="E118" s="6"/>
      <c r="F118" s="6"/>
      <c r="G118"/>
      <c r="H118"/>
      <c r="I118"/>
      <c r="J118"/>
      <c r="K118"/>
      <c r="L118"/>
      <c r="M118"/>
      <c r="N118"/>
      <c r="AE118"/>
    </row>
    <row r="119" spans="1:31" x14ac:dyDescent="0.2">
      <c r="A119" s="6"/>
      <c r="B119" s="6"/>
      <c r="C119"/>
      <c r="D119"/>
      <c r="E119" s="6"/>
      <c r="F119" s="6"/>
      <c r="G119"/>
      <c r="H119"/>
      <c r="I119"/>
      <c r="J119"/>
      <c r="K119"/>
      <c r="L119"/>
      <c r="M119"/>
      <c r="N119"/>
      <c r="AE119"/>
    </row>
    <row r="120" spans="1:31" x14ac:dyDescent="0.2">
      <c r="A120" s="6"/>
      <c r="B120" s="6"/>
      <c r="C120"/>
      <c r="D120"/>
      <c r="E120" s="6"/>
      <c r="F120" s="6"/>
      <c r="G120"/>
      <c r="H120"/>
      <c r="I120"/>
      <c r="J120"/>
      <c r="K120"/>
      <c r="L120"/>
      <c r="M120"/>
      <c r="N120"/>
      <c r="AE120"/>
    </row>
    <row r="121" spans="1:31" x14ac:dyDescent="0.2">
      <c r="A121" s="6"/>
      <c r="B121" s="6"/>
      <c r="C121"/>
      <c r="D121"/>
      <c r="E121" s="6"/>
      <c r="F121" s="6"/>
      <c r="G121"/>
      <c r="H121"/>
      <c r="I121"/>
      <c r="J121"/>
      <c r="K121"/>
      <c r="L121"/>
      <c r="M121"/>
      <c r="N121"/>
      <c r="AE121"/>
    </row>
    <row r="122" spans="1:31" x14ac:dyDescent="0.2">
      <c r="A122" s="6"/>
      <c r="B122" s="6"/>
      <c r="C122"/>
      <c r="D122"/>
      <c r="E122" s="6"/>
      <c r="F122" s="6"/>
      <c r="G122"/>
      <c r="H122"/>
      <c r="I122"/>
      <c r="J122"/>
      <c r="K122"/>
      <c r="L122"/>
      <c r="M122"/>
      <c r="N122"/>
      <c r="AE122"/>
    </row>
    <row r="123" spans="1:31" x14ac:dyDescent="0.2">
      <c r="A123" s="6"/>
      <c r="B123" s="6"/>
      <c r="C123"/>
      <c r="D123"/>
      <c r="E123" s="6"/>
      <c r="F123" s="6"/>
      <c r="G123"/>
      <c r="H123"/>
      <c r="I123"/>
      <c r="J123"/>
      <c r="K123"/>
      <c r="L123"/>
      <c r="M123"/>
      <c r="N123"/>
      <c r="AE123"/>
    </row>
    <row r="124" spans="1:31" x14ac:dyDescent="0.2">
      <c r="A124" s="6"/>
      <c r="B124" s="6"/>
      <c r="C124"/>
      <c r="D124"/>
      <c r="E124" s="6"/>
      <c r="F124" s="6"/>
      <c r="G124"/>
      <c r="H124"/>
      <c r="I124"/>
      <c r="J124"/>
      <c r="K124"/>
      <c r="L124"/>
      <c r="M124"/>
      <c r="N124"/>
      <c r="AE124"/>
    </row>
    <row r="125" spans="1:31" x14ac:dyDescent="0.2">
      <c r="A125" s="6"/>
      <c r="B125" s="6"/>
      <c r="C125"/>
      <c r="D125"/>
      <c r="E125" s="6"/>
      <c r="F125" s="6"/>
      <c r="G125"/>
      <c r="H125"/>
      <c r="I125"/>
      <c r="J125"/>
      <c r="K125"/>
      <c r="L125"/>
      <c r="M125"/>
      <c r="N125"/>
      <c r="AE125"/>
    </row>
    <row r="126" spans="1:31" x14ac:dyDescent="0.2">
      <c r="A126" s="6"/>
      <c r="B126" s="6"/>
      <c r="C126"/>
      <c r="D126"/>
      <c r="E126" s="6"/>
      <c r="F126" s="6"/>
      <c r="G126"/>
      <c r="H126"/>
      <c r="I126"/>
      <c r="J126"/>
      <c r="K126"/>
      <c r="L126"/>
      <c r="M126"/>
      <c r="N126"/>
      <c r="AE126"/>
    </row>
    <row r="127" spans="1:31" x14ac:dyDescent="0.2">
      <c r="A127" s="6"/>
      <c r="B127" s="6"/>
      <c r="C127"/>
      <c r="D127"/>
      <c r="E127" s="6"/>
      <c r="F127" s="6"/>
      <c r="G127"/>
      <c r="H127"/>
      <c r="I127"/>
      <c r="J127"/>
      <c r="K127"/>
      <c r="L127"/>
      <c r="M127"/>
      <c r="N127"/>
      <c r="AE127"/>
    </row>
    <row r="128" spans="1:31" x14ac:dyDescent="0.2">
      <c r="A128" s="6"/>
      <c r="B128" s="6"/>
      <c r="C128"/>
      <c r="D128"/>
      <c r="E128" s="6"/>
      <c r="F128" s="6"/>
      <c r="G128"/>
      <c r="H128"/>
      <c r="I128"/>
      <c r="J128"/>
      <c r="K128"/>
      <c r="L128"/>
      <c r="M128"/>
      <c r="N128"/>
      <c r="AE128"/>
    </row>
    <row r="129" spans="1:31" x14ac:dyDescent="0.2">
      <c r="A129" s="6"/>
      <c r="B129" s="6"/>
      <c r="C129"/>
      <c r="D129"/>
      <c r="E129" s="6"/>
      <c r="F129" s="6"/>
      <c r="G129"/>
      <c r="H129"/>
      <c r="I129"/>
      <c r="J129"/>
      <c r="K129"/>
      <c r="L129"/>
      <c r="M129"/>
      <c r="N129"/>
      <c r="AE129"/>
    </row>
    <row r="130" spans="1:31" x14ac:dyDescent="0.2">
      <c r="A130" s="6"/>
      <c r="B130" s="6"/>
      <c r="C130"/>
      <c r="D130"/>
      <c r="E130" s="6"/>
      <c r="F130" s="6"/>
      <c r="G130"/>
      <c r="H130"/>
      <c r="I130"/>
      <c r="J130"/>
      <c r="K130"/>
      <c r="L130"/>
      <c r="M130"/>
      <c r="N130"/>
      <c r="AE130"/>
    </row>
    <row r="131" spans="1:31" x14ac:dyDescent="0.2">
      <c r="A131" s="6"/>
      <c r="B131" s="6"/>
      <c r="C131"/>
      <c r="D131"/>
      <c r="E131" s="6"/>
      <c r="F131" s="6"/>
      <c r="G131"/>
      <c r="H131"/>
      <c r="I131"/>
      <c r="J131"/>
      <c r="K131"/>
      <c r="L131"/>
      <c r="M131"/>
      <c r="N131"/>
      <c r="AE131"/>
    </row>
    <row r="132" spans="1:31" x14ac:dyDescent="0.2">
      <c r="A132" s="6"/>
      <c r="B132" s="6"/>
      <c r="C132"/>
      <c r="D132"/>
      <c r="E132" s="6"/>
      <c r="F132" s="6"/>
      <c r="G132"/>
      <c r="H132"/>
      <c r="I132"/>
      <c r="J132"/>
      <c r="K132"/>
      <c r="L132"/>
      <c r="M132"/>
      <c r="N132"/>
      <c r="AE132"/>
    </row>
    <row r="133" spans="1:31" x14ac:dyDescent="0.2">
      <c r="A133" s="6"/>
      <c r="B133" s="6"/>
      <c r="C133"/>
      <c r="D133"/>
      <c r="E133" s="6"/>
      <c r="F133" s="6"/>
      <c r="G133"/>
      <c r="H133"/>
      <c r="I133"/>
      <c r="J133"/>
      <c r="K133"/>
      <c r="L133"/>
      <c r="M133"/>
      <c r="N133"/>
      <c r="AE133"/>
    </row>
    <row r="134" spans="1:31" x14ac:dyDescent="0.2">
      <c r="A134" s="6"/>
      <c r="B134" s="6"/>
      <c r="C134"/>
      <c r="D134"/>
      <c r="E134" s="6"/>
      <c r="F134" s="6"/>
      <c r="G134"/>
      <c r="H134"/>
      <c r="I134"/>
      <c r="J134"/>
      <c r="K134"/>
      <c r="L134"/>
      <c r="M134"/>
      <c r="N134"/>
      <c r="AE134"/>
    </row>
    <row r="135" spans="1:31" x14ac:dyDescent="0.2">
      <c r="A135" s="6"/>
      <c r="B135" s="6"/>
      <c r="C135"/>
      <c r="D135"/>
      <c r="E135" s="6"/>
      <c r="F135" s="6"/>
      <c r="G135"/>
      <c r="H135"/>
      <c r="I135"/>
      <c r="J135"/>
      <c r="K135"/>
      <c r="L135"/>
      <c r="M135"/>
      <c r="N135"/>
      <c r="AE135"/>
    </row>
    <row r="136" spans="1:31" x14ac:dyDescent="0.2">
      <c r="A136" s="6"/>
      <c r="B136" s="6"/>
      <c r="C136"/>
      <c r="D136"/>
      <c r="E136" s="6"/>
      <c r="F136" s="6"/>
      <c r="G136"/>
      <c r="H136"/>
      <c r="I136"/>
      <c r="J136"/>
      <c r="K136"/>
      <c r="L136"/>
      <c r="M136"/>
      <c r="N136"/>
      <c r="AE136"/>
    </row>
    <row r="137" spans="1:31" x14ac:dyDescent="0.2">
      <c r="A137" s="6"/>
      <c r="B137" s="6"/>
      <c r="C137"/>
      <c r="D137"/>
      <c r="E137" s="6"/>
      <c r="F137" s="6"/>
      <c r="G137"/>
      <c r="H137"/>
      <c r="I137"/>
      <c r="J137"/>
      <c r="K137"/>
      <c r="L137"/>
      <c r="M137"/>
      <c r="N137"/>
      <c r="AE137"/>
    </row>
    <row r="138" spans="1:31" x14ac:dyDescent="0.2">
      <c r="A138" s="6"/>
      <c r="B138" s="6"/>
      <c r="C138"/>
      <c r="D138"/>
      <c r="E138" s="6"/>
      <c r="F138" s="6"/>
      <c r="G138"/>
      <c r="H138"/>
      <c r="I138"/>
      <c r="J138"/>
      <c r="K138"/>
      <c r="L138"/>
      <c r="M138"/>
      <c r="N138"/>
      <c r="AE138"/>
    </row>
    <row r="139" spans="1:31" x14ac:dyDescent="0.2">
      <c r="A139" s="6"/>
      <c r="B139" s="6"/>
      <c r="C139"/>
      <c r="D139"/>
      <c r="E139" s="6"/>
      <c r="F139" s="6"/>
      <c r="G139"/>
      <c r="H139"/>
      <c r="I139"/>
      <c r="J139"/>
      <c r="K139"/>
      <c r="L139"/>
      <c r="M139"/>
      <c r="N139"/>
      <c r="AE139"/>
    </row>
    <row r="140" spans="1:31" x14ac:dyDescent="0.2">
      <c r="A140" s="6"/>
      <c r="B140" s="6"/>
      <c r="C140"/>
      <c r="D140"/>
      <c r="E140" s="6"/>
      <c r="F140" s="6"/>
      <c r="G140"/>
      <c r="H140"/>
      <c r="I140"/>
      <c r="J140"/>
      <c r="K140"/>
      <c r="L140"/>
      <c r="M140"/>
      <c r="N140"/>
      <c r="AE140"/>
    </row>
    <row r="141" spans="1:31" x14ac:dyDescent="0.2">
      <c r="A141" s="6"/>
      <c r="B141" s="6"/>
      <c r="C141"/>
      <c r="D141"/>
      <c r="E141" s="6"/>
      <c r="F141" s="6"/>
      <c r="G141"/>
      <c r="H141"/>
      <c r="I141"/>
      <c r="J141"/>
      <c r="K141"/>
      <c r="L141"/>
      <c r="M141"/>
      <c r="N141"/>
      <c r="AE141"/>
    </row>
    <row r="142" spans="1:31" x14ac:dyDescent="0.2">
      <c r="A142" s="6"/>
      <c r="B142" s="6"/>
      <c r="C142"/>
      <c r="D142"/>
      <c r="E142" s="6"/>
      <c r="F142" s="6"/>
      <c r="G142"/>
      <c r="H142"/>
      <c r="I142"/>
      <c r="J142"/>
      <c r="K142"/>
      <c r="L142"/>
      <c r="M142"/>
      <c r="N142"/>
      <c r="AE142"/>
    </row>
    <row r="143" spans="1:31" x14ac:dyDescent="0.2">
      <c r="A143" s="6"/>
      <c r="B143" s="6"/>
      <c r="C143"/>
      <c r="D143"/>
      <c r="E143" s="6"/>
      <c r="F143" s="6"/>
      <c r="G143"/>
      <c r="H143"/>
      <c r="I143"/>
      <c r="J143"/>
      <c r="K143"/>
      <c r="L143"/>
      <c r="M143"/>
      <c r="N143"/>
      <c r="AE143"/>
    </row>
    <row r="144" spans="1:31" x14ac:dyDescent="0.2">
      <c r="A144" s="6"/>
      <c r="B144" s="6"/>
      <c r="C144"/>
      <c r="D144"/>
      <c r="E144" s="6"/>
      <c r="F144" s="6"/>
      <c r="G144"/>
      <c r="H144"/>
      <c r="I144"/>
      <c r="J144"/>
      <c r="K144"/>
      <c r="L144"/>
      <c r="M144"/>
      <c r="N144"/>
      <c r="AE144"/>
    </row>
    <row r="145" spans="1:31" x14ac:dyDescent="0.2">
      <c r="A145" s="6"/>
      <c r="B145" s="6"/>
      <c r="C145"/>
      <c r="D145"/>
      <c r="E145" s="6"/>
      <c r="F145" s="6"/>
      <c r="G145"/>
      <c r="H145"/>
      <c r="I145"/>
      <c r="J145"/>
      <c r="K145"/>
      <c r="L145"/>
      <c r="M145"/>
      <c r="N145"/>
      <c r="AE145"/>
    </row>
    <row r="146" spans="1:31" x14ac:dyDescent="0.2">
      <c r="A146" s="6"/>
      <c r="B146" s="6"/>
      <c r="C146"/>
      <c r="D146"/>
      <c r="E146" s="6"/>
      <c r="F146" s="6"/>
      <c r="G146"/>
      <c r="H146"/>
      <c r="I146"/>
      <c r="J146"/>
      <c r="K146"/>
      <c r="L146"/>
      <c r="M146"/>
      <c r="N146"/>
      <c r="AE146"/>
    </row>
    <row r="147" spans="1:31" x14ac:dyDescent="0.2">
      <c r="A147" s="6"/>
      <c r="B147" s="6"/>
      <c r="C147"/>
      <c r="D147"/>
      <c r="E147" s="6"/>
      <c r="F147" s="6"/>
      <c r="G147"/>
      <c r="H147"/>
      <c r="I147"/>
      <c r="J147"/>
      <c r="K147"/>
      <c r="L147"/>
      <c r="M147"/>
      <c r="N147"/>
      <c r="AE147"/>
    </row>
    <row r="148" spans="1:31" x14ac:dyDescent="0.2">
      <c r="A148" s="6"/>
      <c r="B148" s="6"/>
      <c r="C148"/>
      <c r="D148"/>
      <c r="E148" s="6"/>
      <c r="F148" s="6"/>
      <c r="G148"/>
      <c r="H148"/>
      <c r="I148"/>
      <c r="J148"/>
      <c r="K148"/>
      <c r="L148"/>
      <c r="M148"/>
      <c r="N148"/>
      <c r="AE148"/>
    </row>
    <row r="149" spans="1:31" x14ac:dyDescent="0.2">
      <c r="A149" s="6"/>
      <c r="B149" s="6"/>
      <c r="C149"/>
      <c r="D149"/>
      <c r="E149" s="6"/>
      <c r="F149" s="6"/>
      <c r="G149"/>
      <c r="H149"/>
      <c r="I149"/>
      <c r="J149"/>
      <c r="K149"/>
      <c r="L149"/>
      <c r="M149"/>
      <c r="N149"/>
      <c r="AE149"/>
    </row>
    <row r="150" spans="1:31" x14ac:dyDescent="0.2">
      <c r="A150" s="6"/>
      <c r="B150" s="6"/>
      <c r="C150"/>
      <c r="D150"/>
      <c r="E150" s="6"/>
      <c r="F150" s="6"/>
      <c r="G150"/>
      <c r="H150"/>
      <c r="I150"/>
      <c r="J150"/>
      <c r="K150"/>
      <c r="L150"/>
      <c r="M150"/>
      <c r="N150"/>
      <c r="AE150"/>
    </row>
    <row r="151" spans="1:31" x14ac:dyDescent="0.2">
      <c r="A151" s="6"/>
      <c r="B151" s="6"/>
      <c r="C151"/>
      <c r="D151"/>
      <c r="E151" s="6"/>
      <c r="F151" s="6"/>
      <c r="G151"/>
      <c r="H151"/>
      <c r="I151"/>
      <c r="J151"/>
      <c r="K151"/>
      <c r="L151"/>
      <c r="M151"/>
      <c r="N151"/>
      <c r="AE151"/>
    </row>
    <row r="152" spans="1:31" x14ac:dyDescent="0.2">
      <c r="A152" s="6"/>
      <c r="B152" s="6"/>
      <c r="C152"/>
      <c r="D152"/>
      <c r="E152" s="6"/>
      <c r="F152" s="6"/>
      <c r="G152"/>
      <c r="H152"/>
      <c r="I152"/>
      <c r="J152"/>
      <c r="K152"/>
      <c r="L152"/>
      <c r="M152"/>
      <c r="N152"/>
      <c r="AE152"/>
    </row>
    <row r="153" spans="1:31" x14ac:dyDescent="0.2">
      <c r="A153" s="6"/>
      <c r="B153" s="6"/>
      <c r="C153"/>
      <c r="D153"/>
      <c r="E153" s="6"/>
      <c r="F153" s="6"/>
      <c r="G153"/>
      <c r="H153"/>
      <c r="I153"/>
      <c r="J153"/>
      <c r="K153"/>
      <c r="L153"/>
      <c r="M153"/>
      <c r="N153"/>
      <c r="AE153"/>
    </row>
    <row r="154" spans="1:31" x14ac:dyDescent="0.2">
      <c r="A154" s="6"/>
      <c r="B154" s="6"/>
      <c r="C154"/>
      <c r="D154"/>
      <c r="E154" s="6"/>
      <c r="F154" s="6"/>
      <c r="G154"/>
      <c r="H154"/>
      <c r="I154"/>
      <c r="J154"/>
      <c r="K154"/>
      <c r="L154"/>
      <c r="M154"/>
      <c r="N154"/>
      <c r="AE154"/>
    </row>
    <row r="155" spans="1:31" x14ac:dyDescent="0.2">
      <c r="A155" s="6"/>
      <c r="B155" s="6"/>
      <c r="C155"/>
      <c r="D155"/>
      <c r="E155" s="6"/>
      <c r="F155" s="6"/>
      <c r="G155"/>
      <c r="H155"/>
      <c r="I155"/>
      <c r="J155"/>
      <c r="K155"/>
      <c r="L155"/>
      <c r="M155"/>
      <c r="N155"/>
      <c r="AE155"/>
    </row>
    <row r="156" spans="1:31" x14ac:dyDescent="0.2">
      <c r="A156" s="6"/>
      <c r="B156" s="6"/>
      <c r="C156"/>
      <c r="D156"/>
      <c r="E156" s="6"/>
      <c r="F156" s="6"/>
      <c r="G156"/>
      <c r="H156"/>
      <c r="I156"/>
      <c r="J156"/>
      <c r="K156"/>
      <c r="L156"/>
      <c r="M156"/>
      <c r="N156"/>
      <c r="AE156"/>
    </row>
    <row r="157" spans="1:31" x14ac:dyDescent="0.2">
      <c r="A157" s="6"/>
      <c r="B157" s="6"/>
      <c r="C157"/>
      <c r="D157"/>
      <c r="E157" s="6"/>
      <c r="F157" s="6"/>
      <c r="G157"/>
      <c r="H157"/>
      <c r="I157"/>
      <c r="J157"/>
      <c r="K157"/>
      <c r="L157"/>
      <c r="M157"/>
      <c r="N157"/>
      <c r="AE157"/>
    </row>
    <row r="158" spans="1:31" x14ac:dyDescent="0.2">
      <c r="A158" s="6"/>
      <c r="B158" s="6"/>
      <c r="C158"/>
      <c r="D158"/>
      <c r="E158" s="6"/>
      <c r="F158" s="6"/>
      <c r="G158"/>
      <c r="H158"/>
      <c r="I158"/>
      <c r="J158"/>
      <c r="K158"/>
      <c r="L158"/>
      <c r="M158"/>
      <c r="N158"/>
      <c r="AE158"/>
    </row>
    <row r="159" spans="1:31" x14ac:dyDescent="0.2">
      <c r="A159" s="6"/>
      <c r="B159" s="6"/>
      <c r="C159"/>
      <c r="D159"/>
      <c r="E159" s="6"/>
      <c r="F159" s="6"/>
      <c r="G159"/>
      <c r="H159"/>
      <c r="I159"/>
      <c r="J159"/>
      <c r="K159"/>
      <c r="L159"/>
      <c r="M159"/>
      <c r="N159"/>
      <c r="AE159"/>
    </row>
    <row r="160" spans="1:31" x14ac:dyDescent="0.2">
      <c r="A160" s="6"/>
      <c r="B160" s="6"/>
      <c r="C160"/>
      <c r="D160"/>
      <c r="E160" s="6"/>
      <c r="F160" s="6"/>
      <c r="G160"/>
      <c r="H160"/>
      <c r="I160"/>
      <c r="J160"/>
      <c r="K160"/>
      <c r="L160"/>
      <c r="M160"/>
      <c r="N160"/>
      <c r="AE160"/>
    </row>
    <row r="161" spans="1:31" x14ac:dyDescent="0.2">
      <c r="A161" s="6"/>
      <c r="B161" s="6"/>
      <c r="C161"/>
      <c r="D161"/>
      <c r="E161" s="6"/>
      <c r="F161" s="6"/>
      <c r="G161"/>
      <c r="H161"/>
      <c r="I161"/>
      <c r="J161"/>
      <c r="K161"/>
      <c r="L161"/>
      <c r="M161"/>
      <c r="N161"/>
      <c r="AE161"/>
    </row>
    <row r="162" spans="1:31" x14ac:dyDescent="0.2">
      <c r="A162" s="6"/>
      <c r="B162" s="6"/>
      <c r="C162"/>
      <c r="D162"/>
      <c r="E162" s="6"/>
      <c r="F162" s="6"/>
      <c r="G162"/>
      <c r="H162"/>
      <c r="I162"/>
      <c r="J162"/>
      <c r="K162"/>
      <c r="L162"/>
      <c r="M162"/>
      <c r="N162"/>
      <c r="AE162"/>
    </row>
    <row r="163" spans="1:31" x14ac:dyDescent="0.2">
      <c r="A163" s="6"/>
      <c r="B163" s="6"/>
      <c r="C163"/>
      <c r="D163"/>
      <c r="E163" s="6"/>
      <c r="F163" s="6"/>
      <c r="G163"/>
      <c r="H163"/>
      <c r="I163"/>
      <c r="J163"/>
      <c r="K163"/>
      <c r="L163"/>
      <c r="M163"/>
      <c r="N163"/>
      <c r="AE163"/>
    </row>
    <row r="164" spans="1:31" x14ac:dyDescent="0.2">
      <c r="A164" s="6"/>
      <c r="B164" s="6"/>
      <c r="C164"/>
      <c r="D164"/>
      <c r="E164" s="6"/>
      <c r="F164" s="6"/>
      <c r="G164"/>
      <c r="H164"/>
      <c r="I164"/>
      <c r="J164"/>
      <c r="K164"/>
      <c r="L164"/>
      <c r="M164"/>
      <c r="N164"/>
      <c r="AE164"/>
    </row>
    <row r="165" spans="1:31" x14ac:dyDescent="0.2">
      <c r="A165" s="6"/>
      <c r="B165" s="6"/>
      <c r="C165"/>
      <c r="D165"/>
      <c r="E165" s="6"/>
      <c r="F165" s="6"/>
      <c r="G165"/>
      <c r="H165"/>
      <c r="I165"/>
      <c r="J165"/>
      <c r="K165"/>
      <c r="L165"/>
      <c r="M165"/>
      <c r="N165"/>
      <c r="AE165"/>
    </row>
    <row r="166" spans="1:31" x14ac:dyDescent="0.2">
      <c r="A166" s="6"/>
      <c r="B166" s="6"/>
      <c r="C166"/>
      <c r="D166"/>
      <c r="E166" s="6"/>
      <c r="F166" s="6"/>
      <c r="G166"/>
      <c r="H166"/>
      <c r="I166"/>
      <c r="J166"/>
      <c r="K166"/>
      <c r="L166"/>
      <c r="M166"/>
      <c r="N166"/>
      <c r="AE166"/>
    </row>
    <row r="167" spans="1:31" x14ac:dyDescent="0.2">
      <c r="A167" s="6"/>
      <c r="B167" s="6"/>
      <c r="C167"/>
      <c r="D167"/>
      <c r="E167" s="6"/>
      <c r="F167" s="6"/>
      <c r="G167"/>
      <c r="H167"/>
      <c r="I167"/>
      <c r="J167"/>
      <c r="K167"/>
      <c r="L167"/>
      <c r="M167"/>
      <c r="N167"/>
      <c r="AE167"/>
    </row>
    <row r="168" spans="1:31" x14ac:dyDescent="0.2">
      <c r="A168" s="6"/>
      <c r="B168" s="6"/>
      <c r="C168"/>
      <c r="D168"/>
      <c r="E168" s="6"/>
      <c r="F168" s="6"/>
      <c r="G168"/>
      <c r="H168"/>
      <c r="I168"/>
      <c r="J168"/>
      <c r="K168"/>
      <c r="L168"/>
      <c r="M168"/>
      <c r="N168"/>
      <c r="AE168"/>
    </row>
    <row r="169" spans="1:31" x14ac:dyDescent="0.2">
      <c r="A169" s="6"/>
      <c r="B169" s="6"/>
      <c r="C169"/>
      <c r="D169"/>
      <c r="E169" s="6"/>
      <c r="F169" s="6"/>
      <c r="G169"/>
      <c r="H169"/>
      <c r="I169"/>
      <c r="J169"/>
      <c r="K169"/>
      <c r="L169"/>
      <c r="M169"/>
      <c r="N169"/>
      <c r="AE169"/>
    </row>
    <row r="170" spans="1:31" x14ac:dyDescent="0.2">
      <c r="A170" s="6"/>
      <c r="B170" s="6"/>
      <c r="C170"/>
      <c r="D170"/>
      <c r="E170" s="6"/>
      <c r="F170" s="6"/>
      <c r="G170"/>
      <c r="H170"/>
      <c r="I170"/>
      <c r="J170"/>
      <c r="K170"/>
      <c r="L170"/>
      <c r="M170"/>
      <c r="N170"/>
      <c r="AE170"/>
    </row>
    <row r="171" spans="1:31" x14ac:dyDescent="0.2">
      <c r="A171" s="6"/>
      <c r="B171" s="6"/>
      <c r="C171"/>
      <c r="D171"/>
      <c r="E171" s="6"/>
      <c r="F171" s="6"/>
      <c r="G171"/>
      <c r="H171"/>
      <c r="I171"/>
      <c r="J171"/>
      <c r="K171"/>
      <c r="L171"/>
      <c r="M171"/>
      <c r="N171"/>
      <c r="AE171"/>
    </row>
    <row r="172" spans="1:31" x14ac:dyDescent="0.2">
      <c r="A172" s="6"/>
      <c r="B172" s="6"/>
      <c r="C172"/>
      <c r="D172"/>
      <c r="E172" s="6"/>
      <c r="F172" s="6"/>
      <c r="G172"/>
      <c r="H172"/>
      <c r="I172"/>
      <c r="J172"/>
      <c r="K172"/>
      <c r="L172"/>
      <c r="M172"/>
      <c r="N172"/>
      <c r="AE172"/>
    </row>
    <row r="173" spans="1:31" x14ac:dyDescent="0.2">
      <c r="A173" s="6"/>
      <c r="B173" s="6"/>
      <c r="C173"/>
      <c r="D173"/>
      <c r="E173" s="6"/>
      <c r="F173" s="6"/>
      <c r="G173"/>
      <c r="H173"/>
      <c r="I173"/>
      <c r="J173"/>
      <c r="K173"/>
      <c r="L173"/>
      <c r="M173"/>
      <c r="N173"/>
      <c r="AE173"/>
    </row>
    <row r="174" spans="1:31" x14ac:dyDescent="0.2">
      <c r="A174" s="6"/>
      <c r="B174" s="6"/>
      <c r="C174"/>
      <c r="D174"/>
      <c r="E174" s="6"/>
      <c r="F174" s="6"/>
      <c r="G174"/>
      <c r="H174"/>
      <c r="I174"/>
      <c r="J174"/>
      <c r="K174"/>
      <c r="L174"/>
      <c r="M174"/>
      <c r="N174"/>
      <c r="AE174"/>
    </row>
    <row r="175" spans="1:31" x14ac:dyDescent="0.2">
      <c r="A175" s="6"/>
      <c r="B175" s="6"/>
      <c r="C175"/>
      <c r="D175"/>
      <c r="E175" s="6"/>
      <c r="F175" s="6"/>
      <c r="G175"/>
      <c r="H175"/>
      <c r="I175"/>
      <c r="J175"/>
      <c r="K175"/>
      <c r="L175"/>
      <c r="M175"/>
      <c r="N175"/>
      <c r="AE175"/>
    </row>
    <row r="176" spans="1:31" x14ac:dyDescent="0.2">
      <c r="A176" s="6"/>
      <c r="B176" s="6"/>
      <c r="C176"/>
      <c r="D176"/>
      <c r="E176" s="6"/>
      <c r="F176" s="6"/>
      <c r="G176"/>
      <c r="H176"/>
      <c r="I176"/>
      <c r="J176"/>
      <c r="K176"/>
      <c r="L176"/>
      <c r="M176"/>
      <c r="N176"/>
      <c r="AE176"/>
    </row>
    <row r="177" spans="1:31" x14ac:dyDescent="0.2">
      <c r="A177" s="6"/>
      <c r="B177" s="6"/>
      <c r="C177"/>
      <c r="D177"/>
      <c r="E177" s="6"/>
      <c r="F177" s="6"/>
      <c r="G177"/>
      <c r="H177"/>
      <c r="I177"/>
      <c r="J177"/>
      <c r="K177"/>
      <c r="L177"/>
      <c r="M177"/>
      <c r="N177"/>
      <c r="AE177"/>
    </row>
    <row r="178" spans="1:31" x14ac:dyDescent="0.2">
      <c r="A178" s="6"/>
      <c r="B178" s="6"/>
      <c r="C178"/>
      <c r="D178"/>
      <c r="E178" s="6"/>
      <c r="F178" s="6"/>
      <c r="G178"/>
      <c r="H178"/>
      <c r="I178"/>
      <c r="J178"/>
      <c r="K178"/>
      <c r="L178"/>
      <c r="M178"/>
      <c r="N178"/>
      <c r="AE178"/>
    </row>
    <row r="179" spans="1:31" x14ac:dyDescent="0.2">
      <c r="A179" s="6"/>
      <c r="B179" s="6"/>
      <c r="C179"/>
      <c r="D179"/>
      <c r="E179" s="6"/>
      <c r="F179" s="6"/>
      <c r="G179"/>
      <c r="H179"/>
      <c r="I179"/>
      <c r="J179"/>
      <c r="K179"/>
      <c r="L179"/>
      <c r="M179"/>
      <c r="N179"/>
      <c r="AE179"/>
    </row>
    <row r="180" spans="1:31" x14ac:dyDescent="0.2">
      <c r="A180" s="6"/>
      <c r="B180" s="6"/>
      <c r="C180"/>
      <c r="D180"/>
      <c r="E180" s="6"/>
      <c r="F180" s="6"/>
      <c r="G180"/>
      <c r="H180"/>
      <c r="I180"/>
      <c r="J180"/>
      <c r="K180"/>
      <c r="L180"/>
      <c r="M180"/>
      <c r="N180"/>
      <c r="AE180"/>
    </row>
    <row r="181" spans="1:31" x14ac:dyDescent="0.2">
      <c r="A181" s="6"/>
      <c r="B181" s="6"/>
      <c r="C181"/>
      <c r="D181"/>
      <c r="E181" s="6"/>
      <c r="F181" s="6"/>
      <c r="G181"/>
      <c r="H181"/>
      <c r="I181"/>
      <c r="J181"/>
      <c r="K181"/>
      <c r="L181"/>
      <c r="M181"/>
      <c r="N181"/>
      <c r="AE181"/>
    </row>
    <row r="182" spans="1:31" x14ac:dyDescent="0.2">
      <c r="A182" s="6"/>
      <c r="B182" s="6"/>
      <c r="C182"/>
      <c r="D182"/>
      <c r="E182" s="6"/>
      <c r="F182" s="6"/>
      <c r="G182"/>
      <c r="H182"/>
      <c r="I182"/>
      <c r="J182"/>
      <c r="K182"/>
      <c r="L182"/>
      <c r="M182"/>
      <c r="N182"/>
      <c r="AE182"/>
    </row>
    <row r="183" spans="1:31" x14ac:dyDescent="0.2">
      <c r="A183" s="6"/>
      <c r="B183" s="6"/>
      <c r="C183"/>
      <c r="D183"/>
      <c r="E183" s="6"/>
      <c r="F183" s="6"/>
      <c r="G183"/>
      <c r="H183"/>
      <c r="I183"/>
      <c r="J183"/>
      <c r="K183"/>
      <c r="L183"/>
      <c r="M183"/>
      <c r="N183"/>
      <c r="AE183"/>
    </row>
    <row r="184" spans="1:31" x14ac:dyDescent="0.2">
      <c r="A184" s="6"/>
      <c r="B184" s="6"/>
      <c r="C184"/>
      <c r="D184"/>
      <c r="E184" s="6"/>
      <c r="F184" s="6"/>
      <c r="G184"/>
      <c r="H184"/>
      <c r="I184"/>
      <c r="J184"/>
      <c r="K184"/>
      <c r="L184"/>
      <c r="M184"/>
      <c r="N184"/>
      <c r="AE184"/>
    </row>
    <row r="185" spans="1:31" x14ac:dyDescent="0.2">
      <c r="A185" s="6"/>
      <c r="B185" s="6"/>
      <c r="C185"/>
      <c r="D185"/>
      <c r="E185" s="6"/>
      <c r="F185" s="6"/>
      <c r="G185"/>
      <c r="H185"/>
      <c r="I185"/>
      <c r="J185"/>
      <c r="K185"/>
      <c r="L185"/>
      <c r="M185"/>
      <c r="N185"/>
      <c r="AE185"/>
    </row>
    <row r="186" spans="1:31" x14ac:dyDescent="0.2">
      <c r="A186" s="6"/>
      <c r="B186" s="6"/>
      <c r="C186"/>
      <c r="D186"/>
      <c r="E186" s="6"/>
      <c r="F186" s="6"/>
      <c r="G186"/>
      <c r="H186"/>
      <c r="I186"/>
      <c r="J186"/>
      <c r="K186"/>
      <c r="L186"/>
      <c r="M186"/>
      <c r="N186"/>
      <c r="AE186"/>
    </row>
    <row r="187" spans="1:31" x14ac:dyDescent="0.2">
      <c r="A187" s="6"/>
      <c r="B187" s="6"/>
      <c r="C187"/>
      <c r="D187"/>
      <c r="E187" s="6"/>
      <c r="F187" s="6"/>
      <c r="G187"/>
      <c r="H187"/>
      <c r="I187"/>
      <c r="J187"/>
      <c r="K187"/>
      <c r="L187"/>
      <c r="M187"/>
      <c r="N187"/>
      <c r="AE187"/>
    </row>
    <row r="188" spans="1:31" x14ac:dyDescent="0.2">
      <c r="A188" s="6"/>
      <c r="B188" s="6"/>
      <c r="C188"/>
      <c r="D188"/>
      <c r="E188" s="6"/>
      <c r="F188" s="6"/>
      <c r="G188"/>
      <c r="H188"/>
      <c r="I188"/>
      <c r="J188"/>
      <c r="K188"/>
      <c r="L188"/>
      <c r="M188"/>
      <c r="N188"/>
      <c r="AE188"/>
    </row>
    <row r="189" spans="1:31" x14ac:dyDescent="0.2">
      <c r="A189" s="6"/>
      <c r="B189" s="6"/>
      <c r="C189"/>
      <c r="D189"/>
      <c r="E189" s="6"/>
      <c r="F189" s="6"/>
      <c r="G189"/>
      <c r="H189"/>
      <c r="I189"/>
      <c r="J189"/>
      <c r="K189"/>
      <c r="L189"/>
      <c r="M189"/>
      <c r="N189"/>
      <c r="AE189"/>
    </row>
    <row r="190" spans="1:31" x14ac:dyDescent="0.2">
      <c r="A190" s="6"/>
      <c r="B190" s="6"/>
      <c r="C190"/>
      <c r="D190"/>
      <c r="E190" s="6"/>
      <c r="F190" s="6"/>
      <c r="G190"/>
      <c r="H190"/>
      <c r="I190"/>
      <c r="J190"/>
      <c r="K190"/>
      <c r="L190"/>
      <c r="M190"/>
      <c r="N190"/>
      <c r="AE190"/>
    </row>
    <row r="191" spans="1:31" x14ac:dyDescent="0.2">
      <c r="A191" s="6"/>
      <c r="B191" s="6"/>
      <c r="C191"/>
      <c r="D191"/>
      <c r="E191" s="6"/>
      <c r="F191" s="6"/>
      <c r="G191"/>
      <c r="H191"/>
      <c r="I191"/>
      <c r="J191"/>
      <c r="K191"/>
      <c r="L191"/>
      <c r="M191"/>
      <c r="N191"/>
      <c r="AE191"/>
    </row>
    <row r="192" spans="1:31" x14ac:dyDescent="0.2">
      <c r="A192" s="6"/>
      <c r="B192" s="6"/>
      <c r="C192"/>
      <c r="D192"/>
      <c r="E192" s="6"/>
      <c r="F192" s="6"/>
      <c r="G192"/>
      <c r="H192"/>
      <c r="I192"/>
      <c r="J192"/>
      <c r="K192"/>
      <c r="L192"/>
      <c r="M192"/>
      <c r="N192"/>
      <c r="AE192"/>
    </row>
    <row r="193" spans="1:31" x14ac:dyDescent="0.2">
      <c r="A193" s="6"/>
      <c r="B193" s="6"/>
      <c r="C193"/>
      <c r="D193"/>
      <c r="E193" s="6"/>
      <c r="F193" s="6"/>
      <c r="G193"/>
      <c r="H193"/>
      <c r="I193"/>
      <c r="J193"/>
      <c r="K193"/>
      <c r="L193"/>
      <c r="M193"/>
      <c r="N193"/>
      <c r="AE193"/>
    </row>
    <row r="194" spans="1:31" x14ac:dyDescent="0.2">
      <c r="A194" s="6"/>
      <c r="B194" s="6"/>
      <c r="C194"/>
      <c r="D194"/>
      <c r="E194" s="6"/>
      <c r="F194" s="6"/>
      <c r="G194"/>
      <c r="H194"/>
      <c r="I194"/>
      <c r="J194"/>
      <c r="K194"/>
      <c r="L194"/>
      <c r="M194"/>
      <c r="N194"/>
      <c r="AE194"/>
    </row>
    <row r="195" spans="1:31" x14ac:dyDescent="0.2">
      <c r="A195" s="6"/>
      <c r="B195" s="6"/>
      <c r="C195"/>
      <c r="D195"/>
      <c r="E195" s="6"/>
      <c r="F195" s="6"/>
      <c r="G195"/>
      <c r="H195"/>
      <c r="I195"/>
      <c r="J195"/>
      <c r="K195"/>
      <c r="L195"/>
      <c r="M195"/>
      <c r="N195"/>
      <c r="AE195"/>
    </row>
    <row r="196" spans="1:31" x14ac:dyDescent="0.2">
      <c r="A196" s="6"/>
      <c r="B196" s="6"/>
      <c r="C196"/>
      <c r="D196"/>
      <c r="E196" s="6"/>
      <c r="F196" s="6"/>
      <c r="G196"/>
      <c r="H196"/>
      <c r="I196"/>
      <c r="J196"/>
      <c r="K196"/>
      <c r="L196"/>
      <c r="M196"/>
      <c r="N196"/>
      <c r="AE196"/>
    </row>
    <row r="197" spans="1:31" x14ac:dyDescent="0.2">
      <c r="A197" s="6"/>
      <c r="B197" s="6"/>
      <c r="C197"/>
      <c r="D197"/>
      <c r="E197" s="6"/>
      <c r="F197" s="6"/>
      <c r="G197"/>
      <c r="H197"/>
      <c r="I197"/>
      <c r="J197"/>
      <c r="K197"/>
      <c r="L197"/>
      <c r="M197"/>
      <c r="N197"/>
      <c r="AE197"/>
    </row>
    <row r="198" spans="1:31" x14ac:dyDescent="0.2">
      <c r="A198" s="6"/>
      <c r="B198" s="6"/>
      <c r="C198"/>
      <c r="D198"/>
      <c r="E198" s="6"/>
      <c r="F198" s="6"/>
      <c r="G198"/>
      <c r="H198"/>
      <c r="I198"/>
      <c r="J198"/>
      <c r="K198"/>
      <c r="L198"/>
      <c r="M198"/>
      <c r="N198"/>
      <c r="AE198"/>
    </row>
    <row r="199" spans="1:31" x14ac:dyDescent="0.2">
      <c r="A199" s="6"/>
      <c r="B199" s="6"/>
      <c r="C199"/>
      <c r="D199"/>
      <c r="E199" s="6"/>
      <c r="F199" s="6"/>
      <c r="G199"/>
      <c r="H199"/>
      <c r="I199"/>
      <c r="J199"/>
      <c r="K199"/>
      <c r="L199"/>
      <c r="M199"/>
      <c r="N199"/>
      <c r="AE199"/>
    </row>
    <row r="200" spans="1:31" x14ac:dyDescent="0.2">
      <c r="A200" s="6"/>
      <c r="B200" s="6"/>
      <c r="C200"/>
      <c r="D200"/>
      <c r="E200" s="6"/>
      <c r="F200" s="6"/>
      <c r="G200"/>
      <c r="H200"/>
      <c r="I200"/>
      <c r="J200"/>
      <c r="K200"/>
      <c r="L200"/>
      <c r="M200"/>
      <c r="N200"/>
      <c r="AE200"/>
    </row>
    <row r="201" spans="1:31" x14ac:dyDescent="0.2">
      <c r="A201" s="6"/>
      <c r="B201" s="6"/>
      <c r="C201"/>
      <c r="D201"/>
      <c r="E201" s="6"/>
      <c r="F201" s="6"/>
      <c r="G201"/>
      <c r="H201"/>
      <c r="I201"/>
      <c r="J201"/>
      <c r="K201"/>
      <c r="L201"/>
      <c r="M201"/>
      <c r="N201"/>
      <c r="AE201"/>
    </row>
    <row r="202" spans="1:31" x14ac:dyDescent="0.2">
      <c r="A202" s="6"/>
      <c r="B202" s="6"/>
      <c r="C202"/>
      <c r="D202"/>
      <c r="E202" s="6"/>
      <c r="F202" s="6"/>
      <c r="G202"/>
      <c r="H202"/>
      <c r="I202"/>
      <c r="J202"/>
      <c r="K202"/>
      <c r="L202"/>
      <c r="M202"/>
      <c r="N202"/>
      <c r="AE202"/>
    </row>
    <row r="203" spans="1:31" x14ac:dyDescent="0.2">
      <c r="A203" s="6"/>
      <c r="B203" s="6"/>
      <c r="C203"/>
      <c r="D203"/>
      <c r="E203" s="6"/>
      <c r="F203" s="6"/>
      <c r="G203"/>
      <c r="H203"/>
      <c r="I203"/>
      <c r="J203"/>
      <c r="K203"/>
      <c r="L203"/>
      <c r="M203"/>
      <c r="N203"/>
      <c r="AE203"/>
    </row>
    <row r="204" spans="1:31" x14ac:dyDescent="0.2">
      <c r="A204" s="6"/>
      <c r="B204" s="6"/>
      <c r="C204"/>
      <c r="D204"/>
      <c r="E204" s="6"/>
      <c r="F204" s="6"/>
      <c r="G204"/>
      <c r="H204"/>
      <c r="I204"/>
      <c r="J204"/>
      <c r="K204"/>
      <c r="L204"/>
      <c r="M204"/>
      <c r="N204"/>
      <c r="AE204"/>
    </row>
    <row r="205" spans="1:31" x14ac:dyDescent="0.2">
      <c r="A205" s="6"/>
      <c r="B205" s="6"/>
      <c r="C205"/>
      <c r="D205"/>
      <c r="E205" s="6"/>
      <c r="F205" s="6"/>
      <c r="G205"/>
      <c r="H205"/>
      <c r="I205"/>
      <c r="J205"/>
      <c r="K205"/>
      <c r="L205"/>
      <c r="M205"/>
      <c r="N205"/>
      <c r="AE205"/>
    </row>
    <row r="206" spans="1:31" x14ac:dyDescent="0.2">
      <c r="A206" s="6"/>
      <c r="B206" s="6"/>
      <c r="C206"/>
      <c r="D206"/>
      <c r="E206" s="6"/>
      <c r="F206" s="6"/>
      <c r="G206"/>
      <c r="H206"/>
      <c r="I206"/>
      <c r="J206"/>
      <c r="K206"/>
      <c r="L206"/>
      <c r="M206"/>
      <c r="N206"/>
      <c r="AE206"/>
    </row>
    <row r="207" spans="1:31" x14ac:dyDescent="0.2">
      <c r="A207" s="6"/>
      <c r="B207" s="6"/>
      <c r="C207"/>
      <c r="D207"/>
      <c r="E207" s="6"/>
      <c r="F207" s="6"/>
      <c r="G207"/>
      <c r="H207"/>
      <c r="I207"/>
      <c r="J207"/>
      <c r="K207"/>
      <c r="L207"/>
      <c r="M207"/>
      <c r="N207"/>
      <c r="AE207"/>
    </row>
    <row r="208" spans="1:31" x14ac:dyDescent="0.2">
      <c r="A208" s="6"/>
      <c r="B208" s="6"/>
      <c r="C208"/>
      <c r="D208"/>
      <c r="E208" s="6"/>
      <c r="F208" s="6"/>
      <c r="G208"/>
      <c r="H208"/>
      <c r="I208"/>
      <c r="J208"/>
      <c r="K208"/>
      <c r="L208"/>
      <c r="M208"/>
      <c r="N208"/>
      <c r="AE208"/>
    </row>
    <row r="209" spans="1:31" x14ac:dyDescent="0.2">
      <c r="A209" s="6"/>
      <c r="B209" s="6"/>
      <c r="C209"/>
      <c r="D209"/>
      <c r="E209" s="6"/>
      <c r="F209" s="6"/>
      <c r="G209"/>
      <c r="H209"/>
      <c r="I209"/>
      <c r="J209"/>
      <c r="K209"/>
      <c r="L209"/>
      <c r="M209"/>
      <c r="N209"/>
      <c r="AE209"/>
    </row>
    <row r="210" spans="1:31" x14ac:dyDescent="0.2">
      <c r="A210" s="6"/>
      <c r="B210" s="6"/>
      <c r="C210"/>
      <c r="D210"/>
      <c r="E210" s="6"/>
      <c r="F210" s="6"/>
      <c r="G210"/>
      <c r="H210"/>
      <c r="I210"/>
      <c r="J210"/>
      <c r="K210"/>
      <c r="L210"/>
      <c r="M210"/>
      <c r="N210"/>
      <c r="AE210"/>
    </row>
    <row r="211" spans="1:31" x14ac:dyDescent="0.2">
      <c r="A211" s="6"/>
      <c r="B211" s="6"/>
      <c r="C211"/>
      <c r="D211"/>
      <c r="E211" s="6"/>
      <c r="F211" s="6"/>
      <c r="G211"/>
      <c r="H211"/>
      <c r="I211"/>
      <c r="J211"/>
      <c r="K211"/>
      <c r="L211"/>
      <c r="M211"/>
      <c r="N211"/>
      <c r="AE211"/>
    </row>
    <row r="212" spans="1:31" x14ac:dyDescent="0.2">
      <c r="A212" s="6"/>
      <c r="B212" s="6"/>
      <c r="C212"/>
      <c r="D212"/>
      <c r="E212" s="6"/>
      <c r="F212" s="6"/>
      <c r="G212"/>
      <c r="H212"/>
      <c r="I212"/>
      <c r="J212"/>
      <c r="K212"/>
      <c r="L212"/>
      <c r="M212"/>
      <c r="N212"/>
      <c r="AE212"/>
    </row>
    <row r="213" spans="1:31" x14ac:dyDescent="0.2">
      <c r="A213" s="6"/>
      <c r="B213" s="6"/>
      <c r="C213"/>
      <c r="D213"/>
      <c r="E213" s="6"/>
      <c r="F213" s="6"/>
      <c r="G213"/>
      <c r="H213"/>
      <c r="I213"/>
      <c r="J213"/>
      <c r="K213"/>
      <c r="L213"/>
      <c r="M213"/>
      <c r="N213"/>
      <c r="AE213"/>
    </row>
    <row r="214" spans="1:31" x14ac:dyDescent="0.2">
      <c r="A214" s="6"/>
      <c r="B214" s="6"/>
      <c r="C214"/>
      <c r="D214"/>
      <c r="E214" s="6"/>
      <c r="F214" s="6"/>
      <c r="G214"/>
      <c r="H214"/>
      <c r="I214"/>
      <c r="J214"/>
      <c r="K214"/>
      <c r="L214"/>
      <c r="M214"/>
      <c r="N214"/>
      <c r="AE214"/>
    </row>
    <row r="215" spans="1:31" x14ac:dyDescent="0.2">
      <c r="A215" s="6"/>
      <c r="B215" s="6"/>
      <c r="C215"/>
      <c r="D215"/>
      <c r="E215" s="6"/>
      <c r="F215" s="6"/>
      <c r="G215"/>
      <c r="H215"/>
      <c r="I215"/>
      <c r="J215"/>
      <c r="K215"/>
      <c r="L215"/>
      <c r="M215"/>
      <c r="N215"/>
      <c r="AE215"/>
    </row>
    <row r="216" spans="1:31" x14ac:dyDescent="0.2">
      <c r="A216" s="6"/>
      <c r="B216" s="6"/>
      <c r="C216"/>
      <c r="D216"/>
      <c r="E216" s="6"/>
      <c r="F216" s="6"/>
      <c r="G216"/>
      <c r="H216"/>
      <c r="I216"/>
      <c r="J216"/>
      <c r="K216"/>
      <c r="L216"/>
      <c r="M216"/>
      <c r="N216"/>
      <c r="AE216"/>
    </row>
    <row r="217" spans="1:31" x14ac:dyDescent="0.2">
      <c r="A217" s="6"/>
      <c r="B217" s="6"/>
      <c r="C217"/>
      <c r="D217"/>
      <c r="E217" s="6"/>
      <c r="F217" s="6"/>
      <c r="G217"/>
      <c r="H217"/>
      <c r="I217"/>
      <c r="J217"/>
      <c r="K217"/>
      <c r="L217"/>
      <c r="M217"/>
      <c r="N217"/>
      <c r="AE217"/>
    </row>
    <row r="218" spans="1:31" x14ac:dyDescent="0.2">
      <c r="A218" s="6"/>
      <c r="B218" s="6"/>
      <c r="C218"/>
      <c r="D218"/>
      <c r="E218" s="6"/>
      <c r="F218" s="6"/>
      <c r="G218"/>
      <c r="H218"/>
      <c r="I218"/>
      <c r="J218"/>
      <c r="K218"/>
      <c r="L218"/>
      <c r="M218"/>
      <c r="N218"/>
      <c r="AE218"/>
    </row>
    <row r="219" spans="1:31" x14ac:dyDescent="0.2">
      <c r="A219" s="6"/>
      <c r="B219" s="6"/>
      <c r="C219"/>
      <c r="D219"/>
      <c r="E219" s="6"/>
      <c r="F219" s="6"/>
      <c r="G219"/>
      <c r="H219"/>
      <c r="I219"/>
      <c r="J219"/>
      <c r="K219"/>
      <c r="L219"/>
      <c r="M219"/>
      <c r="N219"/>
      <c r="AE219"/>
    </row>
    <row r="220" spans="1:31" x14ac:dyDescent="0.2">
      <c r="A220" s="6"/>
      <c r="B220" s="6"/>
      <c r="C220"/>
      <c r="D220"/>
      <c r="E220" s="6"/>
      <c r="F220" s="6"/>
      <c r="G220"/>
      <c r="H220"/>
      <c r="I220"/>
      <c r="J220"/>
      <c r="K220"/>
      <c r="L220"/>
      <c r="M220"/>
      <c r="N220"/>
      <c r="AE220"/>
    </row>
    <row r="221" spans="1:31" x14ac:dyDescent="0.2">
      <c r="A221" s="6"/>
      <c r="B221" s="6"/>
      <c r="C221"/>
      <c r="D221"/>
      <c r="E221" s="6"/>
      <c r="F221" s="6"/>
      <c r="G221"/>
      <c r="H221"/>
      <c r="I221"/>
      <c r="J221"/>
      <c r="K221"/>
      <c r="L221"/>
      <c r="M221"/>
      <c r="N221"/>
      <c r="AE221"/>
    </row>
    <row r="222" spans="1:31" x14ac:dyDescent="0.2">
      <c r="A222" s="6"/>
      <c r="B222" s="6"/>
      <c r="C222"/>
      <c r="D222"/>
      <c r="E222" s="6"/>
      <c r="F222" s="6"/>
      <c r="G222"/>
      <c r="H222"/>
      <c r="I222"/>
      <c r="J222"/>
      <c r="K222"/>
      <c r="L222"/>
      <c r="M222"/>
      <c r="N222"/>
      <c r="AE222"/>
    </row>
    <row r="223" spans="1:31" x14ac:dyDescent="0.2">
      <c r="A223" s="6"/>
      <c r="B223" s="6"/>
      <c r="C223"/>
      <c r="D223"/>
      <c r="E223" s="6"/>
      <c r="F223" s="6"/>
      <c r="G223"/>
      <c r="H223"/>
      <c r="I223"/>
      <c r="J223"/>
      <c r="K223"/>
      <c r="L223"/>
      <c r="M223"/>
      <c r="N223"/>
      <c r="AE223"/>
    </row>
    <row r="224" spans="1:31" x14ac:dyDescent="0.2">
      <c r="A224" s="6"/>
      <c r="B224" s="6"/>
      <c r="C224"/>
      <c r="D224"/>
      <c r="E224" s="6"/>
      <c r="F224" s="6"/>
      <c r="G224"/>
      <c r="H224"/>
      <c r="I224"/>
      <c r="J224"/>
      <c r="K224"/>
      <c r="L224"/>
      <c r="M224"/>
      <c r="N224"/>
      <c r="AE224"/>
    </row>
    <row r="225" spans="1:31" x14ac:dyDescent="0.2">
      <c r="A225" s="6"/>
      <c r="B225" s="6"/>
      <c r="C225"/>
      <c r="D225"/>
      <c r="E225" s="6"/>
      <c r="F225" s="6"/>
      <c r="G225"/>
      <c r="H225"/>
      <c r="I225"/>
      <c r="J225"/>
      <c r="K225"/>
      <c r="L225"/>
      <c r="M225"/>
      <c r="N225"/>
      <c r="AE225"/>
    </row>
    <row r="226" spans="1:31" x14ac:dyDescent="0.2">
      <c r="A226" s="6"/>
      <c r="B226" s="6"/>
      <c r="C226"/>
      <c r="D226"/>
      <c r="E226" s="6"/>
      <c r="F226" s="6"/>
      <c r="G226"/>
      <c r="H226"/>
      <c r="I226"/>
      <c r="J226"/>
      <c r="K226"/>
      <c r="L226"/>
      <c r="M226"/>
      <c r="N226"/>
      <c r="AE226"/>
    </row>
    <row r="227" spans="1:31" x14ac:dyDescent="0.2">
      <c r="A227" s="6"/>
      <c r="B227" s="6"/>
      <c r="C227"/>
      <c r="D227"/>
      <c r="E227" s="6"/>
      <c r="F227" s="6"/>
      <c r="G227"/>
      <c r="H227"/>
      <c r="I227"/>
      <c r="J227"/>
      <c r="K227"/>
      <c r="L227"/>
      <c r="M227"/>
      <c r="N227"/>
      <c r="AE227"/>
    </row>
    <row r="228" spans="1:31" x14ac:dyDescent="0.2">
      <c r="A228" s="6"/>
      <c r="B228" s="6"/>
      <c r="C228"/>
      <c r="D228"/>
      <c r="E228" s="6"/>
      <c r="F228" s="6"/>
      <c r="G228"/>
      <c r="H228"/>
      <c r="I228"/>
      <c r="J228"/>
      <c r="K228"/>
      <c r="L228"/>
      <c r="M228"/>
      <c r="N228"/>
      <c r="AE228"/>
    </row>
    <row r="229" spans="1:31" x14ac:dyDescent="0.2">
      <c r="A229" s="6"/>
      <c r="B229" s="6"/>
      <c r="C229"/>
      <c r="D229"/>
      <c r="E229" s="6"/>
      <c r="F229" s="6"/>
      <c r="G229"/>
      <c r="H229"/>
      <c r="I229"/>
      <c r="J229"/>
      <c r="K229"/>
      <c r="L229"/>
      <c r="M229"/>
      <c r="N229"/>
      <c r="AE229"/>
    </row>
    <row r="230" spans="1:31" x14ac:dyDescent="0.2">
      <c r="A230" s="6"/>
      <c r="B230" s="6"/>
      <c r="C230"/>
      <c r="D230"/>
      <c r="E230" s="6"/>
      <c r="F230" s="6"/>
      <c r="G230"/>
      <c r="H230"/>
      <c r="I230"/>
      <c r="J230"/>
      <c r="K230"/>
      <c r="L230"/>
      <c r="M230"/>
      <c r="N230"/>
      <c r="AE230"/>
    </row>
    <row r="231" spans="1:31" x14ac:dyDescent="0.2">
      <c r="A231" s="6"/>
      <c r="B231" s="6"/>
      <c r="C231"/>
      <c r="D231"/>
      <c r="E231" s="6"/>
      <c r="F231" s="6"/>
      <c r="G231"/>
      <c r="H231"/>
      <c r="I231"/>
      <c r="J231"/>
      <c r="K231"/>
      <c r="L231"/>
      <c r="M231"/>
      <c r="N231"/>
      <c r="AE231"/>
    </row>
    <row r="232" spans="1:31" x14ac:dyDescent="0.2">
      <c r="A232" s="6"/>
      <c r="B232" s="6"/>
      <c r="C232"/>
      <c r="D232"/>
      <c r="E232" s="6"/>
      <c r="F232" s="6"/>
      <c r="G232"/>
      <c r="H232"/>
      <c r="I232"/>
      <c r="J232"/>
      <c r="K232"/>
      <c r="L232"/>
      <c r="M232"/>
      <c r="N232"/>
      <c r="AE232"/>
    </row>
    <row r="233" spans="1:31" x14ac:dyDescent="0.2">
      <c r="A233" s="6"/>
      <c r="B233" s="6"/>
      <c r="C233"/>
      <c r="D233"/>
      <c r="E233" s="6"/>
      <c r="F233" s="6"/>
      <c r="G233"/>
      <c r="H233"/>
      <c r="I233"/>
      <c r="J233"/>
      <c r="K233"/>
      <c r="L233"/>
      <c r="M233"/>
      <c r="N233"/>
      <c r="AE233"/>
    </row>
    <row r="234" spans="1:31" x14ac:dyDescent="0.2">
      <c r="A234" s="6"/>
      <c r="B234" s="6"/>
      <c r="C234"/>
      <c r="D234"/>
      <c r="E234" s="6"/>
      <c r="F234" s="6"/>
      <c r="G234"/>
      <c r="H234"/>
      <c r="I234"/>
      <c r="J234"/>
      <c r="K234"/>
      <c r="L234"/>
      <c r="M234"/>
      <c r="N234"/>
      <c r="AE234"/>
    </row>
    <row r="235" spans="1:31" x14ac:dyDescent="0.2">
      <c r="A235" s="6"/>
      <c r="B235" s="6"/>
      <c r="C235"/>
      <c r="D235"/>
      <c r="E235" s="6"/>
      <c r="F235" s="6"/>
      <c r="G235"/>
      <c r="H235"/>
      <c r="I235"/>
      <c r="J235"/>
      <c r="K235"/>
      <c r="L235"/>
      <c r="M235"/>
      <c r="N235"/>
      <c r="AE235"/>
    </row>
    <row r="236" spans="1:31" x14ac:dyDescent="0.2">
      <c r="A236" s="6"/>
      <c r="B236" s="6"/>
      <c r="C236"/>
      <c r="D236"/>
      <c r="E236" s="6"/>
      <c r="F236" s="6"/>
      <c r="G236"/>
      <c r="H236"/>
      <c r="I236"/>
      <c r="J236"/>
      <c r="K236"/>
      <c r="L236"/>
      <c r="M236"/>
      <c r="N236"/>
      <c r="AE236"/>
    </row>
    <row r="237" spans="1:31" x14ac:dyDescent="0.2">
      <c r="A237" s="6"/>
      <c r="B237" s="6"/>
      <c r="C237"/>
      <c r="D237"/>
      <c r="E237" s="6"/>
      <c r="F237" s="6"/>
      <c r="G237"/>
      <c r="H237"/>
      <c r="I237"/>
      <c r="J237"/>
      <c r="K237"/>
      <c r="L237"/>
      <c r="M237"/>
      <c r="N237"/>
      <c r="AE237"/>
    </row>
    <row r="238" spans="1:31" x14ac:dyDescent="0.2">
      <c r="A238" s="6"/>
      <c r="B238" s="6"/>
      <c r="C238"/>
      <c r="D238"/>
      <c r="E238" s="6"/>
      <c r="F238" s="6"/>
      <c r="G238"/>
      <c r="H238"/>
      <c r="I238"/>
      <c r="J238"/>
      <c r="K238"/>
      <c r="L238"/>
      <c r="M238"/>
      <c r="N238"/>
      <c r="AE238"/>
    </row>
    <row r="239" spans="1:31" x14ac:dyDescent="0.2">
      <c r="A239" s="6"/>
      <c r="B239" s="6"/>
      <c r="C239"/>
      <c r="D239"/>
      <c r="E239" s="6"/>
      <c r="F239" s="6"/>
      <c r="G239"/>
      <c r="H239"/>
      <c r="I239"/>
      <c r="J239"/>
      <c r="K239"/>
      <c r="L239"/>
      <c r="M239"/>
      <c r="N239"/>
      <c r="AE239"/>
    </row>
    <row r="240" spans="1:31" x14ac:dyDescent="0.2">
      <c r="A240" s="6"/>
      <c r="B240" s="6"/>
      <c r="C240"/>
      <c r="D240"/>
      <c r="E240" s="6"/>
      <c r="F240" s="6"/>
      <c r="G240"/>
      <c r="H240"/>
      <c r="I240"/>
      <c r="J240"/>
      <c r="K240"/>
      <c r="L240"/>
      <c r="M240"/>
      <c r="N240"/>
      <c r="AE240"/>
    </row>
    <row r="241" spans="1:31" x14ac:dyDescent="0.2">
      <c r="A241" s="6"/>
      <c r="B241" s="6"/>
      <c r="C241"/>
      <c r="D241"/>
      <c r="E241" s="6"/>
      <c r="F241" s="6"/>
      <c r="G241"/>
      <c r="H241"/>
      <c r="I241"/>
      <c r="J241"/>
      <c r="K241"/>
      <c r="L241"/>
      <c r="M241"/>
      <c r="N241"/>
      <c r="AE241"/>
    </row>
    <row r="242" spans="1:31" x14ac:dyDescent="0.2">
      <c r="A242" s="6"/>
      <c r="B242" s="6"/>
      <c r="C242"/>
      <c r="D242"/>
      <c r="E242" s="6"/>
      <c r="F242" s="6"/>
      <c r="G242"/>
      <c r="H242"/>
      <c r="I242"/>
      <c r="J242"/>
      <c r="K242"/>
      <c r="L242"/>
      <c r="M242"/>
      <c r="N242"/>
      <c r="AE242"/>
    </row>
    <row r="243" spans="1:31" x14ac:dyDescent="0.2">
      <c r="A243" s="6"/>
      <c r="B243" s="6"/>
      <c r="C243"/>
      <c r="D243"/>
      <c r="E243" s="6"/>
      <c r="F243" s="6"/>
      <c r="G243"/>
      <c r="H243"/>
      <c r="I243"/>
      <c r="J243"/>
      <c r="K243"/>
      <c r="L243"/>
      <c r="M243"/>
      <c r="N243"/>
      <c r="AE243"/>
    </row>
    <row r="244" spans="1:31" x14ac:dyDescent="0.2">
      <c r="A244" s="6"/>
      <c r="B244" s="6"/>
      <c r="C244"/>
      <c r="D244"/>
      <c r="E244" s="6"/>
      <c r="F244" s="6"/>
      <c r="G244"/>
      <c r="H244"/>
      <c r="I244"/>
      <c r="J244"/>
      <c r="K244"/>
      <c r="L244"/>
      <c r="M244"/>
      <c r="N244"/>
      <c r="AE244"/>
    </row>
    <row r="245" spans="1:31" x14ac:dyDescent="0.2">
      <c r="A245" s="6"/>
      <c r="B245" s="6"/>
      <c r="C245"/>
      <c r="D245"/>
      <c r="E245" s="6"/>
      <c r="F245" s="6"/>
      <c r="G245"/>
      <c r="H245"/>
      <c r="I245"/>
      <c r="J245"/>
      <c r="K245"/>
      <c r="L245"/>
      <c r="M245"/>
      <c r="N245"/>
      <c r="AE245"/>
    </row>
    <row r="246" spans="1:31" x14ac:dyDescent="0.2">
      <c r="A246" s="6"/>
      <c r="B246" s="6"/>
      <c r="C246"/>
      <c r="D246"/>
      <c r="E246" s="6"/>
      <c r="F246" s="6"/>
      <c r="G246"/>
      <c r="H246"/>
      <c r="I246"/>
      <c r="J246"/>
      <c r="K246"/>
      <c r="L246"/>
      <c r="M246"/>
      <c r="N246"/>
      <c r="AE246"/>
    </row>
    <row r="247" spans="1:31" x14ac:dyDescent="0.2">
      <c r="A247" s="6"/>
      <c r="B247" s="6"/>
      <c r="C247"/>
      <c r="D247"/>
      <c r="E247" s="6"/>
      <c r="F247" s="6"/>
      <c r="G247"/>
      <c r="H247"/>
      <c r="I247"/>
      <c r="J247"/>
      <c r="K247"/>
      <c r="L247"/>
      <c r="M247"/>
      <c r="N247"/>
      <c r="AE247"/>
    </row>
    <row r="248" spans="1:31" x14ac:dyDescent="0.2">
      <c r="A248" s="6"/>
      <c r="B248" s="6"/>
      <c r="C248"/>
      <c r="D248"/>
      <c r="E248" s="6"/>
      <c r="F248" s="6"/>
      <c r="G248"/>
      <c r="H248"/>
      <c r="I248"/>
      <c r="J248"/>
      <c r="K248"/>
      <c r="L248"/>
      <c r="M248"/>
      <c r="N248"/>
      <c r="AE248"/>
    </row>
    <row r="249" spans="1:31" x14ac:dyDescent="0.2">
      <c r="A249" s="6"/>
      <c r="B249" s="6"/>
      <c r="C249"/>
      <c r="D249"/>
      <c r="E249" s="6"/>
      <c r="F249" s="6"/>
      <c r="G249"/>
      <c r="H249"/>
      <c r="I249"/>
      <c r="J249"/>
      <c r="K249"/>
      <c r="L249"/>
      <c r="M249"/>
      <c r="N249"/>
      <c r="AE249"/>
    </row>
    <row r="250" spans="1:31" x14ac:dyDescent="0.2">
      <c r="A250" s="6"/>
      <c r="B250" s="6"/>
      <c r="C250"/>
      <c r="D250"/>
      <c r="E250" s="6"/>
      <c r="F250" s="6"/>
      <c r="G250"/>
      <c r="H250"/>
      <c r="I250"/>
      <c r="J250"/>
      <c r="K250"/>
      <c r="L250"/>
      <c r="M250"/>
      <c r="N250"/>
      <c r="AE250"/>
    </row>
    <row r="251" spans="1:31" x14ac:dyDescent="0.2">
      <c r="A251" s="6"/>
      <c r="B251" s="6"/>
      <c r="C251"/>
      <c r="D251"/>
      <c r="E251" s="6"/>
      <c r="F251" s="6"/>
      <c r="G251"/>
      <c r="H251"/>
      <c r="I251"/>
      <c r="J251"/>
      <c r="K251"/>
      <c r="L251"/>
      <c r="M251"/>
      <c r="N251"/>
      <c r="AE251"/>
    </row>
    <row r="252" spans="1:31" x14ac:dyDescent="0.2">
      <c r="A252" s="6"/>
      <c r="B252" s="6"/>
      <c r="C252"/>
      <c r="D252"/>
      <c r="E252" s="6"/>
      <c r="F252" s="6"/>
      <c r="G252"/>
      <c r="H252"/>
      <c r="I252"/>
      <c r="J252"/>
      <c r="K252"/>
      <c r="L252"/>
      <c r="M252"/>
      <c r="N252"/>
      <c r="AE252"/>
    </row>
    <row r="253" spans="1:31" x14ac:dyDescent="0.2">
      <c r="A253" s="6"/>
      <c r="B253" s="6"/>
      <c r="C253"/>
      <c r="D253"/>
      <c r="E253" s="6"/>
      <c r="F253" s="6"/>
      <c r="G253"/>
      <c r="H253"/>
      <c r="I253"/>
      <c r="J253"/>
      <c r="K253"/>
      <c r="L253"/>
      <c r="M253"/>
      <c r="N253"/>
      <c r="AE253"/>
    </row>
    <row r="254" spans="1:31" x14ac:dyDescent="0.2">
      <c r="A254" s="6"/>
      <c r="B254" s="6"/>
      <c r="C254"/>
      <c r="D254"/>
      <c r="E254" s="6"/>
      <c r="F254" s="6"/>
      <c r="G254"/>
      <c r="H254"/>
      <c r="I254"/>
      <c r="J254"/>
      <c r="K254"/>
      <c r="L254"/>
      <c r="M254"/>
      <c r="N254"/>
      <c r="AE254"/>
    </row>
    <row r="255" spans="1:31" x14ac:dyDescent="0.2">
      <c r="A255" s="6"/>
      <c r="B255" s="6"/>
      <c r="C255"/>
      <c r="D255"/>
      <c r="E255" s="6"/>
      <c r="F255" s="6"/>
      <c r="G255"/>
      <c r="H255"/>
      <c r="I255"/>
      <c r="J255"/>
      <c r="K255"/>
      <c r="L255"/>
      <c r="M255"/>
      <c r="N255"/>
      <c r="AE255"/>
    </row>
    <row r="256" spans="1:31" x14ac:dyDescent="0.2">
      <c r="A256" s="6"/>
      <c r="B256" s="6"/>
      <c r="C256"/>
      <c r="D256"/>
      <c r="E256" s="6"/>
      <c r="F256" s="6"/>
      <c r="G256"/>
      <c r="H256"/>
      <c r="I256"/>
      <c r="J256"/>
      <c r="K256"/>
      <c r="L256"/>
      <c r="M256"/>
      <c r="N256"/>
      <c r="AE256"/>
    </row>
    <row r="257" spans="1:31" x14ac:dyDescent="0.2">
      <c r="A257" s="6"/>
      <c r="B257" s="6"/>
      <c r="C257"/>
      <c r="D257"/>
      <c r="E257" s="6"/>
      <c r="F257" s="6"/>
      <c r="G257"/>
      <c r="H257"/>
      <c r="I257"/>
      <c r="J257"/>
      <c r="K257"/>
      <c r="L257"/>
      <c r="M257"/>
      <c r="N257"/>
      <c r="AE257"/>
    </row>
    <row r="258" spans="1:31" x14ac:dyDescent="0.2">
      <c r="A258" s="6"/>
      <c r="B258" s="6"/>
      <c r="C258"/>
      <c r="D258"/>
      <c r="E258" s="6"/>
      <c r="F258" s="6"/>
      <c r="G258"/>
      <c r="H258"/>
      <c r="I258"/>
      <c r="J258"/>
      <c r="K258"/>
      <c r="L258"/>
      <c r="M258"/>
      <c r="N258"/>
      <c r="AE258"/>
    </row>
    <row r="259" spans="1:31" x14ac:dyDescent="0.2">
      <c r="A259" s="6"/>
      <c r="B259" s="6"/>
      <c r="C259"/>
      <c r="D259"/>
      <c r="E259" s="6"/>
      <c r="F259" s="6"/>
      <c r="G259"/>
      <c r="H259"/>
      <c r="I259"/>
      <c r="J259"/>
      <c r="K259"/>
      <c r="L259"/>
      <c r="M259"/>
      <c r="N259"/>
      <c r="AE259"/>
    </row>
    <row r="260" spans="1:31" x14ac:dyDescent="0.2">
      <c r="A260" s="6"/>
      <c r="B260" s="6"/>
      <c r="C260"/>
      <c r="D260"/>
      <c r="E260" s="6"/>
      <c r="F260" s="6"/>
      <c r="G260"/>
      <c r="H260"/>
      <c r="I260"/>
      <c r="J260"/>
      <c r="K260"/>
      <c r="L260"/>
      <c r="M260"/>
      <c r="N260"/>
      <c r="AE260"/>
    </row>
    <row r="261" spans="1:31" x14ac:dyDescent="0.2">
      <c r="A261" s="6"/>
      <c r="B261" s="6"/>
      <c r="C261"/>
      <c r="D261"/>
      <c r="E261" s="6"/>
      <c r="F261" s="6"/>
      <c r="G261"/>
      <c r="H261"/>
      <c r="I261"/>
      <c r="J261"/>
      <c r="K261"/>
      <c r="L261"/>
      <c r="M261"/>
      <c r="N261"/>
      <c r="AE261"/>
    </row>
    <row r="262" spans="1:31" x14ac:dyDescent="0.2">
      <c r="A262" s="6"/>
      <c r="B262" s="6"/>
      <c r="C262"/>
      <c r="D262"/>
      <c r="E262" s="6"/>
      <c r="F262" s="6"/>
      <c r="G262"/>
      <c r="H262"/>
      <c r="I262"/>
      <c r="J262"/>
      <c r="K262"/>
      <c r="L262"/>
      <c r="M262"/>
      <c r="N262"/>
      <c r="AE262"/>
    </row>
    <row r="263" spans="1:31" x14ac:dyDescent="0.2">
      <c r="A263" s="6"/>
      <c r="B263" s="6"/>
      <c r="C263"/>
      <c r="D263"/>
      <c r="E263" s="6"/>
      <c r="F263" s="6"/>
      <c r="G263"/>
      <c r="H263"/>
      <c r="I263"/>
      <c r="J263"/>
      <c r="K263"/>
      <c r="L263"/>
      <c r="M263"/>
      <c r="N263"/>
      <c r="AE263"/>
    </row>
    <row r="264" spans="1:31" x14ac:dyDescent="0.2">
      <c r="A264" s="6"/>
      <c r="B264" s="6"/>
      <c r="C264"/>
      <c r="D264"/>
      <c r="E264" s="6"/>
      <c r="F264" s="6"/>
      <c r="G264"/>
      <c r="H264"/>
      <c r="I264"/>
      <c r="J264"/>
      <c r="K264"/>
      <c r="L264"/>
      <c r="M264"/>
      <c r="N264"/>
      <c r="AE264"/>
    </row>
    <row r="265" spans="1:31" x14ac:dyDescent="0.2">
      <c r="A265" s="6"/>
      <c r="B265" s="6"/>
      <c r="C265"/>
      <c r="D265"/>
      <c r="E265" s="6"/>
      <c r="F265" s="6"/>
      <c r="G265"/>
      <c r="H265"/>
      <c r="I265"/>
      <c r="J265"/>
      <c r="K265"/>
      <c r="L265"/>
      <c r="M265"/>
      <c r="N265"/>
      <c r="AE265"/>
    </row>
    <row r="266" spans="1:31" x14ac:dyDescent="0.2">
      <c r="A266" s="6"/>
      <c r="B266" s="6"/>
      <c r="C266"/>
      <c r="D266"/>
      <c r="E266" s="6"/>
      <c r="F266" s="6"/>
      <c r="G266"/>
      <c r="H266"/>
      <c r="I266"/>
      <c r="J266"/>
      <c r="K266"/>
      <c r="L266"/>
      <c r="M266"/>
      <c r="N266"/>
      <c r="AE266"/>
    </row>
    <row r="267" spans="1:31" x14ac:dyDescent="0.2">
      <c r="A267" s="6"/>
      <c r="B267" s="6"/>
      <c r="C267"/>
      <c r="D267"/>
      <c r="E267" s="6"/>
      <c r="F267" s="6"/>
      <c r="G267"/>
      <c r="H267"/>
      <c r="I267"/>
      <c r="J267"/>
      <c r="K267"/>
      <c r="L267"/>
      <c r="M267"/>
      <c r="N267"/>
      <c r="AE267"/>
    </row>
    <row r="268" spans="1:31" x14ac:dyDescent="0.2">
      <c r="A268" s="6"/>
      <c r="B268" s="6"/>
      <c r="C268"/>
      <c r="D268"/>
      <c r="E268" s="6"/>
      <c r="F268" s="6"/>
      <c r="G268"/>
      <c r="H268"/>
      <c r="I268"/>
      <c r="J268"/>
      <c r="K268"/>
      <c r="L268"/>
      <c r="M268"/>
      <c r="N268"/>
      <c r="AE268"/>
    </row>
    <row r="269" spans="1:31" x14ac:dyDescent="0.2">
      <c r="A269" s="6"/>
      <c r="B269" s="6"/>
      <c r="C269"/>
      <c r="D269"/>
      <c r="E269" s="6"/>
      <c r="F269" s="6"/>
      <c r="G269"/>
      <c r="H269"/>
      <c r="I269"/>
      <c r="J269"/>
      <c r="K269"/>
      <c r="L269"/>
      <c r="M269"/>
      <c r="N269"/>
      <c r="AE269"/>
    </row>
    <row r="270" spans="1:31" x14ac:dyDescent="0.2">
      <c r="A270" s="6"/>
      <c r="B270" s="6"/>
      <c r="C270"/>
      <c r="D270"/>
      <c r="E270" s="6"/>
      <c r="F270" s="6"/>
      <c r="G270"/>
      <c r="H270"/>
      <c r="I270"/>
      <c r="J270"/>
      <c r="K270"/>
      <c r="L270"/>
      <c r="M270"/>
      <c r="N270"/>
      <c r="AE270"/>
    </row>
    <row r="271" spans="1:31" x14ac:dyDescent="0.2">
      <c r="A271" s="6"/>
      <c r="B271" s="6"/>
      <c r="C271"/>
      <c r="D271"/>
      <c r="E271" s="6"/>
      <c r="F271" s="6"/>
      <c r="G271"/>
      <c r="H271"/>
      <c r="I271"/>
      <c r="J271"/>
      <c r="K271"/>
      <c r="L271"/>
      <c r="M271"/>
      <c r="N271"/>
      <c r="AE271"/>
    </row>
    <row r="272" spans="1:31" x14ac:dyDescent="0.2">
      <c r="A272" s="6"/>
      <c r="B272" s="6"/>
      <c r="C272"/>
      <c r="D272"/>
      <c r="E272" s="6"/>
      <c r="F272" s="6"/>
      <c r="G272"/>
      <c r="H272"/>
      <c r="I272"/>
      <c r="J272"/>
      <c r="K272"/>
      <c r="L272"/>
      <c r="M272"/>
      <c r="N272"/>
      <c r="AE272"/>
    </row>
    <row r="273" spans="1:31" x14ac:dyDescent="0.2">
      <c r="A273" s="6"/>
      <c r="B273" s="6"/>
      <c r="C273"/>
      <c r="D273"/>
      <c r="E273" s="6"/>
      <c r="F273" s="6"/>
      <c r="G273"/>
      <c r="H273"/>
      <c r="I273"/>
      <c r="J273"/>
      <c r="K273"/>
      <c r="L273"/>
      <c r="M273"/>
      <c r="N273"/>
      <c r="AE273"/>
    </row>
    <row r="274" spans="1:31" x14ac:dyDescent="0.2">
      <c r="A274" s="6"/>
      <c r="B274" s="6"/>
      <c r="C274"/>
      <c r="D274"/>
      <c r="E274" s="6"/>
      <c r="F274" s="6"/>
      <c r="G274"/>
      <c r="H274"/>
      <c r="I274"/>
      <c r="J274"/>
      <c r="K274"/>
      <c r="L274"/>
      <c r="M274"/>
      <c r="N274"/>
      <c r="AE274"/>
    </row>
    <row r="275" spans="1:31" x14ac:dyDescent="0.2">
      <c r="A275" s="6"/>
      <c r="B275" s="6"/>
      <c r="C275"/>
      <c r="D275"/>
      <c r="E275" s="6"/>
      <c r="F275" s="6"/>
      <c r="G275"/>
      <c r="H275"/>
      <c r="I275"/>
      <c r="J275"/>
      <c r="K275"/>
      <c r="L275"/>
      <c r="M275"/>
      <c r="N275"/>
      <c r="AE275"/>
    </row>
    <row r="276" spans="1:31" x14ac:dyDescent="0.2">
      <c r="A276" s="6"/>
      <c r="B276" s="6"/>
      <c r="C276"/>
      <c r="D276"/>
      <c r="E276" s="6"/>
      <c r="F276" s="6"/>
      <c r="G276"/>
      <c r="H276"/>
      <c r="I276"/>
      <c r="J276"/>
      <c r="K276"/>
      <c r="L276"/>
      <c r="M276"/>
      <c r="N276"/>
      <c r="AE276"/>
    </row>
    <row r="277" spans="1:31" x14ac:dyDescent="0.2">
      <c r="A277" s="6"/>
      <c r="B277" s="6"/>
      <c r="C277"/>
      <c r="D277"/>
      <c r="E277" s="6"/>
      <c r="F277" s="6"/>
      <c r="G277"/>
      <c r="H277"/>
      <c r="I277"/>
      <c r="J277"/>
      <c r="K277"/>
      <c r="L277"/>
      <c r="M277"/>
      <c r="N277"/>
      <c r="AE277"/>
    </row>
    <row r="278" spans="1:31" x14ac:dyDescent="0.2">
      <c r="A278" s="6"/>
      <c r="B278" s="6"/>
      <c r="C278"/>
      <c r="D278"/>
      <c r="E278" s="6"/>
      <c r="F278" s="6"/>
      <c r="G278"/>
      <c r="H278"/>
      <c r="I278"/>
      <c r="J278"/>
      <c r="K278"/>
      <c r="L278"/>
      <c r="M278"/>
      <c r="N278"/>
      <c r="AE278"/>
    </row>
    <row r="279" spans="1:31" x14ac:dyDescent="0.2">
      <c r="A279" s="6"/>
      <c r="B279" s="6"/>
      <c r="C279"/>
      <c r="D279"/>
      <c r="E279" s="6"/>
      <c r="F279" s="6"/>
      <c r="G279"/>
      <c r="H279"/>
      <c r="I279"/>
      <c r="J279"/>
      <c r="K279"/>
      <c r="L279"/>
      <c r="M279"/>
      <c r="N279"/>
      <c r="AE279"/>
    </row>
    <row r="280" spans="1:31" x14ac:dyDescent="0.2">
      <c r="A280" s="6"/>
      <c r="B280" s="6"/>
      <c r="C280"/>
      <c r="D280"/>
      <c r="E280" s="6"/>
      <c r="F280" s="6"/>
      <c r="G280"/>
      <c r="H280"/>
      <c r="I280"/>
      <c r="J280"/>
      <c r="K280"/>
      <c r="L280"/>
      <c r="M280"/>
      <c r="N280"/>
      <c r="AE280"/>
    </row>
    <row r="281" spans="1:31" x14ac:dyDescent="0.2">
      <c r="A281" s="6"/>
      <c r="B281" s="6"/>
      <c r="C281"/>
      <c r="D281"/>
      <c r="E281" s="6"/>
      <c r="F281" s="6"/>
      <c r="G281"/>
      <c r="H281"/>
      <c r="I281"/>
      <c r="J281"/>
      <c r="K281"/>
      <c r="L281"/>
      <c r="M281"/>
      <c r="N281"/>
      <c r="AE281"/>
    </row>
    <row r="282" spans="1:31" x14ac:dyDescent="0.2">
      <c r="A282" s="6"/>
      <c r="B282" s="6"/>
      <c r="C282"/>
      <c r="D282"/>
      <c r="E282" s="6"/>
      <c r="F282" s="6"/>
      <c r="G282"/>
      <c r="H282"/>
      <c r="I282"/>
      <c r="J282"/>
      <c r="K282"/>
      <c r="L282"/>
      <c r="M282"/>
      <c r="N282"/>
      <c r="AE282"/>
    </row>
    <row r="283" spans="1:31" x14ac:dyDescent="0.2">
      <c r="A283" s="6"/>
      <c r="B283" s="6"/>
      <c r="C283"/>
      <c r="D283"/>
      <c r="E283" s="6"/>
      <c r="F283" s="6"/>
      <c r="G283"/>
      <c r="H283"/>
      <c r="I283"/>
      <c r="J283"/>
      <c r="K283"/>
      <c r="L283"/>
      <c r="M283"/>
      <c r="N283"/>
      <c r="AE283"/>
    </row>
    <row r="284" spans="1:31" x14ac:dyDescent="0.2">
      <c r="A284" s="6"/>
      <c r="B284" s="6"/>
      <c r="C284"/>
      <c r="D284"/>
      <c r="E284" s="6"/>
      <c r="F284" s="6"/>
      <c r="G284"/>
      <c r="H284"/>
      <c r="I284"/>
      <c r="J284"/>
      <c r="K284"/>
      <c r="L284"/>
      <c r="M284"/>
      <c r="N284"/>
      <c r="AE284"/>
    </row>
    <row r="285" spans="1:31" x14ac:dyDescent="0.2">
      <c r="A285" s="6"/>
      <c r="B285" s="6"/>
      <c r="C285"/>
      <c r="D285"/>
      <c r="E285" s="6"/>
      <c r="F285" s="6"/>
      <c r="G285"/>
      <c r="H285"/>
      <c r="I285"/>
      <c r="J285"/>
      <c r="K285"/>
      <c r="L285"/>
      <c r="M285"/>
      <c r="N285"/>
      <c r="AE285"/>
    </row>
    <row r="286" spans="1:31" x14ac:dyDescent="0.2">
      <c r="A286" s="6"/>
      <c r="B286" s="6"/>
      <c r="C286"/>
      <c r="D286"/>
      <c r="E286" s="6"/>
      <c r="F286" s="6"/>
      <c r="G286"/>
      <c r="H286"/>
      <c r="I286"/>
      <c r="J286"/>
      <c r="K286"/>
      <c r="L286"/>
      <c r="M286"/>
      <c r="N286"/>
      <c r="AE286"/>
    </row>
    <row r="287" spans="1:31" x14ac:dyDescent="0.2">
      <c r="A287" s="6"/>
      <c r="B287" s="6"/>
      <c r="C287"/>
      <c r="D287"/>
      <c r="E287" s="6"/>
      <c r="F287" s="6"/>
      <c r="G287"/>
      <c r="H287"/>
      <c r="I287"/>
      <c r="J287"/>
      <c r="K287"/>
      <c r="L287"/>
      <c r="M287"/>
      <c r="N287"/>
      <c r="AE287"/>
    </row>
    <row r="288" spans="1:31" x14ac:dyDescent="0.2">
      <c r="A288" s="6"/>
      <c r="B288" s="6"/>
      <c r="C288"/>
      <c r="D288"/>
      <c r="E288" s="6"/>
      <c r="F288" s="6"/>
      <c r="G288"/>
      <c r="H288"/>
      <c r="I288"/>
      <c r="J288"/>
      <c r="K288"/>
      <c r="L288"/>
      <c r="M288"/>
      <c r="N288"/>
      <c r="AE288"/>
    </row>
    <row r="289" spans="1:31" x14ac:dyDescent="0.2">
      <c r="A289" s="6"/>
      <c r="B289" s="6"/>
      <c r="C289"/>
      <c r="D289"/>
      <c r="E289" s="6"/>
      <c r="F289" s="6"/>
      <c r="G289"/>
      <c r="H289"/>
      <c r="I289"/>
      <c r="J289"/>
      <c r="K289"/>
      <c r="L289"/>
      <c r="M289"/>
      <c r="N289"/>
      <c r="AE289"/>
    </row>
    <row r="290" spans="1:31" x14ac:dyDescent="0.2">
      <c r="A290" s="6"/>
      <c r="B290" s="6"/>
      <c r="C290"/>
      <c r="D290"/>
      <c r="E290" s="6"/>
      <c r="F290" s="6"/>
      <c r="G290"/>
      <c r="H290"/>
      <c r="I290"/>
      <c r="J290"/>
      <c r="K290"/>
      <c r="L290"/>
      <c r="M290"/>
      <c r="N290"/>
      <c r="AE290"/>
    </row>
    <row r="291" spans="1:31" x14ac:dyDescent="0.2">
      <c r="A291" s="6"/>
      <c r="B291" s="6"/>
      <c r="C291"/>
      <c r="D291"/>
      <c r="E291" s="6"/>
      <c r="F291" s="6"/>
      <c r="G291"/>
      <c r="H291"/>
      <c r="I291"/>
      <c r="J291"/>
      <c r="K291"/>
      <c r="L291"/>
      <c r="M291"/>
      <c r="N291"/>
      <c r="AE291"/>
    </row>
    <row r="292" spans="1:31" x14ac:dyDescent="0.2">
      <c r="A292" s="6"/>
      <c r="B292" s="6"/>
      <c r="C292"/>
      <c r="D292"/>
      <c r="E292" s="6"/>
      <c r="F292" s="6"/>
      <c r="G292"/>
      <c r="H292"/>
      <c r="I292"/>
      <c r="J292"/>
      <c r="K292"/>
      <c r="L292"/>
      <c r="M292"/>
      <c r="N292"/>
      <c r="AE292"/>
    </row>
    <row r="293" spans="1:31" x14ac:dyDescent="0.2">
      <c r="A293" s="6"/>
      <c r="B293" s="6"/>
      <c r="C293"/>
      <c r="D293"/>
      <c r="E293" s="6"/>
      <c r="F293" s="6"/>
      <c r="G293"/>
      <c r="H293"/>
      <c r="I293"/>
      <c r="J293"/>
      <c r="K293"/>
      <c r="L293"/>
      <c r="M293"/>
      <c r="N293"/>
      <c r="AE293"/>
    </row>
    <row r="294" spans="1:31" x14ac:dyDescent="0.2">
      <c r="A294" s="6"/>
      <c r="B294" s="6"/>
      <c r="C294"/>
      <c r="D294"/>
      <c r="E294" s="6"/>
      <c r="F294" s="6"/>
      <c r="G294"/>
      <c r="H294"/>
      <c r="I294"/>
      <c r="J294"/>
      <c r="K294"/>
      <c r="L294"/>
      <c r="M294"/>
      <c r="N294"/>
      <c r="AE294"/>
    </row>
    <row r="295" spans="1:31" x14ac:dyDescent="0.2">
      <c r="A295" s="6"/>
      <c r="B295" s="6"/>
      <c r="C295"/>
      <c r="D295"/>
      <c r="E295" s="6"/>
      <c r="F295" s="6"/>
      <c r="G295"/>
      <c r="H295"/>
      <c r="I295"/>
      <c r="J295"/>
      <c r="K295"/>
      <c r="L295"/>
      <c r="M295"/>
      <c r="N295"/>
      <c r="AE295"/>
    </row>
    <row r="296" spans="1:31" x14ac:dyDescent="0.2">
      <c r="A296" s="6"/>
      <c r="B296" s="6"/>
      <c r="C296"/>
      <c r="D296"/>
      <c r="E296" s="6"/>
      <c r="F296" s="6"/>
      <c r="G296"/>
      <c r="H296"/>
      <c r="I296"/>
      <c r="J296"/>
      <c r="K296"/>
      <c r="L296"/>
      <c r="M296"/>
      <c r="N296"/>
      <c r="AE296"/>
    </row>
    <row r="297" spans="1:31" x14ac:dyDescent="0.2">
      <c r="A297" s="6"/>
      <c r="B297" s="6"/>
      <c r="C297"/>
      <c r="D297"/>
      <c r="E297" s="6"/>
      <c r="F297" s="6"/>
      <c r="G297"/>
      <c r="H297"/>
      <c r="I297"/>
      <c r="J297"/>
      <c r="K297"/>
      <c r="L297"/>
      <c r="M297"/>
      <c r="N297"/>
      <c r="AE297"/>
    </row>
    <row r="298" spans="1:31" x14ac:dyDescent="0.2">
      <c r="A298" s="6"/>
      <c r="B298" s="6"/>
      <c r="C298"/>
      <c r="D298"/>
      <c r="E298" s="6"/>
      <c r="F298" s="6"/>
      <c r="G298"/>
      <c r="H298"/>
      <c r="I298"/>
      <c r="J298"/>
      <c r="K298"/>
      <c r="L298"/>
      <c r="M298"/>
      <c r="N298"/>
      <c r="AE298"/>
    </row>
    <row r="299" spans="1:31" x14ac:dyDescent="0.2">
      <c r="A299" s="6"/>
      <c r="B299" s="6"/>
      <c r="C299"/>
      <c r="D299"/>
      <c r="E299" s="6"/>
      <c r="F299" s="6"/>
      <c r="G299"/>
      <c r="H299"/>
      <c r="I299"/>
      <c r="J299"/>
      <c r="K299"/>
      <c r="L299"/>
      <c r="M299"/>
      <c r="N299"/>
      <c r="AE299"/>
    </row>
    <row r="300" spans="1:31" x14ac:dyDescent="0.2">
      <c r="A300" s="6"/>
      <c r="B300" s="6"/>
      <c r="C300"/>
      <c r="D300"/>
      <c r="E300" s="6"/>
      <c r="F300" s="6"/>
      <c r="G300"/>
      <c r="H300"/>
      <c r="I300"/>
      <c r="J300"/>
      <c r="K300"/>
      <c r="L300"/>
      <c r="M300"/>
      <c r="N300"/>
      <c r="AE300"/>
    </row>
    <row r="301" spans="1:31" x14ac:dyDescent="0.2">
      <c r="A301" s="6"/>
      <c r="B301" s="6"/>
      <c r="C301"/>
      <c r="D301"/>
      <c r="E301" s="6"/>
      <c r="F301" s="6"/>
      <c r="G301"/>
      <c r="H301"/>
      <c r="I301"/>
      <c r="J301"/>
      <c r="K301"/>
      <c r="L301"/>
      <c r="M301"/>
      <c r="N301"/>
      <c r="AE301"/>
    </row>
    <row r="302" spans="1:31" x14ac:dyDescent="0.2">
      <c r="A302" s="6"/>
      <c r="B302" s="6"/>
      <c r="C302"/>
      <c r="D302"/>
      <c r="E302" s="6"/>
      <c r="F302" s="6"/>
      <c r="G302"/>
      <c r="H302"/>
      <c r="I302"/>
      <c r="J302"/>
      <c r="K302"/>
      <c r="L302"/>
      <c r="M302"/>
      <c r="N302"/>
      <c r="AE302"/>
    </row>
    <row r="303" spans="1:31" x14ac:dyDescent="0.2">
      <c r="A303" s="6"/>
      <c r="B303" s="6"/>
      <c r="C303"/>
      <c r="D303"/>
      <c r="E303" s="6"/>
      <c r="F303" s="6"/>
      <c r="G303"/>
      <c r="H303"/>
      <c r="I303"/>
      <c r="J303"/>
      <c r="K303"/>
      <c r="L303"/>
      <c r="M303"/>
      <c r="N303"/>
      <c r="AE303"/>
    </row>
    <row r="304" spans="1:31" x14ac:dyDescent="0.2">
      <c r="A304" s="6"/>
      <c r="B304" s="6"/>
      <c r="C304"/>
      <c r="D304"/>
      <c r="E304" s="6"/>
      <c r="F304" s="6"/>
      <c r="G304"/>
      <c r="H304"/>
      <c r="I304"/>
      <c r="J304"/>
      <c r="K304"/>
      <c r="L304"/>
      <c r="M304"/>
      <c r="N304"/>
      <c r="AE304"/>
    </row>
    <row r="305" spans="1:31" x14ac:dyDescent="0.2">
      <c r="A305" s="6"/>
      <c r="B305" s="6"/>
      <c r="C305"/>
      <c r="D305"/>
      <c r="E305" s="6"/>
      <c r="F305" s="6"/>
      <c r="G305"/>
      <c r="H305"/>
      <c r="I305"/>
      <c r="J305"/>
      <c r="K305"/>
      <c r="L305"/>
      <c r="M305"/>
      <c r="N305"/>
      <c r="AE305"/>
    </row>
    <row r="306" spans="1:31" x14ac:dyDescent="0.2">
      <c r="A306" s="6"/>
      <c r="B306" s="6"/>
      <c r="C306"/>
      <c r="D306"/>
      <c r="E306" s="6"/>
      <c r="F306" s="6"/>
      <c r="G306"/>
      <c r="H306"/>
      <c r="I306"/>
      <c r="J306"/>
      <c r="K306"/>
      <c r="L306"/>
      <c r="M306"/>
      <c r="N306"/>
      <c r="AE306"/>
    </row>
    <row r="307" spans="1:31" x14ac:dyDescent="0.2">
      <c r="A307" s="6"/>
      <c r="B307" s="6"/>
      <c r="C307"/>
      <c r="D307"/>
      <c r="E307" s="6"/>
      <c r="F307" s="6"/>
      <c r="G307"/>
      <c r="H307"/>
      <c r="I307"/>
      <c r="J307"/>
      <c r="K307"/>
      <c r="L307"/>
      <c r="M307"/>
      <c r="N307"/>
      <c r="AE307"/>
    </row>
    <row r="308" spans="1:31" x14ac:dyDescent="0.2">
      <c r="A308" s="6"/>
      <c r="B308" s="6"/>
      <c r="C308"/>
      <c r="D308"/>
      <c r="E308" s="6"/>
      <c r="F308" s="6"/>
      <c r="G308"/>
      <c r="H308"/>
      <c r="I308"/>
      <c r="J308"/>
      <c r="K308"/>
      <c r="L308"/>
      <c r="M308"/>
      <c r="N308"/>
      <c r="AE308"/>
    </row>
    <row r="309" spans="1:31" x14ac:dyDescent="0.2">
      <c r="A309" s="6"/>
      <c r="B309" s="6"/>
      <c r="C309"/>
      <c r="D309"/>
      <c r="E309" s="6"/>
      <c r="F309" s="6"/>
      <c r="G309"/>
      <c r="H309"/>
      <c r="I309"/>
      <c r="J309"/>
      <c r="K309"/>
      <c r="L309"/>
      <c r="M309"/>
      <c r="N309"/>
      <c r="AE309"/>
    </row>
    <row r="310" spans="1:31" x14ac:dyDescent="0.2">
      <c r="A310" s="6"/>
      <c r="B310" s="6"/>
      <c r="C310"/>
      <c r="D310"/>
      <c r="E310" s="6"/>
      <c r="F310" s="6"/>
      <c r="G310"/>
      <c r="H310"/>
      <c r="I310"/>
      <c r="J310"/>
      <c r="K310"/>
      <c r="L310"/>
      <c r="M310"/>
      <c r="N310"/>
      <c r="AE310"/>
    </row>
    <row r="311" spans="1:31" x14ac:dyDescent="0.2">
      <c r="A311" s="6"/>
      <c r="B311" s="6"/>
      <c r="C311"/>
      <c r="D311"/>
      <c r="E311" s="6"/>
      <c r="F311" s="6"/>
      <c r="G311"/>
      <c r="H311"/>
      <c r="I311"/>
      <c r="J311"/>
      <c r="K311"/>
      <c r="L311"/>
      <c r="M311"/>
      <c r="N311"/>
      <c r="AE311"/>
    </row>
    <row r="312" spans="1:31" x14ac:dyDescent="0.2">
      <c r="A312" s="6"/>
      <c r="B312" s="6"/>
      <c r="C312"/>
      <c r="D312"/>
      <c r="E312" s="6"/>
      <c r="F312" s="6"/>
      <c r="G312"/>
      <c r="H312"/>
      <c r="I312"/>
      <c r="J312"/>
      <c r="K312"/>
      <c r="L312"/>
      <c r="M312"/>
      <c r="N312"/>
      <c r="AE312"/>
    </row>
    <row r="313" spans="1:31" x14ac:dyDescent="0.2">
      <c r="A313" s="6"/>
      <c r="B313" s="6"/>
      <c r="C313"/>
      <c r="D313"/>
      <c r="E313" s="6"/>
      <c r="F313" s="6"/>
      <c r="G313"/>
      <c r="H313"/>
      <c r="I313"/>
      <c r="J313"/>
      <c r="K313"/>
      <c r="L313"/>
      <c r="M313"/>
      <c r="N313"/>
      <c r="AE313"/>
    </row>
    <row r="314" spans="1:31" x14ac:dyDescent="0.2">
      <c r="A314" s="6"/>
      <c r="B314" s="6"/>
      <c r="C314"/>
      <c r="D314"/>
      <c r="E314" s="6"/>
      <c r="F314" s="6"/>
      <c r="G314"/>
      <c r="H314"/>
      <c r="I314"/>
      <c r="J314"/>
      <c r="K314"/>
      <c r="L314"/>
      <c r="M314"/>
      <c r="N314"/>
      <c r="AE314"/>
    </row>
    <row r="315" spans="1:31" x14ac:dyDescent="0.2">
      <c r="A315" s="6"/>
      <c r="B315" s="6"/>
      <c r="C315"/>
      <c r="D315"/>
      <c r="E315" s="6"/>
      <c r="F315" s="6"/>
      <c r="G315"/>
      <c r="H315"/>
      <c r="I315"/>
      <c r="J315"/>
      <c r="K315"/>
      <c r="L315"/>
      <c r="M315"/>
      <c r="N315"/>
      <c r="AE315"/>
    </row>
    <row r="316" spans="1:31" x14ac:dyDescent="0.2">
      <c r="A316" s="6"/>
      <c r="B316" s="6"/>
      <c r="C316"/>
      <c r="D316"/>
      <c r="E316" s="6"/>
      <c r="F316" s="6"/>
      <c r="G316"/>
      <c r="H316"/>
      <c r="I316"/>
      <c r="J316"/>
      <c r="K316"/>
      <c r="L316"/>
      <c r="M316"/>
      <c r="N316"/>
      <c r="AE316"/>
    </row>
    <row r="317" spans="1:31" x14ac:dyDescent="0.2">
      <c r="A317" s="6"/>
      <c r="B317" s="6"/>
      <c r="C317"/>
      <c r="D317"/>
      <c r="E317" s="6"/>
      <c r="F317" s="6"/>
      <c r="G317"/>
      <c r="H317"/>
      <c r="I317"/>
      <c r="J317"/>
      <c r="K317"/>
      <c r="L317"/>
      <c r="M317"/>
      <c r="N317"/>
      <c r="AE317"/>
    </row>
    <row r="318" spans="1:31" x14ac:dyDescent="0.2">
      <c r="A318" s="6"/>
      <c r="B318" s="6"/>
      <c r="C318"/>
      <c r="D318"/>
      <c r="E318" s="6"/>
      <c r="F318" s="6"/>
      <c r="G318"/>
      <c r="H318"/>
      <c r="I318"/>
      <c r="J318"/>
      <c r="K318"/>
      <c r="L318"/>
      <c r="M318"/>
      <c r="N318"/>
      <c r="AE318"/>
    </row>
    <row r="319" spans="1:31" x14ac:dyDescent="0.2">
      <c r="A319" s="6"/>
      <c r="B319" s="6"/>
      <c r="C319"/>
      <c r="D319"/>
      <c r="E319" s="6"/>
      <c r="F319" s="6"/>
      <c r="G319"/>
      <c r="H319"/>
      <c r="I319"/>
      <c r="J319"/>
      <c r="K319"/>
      <c r="L319"/>
      <c r="M319"/>
      <c r="N319"/>
      <c r="AE319"/>
    </row>
    <row r="320" spans="1:31" x14ac:dyDescent="0.2">
      <c r="A320" s="6"/>
      <c r="B320" s="6"/>
      <c r="C320"/>
      <c r="D320"/>
      <c r="E320" s="6"/>
      <c r="F320" s="6"/>
      <c r="G320"/>
      <c r="H320"/>
      <c r="I320"/>
      <c r="J320"/>
      <c r="K320"/>
      <c r="L320"/>
      <c r="M320"/>
      <c r="N320"/>
      <c r="AE320"/>
    </row>
    <row r="321" spans="1:31" x14ac:dyDescent="0.2">
      <c r="A321" s="6"/>
      <c r="B321" s="6"/>
      <c r="C321"/>
      <c r="D321"/>
      <c r="E321" s="6"/>
      <c r="F321" s="6"/>
      <c r="G321"/>
      <c r="H321"/>
      <c r="I321"/>
      <c r="J321"/>
      <c r="K321"/>
      <c r="L321"/>
      <c r="M321"/>
      <c r="N321"/>
      <c r="AE321"/>
    </row>
    <row r="322" spans="1:31" x14ac:dyDescent="0.2">
      <c r="A322" s="6"/>
      <c r="B322" s="6"/>
      <c r="C322"/>
      <c r="D322"/>
      <c r="E322" s="6"/>
      <c r="F322" s="6"/>
      <c r="G322"/>
      <c r="H322"/>
      <c r="I322"/>
      <c r="J322"/>
      <c r="K322"/>
      <c r="L322"/>
      <c r="M322"/>
      <c r="N322"/>
      <c r="AE322"/>
    </row>
    <row r="323" spans="1:31" x14ac:dyDescent="0.2">
      <c r="A323" s="6"/>
      <c r="B323" s="6"/>
      <c r="C323"/>
      <c r="D323"/>
      <c r="E323" s="6"/>
      <c r="F323" s="6"/>
      <c r="G323"/>
      <c r="H323"/>
      <c r="I323"/>
      <c r="J323"/>
      <c r="K323"/>
      <c r="L323"/>
      <c r="M323"/>
      <c r="N323"/>
      <c r="AE323"/>
    </row>
    <row r="324" spans="1:31" x14ac:dyDescent="0.2">
      <c r="A324" s="6"/>
      <c r="B324" s="6"/>
      <c r="C324"/>
      <c r="D324"/>
      <c r="E324" s="6"/>
      <c r="F324" s="6"/>
      <c r="G324"/>
      <c r="H324"/>
      <c r="I324"/>
      <c r="J324"/>
      <c r="K324"/>
      <c r="L324"/>
      <c r="M324"/>
      <c r="N324"/>
      <c r="AE324"/>
    </row>
    <row r="325" spans="1:31" x14ac:dyDescent="0.2">
      <c r="A325" s="6"/>
      <c r="B325" s="6"/>
      <c r="C325"/>
      <c r="D325"/>
      <c r="E325" s="6"/>
      <c r="F325" s="6"/>
      <c r="G325"/>
      <c r="H325"/>
      <c r="I325"/>
      <c r="J325"/>
      <c r="K325"/>
      <c r="L325"/>
      <c r="M325"/>
      <c r="N325"/>
      <c r="AE325"/>
    </row>
    <row r="326" spans="1:31" x14ac:dyDescent="0.2">
      <c r="A326" s="6"/>
      <c r="B326" s="6"/>
      <c r="C326"/>
      <c r="D326"/>
      <c r="E326" s="6"/>
      <c r="F326" s="6"/>
      <c r="G326"/>
      <c r="H326"/>
      <c r="I326"/>
      <c r="J326"/>
      <c r="K326"/>
      <c r="L326"/>
      <c r="M326"/>
      <c r="N326"/>
      <c r="AE326"/>
    </row>
    <row r="327" spans="1:31" x14ac:dyDescent="0.2">
      <c r="A327" s="6"/>
      <c r="B327" s="6"/>
      <c r="C327"/>
      <c r="D327"/>
      <c r="E327" s="6"/>
      <c r="F327" s="6"/>
      <c r="G327"/>
      <c r="H327"/>
      <c r="I327"/>
      <c r="J327"/>
      <c r="K327"/>
      <c r="L327"/>
      <c r="M327"/>
      <c r="N327"/>
      <c r="AE327"/>
    </row>
    <row r="328" spans="1:31" x14ac:dyDescent="0.2">
      <c r="A328" s="6"/>
      <c r="B328" s="6"/>
      <c r="C328"/>
      <c r="D328"/>
      <c r="E328" s="6"/>
      <c r="F328" s="6"/>
      <c r="G328"/>
      <c r="H328"/>
      <c r="I328"/>
      <c r="J328"/>
      <c r="K328"/>
      <c r="L328"/>
      <c r="M328"/>
      <c r="N328"/>
    </row>
    <row r="329" spans="1:31" x14ac:dyDescent="0.2">
      <c r="A329" s="6"/>
      <c r="B329" s="6"/>
      <c r="C329"/>
      <c r="D329"/>
      <c r="E329" s="6"/>
      <c r="F329" s="6"/>
      <c r="G329"/>
      <c r="H329"/>
      <c r="I329"/>
      <c r="J329"/>
      <c r="K329"/>
      <c r="L329"/>
      <c r="M329"/>
      <c r="N329"/>
    </row>
    <row r="330" spans="1:31" x14ac:dyDescent="0.2">
      <c r="A330" s="6"/>
      <c r="B330" s="6"/>
      <c r="C330"/>
      <c r="D330"/>
      <c r="E330" s="6"/>
      <c r="F330" s="6"/>
      <c r="G330"/>
      <c r="H330"/>
      <c r="I330"/>
      <c r="J330"/>
      <c r="K330"/>
      <c r="L330"/>
      <c r="M330"/>
      <c r="N330"/>
    </row>
    <row r="331" spans="1:31" x14ac:dyDescent="0.2">
      <c r="A331" s="6"/>
      <c r="B331" s="6"/>
      <c r="C331"/>
      <c r="D331"/>
      <c r="E331" s="6"/>
      <c r="F331" s="6"/>
      <c r="G331"/>
      <c r="H331"/>
      <c r="I331"/>
      <c r="J331"/>
      <c r="K331"/>
      <c r="L331"/>
      <c r="M331"/>
      <c r="N331"/>
    </row>
    <row r="332" spans="1:31" x14ac:dyDescent="0.2">
      <c r="A332" s="6"/>
      <c r="B332" s="6"/>
      <c r="C332"/>
      <c r="D332"/>
      <c r="E332" s="6"/>
      <c r="F332" s="6"/>
      <c r="G332"/>
      <c r="H332"/>
      <c r="I332"/>
      <c r="J332"/>
      <c r="K332"/>
      <c r="L332"/>
      <c r="M332"/>
      <c r="N332"/>
    </row>
    <row r="333" spans="1:31" x14ac:dyDescent="0.2">
      <c r="A333" s="6"/>
      <c r="B333" s="6"/>
      <c r="C333"/>
      <c r="D333"/>
      <c r="E333" s="6"/>
      <c r="F333" s="6"/>
      <c r="G333"/>
      <c r="H333"/>
      <c r="I333"/>
      <c r="J333"/>
      <c r="K333"/>
      <c r="L333"/>
      <c r="M333"/>
      <c r="N333"/>
    </row>
    <row r="334" spans="1:31" x14ac:dyDescent="0.2">
      <c r="A334" s="6"/>
      <c r="B334" s="6"/>
      <c r="C334"/>
      <c r="D334"/>
      <c r="E334" s="6"/>
      <c r="F334" s="6"/>
      <c r="G334"/>
      <c r="H334"/>
      <c r="I334"/>
      <c r="J334"/>
      <c r="K334"/>
      <c r="L334"/>
      <c r="M334"/>
      <c r="N334"/>
    </row>
    <row r="335" spans="1:31" x14ac:dyDescent="0.2">
      <c r="A335" s="6"/>
      <c r="B335" s="6"/>
      <c r="C335"/>
      <c r="D335"/>
      <c r="E335" s="6"/>
      <c r="F335" s="6"/>
      <c r="G335"/>
      <c r="H335"/>
      <c r="I335"/>
      <c r="J335"/>
      <c r="K335"/>
      <c r="L335"/>
      <c r="M335"/>
      <c r="N335"/>
    </row>
    <row r="336" spans="1:31" x14ac:dyDescent="0.2">
      <c r="A336" s="6"/>
      <c r="B336" s="6"/>
      <c r="C336"/>
      <c r="D336"/>
      <c r="E336" s="6"/>
      <c r="F336" s="6"/>
      <c r="G336"/>
      <c r="H336"/>
      <c r="I336"/>
      <c r="J336"/>
      <c r="K336"/>
      <c r="L336"/>
      <c r="M336"/>
      <c r="N336"/>
    </row>
    <row r="337" spans="1:14" x14ac:dyDescent="0.2">
      <c r="A337" s="6"/>
      <c r="B337" s="6"/>
      <c r="C337"/>
      <c r="D337"/>
      <c r="E337" s="6"/>
      <c r="F337" s="6"/>
      <c r="G337"/>
      <c r="H337"/>
      <c r="I337"/>
      <c r="J337"/>
      <c r="K337"/>
      <c r="L337"/>
      <c r="M337"/>
      <c r="N337"/>
    </row>
    <row r="338" spans="1:14" x14ac:dyDescent="0.2">
      <c r="A338" s="6"/>
      <c r="B338" s="6"/>
      <c r="C338"/>
      <c r="D338"/>
      <c r="E338" s="6"/>
      <c r="F338" s="6"/>
      <c r="G338"/>
      <c r="H338"/>
      <c r="I338"/>
      <c r="J338"/>
      <c r="K338"/>
      <c r="L338"/>
      <c r="M338"/>
      <c r="N338"/>
    </row>
    <row r="339" spans="1:14" x14ac:dyDescent="0.2">
      <c r="A339" s="6"/>
      <c r="B339" s="6"/>
      <c r="C339"/>
      <c r="D339"/>
      <c r="E339" s="6"/>
      <c r="F339" s="6"/>
      <c r="G339"/>
      <c r="H339"/>
      <c r="I339"/>
      <c r="J339"/>
      <c r="K339"/>
      <c r="L339"/>
      <c r="M339"/>
      <c r="N339"/>
    </row>
    <row r="340" spans="1:14" x14ac:dyDescent="0.2">
      <c r="A340" s="6"/>
      <c r="B340" s="6"/>
      <c r="C340"/>
      <c r="D340"/>
      <c r="E340" s="6"/>
      <c r="F340" s="6"/>
      <c r="G340"/>
      <c r="H340"/>
      <c r="I340"/>
      <c r="J340"/>
      <c r="K340"/>
      <c r="L340"/>
      <c r="M340"/>
      <c r="N340"/>
    </row>
    <row r="341" spans="1:14" x14ac:dyDescent="0.2">
      <c r="A341" s="6"/>
      <c r="B341" s="6"/>
      <c r="C341"/>
      <c r="D341"/>
      <c r="E341" s="6"/>
      <c r="F341" s="6"/>
      <c r="G341"/>
      <c r="H341"/>
      <c r="I341"/>
      <c r="J341"/>
      <c r="K341"/>
      <c r="L341"/>
      <c r="M341"/>
      <c r="N341"/>
    </row>
    <row r="342" spans="1:14" x14ac:dyDescent="0.2">
      <c r="A342" s="6"/>
      <c r="B342" s="6"/>
      <c r="C342"/>
      <c r="D342"/>
      <c r="E342" s="6"/>
      <c r="F342" s="6"/>
      <c r="G342"/>
      <c r="H342"/>
      <c r="I342"/>
      <c r="J342"/>
      <c r="K342"/>
      <c r="L342"/>
      <c r="M342"/>
      <c r="N342"/>
    </row>
    <row r="343" spans="1:14" x14ac:dyDescent="0.2">
      <c r="A343" s="6"/>
      <c r="B343" s="6"/>
      <c r="C343"/>
      <c r="D343"/>
      <c r="E343" s="6"/>
      <c r="F343" s="6"/>
      <c r="G343"/>
      <c r="H343"/>
      <c r="I343"/>
      <c r="J343"/>
      <c r="K343"/>
      <c r="L343"/>
      <c r="M343"/>
      <c r="N343"/>
    </row>
    <row r="344" spans="1:14" x14ac:dyDescent="0.2">
      <c r="A344" s="6"/>
      <c r="B344" s="6"/>
      <c r="C344"/>
      <c r="D344"/>
      <c r="E344" s="6"/>
      <c r="F344" s="6"/>
      <c r="G344"/>
      <c r="H344"/>
      <c r="I344"/>
      <c r="J344"/>
      <c r="K344"/>
      <c r="L344"/>
      <c r="M344"/>
      <c r="N344"/>
    </row>
    <row r="345" spans="1:14" x14ac:dyDescent="0.2">
      <c r="A345" s="6"/>
      <c r="B345" s="6"/>
      <c r="C345"/>
      <c r="D345"/>
      <c r="E345" s="6"/>
      <c r="F345" s="6"/>
      <c r="G345"/>
      <c r="H345"/>
      <c r="I345"/>
      <c r="J345"/>
      <c r="K345"/>
      <c r="L345"/>
      <c r="M345"/>
      <c r="N345"/>
    </row>
    <row r="346" spans="1:14" x14ac:dyDescent="0.2">
      <c r="A346" s="6"/>
      <c r="B346" s="6"/>
      <c r="C346"/>
      <c r="D346"/>
      <c r="E346" s="6"/>
      <c r="F346" s="6"/>
      <c r="G346"/>
      <c r="H346"/>
      <c r="I346"/>
      <c r="J346"/>
      <c r="K346"/>
      <c r="L346"/>
      <c r="M346"/>
      <c r="N346"/>
    </row>
    <row r="347" spans="1:14" x14ac:dyDescent="0.2">
      <c r="A347" s="6"/>
      <c r="B347" s="6"/>
      <c r="C347"/>
      <c r="D347"/>
      <c r="E347" s="6"/>
      <c r="F347" s="6"/>
      <c r="G347"/>
      <c r="H347"/>
      <c r="I347"/>
      <c r="J347"/>
      <c r="K347"/>
      <c r="L347"/>
      <c r="M347"/>
      <c r="N347"/>
    </row>
    <row r="348" spans="1:14" x14ac:dyDescent="0.2">
      <c r="A348" s="6"/>
      <c r="B348" s="6"/>
      <c r="C348"/>
      <c r="D348"/>
      <c r="E348" s="6"/>
      <c r="F348" s="6"/>
      <c r="G348"/>
      <c r="H348"/>
      <c r="I348"/>
      <c r="J348"/>
      <c r="K348"/>
      <c r="L348"/>
      <c r="M348"/>
      <c r="N348"/>
    </row>
    <row r="349" spans="1:14" x14ac:dyDescent="0.2">
      <c r="A349" s="6"/>
      <c r="B349" s="6"/>
      <c r="C349"/>
      <c r="D349"/>
      <c r="E349" s="6"/>
      <c r="F349" s="6"/>
      <c r="G349"/>
      <c r="H349"/>
      <c r="I349"/>
      <c r="J349"/>
      <c r="K349"/>
      <c r="L349"/>
      <c r="M349"/>
      <c r="N349"/>
    </row>
    <row r="350" spans="1:14" x14ac:dyDescent="0.2">
      <c r="A350" s="6"/>
      <c r="B350" s="6"/>
      <c r="C350"/>
      <c r="D350"/>
      <c r="E350" s="6"/>
      <c r="F350" s="6"/>
      <c r="G350"/>
      <c r="H350"/>
      <c r="I350"/>
      <c r="J350"/>
      <c r="K350"/>
      <c r="L350"/>
      <c r="M350"/>
      <c r="N350"/>
    </row>
    <row r="351" spans="1:14" x14ac:dyDescent="0.2">
      <c r="A351" s="6"/>
      <c r="B351" s="6"/>
      <c r="C351"/>
      <c r="D351"/>
      <c r="E351" s="6"/>
      <c r="F351" s="6"/>
      <c r="G351"/>
      <c r="H351"/>
      <c r="I351"/>
      <c r="J351"/>
      <c r="K351"/>
      <c r="L351"/>
      <c r="M351"/>
      <c r="N351"/>
    </row>
    <row r="352" spans="1:14" x14ac:dyDescent="0.2">
      <c r="A352" s="6"/>
      <c r="B352" s="6"/>
      <c r="C352"/>
      <c r="D352"/>
      <c r="E352" s="6"/>
      <c r="F352" s="6"/>
      <c r="G352"/>
      <c r="H352"/>
      <c r="I352"/>
      <c r="J352"/>
      <c r="K352"/>
      <c r="L352"/>
      <c r="M352"/>
      <c r="N352"/>
    </row>
    <row r="353" spans="1:14" x14ac:dyDescent="0.2">
      <c r="A353" s="6"/>
      <c r="B353" s="6"/>
      <c r="C353"/>
      <c r="D353"/>
      <c r="E353" s="6"/>
      <c r="F353" s="6"/>
      <c r="G353"/>
      <c r="H353"/>
      <c r="I353"/>
      <c r="J353"/>
      <c r="K353"/>
      <c r="L353"/>
      <c r="M353"/>
      <c r="N353"/>
    </row>
    <row r="354" spans="1:14" x14ac:dyDescent="0.2">
      <c r="A354" s="6"/>
      <c r="B354" s="6"/>
      <c r="C354"/>
      <c r="D354"/>
      <c r="E354" s="6"/>
      <c r="F354" s="6"/>
      <c r="G354"/>
      <c r="H354"/>
      <c r="I354"/>
      <c r="J354"/>
      <c r="K354"/>
      <c r="L354"/>
      <c r="M354"/>
      <c r="N354"/>
    </row>
    <row r="355" spans="1:14" x14ac:dyDescent="0.2">
      <c r="A355" s="6"/>
      <c r="B355" s="6"/>
      <c r="C355"/>
      <c r="D355"/>
      <c r="E355" s="6"/>
      <c r="F355" s="6"/>
      <c r="G355"/>
      <c r="H355"/>
      <c r="I355"/>
      <c r="J355"/>
      <c r="K355"/>
      <c r="L355"/>
      <c r="M355"/>
      <c r="N355"/>
    </row>
    <row r="356" spans="1:14" x14ac:dyDescent="0.2">
      <c r="A356" s="6"/>
      <c r="B356" s="6"/>
      <c r="C356"/>
      <c r="D356"/>
      <c r="E356" s="6"/>
      <c r="F356" s="6"/>
      <c r="G356"/>
      <c r="H356"/>
      <c r="I356"/>
      <c r="J356"/>
      <c r="K356"/>
      <c r="L356"/>
      <c r="M356"/>
      <c r="N356"/>
    </row>
    <row r="357" spans="1:14" x14ac:dyDescent="0.2">
      <c r="A357" s="6"/>
      <c r="B357" s="6"/>
      <c r="C357"/>
      <c r="D357"/>
      <c r="E357" s="6"/>
      <c r="F357" s="6"/>
      <c r="G357"/>
      <c r="H357"/>
      <c r="I357"/>
      <c r="J357"/>
      <c r="K357"/>
      <c r="L357"/>
      <c r="M357"/>
      <c r="N357"/>
    </row>
    <row r="358" spans="1:14" x14ac:dyDescent="0.2">
      <c r="A358" s="6"/>
      <c r="B358" s="6"/>
      <c r="C358"/>
      <c r="D358"/>
      <c r="E358" s="6"/>
      <c r="F358" s="6"/>
      <c r="G358"/>
      <c r="H358"/>
      <c r="I358"/>
      <c r="J358"/>
      <c r="K358"/>
      <c r="L358"/>
      <c r="M358"/>
      <c r="N358"/>
    </row>
    <row r="359" spans="1:14" x14ac:dyDescent="0.2">
      <c r="A359" s="6"/>
      <c r="B359" s="6"/>
      <c r="C359"/>
      <c r="D359"/>
      <c r="E359" s="6"/>
      <c r="F359" s="6"/>
      <c r="G359"/>
      <c r="H359"/>
      <c r="I359"/>
      <c r="J359"/>
      <c r="K359"/>
      <c r="L359"/>
      <c r="M359"/>
      <c r="N359"/>
    </row>
    <row r="360" spans="1:14" x14ac:dyDescent="0.2">
      <c r="A360" s="6"/>
      <c r="B360" s="6"/>
      <c r="C360"/>
      <c r="D360"/>
      <c r="E360" s="6"/>
      <c r="F360" s="6"/>
      <c r="G360"/>
      <c r="H360"/>
      <c r="I360"/>
      <c r="J360"/>
      <c r="K360"/>
      <c r="L360"/>
      <c r="M360"/>
      <c r="N360"/>
    </row>
    <row r="361" spans="1:14" x14ac:dyDescent="0.2">
      <c r="A361" s="6"/>
      <c r="B361" s="6"/>
      <c r="C361"/>
      <c r="D361"/>
      <c r="E361" s="6"/>
      <c r="F361" s="6"/>
      <c r="G361"/>
      <c r="H361"/>
      <c r="I361"/>
      <c r="J361"/>
      <c r="K361"/>
      <c r="L361"/>
      <c r="M361"/>
      <c r="N361"/>
    </row>
    <row r="362" spans="1:14" x14ac:dyDescent="0.2">
      <c r="A362" s="6"/>
      <c r="B362" s="6"/>
      <c r="C362"/>
      <c r="D362"/>
      <c r="E362" s="6"/>
      <c r="F362" s="6"/>
      <c r="G362"/>
      <c r="H362"/>
      <c r="I362"/>
      <c r="J362"/>
      <c r="K362"/>
      <c r="L362"/>
      <c r="M362"/>
      <c r="N362"/>
    </row>
    <row r="363" spans="1:14" x14ac:dyDescent="0.2">
      <c r="A363" s="6"/>
      <c r="B363" s="6"/>
      <c r="C363"/>
      <c r="D363"/>
      <c r="E363" s="6"/>
      <c r="F363" s="6"/>
      <c r="G363"/>
      <c r="H363"/>
      <c r="I363"/>
      <c r="J363"/>
      <c r="K363"/>
      <c r="L363"/>
      <c r="M363"/>
      <c r="N363"/>
    </row>
    <row r="364" spans="1:14" x14ac:dyDescent="0.2">
      <c r="A364" s="6"/>
      <c r="B364" s="6"/>
      <c r="C364"/>
      <c r="D364"/>
      <c r="E364" s="6"/>
      <c r="F364" s="6"/>
      <c r="G364"/>
      <c r="H364"/>
      <c r="I364"/>
      <c r="J364"/>
      <c r="K364"/>
      <c r="L364"/>
      <c r="M364"/>
      <c r="N364"/>
    </row>
    <row r="365" spans="1:14" x14ac:dyDescent="0.2">
      <c r="A365" s="6"/>
      <c r="B365" s="6"/>
      <c r="C365"/>
      <c r="D365"/>
      <c r="E365" s="6"/>
      <c r="F365" s="6"/>
      <c r="G365"/>
      <c r="H365"/>
      <c r="I365"/>
      <c r="J365"/>
      <c r="K365"/>
      <c r="L365"/>
      <c r="M365"/>
      <c r="N365"/>
    </row>
    <row r="366" spans="1:14" x14ac:dyDescent="0.2">
      <c r="A366" s="6"/>
      <c r="B366" s="6"/>
      <c r="C366"/>
      <c r="D366"/>
      <c r="E366" s="6"/>
      <c r="F366" s="6"/>
      <c r="G366"/>
      <c r="H366"/>
      <c r="I366"/>
      <c r="J366"/>
      <c r="K366"/>
      <c r="L366"/>
      <c r="M366"/>
      <c r="N366"/>
    </row>
    <row r="367" spans="1:14" x14ac:dyDescent="0.2">
      <c r="A367" s="6"/>
      <c r="B367" s="6"/>
      <c r="C367"/>
      <c r="D367"/>
      <c r="E367" s="6"/>
      <c r="F367" s="6"/>
      <c r="G367"/>
      <c r="H367"/>
      <c r="I367"/>
      <c r="J367"/>
      <c r="K367"/>
      <c r="L367"/>
      <c r="M367"/>
      <c r="N367"/>
    </row>
    <row r="368" spans="1:14" x14ac:dyDescent="0.2">
      <c r="A368" s="6"/>
      <c r="B368" s="6"/>
      <c r="C368"/>
      <c r="D368"/>
      <c r="E368" s="6"/>
      <c r="F368" s="6"/>
      <c r="G368"/>
      <c r="H368"/>
      <c r="I368"/>
      <c r="J368"/>
      <c r="K368"/>
      <c r="L368"/>
      <c r="M368"/>
      <c r="N368"/>
    </row>
    <row r="369" spans="1:14" x14ac:dyDescent="0.2">
      <c r="A369" s="6"/>
      <c r="B369" s="6"/>
      <c r="C369"/>
      <c r="D369"/>
      <c r="E369" s="6"/>
      <c r="F369" s="6"/>
      <c r="G369"/>
      <c r="H369"/>
      <c r="I369"/>
      <c r="J369"/>
      <c r="K369"/>
      <c r="L369"/>
      <c r="M369"/>
      <c r="N369"/>
    </row>
    <row r="370" spans="1:14" x14ac:dyDescent="0.2">
      <c r="A370" s="6"/>
      <c r="B370" s="6"/>
      <c r="C370"/>
      <c r="D370"/>
      <c r="E370" s="6"/>
      <c r="F370" s="6"/>
      <c r="G370"/>
      <c r="H370"/>
      <c r="I370"/>
      <c r="J370"/>
      <c r="K370"/>
      <c r="L370"/>
      <c r="M370"/>
      <c r="N370"/>
    </row>
    <row r="371" spans="1:14" x14ac:dyDescent="0.2">
      <c r="A371" s="6"/>
      <c r="B371" s="6"/>
      <c r="C371"/>
      <c r="D371"/>
      <c r="E371" s="6"/>
      <c r="F371" s="6"/>
      <c r="G371"/>
      <c r="H371"/>
      <c r="I371"/>
      <c r="J371"/>
      <c r="K371"/>
      <c r="L371"/>
      <c r="M371"/>
      <c r="N371"/>
    </row>
    <row r="372" spans="1:14" x14ac:dyDescent="0.2">
      <c r="A372" s="6"/>
      <c r="B372" s="6"/>
      <c r="C372"/>
      <c r="D372"/>
      <c r="E372" s="6"/>
      <c r="F372" s="6"/>
      <c r="G372"/>
      <c r="H372"/>
      <c r="I372"/>
      <c r="J372"/>
      <c r="K372"/>
      <c r="L372"/>
      <c r="M372"/>
      <c r="N372"/>
    </row>
    <row r="373" spans="1:14" x14ac:dyDescent="0.2">
      <c r="A373" s="6"/>
      <c r="B373" s="6"/>
      <c r="C373"/>
      <c r="D373"/>
      <c r="E373" s="6"/>
      <c r="F373" s="6"/>
      <c r="G373"/>
      <c r="H373"/>
      <c r="I373"/>
      <c r="J373"/>
      <c r="K373"/>
      <c r="L373"/>
      <c r="M373"/>
      <c r="N373"/>
    </row>
    <row r="374" spans="1:14" x14ac:dyDescent="0.2">
      <c r="A374" s="6"/>
      <c r="B374" s="6"/>
      <c r="C374"/>
      <c r="D374"/>
      <c r="E374" s="6"/>
      <c r="F374" s="6"/>
      <c r="G374"/>
      <c r="H374"/>
      <c r="I374"/>
      <c r="J374"/>
      <c r="K374"/>
      <c r="L374"/>
      <c r="M374"/>
      <c r="N374"/>
    </row>
    <row r="375" spans="1:14" x14ac:dyDescent="0.2">
      <c r="A375" s="6"/>
      <c r="B375" s="6"/>
      <c r="C375"/>
      <c r="D375"/>
      <c r="E375" s="6"/>
      <c r="F375" s="6"/>
      <c r="G375"/>
      <c r="H375"/>
      <c r="I375"/>
      <c r="J375"/>
      <c r="K375"/>
      <c r="L375"/>
      <c r="M375"/>
      <c r="N375"/>
    </row>
    <row r="376" spans="1:14" x14ac:dyDescent="0.2">
      <c r="A376" s="6"/>
      <c r="B376" s="6"/>
      <c r="C376"/>
      <c r="D376"/>
      <c r="E376" s="6"/>
      <c r="F376" s="6"/>
      <c r="G376"/>
      <c r="H376"/>
      <c r="I376"/>
      <c r="J376"/>
      <c r="K376"/>
      <c r="L376"/>
      <c r="M376"/>
      <c r="N376"/>
    </row>
    <row r="377" spans="1:14" x14ac:dyDescent="0.2">
      <c r="A377" s="6"/>
      <c r="B377" s="6"/>
      <c r="C377"/>
      <c r="D377"/>
      <c r="E377" s="6"/>
      <c r="F377" s="6"/>
      <c r="G377"/>
      <c r="H377"/>
      <c r="I377"/>
      <c r="J377"/>
      <c r="K377"/>
      <c r="L377"/>
      <c r="M377"/>
      <c r="N377"/>
    </row>
    <row r="378" spans="1:14" x14ac:dyDescent="0.2">
      <c r="A378" s="6"/>
      <c r="B378" s="6"/>
      <c r="C378"/>
      <c r="D378"/>
      <c r="E378" s="6"/>
      <c r="F378" s="6"/>
      <c r="G378"/>
      <c r="H378"/>
      <c r="I378"/>
      <c r="J378"/>
      <c r="K378"/>
      <c r="L378"/>
      <c r="M378"/>
      <c r="N378"/>
    </row>
    <row r="379" spans="1:14" x14ac:dyDescent="0.2">
      <c r="A379" s="6"/>
      <c r="B379" s="6"/>
      <c r="C379"/>
      <c r="D379"/>
      <c r="E379" s="6"/>
      <c r="F379" s="6"/>
      <c r="G379"/>
      <c r="H379"/>
      <c r="I379"/>
      <c r="J379"/>
      <c r="K379"/>
      <c r="L379"/>
      <c r="M379"/>
      <c r="N379"/>
    </row>
    <row r="380" spans="1:14" x14ac:dyDescent="0.2">
      <c r="A380" s="6"/>
      <c r="B380" s="6"/>
      <c r="C380"/>
      <c r="D380"/>
      <c r="E380" s="6"/>
      <c r="F380" s="6"/>
      <c r="G380"/>
      <c r="H380"/>
      <c r="I380"/>
      <c r="J380"/>
      <c r="K380"/>
      <c r="L380"/>
      <c r="M380"/>
      <c r="N380"/>
    </row>
    <row r="381" spans="1:14" x14ac:dyDescent="0.2">
      <c r="A381" s="6"/>
      <c r="B381" s="6"/>
      <c r="C381"/>
      <c r="D381"/>
      <c r="E381" s="6"/>
      <c r="F381" s="6"/>
      <c r="G381"/>
      <c r="H381"/>
      <c r="I381"/>
      <c r="J381"/>
      <c r="K381"/>
      <c r="L381"/>
      <c r="M381"/>
      <c r="N381"/>
    </row>
    <row r="382" spans="1:14" x14ac:dyDescent="0.2">
      <c r="A382" s="6"/>
      <c r="B382" s="6"/>
      <c r="C382"/>
      <c r="D382"/>
      <c r="E382" s="6"/>
      <c r="F382" s="6"/>
      <c r="G382"/>
      <c r="H382"/>
      <c r="I382"/>
      <c r="J382"/>
      <c r="K382"/>
      <c r="L382"/>
      <c r="M382"/>
      <c r="N382"/>
    </row>
    <row r="383" spans="1:14" x14ac:dyDescent="0.2">
      <c r="A383" s="6"/>
      <c r="B383" s="6"/>
      <c r="C383"/>
      <c r="D383"/>
      <c r="E383" s="6"/>
      <c r="F383" s="6"/>
      <c r="G383"/>
      <c r="H383"/>
      <c r="I383"/>
      <c r="J383"/>
      <c r="K383"/>
      <c r="L383"/>
      <c r="M383"/>
      <c r="N383"/>
    </row>
    <row r="384" spans="1:14" x14ac:dyDescent="0.2">
      <c r="A384" s="6"/>
      <c r="B384" s="6"/>
      <c r="C384"/>
      <c r="D384"/>
      <c r="E384" s="6"/>
      <c r="F384" s="6"/>
      <c r="G384"/>
      <c r="H384"/>
      <c r="I384"/>
      <c r="J384"/>
      <c r="K384"/>
      <c r="L384"/>
      <c r="M384"/>
      <c r="N384"/>
    </row>
    <row r="385" spans="1:14" x14ac:dyDescent="0.2">
      <c r="A385" s="6"/>
      <c r="B385" s="6"/>
      <c r="C385"/>
      <c r="D385"/>
      <c r="E385" s="6"/>
      <c r="F385" s="6"/>
      <c r="G385"/>
      <c r="H385"/>
      <c r="I385"/>
      <c r="J385"/>
      <c r="K385"/>
      <c r="L385"/>
      <c r="M385"/>
      <c r="N385"/>
    </row>
    <row r="386" spans="1:14" x14ac:dyDescent="0.2">
      <c r="A386" s="6"/>
      <c r="B386" s="6"/>
      <c r="C386"/>
      <c r="D386"/>
      <c r="E386" s="6"/>
      <c r="F386" s="6"/>
      <c r="G386"/>
      <c r="H386"/>
      <c r="I386"/>
      <c r="J386"/>
      <c r="K386"/>
      <c r="L386"/>
      <c r="M386"/>
      <c r="N386"/>
    </row>
    <row r="387" spans="1:14" x14ac:dyDescent="0.2">
      <c r="A387" s="6"/>
      <c r="B387" s="6"/>
      <c r="C387"/>
      <c r="D387"/>
      <c r="E387" s="6"/>
      <c r="F387" s="6"/>
      <c r="G387"/>
      <c r="H387"/>
      <c r="I387"/>
      <c r="J387"/>
      <c r="K387"/>
      <c r="L387"/>
      <c r="M387"/>
      <c r="N387"/>
    </row>
    <row r="388" spans="1:14" x14ac:dyDescent="0.2">
      <c r="A388" s="6"/>
      <c r="B388" s="6"/>
      <c r="C388"/>
      <c r="D388"/>
      <c r="E388" s="6"/>
      <c r="F388" s="6"/>
      <c r="G388"/>
      <c r="H388"/>
      <c r="I388"/>
      <c r="J388"/>
      <c r="K388"/>
      <c r="L388"/>
      <c r="M388"/>
      <c r="N388"/>
    </row>
    <row r="389" spans="1:14" x14ac:dyDescent="0.2">
      <c r="A389" s="6"/>
      <c r="B389" s="6"/>
      <c r="C389"/>
      <c r="D389"/>
      <c r="E389" s="6"/>
      <c r="F389" s="6"/>
      <c r="G389"/>
      <c r="H389"/>
      <c r="I389"/>
      <c r="J389"/>
      <c r="K389"/>
      <c r="L389"/>
      <c r="M389"/>
      <c r="N389"/>
    </row>
    <row r="390" spans="1:14" x14ac:dyDescent="0.2">
      <c r="A390" s="6"/>
      <c r="B390" s="6"/>
      <c r="C390"/>
      <c r="D390"/>
      <c r="E390" s="6"/>
      <c r="F390" s="6"/>
      <c r="G390"/>
      <c r="H390"/>
      <c r="I390"/>
      <c r="J390"/>
      <c r="K390"/>
      <c r="L390"/>
      <c r="M390"/>
      <c r="N390"/>
    </row>
    <row r="391" spans="1:14" x14ac:dyDescent="0.2">
      <c r="A391" s="6"/>
      <c r="B391" s="6"/>
      <c r="C391"/>
      <c r="D391"/>
      <c r="E391" s="6"/>
      <c r="F391" s="6"/>
      <c r="G391"/>
      <c r="H391"/>
      <c r="I391"/>
      <c r="J391"/>
      <c r="K391"/>
      <c r="L391"/>
      <c r="M391"/>
      <c r="N391"/>
    </row>
    <row r="392" spans="1:14" x14ac:dyDescent="0.2">
      <c r="A392" s="6"/>
      <c r="B392" s="6"/>
      <c r="C392"/>
      <c r="D392"/>
      <c r="E392" s="6"/>
      <c r="F392" s="6"/>
      <c r="G392"/>
      <c r="H392"/>
      <c r="I392"/>
      <c r="J392"/>
      <c r="K392"/>
      <c r="L392"/>
      <c r="M392"/>
      <c r="N392"/>
    </row>
    <row r="393" spans="1:14" x14ac:dyDescent="0.2">
      <c r="A393" s="6"/>
      <c r="B393" s="6"/>
      <c r="C393"/>
      <c r="D393"/>
      <c r="E393" s="6"/>
      <c r="F393" s="6"/>
      <c r="G393"/>
      <c r="H393"/>
      <c r="I393"/>
      <c r="J393"/>
      <c r="K393"/>
      <c r="L393"/>
      <c r="M393"/>
      <c r="N393"/>
    </row>
    <row r="394" spans="1:14" x14ac:dyDescent="0.2">
      <c r="A394" s="6"/>
      <c r="B394" s="6"/>
      <c r="C394"/>
      <c r="D394"/>
      <c r="E394" s="6"/>
      <c r="F394" s="6"/>
      <c r="G394"/>
      <c r="H394"/>
      <c r="I394"/>
      <c r="J394"/>
      <c r="K394"/>
      <c r="L394"/>
      <c r="M394"/>
      <c r="N394"/>
    </row>
    <row r="395" spans="1:14" x14ac:dyDescent="0.2">
      <c r="A395" s="6"/>
      <c r="B395" s="6"/>
      <c r="C395"/>
      <c r="D395"/>
      <c r="E395" s="6"/>
      <c r="F395" s="6"/>
      <c r="G395"/>
      <c r="H395"/>
      <c r="I395"/>
      <c r="J395"/>
      <c r="K395"/>
      <c r="L395"/>
      <c r="M395"/>
      <c r="N395"/>
    </row>
    <row r="396" spans="1:14" x14ac:dyDescent="0.2">
      <c r="A396" s="6"/>
      <c r="B396" s="6"/>
      <c r="C396"/>
      <c r="D396"/>
      <c r="E396" s="6"/>
      <c r="F396" s="6"/>
      <c r="G396"/>
      <c r="H396"/>
      <c r="I396"/>
      <c r="J396"/>
      <c r="K396"/>
      <c r="L396"/>
      <c r="M396"/>
      <c r="N396"/>
    </row>
    <row r="397" spans="1:14" x14ac:dyDescent="0.2">
      <c r="A397" s="6"/>
      <c r="B397" s="6"/>
      <c r="C397"/>
      <c r="D397"/>
      <c r="E397" s="6"/>
      <c r="F397" s="6"/>
      <c r="G397"/>
      <c r="H397"/>
      <c r="I397"/>
      <c r="J397"/>
      <c r="K397"/>
      <c r="L397"/>
      <c r="M397"/>
      <c r="N397"/>
    </row>
    <row r="398" spans="1:14" x14ac:dyDescent="0.2">
      <c r="A398" s="6"/>
      <c r="B398" s="6"/>
      <c r="C398"/>
      <c r="D398"/>
      <c r="E398" s="6"/>
      <c r="F398" s="6"/>
      <c r="G398"/>
      <c r="H398"/>
      <c r="I398"/>
      <c r="J398"/>
      <c r="K398"/>
      <c r="L398"/>
      <c r="M398"/>
      <c r="N398"/>
    </row>
    <row r="399" spans="1:14" x14ac:dyDescent="0.2">
      <c r="A399" s="6"/>
      <c r="B399" s="6"/>
      <c r="C399"/>
      <c r="D399"/>
      <c r="E399" s="6"/>
      <c r="F399" s="6"/>
      <c r="G399"/>
      <c r="H399"/>
      <c r="I399"/>
      <c r="J399"/>
      <c r="K399"/>
      <c r="L399"/>
      <c r="M399"/>
      <c r="N399"/>
    </row>
    <row r="400" spans="1:14" x14ac:dyDescent="0.2">
      <c r="A400" s="6"/>
      <c r="B400" s="6"/>
      <c r="C400"/>
      <c r="D400"/>
      <c r="E400" s="6"/>
      <c r="F400" s="6"/>
      <c r="G400"/>
      <c r="H400"/>
      <c r="I400"/>
      <c r="J400"/>
      <c r="K400"/>
      <c r="L400"/>
      <c r="M400"/>
      <c r="N400"/>
    </row>
    <row r="401" spans="1:14" x14ac:dyDescent="0.2">
      <c r="A401" s="6"/>
      <c r="B401" s="6"/>
      <c r="C401"/>
      <c r="D401"/>
      <c r="E401" s="6"/>
      <c r="F401" s="6"/>
      <c r="G401"/>
      <c r="H401"/>
      <c r="I401"/>
      <c r="J401"/>
      <c r="K401"/>
      <c r="L401"/>
      <c r="M401"/>
      <c r="N401"/>
    </row>
    <row r="402" spans="1:14" x14ac:dyDescent="0.2">
      <c r="A402" s="6"/>
      <c r="B402" s="6"/>
      <c r="C402"/>
      <c r="D402"/>
      <c r="E402" s="6"/>
      <c r="F402" s="6"/>
      <c r="G402"/>
      <c r="H402"/>
      <c r="I402"/>
      <c r="J402"/>
      <c r="K402"/>
      <c r="L402"/>
      <c r="M402"/>
      <c r="N402"/>
    </row>
    <row r="403" spans="1:14" x14ac:dyDescent="0.2">
      <c r="A403" s="6"/>
      <c r="B403" s="6"/>
      <c r="C403"/>
      <c r="D403"/>
      <c r="E403" s="6"/>
      <c r="F403" s="6"/>
      <c r="G403"/>
      <c r="H403"/>
      <c r="I403"/>
      <c r="J403"/>
      <c r="K403"/>
      <c r="L403"/>
      <c r="M403"/>
      <c r="N403"/>
    </row>
    <row r="404" spans="1:14" x14ac:dyDescent="0.2">
      <c r="A404" s="6"/>
      <c r="B404" s="6"/>
      <c r="C404"/>
      <c r="D404"/>
      <c r="E404" s="6"/>
      <c r="F404" s="6"/>
      <c r="G404"/>
      <c r="H404"/>
      <c r="I404"/>
      <c r="J404"/>
      <c r="K404"/>
      <c r="L404"/>
      <c r="M404"/>
      <c r="N404"/>
    </row>
    <row r="405" spans="1:14" x14ac:dyDescent="0.2">
      <c r="A405" s="6"/>
      <c r="B405" s="6"/>
      <c r="C405"/>
      <c r="D405"/>
      <c r="E405" s="6"/>
      <c r="F405" s="6"/>
      <c r="G405"/>
      <c r="H405"/>
      <c r="I405"/>
      <c r="J405"/>
      <c r="K405"/>
      <c r="L405"/>
      <c r="M405"/>
      <c r="N405"/>
    </row>
    <row r="406" spans="1:14" x14ac:dyDescent="0.2">
      <c r="A406" s="6"/>
      <c r="B406" s="6"/>
      <c r="C406"/>
      <c r="D406"/>
      <c r="E406" s="6"/>
      <c r="F406" s="6"/>
      <c r="G406"/>
      <c r="H406"/>
      <c r="I406"/>
      <c r="J406"/>
      <c r="K406"/>
      <c r="L406"/>
      <c r="M406"/>
      <c r="N406"/>
    </row>
    <row r="407" spans="1:14" x14ac:dyDescent="0.2">
      <c r="A407" s="6"/>
      <c r="B407" s="6"/>
      <c r="C407"/>
      <c r="D407"/>
      <c r="E407" s="6"/>
      <c r="F407" s="6"/>
      <c r="G407"/>
      <c r="H407"/>
      <c r="I407"/>
      <c r="J407"/>
      <c r="K407"/>
      <c r="L407"/>
      <c r="M407"/>
      <c r="N407"/>
    </row>
    <row r="408" spans="1:14" x14ac:dyDescent="0.2">
      <c r="A408" s="6"/>
      <c r="B408" s="6"/>
      <c r="C408"/>
      <c r="D408"/>
      <c r="E408" s="6"/>
      <c r="F408" s="6"/>
      <c r="G408"/>
      <c r="H408"/>
      <c r="I408"/>
      <c r="J408"/>
      <c r="K408"/>
      <c r="L408"/>
      <c r="M408"/>
      <c r="N408"/>
    </row>
    <row r="409" spans="1:14" x14ac:dyDescent="0.2">
      <c r="A409" s="6"/>
      <c r="B409" s="6"/>
      <c r="C409"/>
      <c r="D409"/>
      <c r="E409" s="6"/>
      <c r="F409" s="6"/>
      <c r="G409"/>
      <c r="H409"/>
      <c r="I409"/>
      <c r="J409"/>
      <c r="K409"/>
      <c r="L409"/>
      <c r="M409"/>
      <c r="N409"/>
    </row>
    <row r="410" spans="1:14" x14ac:dyDescent="0.2">
      <c r="A410" s="6"/>
      <c r="B410" s="6"/>
      <c r="C410"/>
      <c r="D410"/>
      <c r="E410" s="6"/>
      <c r="F410" s="6"/>
      <c r="G410"/>
      <c r="H410"/>
      <c r="I410"/>
      <c r="J410"/>
      <c r="K410"/>
      <c r="L410"/>
      <c r="M410"/>
      <c r="N410"/>
    </row>
    <row r="411" spans="1:14" x14ac:dyDescent="0.2">
      <c r="A411" s="6"/>
      <c r="B411" s="6"/>
      <c r="C411"/>
      <c r="D411"/>
      <c r="E411" s="6"/>
      <c r="F411" s="6"/>
      <c r="G411"/>
      <c r="H411"/>
      <c r="I411"/>
      <c r="J411"/>
      <c r="K411"/>
      <c r="L411"/>
      <c r="M411"/>
      <c r="N411"/>
    </row>
    <row r="412" spans="1:14" x14ac:dyDescent="0.2">
      <c r="A412" s="6"/>
      <c r="B412" s="6"/>
      <c r="C412"/>
      <c r="D412"/>
      <c r="E412" s="6"/>
      <c r="F412" s="6"/>
      <c r="G412"/>
      <c r="H412"/>
      <c r="I412"/>
      <c r="J412"/>
      <c r="K412"/>
      <c r="L412"/>
      <c r="M412"/>
      <c r="N412"/>
    </row>
    <row r="413" spans="1:14" x14ac:dyDescent="0.2">
      <c r="A413" s="6"/>
      <c r="B413" s="6"/>
      <c r="C413"/>
      <c r="D413"/>
      <c r="E413" s="6"/>
      <c r="F413" s="6"/>
      <c r="G413"/>
      <c r="H413"/>
      <c r="I413"/>
      <c r="J413"/>
      <c r="K413"/>
      <c r="L413"/>
      <c r="M413"/>
      <c r="N413"/>
    </row>
    <row r="414" spans="1:14" x14ac:dyDescent="0.2">
      <c r="A414" s="6"/>
      <c r="B414" s="6"/>
      <c r="C414"/>
      <c r="D414"/>
      <c r="E414" s="6"/>
      <c r="F414" s="6"/>
      <c r="G414"/>
      <c r="H414"/>
      <c r="I414"/>
      <c r="J414"/>
      <c r="K414"/>
      <c r="L414"/>
      <c r="M414"/>
      <c r="N414"/>
    </row>
    <row r="415" spans="1:14" x14ac:dyDescent="0.2">
      <c r="A415" s="6"/>
      <c r="B415" s="6"/>
      <c r="C415"/>
      <c r="D415"/>
      <c r="E415" s="6"/>
      <c r="F415" s="6"/>
      <c r="G415"/>
      <c r="H415"/>
      <c r="I415"/>
      <c r="J415"/>
      <c r="K415"/>
      <c r="L415"/>
      <c r="M415"/>
      <c r="N415"/>
    </row>
    <row r="416" spans="1:14" x14ac:dyDescent="0.2">
      <c r="A416" s="6"/>
      <c r="B416" s="6"/>
      <c r="C416"/>
      <c r="D416"/>
      <c r="E416" s="6"/>
      <c r="F416" s="6"/>
      <c r="G416"/>
      <c r="H416"/>
      <c r="I416"/>
      <c r="J416"/>
      <c r="K416"/>
      <c r="L416"/>
      <c r="M416"/>
      <c r="N416"/>
    </row>
    <row r="417" spans="1:14" x14ac:dyDescent="0.2">
      <c r="A417" s="6"/>
      <c r="B417" s="6"/>
      <c r="C417"/>
      <c r="D417"/>
      <c r="E417" s="6"/>
      <c r="F417" s="6"/>
      <c r="G417"/>
      <c r="H417"/>
      <c r="I417"/>
      <c r="J417"/>
      <c r="K417"/>
      <c r="L417"/>
      <c r="M417"/>
      <c r="N417"/>
    </row>
    <row r="418" spans="1:14" x14ac:dyDescent="0.2">
      <c r="A418" s="6"/>
      <c r="B418" s="6"/>
      <c r="C418"/>
      <c r="D418"/>
      <c r="E418" s="6"/>
      <c r="F418" s="6"/>
      <c r="G418"/>
      <c r="H418"/>
      <c r="I418"/>
      <c r="J418"/>
      <c r="K418"/>
      <c r="L418"/>
      <c r="M418"/>
      <c r="N418"/>
    </row>
    <row r="419" spans="1:14" x14ac:dyDescent="0.2">
      <c r="A419" s="6"/>
      <c r="B419" s="6"/>
      <c r="C419"/>
      <c r="D419"/>
      <c r="E419" s="6"/>
      <c r="F419" s="6"/>
      <c r="G419"/>
      <c r="H419"/>
      <c r="I419"/>
      <c r="J419"/>
      <c r="K419"/>
      <c r="L419"/>
      <c r="M419"/>
      <c r="N419"/>
    </row>
    <row r="420" spans="1:14" x14ac:dyDescent="0.2">
      <c r="A420" s="6"/>
      <c r="B420" s="6"/>
      <c r="C420"/>
      <c r="D420"/>
      <c r="E420" s="6"/>
      <c r="F420" s="6"/>
      <c r="G420"/>
      <c r="H420"/>
      <c r="I420"/>
      <c r="J420"/>
      <c r="K420"/>
      <c r="L420"/>
      <c r="M420"/>
      <c r="N420"/>
    </row>
    <row r="421" spans="1:14" x14ac:dyDescent="0.2">
      <c r="A421" s="6"/>
      <c r="B421" s="6"/>
      <c r="C421"/>
      <c r="D421"/>
      <c r="E421" s="6"/>
      <c r="F421" s="6"/>
      <c r="G421"/>
      <c r="H421"/>
      <c r="I421"/>
      <c r="J421"/>
      <c r="K421"/>
      <c r="L421"/>
      <c r="M421"/>
      <c r="N421"/>
    </row>
    <row r="422" spans="1:14" x14ac:dyDescent="0.2">
      <c r="A422" s="6"/>
      <c r="B422" s="6"/>
      <c r="C422"/>
      <c r="D422"/>
      <c r="E422" s="6"/>
      <c r="F422" s="6"/>
      <c r="G422"/>
      <c r="H422"/>
      <c r="I422"/>
      <c r="J422"/>
      <c r="K422"/>
      <c r="L422"/>
      <c r="M422"/>
      <c r="N422"/>
    </row>
    <row r="423" spans="1:14" x14ac:dyDescent="0.2">
      <c r="A423" s="6"/>
      <c r="B423" s="6"/>
      <c r="C423"/>
      <c r="D423"/>
      <c r="E423" s="6"/>
      <c r="F423" s="6"/>
      <c r="G423"/>
      <c r="H423"/>
      <c r="I423"/>
      <c r="J423"/>
      <c r="K423"/>
      <c r="L423"/>
      <c r="M423"/>
      <c r="N423"/>
    </row>
    <row r="424" spans="1:14" x14ac:dyDescent="0.2">
      <c r="A424" s="6"/>
      <c r="B424" s="6"/>
      <c r="C424"/>
      <c r="D424"/>
      <c r="E424" s="6"/>
      <c r="F424" s="6"/>
      <c r="G424"/>
      <c r="H424"/>
      <c r="I424"/>
      <c r="J424"/>
      <c r="K424"/>
      <c r="L424"/>
      <c r="M424"/>
      <c r="N424"/>
    </row>
    <row r="425" spans="1:14" x14ac:dyDescent="0.2">
      <c r="A425" s="6"/>
      <c r="B425" s="6"/>
      <c r="C425"/>
      <c r="D425"/>
      <c r="E425" s="6"/>
      <c r="F425" s="6"/>
      <c r="G425"/>
      <c r="H425"/>
      <c r="I425"/>
      <c r="J425"/>
      <c r="K425"/>
      <c r="L425"/>
      <c r="M425"/>
      <c r="N425"/>
    </row>
    <row r="426" spans="1:14" x14ac:dyDescent="0.2">
      <c r="A426" s="6"/>
      <c r="B426" s="6"/>
      <c r="C426"/>
      <c r="D426"/>
      <c r="E426" s="6"/>
      <c r="F426" s="6"/>
      <c r="G426"/>
      <c r="H426"/>
      <c r="I426"/>
      <c r="J426"/>
      <c r="K426"/>
      <c r="L426"/>
      <c r="M426"/>
      <c r="N426"/>
    </row>
    <row r="427" spans="1:14" x14ac:dyDescent="0.2">
      <c r="A427" s="6"/>
      <c r="B427" s="6"/>
      <c r="C427"/>
      <c r="D427"/>
      <c r="E427" s="6"/>
      <c r="F427" s="6"/>
      <c r="G427"/>
      <c r="H427"/>
      <c r="I427"/>
      <c r="J427"/>
      <c r="K427"/>
      <c r="L427"/>
      <c r="M427"/>
      <c r="N427"/>
    </row>
    <row r="428" spans="1:14" x14ac:dyDescent="0.2">
      <c r="A428" s="6"/>
      <c r="B428" s="6"/>
      <c r="C428"/>
      <c r="D428"/>
      <c r="E428" s="6"/>
      <c r="F428" s="6"/>
      <c r="G428"/>
      <c r="H428"/>
      <c r="I428"/>
      <c r="J428"/>
      <c r="K428"/>
      <c r="L428"/>
      <c r="M428"/>
      <c r="N428"/>
    </row>
    <row r="429" spans="1:14" x14ac:dyDescent="0.2">
      <c r="A429" s="6"/>
      <c r="B429" s="6"/>
      <c r="C429"/>
      <c r="D429"/>
      <c r="E429" s="6"/>
      <c r="F429" s="6"/>
      <c r="G429"/>
      <c r="H429"/>
      <c r="I429"/>
      <c r="J429"/>
      <c r="K429"/>
      <c r="L429"/>
      <c r="M429"/>
      <c r="N429"/>
    </row>
    <row r="430" spans="1:14" x14ac:dyDescent="0.2">
      <c r="A430" s="6"/>
      <c r="B430" s="6"/>
      <c r="C430"/>
      <c r="D430"/>
      <c r="E430" s="6"/>
      <c r="F430" s="6"/>
      <c r="G430"/>
      <c r="H430"/>
      <c r="I430"/>
      <c r="J430"/>
      <c r="K430"/>
      <c r="L430"/>
      <c r="M430"/>
      <c r="N430"/>
    </row>
    <row r="431" spans="1:14" x14ac:dyDescent="0.2">
      <c r="A431" s="6"/>
      <c r="B431" s="6"/>
      <c r="C431"/>
      <c r="D431"/>
      <c r="E431" s="6"/>
      <c r="F431" s="6"/>
      <c r="G431"/>
      <c r="H431"/>
      <c r="I431"/>
      <c r="J431"/>
      <c r="K431"/>
      <c r="L431"/>
      <c r="M431"/>
      <c r="N431"/>
    </row>
    <row r="432" spans="1:14" x14ac:dyDescent="0.2">
      <c r="A432" s="6"/>
      <c r="B432" s="6"/>
      <c r="C432"/>
      <c r="D432"/>
      <c r="E432" s="6"/>
      <c r="F432" s="6"/>
      <c r="G432"/>
      <c r="H432"/>
      <c r="I432"/>
      <c r="J432"/>
      <c r="K432"/>
      <c r="L432"/>
      <c r="M432"/>
      <c r="N432"/>
    </row>
    <row r="433" spans="1:14" x14ac:dyDescent="0.2">
      <c r="A433" s="6"/>
      <c r="B433" s="6"/>
      <c r="C433"/>
      <c r="D433"/>
      <c r="E433" s="6"/>
      <c r="F433" s="6"/>
      <c r="G433"/>
      <c r="H433"/>
      <c r="I433"/>
      <c r="J433"/>
      <c r="K433"/>
      <c r="L433"/>
      <c r="M433"/>
      <c r="N433"/>
    </row>
    <row r="434" spans="1:14" x14ac:dyDescent="0.2">
      <c r="A434" s="6"/>
      <c r="B434" s="6"/>
      <c r="C434"/>
      <c r="D434"/>
      <c r="E434" s="6"/>
      <c r="F434" s="6"/>
      <c r="G434"/>
      <c r="H434"/>
      <c r="I434"/>
      <c r="J434"/>
      <c r="K434"/>
      <c r="L434"/>
      <c r="M434"/>
      <c r="N434"/>
    </row>
    <row r="435" spans="1:14" x14ac:dyDescent="0.2">
      <c r="A435" s="6"/>
      <c r="B435" s="6"/>
      <c r="C435"/>
      <c r="D435"/>
      <c r="E435" s="6"/>
      <c r="F435" s="6"/>
      <c r="G435"/>
      <c r="H435"/>
      <c r="I435"/>
      <c r="J435"/>
      <c r="K435"/>
      <c r="L435"/>
      <c r="M435"/>
      <c r="N435"/>
    </row>
    <row r="436" spans="1:14" x14ac:dyDescent="0.2">
      <c r="A436" s="6"/>
      <c r="B436" s="6"/>
      <c r="C436"/>
      <c r="D436"/>
      <c r="E436" s="6"/>
      <c r="F436" s="6"/>
      <c r="G436"/>
      <c r="H436"/>
      <c r="I436"/>
      <c r="J436"/>
      <c r="K436"/>
      <c r="L436"/>
      <c r="M436"/>
      <c r="N436"/>
    </row>
    <row r="437" spans="1:14" x14ac:dyDescent="0.2">
      <c r="A437" s="6"/>
      <c r="B437" s="6"/>
      <c r="C437"/>
      <c r="D437"/>
      <c r="E437" s="6"/>
      <c r="F437" s="6"/>
      <c r="G437"/>
      <c r="H437"/>
      <c r="I437"/>
      <c r="J437"/>
      <c r="K437"/>
      <c r="L437"/>
      <c r="M437"/>
      <c r="N437"/>
    </row>
    <row r="438" spans="1:14" x14ac:dyDescent="0.2">
      <c r="A438" s="6"/>
      <c r="B438" s="6"/>
      <c r="C438"/>
      <c r="D438"/>
      <c r="E438" s="6"/>
      <c r="F438" s="6"/>
      <c r="G438"/>
      <c r="H438"/>
      <c r="I438"/>
      <c r="J438"/>
      <c r="K438"/>
      <c r="L438"/>
      <c r="M438"/>
      <c r="N438"/>
    </row>
    <row r="439" spans="1:14" x14ac:dyDescent="0.2">
      <c r="A439" s="6"/>
      <c r="B439" s="6"/>
      <c r="C439"/>
      <c r="D439"/>
      <c r="E439" s="6"/>
      <c r="F439" s="6"/>
      <c r="G439"/>
      <c r="H439"/>
      <c r="I439"/>
      <c r="J439"/>
      <c r="K439"/>
      <c r="L439"/>
      <c r="M439"/>
      <c r="N439"/>
    </row>
    <row r="440" spans="1:14" x14ac:dyDescent="0.2">
      <c r="A440" s="6"/>
      <c r="B440" s="6"/>
      <c r="C440"/>
      <c r="D440"/>
      <c r="E440" s="6"/>
      <c r="F440" s="6"/>
      <c r="G440"/>
      <c r="H440"/>
      <c r="I440"/>
      <c r="J440"/>
      <c r="K440"/>
      <c r="L440"/>
      <c r="M440"/>
      <c r="N440"/>
    </row>
    <row r="441" spans="1:14" x14ac:dyDescent="0.2">
      <c r="A441" s="6"/>
      <c r="B441" s="6"/>
      <c r="C441"/>
      <c r="D441"/>
      <c r="E441" s="6"/>
      <c r="F441" s="6"/>
      <c r="G441"/>
      <c r="H441"/>
      <c r="I441"/>
      <c r="J441"/>
      <c r="K441"/>
      <c r="L441"/>
      <c r="M441"/>
      <c r="N441"/>
    </row>
    <row r="442" spans="1:14" x14ac:dyDescent="0.2">
      <c r="A442" s="6"/>
      <c r="B442" s="6"/>
      <c r="C442"/>
      <c r="D442"/>
      <c r="E442" s="6"/>
      <c r="F442" s="6"/>
      <c r="G442"/>
      <c r="H442"/>
      <c r="I442"/>
      <c r="J442"/>
      <c r="K442"/>
      <c r="L442"/>
      <c r="M442"/>
      <c r="N442"/>
    </row>
    <row r="443" spans="1:14" x14ac:dyDescent="0.2">
      <c r="A443" s="6"/>
      <c r="B443" s="6"/>
      <c r="C443"/>
      <c r="D443"/>
      <c r="E443" s="6"/>
      <c r="F443" s="6"/>
      <c r="G443"/>
      <c r="H443"/>
      <c r="I443"/>
      <c r="J443"/>
      <c r="K443"/>
      <c r="L443"/>
      <c r="M443"/>
      <c r="N443"/>
    </row>
    <row r="444" spans="1:14" x14ac:dyDescent="0.2">
      <c r="A444" s="6"/>
      <c r="B444" s="6"/>
      <c r="C444"/>
      <c r="D444"/>
      <c r="E444" s="6"/>
      <c r="F444" s="6"/>
      <c r="G444"/>
      <c r="H444"/>
      <c r="I444"/>
      <c r="J444"/>
      <c r="K444"/>
      <c r="L444"/>
      <c r="M444"/>
      <c r="N444"/>
    </row>
    <row r="445" spans="1:14" x14ac:dyDescent="0.2">
      <c r="A445" s="6"/>
      <c r="B445" s="6"/>
      <c r="C445"/>
      <c r="D445"/>
      <c r="E445" s="6"/>
      <c r="F445" s="6"/>
      <c r="G445"/>
      <c r="H445"/>
      <c r="I445"/>
      <c r="J445"/>
      <c r="K445"/>
      <c r="L445"/>
      <c r="M445"/>
      <c r="N445"/>
    </row>
    <row r="446" spans="1:14" x14ac:dyDescent="0.2">
      <c r="A446" s="6"/>
      <c r="B446" s="6"/>
      <c r="C446"/>
      <c r="D446"/>
      <c r="E446" s="6"/>
      <c r="F446" s="6"/>
      <c r="G446"/>
      <c r="H446"/>
      <c r="I446"/>
      <c r="J446"/>
      <c r="K446"/>
      <c r="L446"/>
      <c r="M446"/>
      <c r="N446"/>
    </row>
    <row r="447" spans="1:14" x14ac:dyDescent="0.2">
      <c r="A447" s="6"/>
      <c r="B447" s="6"/>
      <c r="C447"/>
      <c r="D447"/>
      <c r="E447" s="6"/>
      <c r="F447" s="6"/>
      <c r="G447"/>
      <c r="H447"/>
      <c r="I447"/>
      <c r="J447"/>
      <c r="K447"/>
      <c r="L447"/>
      <c r="M447"/>
      <c r="N447"/>
    </row>
    <row r="448" spans="1:14" x14ac:dyDescent="0.2">
      <c r="A448" s="6"/>
      <c r="B448" s="6"/>
      <c r="C448"/>
      <c r="D448"/>
      <c r="E448" s="6"/>
      <c r="F448" s="6"/>
      <c r="G448"/>
      <c r="H448"/>
      <c r="I448"/>
      <c r="J448"/>
      <c r="K448"/>
      <c r="L448"/>
      <c r="M448"/>
      <c r="N448"/>
    </row>
    <row r="449" spans="1:14" x14ac:dyDescent="0.2">
      <c r="A449" s="6"/>
      <c r="B449" s="6"/>
      <c r="C449"/>
      <c r="D449"/>
      <c r="E449" s="6"/>
      <c r="F449" s="6"/>
      <c r="G449"/>
      <c r="H449"/>
      <c r="I449"/>
      <c r="J449"/>
      <c r="K449"/>
      <c r="L449"/>
      <c r="M449"/>
      <c r="N449"/>
    </row>
    <row r="450" spans="1:14" x14ac:dyDescent="0.2">
      <c r="A450" s="6"/>
      <c r="B450" s="6"/>
      <c r="C450"/>
      <c r="D450"/>
      <c r="E450" s="6"/>
      <c r="F450" s="6"/>
      <c r="G450"/>
      <c r="H450"/>
      <c r="I450"/>
      <c r="J450"/>
      <c r="K450"/>
      <c r="L450"/>
      <c r="M450"/>
      <c r="N450"/>
    </row>
    <row r="451" spans="1:14" x14ac:dyDescent="0.2">
      <c r="A451" s="6"/>
      <c r="B451" s="6"/>
      <c r="C451"/>
      <c r="D451"/>
      <c r="E451" s="6"/>
      <c r="F451" s="6"/>
      <c r="G451"/>
      <c r="H451"/>
      <c r="I451"/>
      <c r="J451"/>
      <c r="K451"/>
      <c r="L451"/>
      <c r="M451"/>
      <c r="N451"/>
    </row>
    <row r="452" spans="1:14" x14ac:dyDescent="0.2">
      <c r="A452" s="6"/>
      <c r="B452" s="6"/>
      <c r="C452"/>
      <c r="D452"/>
      <c r="E452" s="6"/>
      <c r="F452" s="6"/>
      <c r="G452"/>
      <c r="H452"/>
      <c r="I452"/>
      <c r="J452"/>
      <c r="K452"/>
      <c r="L452"/>
      <c r="M452"/>
      <c r="N452"/>
    </row>
    <row r="453" spans="1:14" x14ac:dyDescent="0.2">
      <c r="A453" s="6"/>
      <c r="B453" s="6"/>
      <c r="C453"/>
      <c r="D453"/>
      <c r="E453" s="6"/>
      <c r="F453" s="6"/>
      <c r="G453"/>
      <c r="H453"/>
      <c r="I453"/>
      <c r="J453"/>
      <c r="K453"/>
      <c r="L453"/>
      <c r="M453"/>
      <c r="N453"/>
    </row>
    <row r="454" spans="1:14" x14ac:dyDescent="0.2">
      <c r="A454" s="6"/>
      <c r="B454" s="6"/>
      <c r="C454"/>
      <c r="D454"/>
      <c r="E454" s="6"/>
      <c r="F454" s="6"/>
      <c r="G454"/>
      <c r="H454"/>
      <c r="I454"/>
      <c r="J454"/>
      <c r="K454"/>
      <c r="L454"/>
      <c r="M454"/>
      <c r="N454"/>
    </row>
    <row r="455" spans="1:14" x14ac:dyDescent="0.2">
      <c r="A455" s="6"/>
      <c r="B455" s="6"/>
      <c r="C455"/>
      <c r="D455"/>
      <c r="E455" s="6"/>
      <c r="F455" s="6"/>
      <c r="G455"/>
      <c r="H455"/>
      <c r="I455"/>
      <c r="J455"/>
      <c r="K455"/>
      <c r="L455"/>
      <c r="M455"/>
      <c r="N455"/>
    </row>
    <row r="456" spans="1:14" x14ac:dyDescent="0.2">
      <c r="A456" s="6"/>
      <c r="B456" s="6"/>
      <c r="C456"/>
      <c r="D456"/>
      <c r="E456" s="6"/>
      <c r="F456" s="6"/>
      <c r="G456"/>
      <c r="H456"/>
      <c r="I456"/>
      <c r="J456"/>
      <c r="K456"/>
      <c r="L456"/>
      <c r="M456"/>
      <c r="N456"/>
    </row>
    <row r="457" spans="1:14" x14ac:dyDescent="0.2">
      <c r="A457" s="6"/>
      <c r="B457" s="6"/>
      <c r="C457"/>
      <c r="D457"/>
      <c r="E457" s="6"/>
      <c r="F457" s="6"/>
      <c r="G457"/>
      <c r="H457"/>
      <c r="I457"/>
      <c r="J457"/>
      <c r="K457"/>
      <c r="L457"/>
      <c r="M457"/>
      <c r="N457"/>
    </row>
    <row r="458" spans="1:14" x14ac:dyDescent="0.2">
      <c r="A458" s="6"/>
      <c r="B458" s="6"/>
      <c r="C458"/>
      <c r="D458"/>
      <c r="E458" s="6"/>
      <c r="F458" s="6"/>
      <c r="G458"/>
      <c r="H458"/>
      <c r="I458"/>
      <c r="J458"/>
      <c r="K458"/>
      <c r="L458"/>
      <c r="M458"/>
      <c r="N458"/>
    </row>
    <row r="459" spans="1:14" x14ac:dyDescent="0.2">
      <c r="A459" s="6"/>
      <c r="B459" s="6"/>
      <c r="C459"/>
      <c r="D459"/>
      <c r="E459" s="6"/>
      <c r="F459" s="6"/>
      <c r="G459"/>
      <c r="H459"/>
      <c r="I459"/>
      <c r="J459"/>
      <c r="K459"/>
      <c r="L459"/>
      <c r="M459"/>
      <c r="N459"/>
    </row>
    <row r="460" spans="1:14" x14ac:dyDescent="0.2">
      <c r="A460" s="6"/>
      <c r="B460" s="6"/>
      <c r="C460"/>
      <c r="D460"/>
      <c r="E460" s="6"/>
      <c r="F460" s="6"/>
      <c r="G460"/>
      <c r="H460"/>
      <c r="I460"/>
      <c r="J460"/>
      <c r="K460"/>
      <c r="L460"/>
      <c r="M460"/>
      <c r="N460"/>
    </row>
    <row r="461" spans="1:14" x14ac:dyDescent="0.2">
      <c r="A461" s="6"/>
      <c r="B461" s="6"/>
      <c r="C461"/>
      <c r="D461"/>
      <c r="E461" s="6"/>
      <c r="F461" s="6"/>
      <c r="G461"/>
      <c r="H461"/>
      <c r="I461"/>
      <c r="J461"/>
      <c r="K461"/>
      <c r="L461"/>
      <c r="M461"/>
      <c r="N461"/>
    </row>
    <row r="462" spans="1:14" x14ac:dyDescent="0.2">
      <c r="A462" s="6"/>
      <c r="B462" s="6"/>
      <c r="C462"/>
      <c r="D462"/>
      <c r="E462" s="6"/>
      <c r="F462" s="6"/>
      <c r="G462"/>
      <c r="H462"/>
      <c r="I462"/>
      <c r="J462"/>
      <c r="K462"/>
      <c r="L462"/>
      <c r="M462"/>
      <c r="N462"/>
    </row>
    <row r="463" spans="1:14" x14ac:dyDescent="0.2">
      <c r="A463" s="6"/>
      <c r="B463" s="6"/>
      <c r="C463"/>
      <c r="D463"/>
      <c r="E463" s="6"/>
      <c r="F463" s="6"/>
      <c r="G463"/>
      <c r="H463"/>
      <c r="I463"/>
      <c r="J463"/>
      <c r="K463"/>
      <c r="L463"/>
      <c r="M463"/>
      <c r="N463"/>
    </row>
    <row r="464" spans="1:14" x14ac:dyDescent="0.2">
      <c r="A464" s="6"/>
      <c r="B464" s="6"/>
      <c r="C464"/>
      <c r="D464"/>
      <c r="E464" s="6"/>
      <c r="F464" s="6"/>
      <c r="G464"/>
      <c r="H464"/>
      <c r="I464"/>
      <c r="J464"/>
      <c r="K464"/>
      <c r="L464"/>
      <c r="M464"/>
      <c r="N464"/>
    </row>
    <row r="465" spans="1:14" x14ac:dyDescent="0.2">
      <c r="A465" s="6"/>
      <c r="B465" s="6"/>
      <c r="C465"/>
      <c r="D465"/>
      <c r="E465" s="6"/>
      <c r="F465" s="6"/>
      <c r="G465"/>
      <c r="H465"/>
      <c r="I465"/>
      <c r="J465"/>
      <c r="K465"/>
      <c r="L465"/>
      <c r="M465"/>
      <c r="N465"/>
    </row>
    <row r="466" spans="1:14" x14ac:dyDescent="0.2">
      <c r="A466" s="6"/>
      <c r="B466" s="6"/>
      <c r="C466"/>
      <c r="D466"/>
      <c r="E466" s="6"/>
      <c r="F466" s="6"/>
      <c r="G466"/>
      <c r="H466"/>
      <c r="I466"/>
      <c r="J466"/>
      <c r="K466"/>
      <c r="L466"/>
      <c r="M466"/>
      <c r="N466"/>
    </row>
    <row r="467" spans="1:14" x14ac:dyDescent="0.2">
      <c r="A467" s="6"/>
      <c r="B467" s="6"/>
      <c r="C467"/>
      <c r="D467"/>
      <c r="E467" s="6"/>
      <c r="F467" s="6"/>
      <c r="G467"/>
      <c r="H467"/>
      <c r="I467"/>
      <c r="J467"/>
      <c r="K467"/>
      <c r="L467"/>
      <c r="M467"/>
      <c r="N467"/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80AB7E-C967-B045-8EC3-4B2D5676FC1D}">
  <dimension ref="A1:W72"/>
  <sheetViews>
    <sheetView tabSelected="1" topLeftCell="K1" workbookViewId="0">
      <selection activeCell="A25" sqref="A25:XFD25"/>
    </sheetView>
  </sheetViews>
  <sheetFormatPr baseColWidth="10" defaultRowHeight="16" x14ac:dyDescent="0.2"/>
  <cols>
    <col min="2" max="2" width="23.6640625" customWidth="1"/>
    <col min="3" max="3" width="22" customWidth="1"/>
    <col min="4" max="4" width="36.1640625" customWidth="1"/>
    <col min="5" max="5" width="24.6640625" customWidth="1"/>
    <col min="6" max="6" width="29.5" customWidth="1"/>
    <col min="7" max="7" width="32.33203125" customWidth="1"/>
    <col min="8" max="8" width="21.1640625" customWidth="1"/>
    <col min="16" max="18" width="13.1640625" customWidth="1"/>
    <col min="19" max="20" width="13.33203125" customWidth="1"/>
    <col min="21" max="21" width="12.83203125" customWidth="1"/>
    <col min="22" max="22" width="12.6640625" bestFit="1" customWidth="1"/>
    <col min="23" max="23" width="19.5" customWidth="1"/>
  </cols>
  <sheetData>
    <row r="1" spans="1:23" ht="46" x14ac:dyDescent="0.2">
      <c r="A1" s="3" t="s">
        <v>0</v>
      </c>
      <c r="B1" s="3" t="s">
        <v>28</v>
      </c>
      <c r="C1" s="3" t="s">
        <v>22</v>
      </c>
      <c r="D1" s="3" t="s">
        <v>194</v>
      </c>
      <c r="E1" s="3" t="s">
        <v>203</v>
      </c>
      <c r="F1" s="3" t="s">
        <v>1</v>
      </c>
      <c r="G1" s="3" t="s">
        <v>2</v>
      </c>
      <c r="H1" s="22" t="s">
        <v>180</v>
      </c>
      <c r="I1" s="1" t="s">
        <v>16</v>
      </c>
      <c r="J1" s="1" t="s">
        <v>17</v>
      </c>
      <c r="K1" s="1" t="s">
        <v>18</v>
      </c>
      <c r="L1" s="1" t="s">
        <v>19</v>
      </c>
      <c r="M1" s="1" t="s">
        <v>20</v>
      </c>
      <c r="N1" s="1" t="s">
        <v>21</v>
      </c>
      <c r="O1" s="25" t="s">
        <v>181</v>
      </c>
      <c r="P1" s="26" t="s">
        <v>182</v>
      </c>
      <c r="Q1" s="26" t="s">
        <v>185</v>
      </c>
      <c r="R1" s="27" t="s">
        <v>187</v>
      </c>
      <c r="S1" s="24" t="s">
        <v>183</v>
      </c>
      <c r="T1" s="24" t="s">
        <v>184</v>
      </c>
      <c r="U1" s="24" t="s">
        <v>186</v>
      </c>
      <c r="V1" s="24" t="s">
        <v>188</v>
      </c>
      <c r="W1" s="33" t="s">
        <v>193</v>
      </c>
    </row>
    <row r="2" spans="1:23" x14ac:dyDescent="0.2">
      <c r="A2" s="5">
        <v>1</v>
      </c>
      <c r="B2" s="5" t="s">
        <v>27</v>
      </c>
      <c r="C2" s="5" t="s">
        <v>23</v>
      </c>
      <c r="D2" s="5" t="str">
        <f>'Mechanistic level'!D2</f>
        <v>Ethanol</v>
      </c>
      <c r="E2" s="5" t="s">
        <v>204</v>
      </c>
      <c r="F2" s="5" t="s">
        <v>24</v>
      </c>
      <c r="G2" s="5" t="s">
        <v>31</v>
      </c>
      <c r="H2" s="23" t="s">
        <v>208</v>
      </c>
      <c r="I2" s="15">
        <f>'Mechanistic level'!X2</f>
        <v>0.33333333333333337</v>
      </c>
      <c r="J2" s="15">
        <f>'Mechanistic level'!Y2</f>
        <v>0.66666666666666663</v>
      </c>
      <c r="K2" s="15">
        <f>'Mechanistic level'!Z2</f>
        <v>0.29447999999999996</v>
      </c>
      <c r="L2" s="15">
        <f>'Mechanistic level'!AA2</f>
        <v>0.46485232444008207</v>
      </c>
      <c r="M2" s="15">
        <f>'Mechanistic level'!AB2</f>
        <v>-3.8853333333333406E-2</v>
      </c>
      <c r="N2" s="15">
        <f>'Mechanistic level'!AC2</f>
        <v>-0.20181434222658456</v>
      </c>
      <c r="O2" s="28">
        <f>J2</f>
        <v>0.66666666666666663</v>
      </c>
      <c r="P2" s="29">
        <f>I2</f>
        <v>0.33333333333333337</v>
      </c>
      <c r="Q2" s="29">
        <f>SUM(O2:P2)</f>
        <v>1</v>
      </c>
      <c r="R2" s="30">
        <f>O2/Q2</f>
        <v>0.66666666666666663</v>
      </c>
      <c r="S2" s="31">
        <f>L2</f>
        <v>0.46485232444008207</v>
      </c>
      <c r="T2" s="29">
        <f>K2</f>
        <v>0.29447999999999996</v>
      </c>
      <c r="U2" s="29">
        <f>SUM(S2:T2)</f>
        <v>0.75933232444008203</v>
      </c>
      <c r="V2" s="32">
        <f>S2/U2</f>
        <v>0.61218561291046814</v>
      </c>
      <c r="W2" s="34" t="str">
        <f>IF(E2="","",IF(U2="NC","NC",IF(OR(U2&lt;0,U2&gt;1),"Excluded",IF(OR(E2="Total COD",E2="Mixed"),"Lower bound",IF(OR(E2="Defined substrate",E2="Biodegradable COD"),"As calculated","CHECK")))))</f>
        <v>As calculated</v>
      </c>
    </row>
    <row r="3" spans="1:23" x14ac:dyDescent="0.2">
      <c r="A3" s="5">
        <v>2</v>
      </c>
      <c r="B3" s="5" t="s">
        <v>29</v>
      </c>
      <c r="C3" s="5" t="s">
        <v>23</v>
      </c>
      <c r="D3" s="5" t="str">
        <f>'Mechanistic level'!D3</f>
        <v>Ethanol</v>
      </c>
      <c r="E3" s="5" t="s">
        <v>204</v>
      </c>
      <c r="F3" s="5" t="s">
        <v>25</v>
      </c>
      <c r="G3" s="5" t="s">
        <v>32</v>
      </c>
      <c r="H3" s="23" t="s">
        <v>208</v>
      </c>
      <c r="I3" s="15">
        <f>'Mechanistic level'!X3</f>
        <v>0.33333333333333337</v>
      </c>
      <c r="J3" s="15">
        <f>'Mechanistic level'!Y3</f>
        <v>0.66666666666666663</v>
      </c>
      <c r="K3" s="15">
        <f>'Mechanistic level'!Z3</f>
        <v>0.32065333333333335</v>
      </c>
      <c r="L3" s="15">
        <f>'Mechanistic level'!AA3</f>
        <v>0.53794949585080754</v>
      </c>
      <c r="M3" s="15">
        <f>'Mechanistic level'!AB3</f>
        <v>-1.2680000000000025E-2</v>
      </c>
      <c r="N3" s="15">
        <f>'Mechanistic level'!AC3</f>
        <v>-0.12871717081585909</v>
      </c>
      <c r="O3" s="28">
        <f t="shared" ref="O3:O13" si="0">J3</f>
        <v>0.66666666666666663</v>
      </c>
      <c r="P3" s="29">
        <f t="shared" ref="P3:P13" si="1">I3</f>
        <v>0.33333333333333337</v>
      </c>
      <c r="Q3" s="29">
        <f t="shared" ref="Q3:Q4" si="2">SUM(O3:P3)</f>
        <v>1</v>
      </c>
      <c r="R3" s="30">
        <f t="shared" ref="R3:R4" si="3">O3/Q3</f>
        <v>0.66666666666666663</v>
      </c>
      <c r="S3" s="31">
        <f t="shared" ref="S3:S13" si="4">L3</f>
        <v>0.53794949585080754</v>
      </c>
      <c r="T3" s="29">
        <f t="shared" ref="T3:T12" si="5">K3</f>
        <v>0.32065333333333335</v>
      </c>
      <c r="U3" s="29">
        <f t="shared" ref="U3:U14" si="6">SUM(S3:T3)</f>
        <v>0.85860282918414088</v>
      </c>
      <c r="V3" s="32">
        <f t="shared" ref="V3:V14" si="7">S3/U3</f>
        <v>0.62654055817865917</v>
      </c>
      <c r="W3" s="34" t="str">
        <f t="shared" ref="W3:W62" si="8">IF(E3="","",IF(U3="NC","NC",IF(OR(U3&lt;0,U3&gt;1),"Excluded",IF(OR(E3="Total COD",E3="Mixed"),"Lower bound",IF(OR(E3="Defined substrate",E3="Biodegradable COD"),"As calculated","CHECK")))))</f>
        <v>As calculated</v>
      </c>
    </row>
    <row r="4" spans="1:23" x14ac:dyDescent="0.2">
      <c r="A4" s="5">
        <v>3</v>
      </c>
      <c r="B4" s="5" t="s">
        <v>30</v>
      </c>
      <c r="C4" s="5" t="s">
        <v>23</v>
      </c>
      <c r="D4" s="5" t="str">
        <f>'Mechanistic level'!D4</f>
        <v>Ethanol</v>
      </c>
      <c r="E4" s="5" t="s">
        <v>204</v>
      </c>
      <c r="F4" s="5" t="s">
        <v>26</v>
      </c>
      <c r="G4" s="5" t="s">
        <v>33</v>
      </c>
      <c r="H4" s="23" t="s">
        <v>208</v>
      </c>
      <c r="I4" s="15">
        <f>'Mechanistic level'!X4</f>
        <v>0.33333333333333337</v>
      </c>
      <c r="J4" s="15">
        <f>'Mechanistic level'!Y4</f>
        <v>0.66666666666666663</v>
      </c>
      <c r="K4" s="15">
        <f>'Mechanistic level'!Z4</f>
        <v>0.32353333333333334</v>
      </c>
      <c r="L4" s="15">
        <f>'Mechanistic level'!AA4</f>
        <v>0.50140091014544474</v>
      </c>
      <c r="M4" s="15">
        <f>'Mechanistic level'!AB4</f>
        <v>-9.8000000000000309E-3</v>
      </c>
      <c r="N4" s="15">
        <f>'Mechanistic level'!AC4</f>
        <v>-0.16526575652122188</v>
      </c>
      <c r="O4" s="28">
        <f t="shared" si="0"/>
        <v>0.66666666666666663</v>
      </c>
      <c r="P4" s="29">
        <f t="shared" si="1"/>
        <v>0.33333333333333337</v>
      </c>
      <c r="Q4" s="29">
        <f t="shared" si="2"/>
        <v>1</v>
      </c>
      <c r="R4" s="30">
        <f t="shared" si="3"/>
        <v>0.66666666666666663</v>
      </c>
      <c r="S4" s="31">
        <f t="shared" si="4"/>
        <v>0.50140091014544474</v>
      </c>
      <c r="T4" s="29">
        <f t="shared" si="5"/>
        <v>0.32353333333333334</v>
      </c>
      <c r="U4" s="29">
        <f t="shared" si="6"/>
        <v>0.82493424347877808</v>
      </c>
      <c r="V4" s="32">
        <f t="shared" si="7"/>
        <v>0.60780712415454918</v>
      </c>
      <c r="W4" s="34" t="str">
        <f t="shared" si="8"/>
        <v>As calculated</v>
      </c>
    </row>
    <row r="5" spans="1:23" x14ac:dyDescent="0.2">
      <c r="A5" s="5">
        <v>4</v>
      </c>
      <c r="B5" s="5" t="s">
        <v>49</v>
      </c>
      <c r="C5" s="5" t="s">
        <v>55</v>
      </c>
      <c r="D5" s="5" t="str">
        <f>'Mechanistic level'!D5</f>
        <v>Acetate, propionate, butyrate</v>
      </c>
      <c r="E5" s="5" t="s">
        <v>204</v>
      </c>
      <c r="F5" s="5" t="s">
        <v>56</v>
      </c>
      <c r="G5" s="5" t="s">
        <v>57</v>
      </c>
      <c r="H5" s="23" t="s">
        <v>208</v>
      </c>
      <c r="I5" s="15">
        <f>'Mechanistic level'!X5</f>
        <v>1</v>
      </c>
      <c r="J5" s="15">
        <f>'Mechanistic level'!Y5</f>
        <v>0</v>
      </c>
      <c r="K5" s="15">
        <f>'Mechanistic level'!Z5</f>
        <v>0.26518518518518525</v>
      </c>
      <c r="L5" s="15">
        <f>'Mechanistic level'!AA5</f>
        <v>0.91629629629629628</v>
      </c>
      <c r="M5" s="15">
        <f>'Mechanistic level'!AB5</f>
        <v>-0.73481481481481481</v>
      </c>
      <c r="N5" s="15">
        <f>'Mechanistic level'!AC5</f>
        <v>0.91629629629629628</v>
      </c>
      <c r="O5" s="28">
        <f t="shared" si="0"/>
        <v>0</v>
      </c>
      <c r="P5" s="29">
        <f t="shared" si="1"/>
        <v>1</v>
      </c>
      <c r="Q5" s="29">
        <f t="shared" ref="Q5:Q14" si="9">SUM(O5:P5)</f>
        <v>1</v>
      </c>
      <c r="R5" s="30">
        <f t="shared" ref="R5:R14" si="10">O5/Q5</f>
        <v>0</v>
      </c>
      <c r="S5" s="31">
        <f t="shared" si="4"/>
        <v>0.91629629629629628</v>
      </c>
      <c r="T5" s="29">
        <f t="shared" si="5"/>
        <v>0.26518518518518525</v>
      </c>
      <c r="U5" s="29">
        <f t="shared" si="6"/>
        <v>1.1814814814814816</v>
      </c>
      <c r="V5" s="32">
        <f t="shared" si="7"/>
        <v>0.77554858934169268</v>
      </c>
      <c r="W5" s="34" t="str">
        <f t="shared" si="8"/>
        <v>Excluded</v>
      </c>
    </row>
    <row r="6" spans="1:23" x14ac:dyDescent="0.2">
      <c r="A6" s="5">
        <v>5</v>
      </c>
      <c r="B6" s="5" t="s">
        <v>50</v>
      </c>
      <c r="C6" s="5" t="s">
        <v>55</v>
      </c>
      <c r="D6" s="5" t="str">
        <f>'Mechanistic level'!D6</f>
        <v>Acetate, propionate, butyrate</v>
      </c>
      <c r="E6" s="5" t="s">
        <v>204</v>
      </c>
      <c r="F6" s="5" t="s">
        <v>58</v>
      </c>
      <c r="G6" s="5" t="s">
        <v>59</v>
      </c>
      <c r="H6" s="23" t="s">
        <v>208</v>
      </c>
      <c r="I6" s="15">
        <f>'Mechanistic level'!X6</f>
        <v>0.44222222222222229</v>
      </c>
      <c r="J6" s="15">
        <f>'Mechanistic level'!Y6</f>
        <v>0.55777777777777771</v>
      </c>
      <c r="K6" s="15">
        <f>'Mechanistic level'!Z6</f>
        <v>0.27925925925925932</v>
      </c>
      <c r="L6" s="15">
        <f>'Mechanistic level'!AA6</f>
        <v>0.94518518518518513</v>
      </c>
      <c r="M6" s="15">
        <f>'Mechanistic level'!AB6</f>
        <v>-0.16296296296296298</v>
      </c>
      <c r="N6" s="15">
        <f>'Mechanistic level'!AC6</f>
        <v>0.38740740740740742</v>
      </c>
      <c r="O6" s="28">
        <f t="shared" si="0"/>
        <v>0.55777777777777771</v>
      </c>
      <c r="P6" s="29">
        <f t="shared" si="1"/>
        <v>0.44222222222222229</v>
      </c>
      <c r="Q6" s="29">
        <f t="shared" si="9"/>
        <v>1</v>
      </c>
      <c r="R6" s="30">
        <f t="shared" si="10"/>
        <v>0.55777777777777771</v>
      </c>
      <c r="S6" s="31">
        <f t="shared" si="4"/>
        <v>0.94518518518518513</v>
      </c>
      <c r="T6" s="29">
        <f t="shared" si="5"/>
        <v>0.27925925925925932</v>
      </c>
      <c r="U6" s="29">
        <f t="shared" si="6"/>
        <v>1.2244444444444444</v>
      </c>
      <c r="V6" s="32">
        <f t="shared" si="7"/>
        <v>0.77192982456140347</v>
      </c>
      <c r="W6" s="34" t="str">
        <f t="shared" si="8"/>
        <v>Excluded</v>
      </c>
    </row>
    <row r="7" spans="1:23" x14ac:dyDescent="0.2">
      <c r="A7" s="5">
        <v>6</v>
      </c>
      <c r="B7" s="5" t="s">
        <v>51</v>
      </c>
      <c r="C7" s="5" t="s">
        <v>55</v>
      </c>
      <c r="D7" s="5" t="str">
        <f>'Mechanistic level'!D7</f>
        <v>Acetate, propionate, butyrate</v>
      </c>
      <c r="E7" s="5" t="s">
        <v>204</v>
      </c>
      <c r="F7" s="5" t="s">
        <v>60</v>
      </c>
      <c r="G7" s="5" t="s">
        <v>61</v>
      </c>
      <c r="H7" s="23" t="s">
        <v>208</v>
      </c>
      <c r="I7" s="15">
        <f>'Mechanistic level'!X7</f>
        <v>0.13259259259259262</v>
      </c>
      <c r="J7" s="15">
        <f>'Mechanistic level'!Y7</f>
        <v>0.8674074074074074</v>
      </c>
      <c r="K7" s="15">
        <f>'Mechanistic level'!Z7</f>
        <v>9.3333333333333338E-2</v>
      </c>
      <c r="L7" s="15">
        <f>'Mechanistic level'!AA7</f>
        <v>0.96814814814814809</v>
      </c>
      <c r="M7" s="15">
        <f>'Mechanistic level'!AB7</f>
        <v>-3.9259259259259285E-2</v>
      </c>
      <c r="N7" s="15">
        <f>'Mechanistic level'!AC7</f>
        <v>0.10074074074074069</v>
      </c>
      <c r="O7" s="28">
        <f t="shared" si="0"/>
        <v>0.8674074074074074</v>
      </c>
      <c r="P7" s="29">
        <f t="shared" si="1"/>
        <v>0.13259259259259262</v>
      </c>
      <c r="Q7" s="29">
        <f t="shared" si="9"/>
        <v>1</v>
      </c>
      <c r="R7" s="30">
        <f t="shared" si="10"/>
        <v>0.8674074074074074</v>
      </c>
      <c r="S7" s="31">
        <f t="shared" si="4"/>
        <v>0.96814814814814809</v>
      </c>
      <c r="T7" s="29">
        <f t="shared" si="5"/>
        <v>9.3333333333333338E-2</v>
      </c>
      <c r="U7" s="29">
        <f t="shared" si="6"/>
        <v>1.0614814814814815</v>
      </c>
      <c r="V7" s="32">
        <f t="shared" si="7"/>
        <v>0.91207257501744587</v>
      </c>
      <c r="W7" s="34" t="str">
        <f t="shared" si="8"/>
        <v>Excluded</v>
      </c>
    </row>
    <row r="8" spans="1:23" x14ac:dyDescent="0.2">
      <c r="A8" s="5">
        <v>7</v>
      </c>
      <c r="B8" s="5" t="s">
        <v>52</v>
      </c>
      <c r="C8" s="5" t="s">
        <v>55</v>
      </c>
      <c r="D8" s="5" t="str">
        <f>'Mechanistic level'!D8</f>
        <v>Acetate, propionate, butyrate</v>
      </c>
      <c r="E8" s="5" t="s">
        <v>204</v>
      </c>
      <c r="F8" s="5" t="s">
        <v>62</v>
      </c>
      <c r="G8" s="5" t="s">
        <v>63</v>
      </c>
      <c r="H8" s="23" t="s">
        <v>208</v>
      </c>
      <c r="I8" s="15">
        <f>'Mechanistic level'!X8</f>
        <v>1</v>
      </c>
      <c r="J8" s="15">
        <f>'Mechanistic level'!Y8</f>
        <v>0</v>
      </c>
      <c r="K8" s="15">
        <f>'Mechanistic level'!Z8</f>
        <v>0.6133333333333334</v>
      </c>
      <c r="L8" s="15">
        <f>'Mechanistic level'!AA8</f>
        <v>0.91523809523809518</v>
      </c>
      <c r="M8" s="15">
        <f>'Mechanistic level'!AB8</f>
        <v>-0.3866666666666666</v>
      </c>
      <c r="N8" s="15">
        <f>'Mechanistic level'!AC8</f>
        <v>0.91523809523809518</v>
      </c>
      <c r="O8" s="28">
        <f t="shared" si="0"/>
        <v>0</v>
      </c>
      <c r="P8" s="29">
        <f t="shared" si="1"/>
        <v>1</v>
      </c>
      <c r="Q8" s="29">
        <f t="shared" si="9"/>
        <v>1</v>
      </c>
      <c r="R8" s="30">
        <f t="shared" si="10"/>
        <v>0</v>
      </c>
      <c r="S8" s="31">
        <f t="shared" si="4"/>
        <v>0.91523809523809518</v>
      </c>
      <c r="T8" s="29">
        <f t="shared" si="5"/>
        <v>0.6133333333333334</v>
      </c>
      <c r="U8" s="29">
        <f t="shared" si="6"/>
        <v>1.5285714285714285</v>
      </c>
      <c r="V8" s="32">
        <f t="shared" si="7"/>
        <v>0.59875389408099688</v>
      </c>
      <c r="W8" s="34" t="str">
        <f t="shared" si="8"/>
        <v>Excluded</v>
      </c>
    </row>
    <row r="9" spans="1:23" x14ac:dyDescent="0.2">
      <c r="A9" s="5">
        <v>8</v>
      </c>
      <c r="B9" s="5" t="s">
        <v>53</v>
      </c>
      <c r="C9" s="5" t="s">
        <v>55</v>
      </c>
      <c r="D9" s="5" t="str">
        <f>'Mechanistic level'!D9</f>
        <v>Acetate, propionate, butyrate</v>
      </c>
      <c r="E9" s="5" t="s">
        <v>204</v>
      </c>
      <c r="F9" s="5" t="s">
        <v>64</v>
      </c>
      <c r="G9" s="5" t="s">
        <v>65</v>
      </c>
      <c r="H9" s="23" t="s">
        <v>208</v>
      </c>
      <c r="I9" s="15">
        <f>'Mechanistic level'!X9</f>
        <v>0.44380952380952388</v>
      </c>
      <c r="J9" s="15">
        <f>'Mechanistic level'!Y9</f>
        <v>0.55619047619047612</v>
      </c>
      <c r="K9" s="15">
        <f>'Mechanistic level'!Z9</f>
        <v>0.34</v>
      </c>
      <c r="L9" s="15">
        <f>'Mechanistic level'!AA9</f>
        <v>0.82761904761904759</v>
      </c>
      <c r="M9" s="15">
        <f>'Mechanistic level'!AB9</f>
        <v>-0.10380952380952385</v>
      </c>
      <c r="N9" s="15">
        <f>'Mechanistic level'!AC9</f>
        <v>0.27142857142857146</v>
      </c>
      <c r="O9" s="28">
        <f t="shared" si="0"/>
        <v>0.55619047619047612</v>
      </c>
      <c r="P9" s="29">
        <f t="shared" si="1"/>
        <v>0.44380952380952388</v>
      </c>
      <c r="Q9" s="29">
        <f t="shared" si="9"/>
        <v>1</v>
      </c>
      <c r="R9" s="30">
        <f t="shared" si="10"/>
        <v>0.55619047619047612</v>
      </c>
      <c r="S9" s="31">
        <f t="shared" si="4"/>
        <v>0.82761904761904759</v>
      </c>
      <c r="T9" s="29">
        <f t="shared" si="5"/>
        <v>0.34</v>
      </c>
      <c r="U9" s="29">
        <f t="shared" si="6"/>
        <v>1.1676190476190476</v>
      </c>
      <c r="V9" s="32">
        <f t="shared" si="7"/>
        <v>0.70880913539967372</v>
      </c>
      <c r="W9" s="34" t="str">
        <f t="shared" si="8"/>
        <v>Excluded</v>
      </c>
    </row>
    <row r="10" spans="1:23" x14ac:dyDescent="0.2">
      <c r="A10" s="5">
        <v>9</v>
      </c>
      <c r="B10" s="5" t="s">
        <v>54</v>
      </c>
      <c r="C10" s="5" t="s">
        <v>55</v>
      </c>
      <c r="D10" s="5" t="str">
        <f>'Mechanistic level'!D10</f>
        <v>Acetate, propionate, butyrate</v>
      </c>
      <c r="E10" s="5" t="s">
        <v>204</v>
      </c>
      <c r="F10" s="5" t="s">
        <v>66</v>
      </c>
      <c r="G10" s="5" t="s">
        <v>67</v>
      </c>
      <c r="H10" s="23" t="s">
        <v>208</v>
      </c>
      <c r="I10" s="15">
        <f>'Mechanistic level'!X10</f>
        <v>0.13333333333333333</v>
      </c>
      <c r="J10" s="15">
        <f>'Mechanistic level'!Y10</f>
        <v>0.8666666666666667</v>
      </c>
      <c r="K10" s="15">
        <f>'Mechanistic level'!Z10</f>
        <v>0.13142857142857145</v>
      </c>
      <c r="L10" s="15">
        <f>'Mechanistic level'!AA10</f>
        <v>1.156190476190476</v>
      </c>
      <c r="M10" s="15">
        <f>'Mechanistic level'!AB10</f>
        <v>-1.9047619047618813E-3</v>
      </c>
      <c r="N10" s="15">
        <f>'Mechanistic level'!AC10</f>
        <v>0.28952380952380929</v>
      </c>
      <c r="O10" s="28">
        <f t="shared" si="0"/>
        <v>0.8666666666666667</v>
      </c>
      <c r="P10" s="29">
        <f t="shared" si="1"/>
        <v>0.13333333333333333</v>
      </c>
      <c r="Q10" s="29">
        <f t="shared" si="9"/>
        <v>1</v>
      </c>
      <c r="R10" s="30">
        <f t="shared" si="10"/>
        <v>0.8666666666666667</v>
      </c>
      <c r="S10" s="31">
        <f t="shared" si="4"/>
        <v>1.156190476190476</v>
      </c>
      <c r="T10" s="29">
        <f t="shared" si="5"/>
        <v>0.13142857142857145</v>
      </c>
      <c r="U10" s="29">
        <f t="shared" si="6"/>
        <v>1.2876190476190474</v>
      </c>
      <c r="V10" s="32">
        <f t="shared" si="7"/>
        <v>0.89792899408284022</v>
      </c>
      <c r="W10" s="34" t="str">
        <f t="shared" si="8"/>
        <v>Excluded</v>
      </c>
    </row>
    <row r="11" spans="1:23" x14ac:dyDescent="0.2">
      <c r="A11" s="5">
        <v>10</v>
      </c>
      <c r="B11" s="5" t="s">
        <v>74</v>
      </c>
      <c r="C11" s="5" t="s">
        <v>55</v>
      </c>
      <c r="D11" s="5" t="str">
        <f>'Mechanistic level'!D11</f>
        <v>Acetate, propionate, butyrate</v>
      </c>
      <c r="E11" s="5" t="s">
        <v>204</v>
      </c>
      <c r="F11" s="5" t="s">
        <v>68</v>
      </c>
      <c r="G11" s="5" t="s">
        <v>69</v>
      </c>
      <c r="H11" s="23" t="s">
        <v>208</v>
      </c>
      <c r="I11" s="15">
        <f>'Mechanistic level'!X11</f>
        <v>1</v>
      </c>
      <c r="J11" s="15">
        <f>'Mechanistic level'!Y11</f>
        <v>0</v>
      </c>
      <c r="K11" s="15">
        <f>'Mechanistic level'!Z11</f>
        <v>1.1293333333333333</v>
      </c>
      <c r="L11" s="15">
        <f>'Mechanistic level'!AA11</f>
        <v>0.44466666666666671</v>
      </c>
      <c r="M11" s="15">
        <f>'Mechanistic level'!AB11</f>
        <v>0.1293333333333333</v>
      </c>
      <c r="N11" s="15">
        <f>'Mechanistic level'!AC11</f>
        <v>0.44466666666666671</v>
      </c>
      <c r="O11" s="28">
        <f t="shared" si="0"/>
        <v>0</v>
      </c>
      <c r="P11" s="29">
        <f t="shared" si="1"/>
        <v>1</v>
      </c>
      <c r="Q11" s="29">
        <f t="shared" si="9"/>
        <v>1</v>
      </c>
      <c r="R11" s="30">
        <f t="shared" si="10"/>
        <v>0</v>
      </c>
      <c r="S11" s="31">
        <f t="shared" si="4"/>
        <v>0.44466666666666671</v>
      </c>
      <c r="T11" s="29">
        <f t="shared" si="5"/>
        <v>1.1293333333333333</v>
      </c>
      <c r="U11" s="29">
        <f t="shared" si="6"/>
        <v>1.5740000000000001</v>
      </c>
      <c r="V11" s="32">
        <f t="shared" si="7"/>
        <v>0.28250741211351121</v>
      </c>
      <c r="W11" s="34" t="str">
        <f t="shared" si="8"/>
        <v>Excluded</v>
      </c>
    </row>
    <row r="12" spans="1:23" x14ac:dyDescent="0.2">
      <c r="A12" s="5">
        <v>11</v>
      </c>
      <c r="B12" s="5" t="s">
        <v>75</v>
      </c>
      <c r="C12" s="5" t="s">
        <v>55</v>
      </c>
      <c r="D12" s="5" t="str">
        <f>'Mechanistic level'!D12</f>
        <v>Acetate, propionate, butyrate</v>
      </c>
      <c r="E12" s="5" t="s">
        <v>204</v>
      </c>
      <c r="F12" s="5" t="s">
        <v>70</v>
      </c>
      <c r="G12" s="5" t="s">
        <v>71</v>
      </c>
      <c r="H12" s="23" t="s">
        <v>208</v>
      </c>
      <c r="I12" s="15">
        <f>'Mechanistic level'!X12</f>
        <v>0.44466666666666677</v>
      </c>
      <c r="J12" s="15">
        <f>'Mechanistic level'!Y12</f>
        <v>0.55533333333333323</v>
      </c>
      <c r="K12" s="15">
        <f>'Mechanistic level'!Z12</f>
        <v>0.44333333333333336</v>
      </c>
      <c r="L12" s="15">
        <f>'Mechanistic level'!AA12</f>
        <v>0.45533333333333331</v>
      </c>
      <c r="M12" s="15">
        <f>'Mechanistic level'!AB12</f>
        <v>-1.3333333333334085E-3</v>
      </c>
      <c r="N12" s="15">
        <f>'Mechanistic level'!AC12</f>
        <v>-9.9999999999999922E-2</v>
      </c>
      <c r="O12" s="28">
        <f t="shared" si="0"/>
        <v>0.55533333333333323</v>
      </c>
      <c r="P12" s="29">
        <f t="shared" si="1"/>
        <v>0.44466666666666677</v>
      </c>
      <c r="Q12" s="29">
        <f t="shared" si="9"/>
        <v>1</v>
      </c>
      <c r="R12" s="30">
        <f t="shared" si="10"/>
        <v>0.55533333333333323</v>
      </c>
      <c r="S12" s="31">
        <f t="shared" si="4"/>
        <v>0.45533333333333331</v>
      </c>
      <c r="T12" s="29">
        <f t="shared" si="5"/>
        <v>0.44333333333333336</v>
      </c>
      <c r="U12" s="29">
        <f t="shared" si="6"/>
        <v>0.89866666666666672</v>
      </c>
      <c r="V12" s="32">
        <f t="shared" si="7"/>
        <v>0.50667655786350141</v>
      </c>
      <c r="W12" s="34" t="str">
        <f t="shared" si="8"/>
        <v>As calculated</v>
      </c>
    </row>
    <row r="13" spans="1:23" x14ac:dyDescent="0.2">
      <c r="A13" s="5">
        <v>12</v>
      </c>
      <c r="B13" s="5" t="s">
        <v>76</v>
      </c>
      <c r="C13" s="5" t="s">
        <v>55</v>
      </c>
      <c r="D13" s="5" t="str">
        <f>'Mechanistic level'!D13</f>
        <v>Acetate, propionate, butyrate</v>
      </c>
      <c r="E13" s="5" t="s">
        <v>204</v>
      </c>
      <c r="F13" s="5" t="s">
        <v>72</v>
      </c>
      <c r="G13" s="5" t="s">
        <v>73</v>
      </c>
      <c r="H13" s="23" t="s">
        <v>208</v>
      </c>
      <c r="I13" s="15">
        <f>'Mechanistic level'!X13</f>
        <v>0.13333333333333333</v>
      </c>
      <c r="J13" s="15">
        <f>'Mechanistic level'!Y13</f>
        <v>0.8666666666666667</v>
      </c>
      <c r="K13" s="15">
        <f>'Mechanistic level'!Z13</f>
        <v>0.13266666666666665</v>
      </c>
      <c r="L13" s="15">
        <f>'Mechanistic level'!AA13</f>
        <v>0.4373333333333333</v>
      </c>
      <c r="M13" s="15">
        <f>'Mechanistic level'!AB13</f>
        <v>-6.6666666666667651E-4</v>
      </c>
      <c r="N13" s="15">
        <f>'Mechanistic level'!AC13</f>
        <v>-0.4293333333333334</v>
      </c>
      <c r="O13" s="28">
        <f t="shared" si="0"/>
        <v>0.8666666666666667</v>
      </c>
      <c r="P13" s="29">
        <f t="shared" si="1"/>
        <v>0.13333333333333333</v>
      </c>
      <c r="Q13" s="29">
        <f t="shared" si="9"/>
        <v>1</v>
      </c>
      <c r="R13" s="30">
        <f t="shared" si="10"/>
        <v>0.8666666666666667</v>
      </c>
      <c r="S13" s="31">
        <f t="shared" si="4"/>
        <v>0.4373333333333333</v>
      </c>
      <c r="T13" s="29">
        <f>K13</f>
        <v>0.13266666666666665</v>
      </c>
      <c r="U13" s="29">
        <f t="shared" si="6"/>
        <v>0.56999999999999995</v>
      </c>
      <c r="V13" s="32">
        <f t="shared" si="7"/>
        <v>0.76725146198830407</v>
      </c>
      <c r="W13" s="34" t="str">
        <f t="shared" si="8"/>
        <v>As calculated</v>
      </c>
    </row>
    <row r="14" spans="1:23" x14ac:dyDescent="0.2">
      <c r="A14" s="5">
        <v>13</v>
      </c>
      <c r="B14" s="5" t="s">
        <v>83</v>
      </c>
      <c r="C14" s="5" t="s">
        <v>55</v>
      </c>
      <c r="D14" s="5" t="str">
        <f>'Mechanistic level'!D14</f>
        <v>Post-tanning wastewater</v>
      </c>
      <c r="E14" s="5" t="s">
        <v>205</v>
      </c>
      <c r="F14" s="5" t="s">
        <v>77</v>
      </c>
      <c r="G14" s="5" t="s">
        <v>78</v>
      </c>
      <c r="H14" s="23" t="s">
        <v>189</v>
      </c>
      <c r="I14" s="15">
        <f>'Mechanistic level'!X14</f>
        <v>1</v>
      </c>
      <c r="J14" s="15">
        <f>'Mechanistic level'!Y14</f>
        <v>0</v>
      </c>
      <c r="K14" s="15">
        <f>'Mechanistic level'!Z14</f>
        <v>0.48078405461953527</v>
      </c>
      <c r="L14" s="15">
        <f>'Mechanistic level'!AA14</f>
        <v>0</v>
      </c>
      <c r="M14" s="15">
        <f>'Mechanistic level'!AB14</f>
        <v>-0.51921594538046478</v>
      </c>
      <c r="N14" s="15">
        <f>'Mechanistic level'!AC14</f>
        <v>0</v>
      </c>
      <c r="O14" s="28">
        <f>I14</f>
        <v>1</v>
      </c>
      <c r="P14" s="29">
        <f>J14</f>
        <v>0</v>
      </c>
      <c r="Q14" s="29">
        <f t="shared" si="9"/>
        <v>1</v>
      </c>
      <c r="R14" s="30">
        <f t="shared" si="10"/>
        <v>1</v>
      </c>
      <c r="S14" s="31">
        <f>K14</f>
        <v>0.48078405461953527</v>
      </c>
      <c r="T14" s="29">
        <f>L14</f>
        <v>0</v>
      </c>
      <c r="U14" s="29">
        <f t="shared" si="6"/>
        <v>0.48078405461953527</v>
      </c>
      <c r="V14" s="32">
        <f t="shared" si="7"/>
        <v>1</v>
      </c>
      <c r="W14" s="34" t="str">
        <f t="shared" si="8"/>
        <v>Lower bound</v>
      </c>
    </row>
    <row r="15" spans="1:23" x14ac:dyDescent="0.2">
      <c r="A15" s="5">
        <v>14</v>
      </c>
      <c r="B15" s="5" t="s">
        <v>84</v>
      </c>
      <c r="C15" s="5" t="s">
        <v>55</v>
      </c>
      <c r="D15" s="5" t="str">
        <f>'Mechanistic level'!D15</f>
        <v>Post-tanning wastewater</v>
      </c>
      <c r="E15" s="5" t="s">
        <v>205</v>
      </c>
      <c r="F15" s="5" t="s">
        <v>79</v>
      </c>
      <c r="G15" s="5" t="s">
        <v>80</v>
      </c>
      <c r="H15" s="23" t="s">
        <v>189</v>
      </c>
      <c r="I15" s="15">
        <f>'Mechanistic level'!X15</f>
        <v>0.96437412549779367</v>
      </c>
      <c r="J15" s="15">
        <f>'Mechanistic level'!Y15</f>
        <v>3.5625874502206334E-2</v>
      </c>
      <c r="K15" s="15">
        <f>'Mechanistic level'!Z15</f>
        <v>0.45205037132709075</v>
      </c>
      <c r="L15" s="15">
        <f>'Mechanistic level'!AA15</f>
        <v>8.2055823371843764E-2</v>
      </c>
      <c r="M15" s="15">
        <f>'Mechanistic level'!AB15</f>
        <v>-0.51232375417070286</v>
      </c>
      <c r="N15" s="15">
        <f>'Mechanistic level'!AC15</f>
        <v>4.642994886963743E-2</v>
      </c>
      <c r="O15" s="28">
        <f t="shared" ref="O15:O16" si="11">I15</f>
        <v>0.96437412549779367</v>
      </c>
      <c r="P15" s="29">
        <f t="shared" ref="P15:P16" si="12">J15</f>
        <v>3.5625874502206334E-2</v>
      </c>
      <c r="Q15" s="29">
        <f t="shared" ref="Q15:Q16" si="13">SUM(O15:P15)</f>
        <v>1</v>
      </c>
      <c r="R15" s="30">
        <f t="shared" ref="R15:R16" si="14">O15/Q15</f>
        <v>0.96437412549779367</v>
      </c>
      <c r="S15" s="31">
        <f t="shared" ref="S15:S16" si="15">K15</f>
        <v>0.45205037132709075</v>
      </c>
      <c r="T15" s="29">
        <f t="shared" ref="T15:T16" si="16">L15</f>
        <v>8.2055823371843764E-2</v>
      </c>
      <c r="U15" s="29">
        <f t="shared" ref="U15:U16" si="17">SUM(S15:T15)</f>
        <v>0.5341061946989345</v>
      </c>
      <c r="V15" s="32">
        <f t="shared" ref="V15:V16" si="18">S15/U15</f>
        <v>0.84636796167830064</v>
      </c>
      <c r="W15" s="34" t="str">
        <f t="shared" si="8"/>
        <v>Lower bound</v>
      </c>
    </row>
    <row r="16" spans="1:23" x14ac:dyDescent="0.2">
      <c r="A16" s="5">
        <v>15</v>
      </c>
      <c r="B16" s="5" t="s">
        <v>85</v>
      </c>
      <c r="C16" s="5" t="s">
        <v>55</v>
      </c>
      <c r="D16" s="5" t="str">
        <f>'Mechanistic level'!D16</f>
        <v>Post-tanning wastewater</v>
      </c>
      <c r="E16" s="5" t="s">
        <v>205</v>
      </c>
      <c r="F16" s="5" t="s">
        <v>81</v>
      </c>
      <c r="G16" s="5" t="s">
        <v>82</v>
      </c>
      <c r="H16" s="23" t="s">
        <v>189</v>
      </c>
      <c r="I16" s="15">
        <f>'Mechanistic level'!X16</f>
        <v>0.55281124497991974</v>
      </c>
      <c r="J16" s="15">
        <f>'Mechanistic level'!Y16</f>
        <v>0.44718875502008026</v>
      </c>
      <c r="K16" s="15">
        <f>'Mechanistic level'!Z16</f>
        <v>0.32128514056224899</v>
      </c>
      <c r="L16" s="15">
        <f>'Mechanistic level'!AA16</f>
        <v>0.32509801855767856</v>
      </c>
      <c r="M16" s="15">
        <f>'Mechanistic level'!AB16</f>
        <v>-0.23152610441767074</v>
      </c>
      <c r="N16" s="15">
        <f>'Mechanistic level'!AC16</f>
        <v>-0.12209073646240171</v>
      </c>
      <c r="O16" s="28">
        <f t="shared" si="11"/>
        <v>0.55281124497991974</v>
      </c>
      <c r="P16" s="29">
        <f t="shared" si="12"/>
        <v>0.44718875502008026</v>
      </c>
      <c r="Q16" s="29">
        <f t="shared" si="13"/>
        <v>1</v>
      </c>
      <c r="R16" s="30">
        <f t="shared" si="14"/>
        <v>0.55281124497991974</v>
      </c>
      <c r="S16" s="31">
        <f t="shared" si="15"/>
        <v>0.32128514056224899</v>
      </c>
      <c r="T16" s="29">
        <f t="shared" si="16"/>
        <v>0.32509801855767856</v>
      </c>
      <c r="U16" s="29">
        <f t="shared" si="17"/>
        <v>0.64638315911992761</v>
      </c>
      <c r="V16" s="32">
        <f t="shared" si="18"/>
        <v>0.49705060540204898</v>
      </c>
      <c r="W16" s="34" t="str">
        <f t="shared" si="8"/>
        <v>Lower bound</v>
      </c>
    </row>
    <row r="17" spans="1:23" x14ac:dyDescent="0.2">
      <c r="A17" s="5">
        <v>16</v>
      </c>
      <c r="B17" s="5" t="s">
        <v>86</v>
      </c>
      <c r="C17" s="5" t="s">
        <v>23</v>
      </c>
      <c r="D17" s="5" t="str">
        <f>'Mechanistic level'!D17</f>
        <v>Glucose</v>
      </c>
      <c r="E17" s="5" t="s">
        <v>204</v>
      </c>
      <c r="F17" s="5" t="s">
        <v>43</v>
      </c>
      <c r="G17" s="5" t="s">
        <v>37</v>
      </c>
      <c r="H17" s="23" t="s">
        <v>208</v>
      </c>
      <c r="I17" s="15">
        <f>'Mechanistic level'!X17</f>
        <v>6.6666666666666666E-2</v>
      </c>
      <c r="J17" s="15">
        <f>'Mechanistic level'!Y17</f>
        <v>0.93333333333333335</v>
      </c>
      <c r="K17" s="15">
        <f>'Mechanistic level'!Z17</f>
        <v>5.3999999999999999E-2</v>
      </c>
      <c r="L17" s="15">
        <f>'Mechanistic level'!AA17</f>
        <v>0.65800000000000003</v>
      </c>
      <c r="M17" s="15">
        <f>'Mechanistic level'!AB17</f>
        <v>-1.2666666666666666E-2</v>
      </c>
      <c r="N17" s="15">
        <f>'Mechanistic level'!AC17</f>
        <v>-0.27533333333333332</v>
      </c>
      <c r="O17" s="28">
        <f t="shared" ref="O17" si="19">J17</f>
        <v>0.93333333333333335</v>
      </c>
      <c r="P17" s="29">
        <f t="shared" ref="P17" si="20">I17</f>
        <v>6.6666666666666666E-2</v>
      </c>
      <c r="Q17" s="29">
        <f t="shared" ref="Q17" si="21">SUM(O17:P17)</f>
        <v>1</v>
      </c>
      <c r="R17" s="30">
        <f t="shared" ref="R17" si="22">O17/Q17</f>
        <v>0.93333333333333335</v>
      </c>
      <c r="S17" s="31">
        <f t="shared" ref="S17" si="23">L17</f>
        <v>0.65800000000000003</v>
      </c>
      <c r="T17" s="29">
        <f>K17</f>
        <v>5.3999999999999999E-2</v>
      </c>
      <c r="U17" s="29">
        <f t="shared" ref="U17" si="24">SUM(S17:T17)</f>
        <v>0.71200000000000008</v>
      </c>
      <c r="V17" s="32">
        <f t="shared" ref="V17" si="25">S17/U17</f>
        <v>0.9241573033707865</v>
      </c>
      <c r="W17" s="34" t="str">
        <f t="shared" si="8"/>
        <v>As calculated</v>
      </c>
    </row>
    <row r="18" spans="1:23" x14ac:dyDescent="0.2">
      <c r="A18" s="5">
        <v>17</v>
      </c>
      <c r="B18" s="5" t="s">
        <v>87</v>
      </c>
      <c r="C18" s="5" t="s">
        <v>23</v>
      </c>
      <c r="D18" s="5" t="str">
        <f>'Mechanistic level'!D18</f>
        <v>Glucose</v>
      </c>
      <c r="E18" s="5" t="s">
        <v>204</v>
      </c>
      <c r="F18" s="5" t="s">
        <v>44</v>
      </c>
      <c r="G18" s="5" t="s">
        <v>38</v>
      </c>
      <c r="H18" s="23" t="s">
        <v>208</v>
      </c>
      <c r="I18" s="15">
        <f>'Mechanistic level'!X18</f>
        <v>8.8888888888888892E-2</v>
      </c>
      <c r="J18" s="15">
        <f>'Mechanistic level'!Y18</f>
        <v>0.91111111111111109</v>
      </c>
      <c r="K18" s="15">
        <f>'Mechanistic level'!Z18</f>
        <v>7.0999999999999994E-2</v>
      </c>
      <c r="L18" s="15">
        <f>'Mechanistic level'!AA18</f>
        <v>0.66800000000000004</v>
      </c>
      <c r="M18" s="15">
        <f>'Mechanistic level'!AB18</f>
        <v>-1.7888888888888899E-2</v>
      </c>
      <c r="N18" s="15">
        <f>'Mechanistic level'!AC18</f>
        <v>-0.24311111111111106</v>
      </c>
      <c r="O18" s="28">
        <f t="shared" ref="O18:O28" si="26">J18</f>
        <v>0.91111111111111109</v>
      </c>
      <c r="P18" s="29">
        <f t="shared" ref="P18:P28" si="27">I18</f>
        <v>8.8888888888888892E-2</v>
      </c>
      <c r="Q18" s="29">
        <f t="shared" ref="Q18:Q31" si="28">SUM(O18:P18)</f>
        <v>1</v>
      </c>
      <c r="R18" s="30">
        <f t="shared" ref="R18:R31" si="29">O18/Q18</f>
        <v>0.91111111111111109</v>
      </c>
      <c r="S18" s="31">
        <f t="shared" ref="S18:S28" si="30">L18</f>
        <v>0.66800000000000004</v>
      </c>
      <c r="T18" s="29">
        <f t="shared" ref="T18:T28" si="31">K18</f>
        <v>7.0999999999999994E-2</v>
      </c>
      <c r="U18" s="29">
        <f t="shared" ref="U18:U28" si="32">SUM(S18:T18)</f>
        <v>0.73899999999999999</v>
      </c>
      <c r="V18" s="32">
        <f t="shared" ref="V18:V28" si="33">S18/U18</f>
        <v>0.90392422192151567</v>
      </c>
      <c r="W18" s="34" t="str">
        <f t="shared" si="8"/>
        <v>As calculated</v>
      </c>
    </row>
    <row r="19" spans="1:23" x14ac:dyDescent="0.2">
      <c r="A19" s="5">
        <v>18</v>
      </c>
      <c r="B19" s="5" t="s">
        <v>88</v>
      </c>
      <c r="C19" s="5" t="s">
        <v>23</v>
      </c>
      <c r="D19" s="5" t="str">
        <f>'Mechanistic level'!D19</f>
        <v>Glucose</v>
      </c>
      <c r="E19" s="5" t="s">
        <v>204</v>
      </c>
      <c r="F19" s="5" t="s">
        <v>45</v>
      </c>
      <c r="G19" s="5" t="s">
        <v>39</v>
      </c>
      <c r="H19" s="23" t="s">
        <v>208</v>
      </c>
      <c r="I19" s="15">
        <f>'Mechanistic level'!X19</f>
        <v>0.13333333333333333</v>
      </c>
      <c r="J19" s="15">
        <f>'Mechanistic level'!Y19</f>
        <v>0.8666666666666667</v>
      </c>
      <c r="K19" s="15">
        <f>'Mechanistic level'!Z19</f>
        <v>0.10100000000000001</v>
      </c>
      <c r="L19" s="15">
        <f>'Mechanistic level'!AA19</f>
        <v>0.64700000000000002</v>
      </c>
      <c r="M19" s="15">
        <f>'Mechanistic level'!AB19</f>
        <v>-3.2333333333333325E-2</v>
      </c>
      <c r="N19" s="15">
        <f>'Mechanistic level'!AC19</f>
        <v>-0.21966666666666668</v>
      </c>
      <c r="O19" s="28">
        <f t="shared" si="26"/>
        <v>0.8666666666666667</v>
      </c>
      <c r="P19" s="29">
        <f t="shared" si="27"/>
        <v>0.13333333333333333</v>
      </c>
      <c r="Q19" s="29">
        <f t="shared" si="28"/>
        <v>1</v>
      </c>
      <c r="R19" s="30">
        <f t="shared" si="29"/>
        <v>0.8666666666666667</v>
      </c>
      <c r="S19" s="31">
        <f t="shared" si="30"/>
        <v>0.64700000000000002</v>
      </c>
      <c r="T19" s="29">
        <f t="shared" si="31"/>
        <v>0.10100000000000001</v>
      </c>
      <c r="U19" s="29">
        <f t="shared" si="32"/>
        <v>0.748</v>
      </c>
      <c r="V19" s="32">
        <f t="shared" si="33"/>
        <v>0.86497326203208558</v>
      </c>
      <c r="W19" s="34" t="str">
        <f t="shared" si="8"/>
        <v>As calculated</v>
      </c>
    </row>
    <row r="20" spans="1:23" x14ac:dyDescent="0.2">
      <c r="A20" s="5">
        <v>19</v>
      </c>
      <c r="B20" s="5" t="s">
        <v>89</v>
      </c>
      <c r="C20" s="5" t="s">
        <v>23</v>
      </c>
      <c r="D20" s="5" t="str">
        <f>'Mechanistic level'!D20</f>
        <v>Glucose</v>
      </c>
      <c r="E20" s="5" t="s">
        <v>204</v>
      </c>
      <c r="F20" s="5" t="s">
        <v>46</v>
      </c>
      <c r="G20" s="5" t="s">
        <v>40</v>
      </c>
      <c r="H20" s="23" t="s">
        <v>208</v>
      </c>
      <c r="I20" s="15">
        <f>'Mechanistic level'!X20</f>
        <v>0.22222222222222221</v>
      </c>
      <c r="J20" s="15">
        <f>'Mechanistic level'!Y20</f>
        <v>0.77777777777777779</v>
      </c>
      <c r="K20" s="15">
        <f>'Mechanistic level'!Z20</f>
        <v>0.16</v>
      </c>
      <c r="L20" s="15">
        <f>'Mechanistic level'!AA20</f>
        <v>0.628</v>
      </c>
      <c r="M20" s="15">
        <f>'Mechanistic level'!AB20</f>
        <v>-6.2222222222222207E-2</v>
      </c>
      <c r="N20" s="15">
        <f>'Mechanistic level'!AC20</f>
        <v>-0.14977777777777779</v>
      </c>
      <c r="O20" s="28">
        <f t="shared" si="26"/>
        <v>0.77777777777777779</v>
      </c>
      <c r="P20" s="29">
        <f t="shared" si="27"/>
        <v>0.22222222222222221</v>
      </c>
      <c r="Q20" s="29">
        <f t="shared" si="28"/>
        <v>1</v>
      </c>
      <c r="R20" s="30">
        <f t="shared" si="29"/>
        <v>0.77777777777777779</v>
      </c>
      <c r="S20" s="31">
        <f t="shared" si="30"/>
        <v>0.628</v>
      </c>
      <c r="T20" s="29">
        <f t="shared" si="31"/>
        <v>0.16</v>
      </c>
      <c r="U20" s="29">
        <f t="shared" si="32"/>
        <v>0.78800000000000003</v>
      </c>
      <c r="V20" s="32">
        <f t="shared" si="33"/>
        <v>0.79695431472081213</v>
      </c>
      <c r="W20" s="34" t="str">
        <f t="shared" si="8"/>
        <v>As calculated</v>
      </c>
    </row>
    <row r="21" spans="1:23" x14ac:dyDescent="0.2">
      <c r="A21" s="5">
        <v>20</v>
      </c>
      <c r="B21" s="5" t="s">
        <v>90</v>
      </c>
      <c r="C21" s="5" t="s">
        <v>23</v>
      </c>
      <c r="D21" s="5" t="str">
        <f>'Mechanistic level'!D21</f>
        <v>Glucose</v>
      </c>
      <c r="E21" s="5" t="s">
        <v>204</v>
      </c>
      <c r="F21" s="5" t="s">
        <v>47</v>
      </c>
      <c r="G21" s="5" t="s">
        <v>41</v>
      </c>
      <c r="H21" s="23" t="s">
        <v>208</v>
      </c>
      <c r="I21" s="15">
        <f>'Mechanistic level'!X21</f>
        <v>0.33333333333333331</v>
      </c>
      <c r="J21" s="15">
        <f>'Mechanistic level'!Y21</f>
        <v>0.66666666666666674</v>
      </c>
      <c r="K21" s="15">
        <f>'Mechanistic level'!Z21</f>
        <v>0.23100000000000001</v>
      </c>
      <c r="L21" s="15">
        <f>'Mechanistic level'!AA21</f>
        <v>0.504</v>
      </c>
      <c r="M21" s="15">
        <f>'Mechanistic level'!AB21</f>
        <v>-0.1023333333333333</v>
      </c>
      <c r="N21" s="15">
        <f>'Mechanistic level'!AC21</f>
        <v>-0.16266666666666674</v>
      </c>
      <c r="O21" s="28">
        <f t="shared" si="26"/>
        <v>0.66666666666666674</v>
      </c>
      <c r="P21" s="29">
        <f t="shared" si="27"/>
        <v>0.33333333333333331</v>
      </c>
      <c r="Q21" s="29">
        <f t="shared" si="28"/>
        <v>1</v>
      </c>
      <c r="R21" s="30">
        <f t="shared" si="29"/>
        <v>0.66666666666666674</v>
      </c>
      <c r="S21" s="31">
        <f t="shared" si="30"/>
        <v>0.504</v>
      </c>
      <c r="T21" s="29">
        <f t="shared" si="31"/>
        <v>0.23100000000000001</v>
      </c>
      <c r="U21" s="29">
        <f t="shared" si="32"/>
        <v>0.73499999999999999</v>
      </c>
      <c r="V21" s="32">
        <f t="shared" si="33"/>
        <v>0.68571428571428572</v>
      </c>
      <c r="W21" s="34" t="str">
        <f t="shared" si="8"/>
        <v>As calculated</v>
      </c>
    </row>
    <row r="22" spans="1:23" x14ac:dyDescent="0.2">
      <c r="A22" s="5">
        <v>21</v>
      </c>
      <c r="B22" s="5" t="s">
        <v>91</v>
      </c>
      <c r="C22" s="5" t="s">
        <v>23</v>
      </c>
      <c r="D22" s="5" t="str">
        <f>'Mechanistic level'!D22</f>
        <v>Glucose</v>
      </c>
      <c r="E22" s="5" t="s">
        <v>204</v>
      </c>
      <c r="F22" s="5" t="s">
        <v>48</v>
      </c>
      <c r="G22" s="5" t="s">
        <v>42</v>
      </c>
      <c r="H22" s="23" t="s">
        <v>208</v>
      </c>
      <c r="I22" s="15">
        <f>'Mechanistic level'!X22</f>
        <v>0.66666666666666663</v>
      </c>
      <c r="J22" s="15">
        <f>'Mechanistic level'!Y22</f>
        <v>0.33333333333333337</v>
      </c>
      <c r="K22" s="15">
        <f>'Mechanistic level'!Z22</f>
        <v>0.26700000000000002</v>
      </c>
      <c r="L22" s="15">
        <f>'Mechanistic level'!AA22</f>
        <v>0.37199999999999994</v>
      </c>
      <c r="M22" s="15">
        <f>'Mechanistic level'!AB22</f>
        <v>-0.39966666666666661</v>
      </c>
      <c r="N22" s="15">
        <f>'Mechanistic level'!AC22</f>
        <v>3.8666666666666571E-2</v>
      </c>
      <c r="O22" s="28">
        <f t="shared" si="26"/>
        <v>0.33333333333333337</v>
      </c>
      <c r="P22" s="29">
        <f t="shared" si="27"/>
        <v>0.66666666666666663</v>
      </c>
      <c r="Q22" s="29">
        <f t="shared" si="28"/>
        <v>1</v>
      </c>
      <c r="R22" s="30">
        <f t="shared" si="29"/>
        <v>0.33333333333333337</v>
      </c>
      <c r="S22" s="31">
        <f t="shared" si="30"/>
        <v>0.37199999999999994</v>
      </c>
      <c r="T22" s="29">
        <f t="shared" si="31"/>
        <v>0.26700000000000002</v>
      </c>
      <c r="U22" s="29">
        <f t="shared" si="32"/>
        <v>0.63900000000000001</v>
      </c>
      <c r="V22" s="32">
        <f t="shared" si="33"/>
        <v>0.58215962441314539</v>
      </c>
      <c r="W22" s="34" t="str">
        <f t="shared" si="8"/>
        <v>As calculated</v>
      </c>
    </row>
    <row r="23" spans="1:23" x14ac:dyDescent="0.2">
      <c r="A23" s="5">
        <v>22</v>
      </c>
      <c r="B23" s="5" t="s">
        <v>92</v>
      </c>
      <c r="C23" s="5" t="s">
        <v>23</v>
      </c>
      <c r="D23" s="5" t="str">
        <f>'Mechanistic level'!D23</f>
        <v>Glucose</v>
      </c>
      <c r="E23" s="5" t="s">
        <v>204</v>
      </c>
      <c r="F23" s="5" t="s">
        <v>98</v>
      </c>
      <c r="G23" s="5" t="s">
        <v>99</v>
      </c>
      <c r="H23" s="23" t="s">
        <v>208</v>
      </c>
      <c r="I23" s="15">
        <f>'Mechanistic level'!X23</f>
        <v>6.6666666666666666E-2</v>
      </c>
      <c r="J23" s="15">
        <f>'Mechanistic level'!Y23</f>
        <v>0.93333333333333335</v>
      </c>
      <c r="K23" s="15">
        <f>'Mechanistic level'!Z23</f>
        <v>0.06</v>
      </c>
      <c r="L23" s="15">
        <f>'Mechanistic level'!AA23</f>
        <v>0.82599999999999985</v>
      </c>
      <c r="M23" s="15">
        <f>'Mechanistic level'!AB23</f>
        <v>-6.666666666666668E-3</v>
      </c>
      <c r="N23" s="15">
        <f>'Mechanistic level'!AC23</f>
        <v>-0.1073333333333335</v>
      </c>
      <c r="O23" s="28">
        <f t="shared" si="26"/>
        <v>0.93333333333333335</v>
      </c>
      <c r="P23" s="29">
        <f t="shared" si="27"/>
        <v>6.6666666666666666E-2</v>
      </c>
      <c r="Q23" s="29">
        <f t="shared" si="28"/>
        <v>1</v>
      </c>
      <c r="R23" s="30">
        <f t="shared" si="29"/>
        <v>0.93333333333333335</v>
      </c>
      <c r="S23" s="31">
        <f t="shared" si="30"/>
        <v>0.82599999999999985</v>
      </c>
      <c r="T23" s="29">
        <f t="shared" si="31"/>
        <v>0.06</v>
      </c>
      <c r="U23" s="29">
        <f t="shared" si="32"/>
        <v>0.8859999999999999</v>
      </c>
      <c r="V23" s="32">
        <f t="shared" si="33"/>
        <v>0.93227990970654617</v>
      </c>
      <c r="W23" s="34" t="str">
        <f t="shared" si="8"/>
        <v>As calculated</v>
      </c>
    </row>
    <row r="24" spans="1:23" x14ac:dyDescent="0.2">
      <c r="A24" s="5">
        <v>23</v>
      </c>
      <c r="B24" s="5" t="s">
        <v>93</v>
      </c>
      <c r="C24" s="5" t="s">
        <v>23</v>
      </c>
      <c r="D24" s="5" t="str">
        <f>'Mechanistic level'!D24</f>
        <v>Glucose</v>
      </c>
      <c r="E24" s="5" t="s">
        <v>204</v>
      </c>
      <c r="F24" s="5" t="s">
        <v>100</v>
      </c>
      <c r="G24" s="5" t="s">
        <v>101</v>
      </c>
      <c r="H24" s="23" t="s">
        <v>208</v>
      </c>
      <c r="I24" s="15">
        <f>'Mechanistic level'!X24</f>
        <v>8.8888888888888892E-2</v>
      </c>
      <c r="J24" s="15">
        <f>'Mechanistic level'!Y24</f>
        <v>0.91111111111111109</v>
      </c>
      <c r="K24" s="15">
        <f>'Mechanistic level'!Z24</f>
        <v>8.1000000000000003E-2</v>
      </c>
      <c r="L24" s="15">
        <f>'Mechanistic level'!AA24</f>
        <v>0.81699999999999984</v>
      </c>
      <c r="M24" s="15">
        <f>'Mechanistic level'!AB24</f>
        <v>-7.8888888888888897E-3</v>
      </c>
      <c r="N24" s="15">
        <f>'Mechanistic level'!AC24</f>
        <v>-9.4111111111111256E-2</v>
      </c>
      <c r="O24" s="28">
        <f t="shared" si="26"/>
        <v>0.91111111111111109</v>
      </c>
      <c r="P24" s="29">
        <f t="shared" si="27"/>
        <v>8.8888888888888892E-2</v>
      </c>
      <c r="Q24" s="29">
        <f t="shared" si="28"/>
        <v>1</v>
      </c>
      <c r="R24" s="30">
        <f t="shared" si="29"/>
        <v>0.91111111111111109</v>
      </c>
      <c r="S24" s="31">
        <f t="shared" si="30"/>
        <v>0.81699999999999984</v>
      </c>
      <c r="T24" s="29">
        <f t="shared" si="31"/>
        <v>8.1000000000000003E-2</v>
      </c>
      <c r="U24" s="29">
        <f t="shared" si="32"/>
        <v>0.8979999999999998</v>
      </c>
      <c r="V24" s="32">
        <f t="shared" si="33"/>
        <v>0.90979955456570161</v>
      </c>
      <c r="W24" s="34" t="str">
        <f t="shared" si="8"/>
        <v>As calculated</v>
      </c>
    </row>
    <row r="25" spans="1:23" x14ac:dyDescent="0.2">
      <c r="A25" s="5">
        <v>24</v>
      </c>
      <c r="B25" s="5" t="s">
        <v>94</v>
      </c>
      <c r="C25" s="5" t="s">
        <v>23</v>
      </c>
      <c r="D25" s="5" t="str">
        <f>'Mechanistic level'!D25</f>
        <v>Glucose</v>
      </c>
      <c r="E25" s="5" t="s">
        <v>204</v>
      </c>
      <c r="F25" s="5" t="s">
        <v>102</v>
      </c>
      <c r="G25" s="5" t="s">
        <v>103</v>
      </c>
      <c r="H25" s="23" t="s">
        <v>208</v>
      </c>
      <c r="I25" s="15">
        <f>'Mechanistic level'!X25</f>
        <v>0.13333333333333333</v>
      </c>
      <c r="J25" s="15">
        <f>'Mechanistic level'!Y25</f>
        <v>0.8666666666666667</v>
      </c>
      <c r="K25" s="15">
        <f>'Mechanistic level'!Z25</f>
        <v>0.12</v>
      </c>
      <c r="L25" s="15">
        <f>'Mechanistic level'!AA25</f>
        <v>0.77800000000000002</v>
      </c>
      <c r="M25" s="15">
        <f>'Mechanistic level'!AB25</f>
        <v>-1.3333333333333336E-2</v>
      </c>
      <c r="N25" s="15">
        <f>'Mechanistic level'!AC25</f>
        <v>-8.8666666666666671E-2</v>
      </c>
      <c r="O25" s="28">
        <f t="shared" si="26"/>
        <v>0.8666666666666667</v>
      </c>
      <c r="P25" s="29">
        <f t="shared" si="27"/>
        <v>0.13333333333333333</v>
      </c>
      <c r="Q25" s="29">
        <f t="shared" si="28"/>
        <v>1</v>
      </c>
      <c r="R25" s="30">
        <f t="shared" si="29"/>
        <v>0.8666666666666667</v>
      </c>
      <c r="S25" s="31">
        <f t="shared" si="30"/>
        <v>0.77800000000000002</v>
      </c>
      <c r="T25" s="29">
        <f t="shared" si="31"/>
        <v>0.12</v>
      </c>
      <c r="U25" s="29">
        <f t="shared" si="32"/>
        <v>0.89800000000000002</v>
      </c>
      <c r="V25" s="32">
        <f t="shared" si="33"/>
        <v>0.86636971046770606</v>
      </c>
      <c r="W25" s="34" t="str">
        <f t="shared" si="8"/>
        <v>As calculated</v>
      </c>
    </row>
    <row r="26" spans="1:23" x14ac:dyDescent="0.2">
      <c r="A26" s="5">
        <v>25</v>
      </c>
      <c r="B26" s="5" t="s">
        <v>95</v>
      </c>
      <c r="C26" s="5" t="s">
        <v>23</v>
      </c>
      <c r="D26" s="5" t="str">
        <f>'Mechanistic level'!D26</f>
        <v>Glucose</v>
      </c>
      <c r="E26" s="5" t="s">
        <v>204</v>
      </c>
      <c r="F26" s="5" t="s">
        <v>104</v>
      </c>
      <c r="G26" s="5" t="s">
        <v>105</v>
      </c>
      <c r="H26" s="23" t="s">
        <v>208</v>
      </c>
      <c r="I26" s="15">
        <f>'Mechanistic level'!X26</f>
        <v>0.22222222222222221</v>
      </c>
      <c r="J26" s="15">
        <f>'Mechanistic level'!Y26</f>
        <v>0.77777777777777779</v>
      </c>
      <c r="K26" s="15">
        <f>'Mechanistic level'!Z26</f>
        <v>0.189</v>
      </c>
      <c r="L26" s="15">
        <f>'Mechanistic level'!AA26</f>
        <v>0.69199999999999984</v>
      </c>
      <c r="M26" s="15">
        <f>'Mechanistic level'!AB26</f>
        <v>-3.3222222222222209E-2</v>
      </c>
      <c r="N26" s="15">
        <f>'Mechanistic level'!AC26</f>
        <v>-8.5777777777777953E-2</v>
      </c>
      <c r="O26" s="28">
        <f t="shared" si="26"/>
        <v>0.77777777777777779</v>
      </c>
      <c r="P26" s="29">
        <f t="shared" si="27"/>
        <v>0.22222222222222221</v>
      </c>
      <c r="Q26" s="29">
        <f t="shared" si="28"/>
        <v>1</v>
      </c>
      <c r="R26" s="30">
        <f t="shared" si="29"/>
        <v>0.77777777777777779</v>
      </c>
      <c r="S26" s="31">
        <f t="shared" si="30"/>
        <v>0.69199999999999984</v>
      </c>
      <c r="T26" s="29">
        <f t="shared" si="31"/>
        <v>0.189</v>
      </c>
      <c r="U26" s="29">
        <f t="shared" si="32"/>
        <v>0.88099999999999978</v>
      </c>
      <c r="V26" s="32">
        <f t="shared" si="33"/>
        <v>0.78547105561861519</v>
      </c>
      <c r="W26" s="34" t="str">
        <f t="shared" si="8"/>
        <v>As calculated</v>
      </c>
    </row>
    <row r="27" spans="1:23" x14ac:dyDescent="0.2">
      <c r="A27" s="5">
        <v>26</v>
      </c>
      <c r="B27" s="5" t="s">
        <v>96</v>
      </c>
      <c r="C27" s="5" t="s">
        <v>23</v>
      </c>
      <c r="D27" s="5" t="str">
        <f>'Mechanistic level'!D27</f>
        <v>Glucose</v>
      </c>
      <c r="E27" s="5" t="s">
        <v>204</v>
      </c>
      <c r="F27" s="5" t="s">
        <v>106</v>
      </c>
      <c r="G27" s="5" t="s">
        <v>107</v>
      </c>
      <c r="H27" s="23" t="s">
        <v>208</v>
      </c>
      <c r="I27" s="15">
        <f>'Mechanistic level'!X27</f>
        <v>0.33333333333333331</v>
      </c>
      <c r="J27" s="15">
        <f>'Mechanistic level'!Y27</f>
        <v>0.66666666666666674</v>
      </c>
      <c r="K27" s="15">
        <f>'Mechanistic level'!Z27</f>
        <v>0.27300000000000002</v>
      </c>
      <c r="L27" s="15">
        <f>'Mechanistic level'!AA27</f>
        <v>0.59299999999999986</v>
      </c>
      <c r="M27" s="15">
        <f>'Mechanistic level'!AB27</f>
        <v>-6.0333333333333294E-2</v>
      </c>
      <c r="N27" s="15">
        <f>'Mechanistic level'!AC27</f>
        <v>-7.366666666666688E-2</v>
      </c>
      <c r="O27" s="28">
        <f t="shared" si="26"/>
        <v>0.66666666666666674</v>
      </c>
      <c r="P27" s="29">
        <f t="shared" si="27"/>
        <v>0.33333333333333331</v>
      </c>
      <c r="Q27" s="29">
        <f t="shared" si="28"/>
        <v>1</v>
      </c>
      <c r="R27" s="30">
        <f t="shared" si="29"/>
        <v>0.66666666666666674</v>
      </c>
      <c r="S27" s="31">
        <f t="shared" si="30"/>
        <v>0.59299999999999986</v>
      </c>
      <c r="T27" s="29">
        <f t="shared" si="31"/>
        <v>0.27300000000000002</v>
      </c>
      <c r="U27" s="29">
        <f t="shared" si="32"/>
        <v>0.86599999999999988</v>
      </c>
      <c r="V27" s="32">
        <f t="shared" si="33"/>
        <v>0.684757505773672</v>
      </c>
      <c r="W27" s="34" t="str">
        <f t="shared" si="8"/>
        <v>As calculated</v>
      </c>
    </row>
    <row r="28" spans="1:23" x14ac:dyDescent="0.2">
      <c r="A28" s="5">
        <v>27</v>
      </c>
      <c r="B28" s="5" t="s">
        <v>97</v>
      </c>
      <c r="C28" s="5" t="s">
        <v>23</v>
      </c>
      <c r="D28" s="5" t="str">
        <f>'Mechanistic level'!D28</f>
        <v>Glucose</v>
      </c>
      <c r="E28" s="5" t="s">
        <v>204</v>
      </c>
      <c r="F28" s="5" t="s">
        <v>108</v>
      </c>
      <c r="G28" s="5" t="s">
        <v>109</v>
      </c>
      <c r="H28" s="23" t="s">
        <v>208</v>
      </c>
      <c r="I28" s="15">
        <f>'Mechanistic level'!X28</f>
        <v>0.66666666666666663</v>
      </c>
      <c r="J28" s="15">
        <f>'Mechanistic level'!Y28</f>
        <v>0.33333333333333337</v>
      </c>
      <c r="K28" s="15">
        <f>'Mechanistic level'!Z28</f>
        <v>0.314</v>
      </c>
      <c r="L28" s="15">
        <f>'Mechanistic level'!AA28</f>
        <v>0.52100000000000002</v>
      </c>
      <c r="M28" s="15">
        <f>'Mechanistic level'!AB28</f>
        <v>-0.35266666666666663</v>
      </c>
      <c r="N28" s="15">
        <f>'Mechanistic level'!AC28</f>
        <v>0.18766666666666665</v>
      </c>
      <c r="O28" s="28">
        <f t="shared" si="26"/>
        <v>0.33333333333333337</v>
      </c>
      <c r="P28" s="29">
        <f t="shared" si="27"/>
        <v>0.66666666666666663</v>
      </c>
      <c r="Q28" s="29">
        <f t="shared" si="28"/>
        <v>1</v>
      </c>
      <c r="R28" s="30">
        <f t="shared" si="29"/>
        <v>0.33333333333333337</v>
      </c>
      <c r="S28" s="31">
        <f t="shared" si="30"/>
        <v>0.52100000000000002</v>
      </c>
      <c r="T28" s="29">
        <f t="shared" si="31"/>
        <v>0.314</v>
      </c>
      <c r="U28" s="29">
        <f t="shared" si="32"/>
        <v>0.83499999999999996</v>
      </c>
      <c r="V28" s="32">
        <f t="shared" si="33"/>
        <v>0.62395209580838329</v>
      </c>
      <c r="W28" s="34" t="str">
        <f t="shared" si="8"/>
        <v>As calculated</v>
      </c>
    </row>
    <row r="29" spans="1:23" x14ac:dyDescent="0.2">
      <c r="A29" s="5">
        <v>28</v>
      </c>
      <c r="B29" s="5" t="s">
        <v>110</v>
      </c>
      <c r="C29" s="5" t="s">
        <v>55</v>
      </c>
      <c r="D29" s="5" t="str">
        <f>'Mechanistic level'!D29</f>
        <v>Butanol + sulfonation wastewater</v>
      </c>
      <c r="E29" s="5" t="s">
        <v>206</v>
      </c>
      <c r="F29" s="5" t="s">
        <v>115</v>
      </c>
      <c r="G29" s="5" t="s">
        <v>115</v>
      </c>
      <c r="H29" s="23" t="s">
        <v>189</v>
      </c>
      <c r="I29" s="15">
        <f>'Mechanistic level'!X29</f>
        <v>0.252843394575678</v>
      </c>
      <c r="J29" s="15">
        <f>'Mechanistic level'!Y29</f>
        <v>0.74715660542432194</v>
      </c>
      <c r="K29" s="15">
        <f>'Mechanistic level'!Z29</f>
        <v>0.16220472440944883</v>
      </c>
      <c r="L29" s="15">
        <f>'Mechanistic level'!AA29</f>
        <v>2.9396325459317586E-4</v>
      </c>
      <c r="M29" s="15">
        <f>'Mechanistic level'!AB29</f>
        <v>-9.0638670166229174E-2</v>
      </c>
      <c r="N29" s="15">
        <f>'Mechanistic level'!AC29</f>
        <v>-0.74686264216972875</v>
      </c>
      <c r="O29" s="28">
        <f>I29</f>
        <v>0.252843394575678</v>
      </c>
      <c r="P29" s="29">
        <f>J29</f>
        <v>0.74715660542432194</v>
      </c>
      <c r="Q29" s="29">
        <f t="shared" si="28"/>
        <v>1</v>
      </c>
      <c r="R29" s="30">
        <f t="shared" si="29"/>
        <v>0.252843394575678</v>
      </c>
      <c r="S29" s="31">
        <f>K29</f>
        <v>0.16220472440944883</v>
      </c>
      <c r="T29" s="29">
        <f>L29</f>
        <v>2.9396325459317586E-4</v>
      </c>
      <c r="U29" s="29">
        <f t="shared" ref="U29:U33" si="34">SUM(S29:T29)</f>
        <v>0.16249868766404202</v>
      </c>
      <c r="V29" s="32">
        <f t="shared" ref="V29:V33" si="35">S29/U29</f>
        <v>0.99819098074686641</v>
      </c>
      <c r="W29" s="34" t="str">
        <f t="shared" si="8"/>
        <v>Lower bound</v>
      </c>
    </row>
    <row r="30" spans="1:23" x14ac:dyDescent="0.2">
      <c r="A30" s="5">
        <v>29</v>
      </c>
      <c r="B30" s="5" t="s">
        <v>111</v>
      </c>
      <c r="C30" s="5" t="s">
        <v>55</v>
      </c>
      <c r="D30" s="5" t="str">
        <f>'Mechanistic level'!D30</f>
        <v>Butanol + sulfonation wastewater</v>
      </c>
      <c r="E30" s="5" t="s">
        <v>206</v>
      </c>
      <c r="F30" s="5" t="s">
        <v>116</v>
      </c>
      <c r="G30" s="5" t="s">
        <v>116</v>
      </c>
      <c r="H30" s="23" t="s">
        <v>189</v>
      </c>
      <c r="I30" s="15">
        <f>'Mechanistic level'!X30</f>
        <v>0.21703661544298994</v>
      </c>
      <c r="J30" s="15">
        <f>'Mechanistic level'!Y30</f>
        <v>0.78296338455701009</v>
      </c>
      <c r="K30" s="15">
        <f>'Mechanistic level'!Z30</f>
        <v>0.20493265035097705</v>
      </c>
      <c r="L30" s="15">
        <f>'Mechanistic level'!AA30</f>
        <v>3.0961866818440527E-4</v>
      </c>
      <c r="M30" s="15">
        <f>'Mechanistic level'!AB30</f>
        <v>-1.2103965092012892E-2</v>
      </c>
      <c r="N30" s="15">
        <f>'Mechanistic level'!AC30</f>
        <v>-0.78265376588882574</v>
      </c>
      <c r="O30" s="28">
        <f t="shared" ref="O30:O33" si="36">I30</f>
        <v>0.21703661544298994</v>
      </c>
      <c r="P30" s="29">
        <f t="shared" ref="P30:P33" si="37">J30</f>
        <v>0.78296338455701009</v>
      </c>
      <c r="Q30" s="29">
        <f t="shared" si="28"/>
        <v>1</v>
      </c>
      <c r="R30" s="30">
        <f t="shared" si="29"/>
        <v>0.21703661544298994</v>
      </c>
      <c r="S30" s="31">
        <f t="shared" ref="S30:S31" si="38">K30</f>
        <v>0.20493265035097705</v>
      </c>
      <c r="T30" s="29">
        <f t="shared" ref="T30:T31" si="39">L30</f>
        <v>3.0961866818440527E-4</v>
      </c>
      <c r="U30" s="29">
        <f t="shared" si="34"/>
        <v>0.20524226901916146</v>
      </c>
      <c r="V30" s="32">
        <f t="shared" si="35"/>
        <v>0.99849144784033006</v>
      </c>
      <c r="W30" s="34" t="str">
        <f t="shared" si="8"/>
        <v>Lower bound</v>
      </c>
    </row>
    <row r="31" spans="1:23" x14ac:dyDescent="0.2">
      <c r="A31" s="5">
        <v>30</v>
      </c>
      <c r="B31" s="5" t="s">
        <v>112</v>
      </c>
      <c r="C31" s="5" t="s">
        <v>55</v>
      </c>
      <c r="D31" s="5" t="str">
        <f>'Mechanistic level'!D31</f>
        <v>Butanol + sulfonation wastewater</v>
      </c>
      <c r="E31" s="5" t="s">
        <v>206</v>
      </c>
      <c r="F31" s="5" t="s">
        <v>117</v>
      </c>
      <c r="G31" s="5" t="s">
        <v>117</v>
      </c>
      <c r="H31" s="23" t="s">
        <v>189</v>
      </c>
      <c r="I31" s="15">
        <f>'Mechanistic level'!X31</f>
        <v>0.18199183815229661</v>
      </c>
      <c r="J31" s="15">
        <f>'Mechanistic level'!Y31</f>
        <v>0.81800816184770342</v>
      </c>
      <c r="K31" s="15">
        <f>'Mechanistic level'!Z31</f>
        <v>0.17219762090822263</v>
      </c>
      <c r="L31" s="15">
        <f>'Mechanistic level'!AA31</f>
        <v>2.8340713727533211E-4</v>
      </c>
      <c r="M31" s="15">
        <f>'Mechanistic level'!AB31</f>
        <v>-9.7942172440739772E-3</v>
      </c>
      <c r="N31" s="15">
        <f>'Mechanistic level'!AC31</f>
        <v>-0.81772475471042805</v>
      </c>
      <c r="O31" s="28">
        <f t="shared" si="36"/>
        <v>0.18199183815229661</v>
      </c>
      <c r="P31" s="29">
        <f t="shared" si="37"/>
        <v>0.81800816184770342</v>
      </c>
      <c r="Q31" s="29">
        <f t="shared" si="28"/>
        <v>1</v>
      </c>
      <c r="R31" s="30">
        <f t="shared" si="29"/>
        <v>0.18199183815229661</v>
      </c>
      <c r="S31" s="31">
        <f t="shared" si="38"/>
        <v>0.17219762090822263</v>
      </c>
      <c r="T31" s="29">
        <f t="shared" si="39"/>
        <v>2.8340713727533211E-4</v>
      </c>
      <c r="U31" s="29">
        <f t="shared" si="34"/>
        <v>0.17248102804549797</v>
      </c>
      <c r="V31" s="32">
        <f t="shared" si="35"/>
        <v>0.99835687935950501</v>
      </c>
      <c r="W31" s="34" t="str">
        <f t="shared" si="8"/>
        <v>Lower bound</v>
      </c>
    </row>
    <row r="32" spans="1:23" x14ac:dyDescent="0.2">
      <c r="A32" s="5">
        <v>31</v>
      </c>
      <c r="B32" s="5" t="s">
        <v>113</v>
      </c>
      <c r="C32" s="5" t="s">
        <v>55</v>
      </c>
      <c r="D32" s="5" t="str">
        <f>'Mechanistic level'!D32</f>
        <v>Butanol + sulfonation wastewater</v>
      </c>
      <c r="E32" s="5" t="s">
        <v>206</v>
      </c>
      <c r="F32" s="5" t="s">
        <v>118</v>
      </c>
      <c r="G32" s="5" t="s">
        <v>118</v>
      </c>
      <c r="H32" s="23" t="s">
        <v>189</v>
      </c>
      <c r="I32" s="15">
        <f>'Mechanistic level'!X32</f>
        <v>0.1831713510200508</v>
      </c>
      <c r="J32" s="15">
        <f>'Mechanistic level'!Y32</f>
        <v>0.81682864897994922</v>
      </c>
      <c r="K32" s="15">
        <f>'Mechanistic level'!Z32</f>
        <v>0.1614744768409071</v>
      </c>
      <c r="L32" s="15">
        <f>'Mechanistic level'!AA32</f>
        <v>1.6811137378513264E-5</v>
      </c>
      <c r="M32" s="15">
        <f>'Mechanistic level'!AB32</f>
        <v>-2.1696874179143705E-2</v>
      </c>
      <c r="N32" s="15">
        <f>'Mechanistic level'!AC32</f>
        <v>-0.81681183784257072</v>
      </c>
      <c r="O32" s="28">
        <f t="shared" si="36"/>
        <v>0.1831713510200508</v>
      </c>
      <c r="P32" s="29">
        <f t="shared" si="37"/>
        <v>0.81682864897994922</v>
      </c>
      <c r="Q32" s="29">
        <f t="shared" ref="Q32:Q33" si="40">SUM(O32:P32)</f>
        <v>1</v>
      </c>
      <c r="R32" s="30">
        <f t="shared" ref="R32:R33" si="41">O32/Q32</f>
        <v>0.1831713510200508</v>
      </c>
      <c r="S32" s="31">
        <f t="shared" ref="S32:S33" si="42">K32</f>
        <v>0.1614744768409071</v>
      </c>
      <c r="T32" s="29">
        <f t="shared" ref="T32:T33" si="43">L32</f>
        <v>1.6811137378513264E-5</v>
      </c>
      <c r="U32" s="29">
        <f t="shared" si="34"/>
        <v>0.1614912879782856</v>
      </c>
      <c r="V32" s="32">
        <f t="shared" si="35"/>
        <v>0.99989590065452472</v>
      </c>
      <c r="W32" s="34" t="str">
        <f t="shared" si="8"/>
        <v>Lower bound</v>
      </c>
    </row>
    <row r="33" spans="1:23" x14ac:dyDescent="0.2">
      <c r="A33" s="5">
        <v>32</v>
      </c>
      <c r="B33" s="5" t="s">
        <v>114</v>
      </c>
      <c r="C33" s="5" t="s">
        <v>55</v>
      </c>
      <c r="D33" s="5" t="str">
        <f>'Mechanistic level'!D33</f>
        <v>Butanol + sulfonation wastewater</v>
      </c>
      <c r="E33" s="5" t="s">
        <v>206</v>
      </c>
      <c r="F33" s="5" t="s">
        <v>117</v>
      </c>
      <c r="G33" s="5" t="s">
        <v>117</v>
      </c>
      <c r="H33" s="23" t="s">
        <v>189</v>
      </c>
      <c r="I33" s="15">
        <f>'Mechanistic level'!X33</f>
        <v>0.18188579929053664</v>
      </c>
      <c r="J33" s="15">
        <f>'Mechanistic level'!Y33</f>
        <v>0.81811420070946339</v>
      </c>
      <c r="K33" s="15">
        <f>'Mechanistic level'!Z33</f>
        <v>0.15409085707746881</v>
      </c>
      <c r="L33" s="15">
        <f>'Mechanistic level'!AA33</f>
        <v>2.7463096464126333E-6</v>
      </c>
      <c r="M33" s="15">
        <f>'Mechanistic level'!AB33</f>
        <v>-2.779494221306783E-2</v>
      </c>
      <c r="N33" s="15">
        <f>'Mechanistic level'!AC33</f>
        <v>-0.81811145439981703</v>
      </c>
      <c r="O33" s="28">
        <f t="shared" si="36"/>
        <v>0.18188579929053664</v>
      </c>
      <c r="P33" s="29">
        <f t="shared" si="37"/>
        <v>0.81811420070946339</v>
      </c>
      <c r="Q33" s="29">
        <f t="shared" si="40"/>
        <v>1</v>
      </c>
      <c r="R33" s="30">
        <f t="shared" si="41"/>
        <v>0.18188579929053664</v>
      </c>
      <c r="S33" s="31">
        <f t="shared" si="42"/>
        <v>0.15409085707746881</v>
      </c>
      <c r="T33" s="29">
        <f t="shared" si="43"/>
        <v>2.7463096464126333E-6</v>
      </c>
      <c r="U33" s="29">
        <f t="shared" si="34"/>
        <v>0.15409360338711522</v>
      </c>
      <c r="V33" s="32">
        <f t="shared" si="35"/>
        <v>0.99998217765315334</v>
      </c>
      <c r="W33" s="34" t="str">
        <f t="shared" si="8"/>
        <v>Lower bound</v>
      </c>
    </row>
    <row r="34" spans="1:23" x14ac:dyDescent="0.2">
      <c r="A34" s="5">
        <v>33</v>
      </c>
      <c r="B34" s="5" t="s">
        <v>119</v>
      </c>
      <c r="C34" s="5" t="s">
        <v>121</v>
      </c>
      <c r="D34" s="5" t="str">
        <f>'Mechanistic level'!D34</f>
        <v>Glucose</v>
      </c>
      <c r="E34" s="5" t="s">
        <v>204</v>
      </c>
      <c r="F34" s="5" t="s">
        <v>41</v>
      </c>
      <c r="G34" s="5" t="s">
        <v>123</v>
      </c>
      <c r="H34" s="23" t="s">
        <v>208</v>
      </c>
      <c r="I34" s="15">
        <f>'Mechanistic level'!X34</f>
        <v>0.33333333333333331</v>
      </c>
      <c r="J34" s="15">
        <f>'Mechanistic level'!Y34</f>
        <v>0.66666666666666674</v>
      </c>
      <c r="K34" s="15">
        <f>'Mechanistic level'!Z34</f>
        <v>0.12801026134359469</v>
      </c>
      <c r="L34" s="15">
        <f>'Mechanistic level'!AA34</f>
        <v>2.4274490941157606E-2</v>
      </c>
      <c r="M34" s="15">
        <f>'Mechanistic level'!AB34</f>
        <v>-0.20532307198973862</v>
      </c>
      <c r="N34" s="15">
        <f>'Mechanistic level'!AC34</f>
        <v>-0.64239217572550911</v>
      </c>
      <c r="O34" s="28">
        <f t="shared" ref="O34" si="44">J34</f>
        <v>0.66666666666666674</v>
      </c>
      <c r="P34" s="29">
        <f t="shared" ref="P34" si="45">I34</f>
        <v>0.33333333333333331</v>
      </c>
      <c r="Q34" s="29">
        <f t="shared" ref="Q34" si="46">SUM(O34:P34)</f>
        <v>1</v>
      </c>
      <c r="R34" s="30">
        <f t="shared" ref="R34" si="47">O34/Q34</f>
        <v>0.66666666666666674</v>
      </c>
      <c r="S34" s="31">
        <f t="shared" ref="S34" si="48">L34</f>
        <v>2.4274490941157606E-2</v>
      </c>
      <c r="T34" s="29">
        <f t="shared" ref="T34" si="49">K34</f>
        <v>0.12801026134359469</v>
      </c>
      <c r="U34" s="29">
        <f t="shared" ref="U34" si="50">SUM(S34:T34)</f>
        <v>0.1522847522847523</v>
      </c>
      <c r="V34" s="32">
        <f t="shared" ref="V34" si="51">S34/U34</f>
        <v>0.15940197936407663</v>
      </c>
      <c r="W34" s="34" t="str">
        <f t="shared" si="8"/>
        <v>As calculated</v>
      </c>
    </row>
    <row r="35" spans="1:23" x14ac:dyDescent="0.2">
      <c r="A35" s="5">
        <v>34</v>
      </c>
      <c r="B35" s="5" t="s">
        <v>120</v>
      </c>
      <c r="C35" s="5" t="s">
        <v>121</v>
      </c>
      <c r="D35" s="5" t="str">
        <f>'Mechanistic level'!D35</f>
        <v>Glucose</v>
      </c>
      <c r="E35" s="5" t="s">
        <v>204</v>
      </c>
      <c r="F35" s="5" t="s">
        <v>122</v>
      </c>
      <c r="G35" s="5" t="s">
        <v>122</v>
      </c>
      <c r="H35" s="23" t="s">
        <v>208</v>
      </c>
      <c r="I35" s="15">
        <f>'Mechanistic level'!X35</f>
        <v>0.31287364636299814</v>
      </c>
      <c r="J35" s="15">
        <f>'Mechanistic level'!Y35</f>
        <v>0.68712635363700181</v>
      </c>
      <c r="K35" s="15">
        <f>'Mechanistic level'!Z35</f>
        <v>0.2710678041827117</v>
      </c>
      <c r="L35" s="15">
        <f>'Mechanistic level'!AA35</f>
        <v>0.48260749313873585</v>
      </c>
      <c r="M35" s="15">
        <f>'Mechanistic level'!AB35</f>
        <v>-4.1805842180286434E-2</v>
      </c>
      <c r="N35" s="15">
        <f>'Mechanistic level'!AC35</f>
        <v>-0.20451886049826595</v>
      </c>
      <c r="O35" s="28">
        <f t="shared" ref="O35:O50" si="52">J35</f>
        <v>0.68712635363700181</v>
      </c>
      <c r="P35" s="29">
        <f t="shared" ref="P35:P50" si="53">I35</f>
        <v>0.31287364636299814</v>
      </c>
      <c r="Q35" s="29">
        <f t="shared" ref="Q35:Q50" si="54">SUM(O35:P35)</f>
        <v>1</v>
      </c>
      <c r="R35" s="30">
        <f t="shared" ref="R35:R50" si="55">O35/Q35</f>
        <v>0.68712635363700181</v>
      </c>
      <c r="S35" s="31">
        <f t="shared" ref="S35:S50" si="56">L35</f>
        <v>0.48260749313873585</v>
      </c>
      <c r="T35" s="29">
        <f t="shared" ref="T35:T50" si="57">K35</f>
        <v>0.2710678041827117</v>
      </c>
      <c r="U35" s="29">
        <f t="shared" ref="U35:U50" si="58">SUM(S35:T35)</f>
        <v>0.75367529732144756</v>
      </c>
      <c r="V35" s="32">
        <f t="shared" ref="V35:V50" si="59">S35/U35</f>
        <v>0.64033874382498246</v>
      </c>
      <c r="W35" s="34" t="str">
        <f t="shared" si="8"/>
        <v>As calculated</v>
      </c>
    </row>
    <row r="36" spans="1:23" x14ac:dyDescent="0.2">
      <c r="A36" s="5">
        <v>35</v>
      </c>
      <c r="B36" s="5" t="s">
        <v>124</v>
      </c>
      <c r="C36" s="5" t="s">
        <v>55</v>
      </c>
      <c r="D36" s="5" t="str">
        <f>'Mechanistic level'!D36</f>
        <v>Synthetic wastewater</v>
      </c>
      <c r="E36" s="5" t="s">
        <v>206</v>
      </c>
      <c r="F36" s="5" t="s">
        <v>136</v>
      </c>
      <c r="G36" s="5" t="s">
        <v>123</v>
      </c>
      <c r="H36" s="23" t="s">
        <v>208</v>
      </c>
      <c r="I36" s="15">
        <f>'Mechanistic level'!X36</f>
        <v>2.7544845178973647E-2</v>
      </c>
      <c r="J36" s="15">
        <f>'Mechanistic level'!Y36</f>
        <v>0.9724551548210264</v>
      </c>
      <c r="K36" s="15">
        <f>'Mechanistic level'!Z36</f>
        <v>6.5514341418423255E-4</v>
      </c>
      <c r="L36" s="15">
        <f>'Mechanistic level'!AA36</f>
        <v>0.81827412431610747</v>
      </c>
      <c r="M36" s="15">
        <f>'Mechanistic level'!AB36</f>
        <v>-2.6889701764789414E-2</v>
      </c>
      <c r="N36" s="15">
        <f>'Mechanistic level'!AC36</f>
        <v>-0.15418103050491894</v>
      </c>
      <c r="O36" s="28">
        <f t="shared" si="52"/>
        <v>0.9724551548210264</v>
      </c>
      <c r="P36" s="29">
        <f t="shared" si="53"/>
        <v>2.7544845178973647E-2</v>
      </c>
      <c r="Q36" s="29">
        <f t="shared" si="54"/>
        <v>1</v>
      </c>
      <c r="R36" s="30">
        <f t="shared" si="55"/>
        <v>0.9724551548210264</v>
      </c>
      <c r="S36" s="31">
        <f t="shared" si="56"/>
        <v>0.81827412431610747</v>
      </c>
      <c r="T36" s="29">
        <f t="shared" si="57"/>
        <v>6.5514341418423255E-4</v>
      </c>
      <c r="U36" s="29">
        <f t="shared" si="58"/>
        <v>0.81892926773029173</v>
      </c>
      <c r="V36" s="32">
        <f t="shared" si="59"/>
        <v>0.99919999999999998</v>
      </c>
      <c r="W36" s="34" t="str">
        <f t="shared" si="8"/>
        <v>Lower bound</v>
      </c>
    </row>
    <row r="37" spans="1:23" x14ac:dyDescent="0.2">
      <c r="A37" s="5">
        <v>36</v>
      </c>
      <c r="B37" s="5" t="s">
        <v>125</v>
      </c>
      <c r="C37" s="5" t="s">
        <v>55</v>
      </c>
      <c r="D37" s="5" t="str">
        <f>'Mechanistic level'!D37</f>
        <v>Synthetic wastewater</v>
      </c>
      <c r="E37" s="5" t="s">
        <v>206</v>
      </c>
      <c r="F37" s="5" t="s">
        <v>137</v>
      </c>
      <c r="G37" s="5" t="s">
        <v>123</v>
      </c>
      <c r="H37" s="23" t="s">
        <v>208</v>
      </c>
      <c r="I37" s="15">
        <f>'Mechanistic level'!X37</f>
        <v>5.5089690357947294E-2</v>
      </c>
      <c r="J37" s="15">
        <f>'Mechanistic level'!Y37</f>
        <v>0.94491030964205269</v>
      </c>
      <c r="K37" s="15">
        <f>'Mechanistic level'!Z37</f>
        <v>4.9980903391216365E-2</v>
      </c>
      <c r="L37" s="15">
        <f>'Mechanistic level'!AA37</f>
        <v>0.67966732129807361</v>
      </c>
      <c r="M37" s="15">
        <f>'Mechanistic level'!AB37</f>
        <v>-5.1087869667309285E-3</v>
      </c>
      <c r="N37" s="15">
        <f>'Mechanistic level'!AC37</f>
        <v>-0.26524298834397908</v>
      </c>
      <c r="O37" s="28">
        <f t="shared" si="52"/>
        <v>0.94491030964205269</v>
      </c>
      <c r="P37" s="29">
        <f t="shared" si="53"/>
        <v>5.5089690357947294E-2</v>
      </c>
      <c r="Q37" s="29">
        <f t="shared" si="54"/>
        <v>1</v>
      </c>
      <c r="R37" s="30">
        <f t="shared" si="55"/>
        <v>0.94491030964205269</v>
      </c>
      <c r="S37" s="31">
        <f t="shared" si="56"/>
        <v>0.67966732129807361</v>
      </c>
      <c r="T37" s="29">
        <f t="shared" si="57"/>
        <v>4.9980903391216365E-2</v>
      </c>
      <c r="U37" s="29">
        <f t="shared" si="58"/>
        <v>0.72964822468929003</v>
      </c>
      <c r="V37" s="32">
        <f t="shared" si="59"/>
        <v>0.93149999999999988</v>
      </c>
      <c r="W37" s="34" t="str">
        <f t="shared" si="8"/>
        <v>Lower bound</v>
      </c>
    </row>
    <row r="38" spans="1:23" x14ac:dyDescent="0.2">
      <c r="A38" s="5">
        <v>37</v>
      </c>
      <c r="B38" s="5" t="s">
        <v>126</v>
      </c>
      <c r="C38" s="5" t="s">
        <v>55</v>
      </c>
      <c r="D38" s="5" t="str">
        <f>'Mechanistic level'!D38</f>
        <v>Synthetic wastewater</v>
      </c>
      <c r="E38" s="5" t="s">
        <v>206</v>
      </c>
      <c r="F38" s="5" t="s">
        <v>138</v>
      </c>
      <c r="G38" s="5" t="s">
        <v>123</v>
      </c>
      <c r="H38" s="23" t="s">
        <v>208</v>
      </c>
      <c r="I38" s="15">
        <f>'Mechanistic level'!X38</f>
        <v>0.27544845178973648</v>
      </c>
      <c r="J38" s="15">
        <f>'Mechanistic level'!Y38</f>
        <v>0.72455154821026357</v>
      </c>
      <c r="K38" s="15">
        <f>'Mechanistic level'!Z38</f>
        <v>0.14187328260023249</v>
      </c>
      <c r="L38" s="15">
        <f>'Mechanistic level'!AA38</f>
        <v>0.57069970886251242</v>
      </c>
      <c r="M38" s="15">
        <f>'Mechanistic level'!AB38</f>
        <v>-0.13357516918950399</v>
      </c>
      <c r="N38" s="15">
        <f>'Mechanistic level'!AC38</f>
        <v>-0.15385183934775115</v>
      </c>
      <c r="O38" s="28">
        <f t="shared" si="52"/>
        <v>0.72455154821026357</v>
      </c>
      <c r="P38" s="29">
        <f t="shared" si="53"/>
        <v>0.27544845178973648</v>
      </c>
      <c r="Q38" s="29">
        <f t="shared" si="54"/>
        <v>1</v>
      </c>
      <c r="R38" s="30">
        <f t="shared" si="55"/>
        <v>0.72455154821026357</v>
      </c>
      <c r="S38" s="31">
        <f t="shared" si="56"/>
        <v>0.57069970886251242</v>
      </c>
      <c r="T38" s="29">
        <f t="shared" si="57"/>
        <v>0.14187328260023249</v>
      </c>
      <c r="U38" s="29">
        <f t="shared" si="58"/>
        <v>0.71257299146274489</v>
      </c>
      <c r="V38" s="32">
        <f t="shared" si="59"/>
        <v>0.80090000000000006</v>
      </c>
      <c r="W38" s="34" t="str">
        <f t="shared" si="8"/>
        <v>Lower bound</v>
      </c>
    </row>
    <row r="39" spans="1:23" x14ac:dyDescent="0.2">
      <c r="A39" s="5">
        <v>38</v>
      </c>
      <c r="B39" s="5" t="s">
        <v>127</v>
      </c>
      <c r="C39" s="5" t="s">
        <v>55</v>
      </c>
      <c r="D39" s="5" t="str">
        <f>'Mechanistic level'!D39</f>
        <v>Synthetic wastewater</v>
      </c>
      <c r="E39" s="5" t="s">
        <v>206</v>
      </c>
      <c r="F39" s="5" t="s">
        <v>139</v>
      </c>
      <c r="G39" s="5" t="s">
        <v>123</v>
      </c>
      <c r="H39" s="23" t="s">
        <v>208</v>
      </c>
      <c r="I39" s="15">
        <f>'Mechanistic level'!X39</f>
        <v>0.55089690357947296</v>
      </c>
      <c r="J39" s="15">
        <f>'Mechanistic level'!Y39</f>
        <v>0.44910309642052704</v>
      </c>
      <c r="K39" s="15">
        <f>'Mechanistic level'!Z39</f>
        <v>0.30357451267254304</v>
      </c>
      <c r="L39" s="15">
        <f>'Mechanistic level'!AA39</f>
        <v>0.4904995461099394</v>
      </c>
      <c r="M39" s="15">
        <f>'Mechanistic level'!AB39</f>
        <v>-0.24732239090692992</v>
      </c>
      <c r="N39" s="15">
        <f>'Mechanistic level'!AC39</f>
        <v>4.1396449689412362E-2</v>
      </c>
      <c r="O39" s="28">
        <f t="shared" si="52"/>
        <v>0.44910309642052704</v>
      </c>
      <c r="P39" s="29">
        <f t="shared" si="53"/>
        <v>0.55089690357947296</v>
      </c>
      <c r="Q39" s="29">
        <f t="shared" si="54"/>
        <v>1</v>
      </c>
      <c r="R39" s="30">
        <f t="shared" si="55"/>
        <v>0.44910309642052704</v>
      </c>
      <c r="S39" s="31">
        <f t="shared" si="56"/>
        <v>0.4904995461099394</v>
      </c>
      <c r="T39" s="29">
        <f t="shared" si="57"/>
        <v>0.30357451267254304</v>
      </c>
      <c r="U39" s="29">
        <f t="shared" si="58"/>
        <v>0.79407405878248238</v>
      </c>
      <c r="V39" s="32">
        <f t="shared" si="59"/>
        <v>0.61770000000000003</v>
      </c>
      <c r="W39" s="34" t="str">
        <f t="shared" si="8"/>
        <v>Lower bound</v>
      </c>
    </row>
    <row r="40" spans="1:23" x14ac:dyDescent="0.2">
      <c r="A40" s="5">
        <v>39</v>
      </c>
      <c r="B40" s="5" t="s">
        <v>128</v>
      </c>
      <c r="C40" s="5" t="s">
        <v>55</v>
      </c>
      <c r="D40" s="5" t="str">
        <f>'Mechanistic level'!D40</f>
        <v>Synthetic wastewater</v>
      </c>
      <c r="E40" s="5" t="s">
        <v>206</v>
      </c>
      <c r="F40" s="5" t="s">
        <v>140</v>
      </c>
      <c r="G40" s="5" t="s">
        <v>148</v>
      </c>
      <c r="H40" s="23" t="s">
        <v>208</v>
      </c>
      <c r="I40" s="15">
        <f>'Mechanistic level'!X40</f>
        <v>2.7544845178973647E-2</v>
      </c>
      <c r="J40" s="15">
        <f>'Mechanistic level'!Y40</f>
        <v>0.9724551548210264</v>
      </c>
      <c r="K40" s="15">
        <f>'Mechanistic level'!Z40</f>
        <v>2.9935641191388241E-2</v>
      </c>
      <c r="L40" s="15">
        <f>'Mechanistic level'!AA40</f>
        <v>0.573605511860794</v>
      </c>
      <c r="M40" s="15">
        <f>'Mechanistic level'!AB40</f>
        <v>2.3907960124145942E-3</v>
      </c>
      <c r="N40" s="15">
        <f>'Mechanistic level'!AC40</f>
        <v>-0.3988496429602324</v>
      </c>
      <c r="O40" s="28">
        <f t="shared" si="52"/>
        <v>0.9724551548210264</v>
      </c>
      <c r="P40" s="29">
        <f t="shared" si="53"/>
        <v>2.7544845178973647E-2</v>
      </c>
      <c r="Q40" s="29">
        <f t="shared" si="54"/>
        <v>1</v>
      </c>
      <c r="R40" s="30">
        <f t="shared" si="55"/>
        <v>0.9724551548210264</v>
      </c>
      <c r="S40" s="31">
        <f t="shared" si="56"/>
        <v>0.573605511860794</v>
      </c>
      <c r="T40" s="29">
        <f t="shared" si="57"/>
        <v>2.9935641191388241E-2</v>
      </c>
      <c r="U40" s="29">
        <f t="shared" si="58"/>
        <v>0.60354115305218226</v>
      </c>
      <c r="V40" s="32">
        <f t="shared" si="59"/>
        <v>0.95040000000000002</v>
      </c>
      <c r="W40" s="34" t="s">
        <v>207</v>
      </c>
    </row>
    <row r="41" spans="1:23" x14ac:dyDescent="0.2">
      <c r="A41" s="5">
        <v>40</v>
      </c>
      <c r="B41" s="5" t="s">
        <v>129</v>
      </c>
      <c r="C41" s="5" t="s">
        <v>55</v>
      </c>
      <c r="D41" s="5" t="str">
        <f>'Mechanistic level'!D41</f>
        <v>Synthetic wastewater</v>
      </c>
      <c r="E41" s="5" t="s">
        <v>206</v>
      </c>
      <c r="F41" s="5" t="s">
        <v>141</v>
      </c>
      <c r="G41" s="5" t="s">
        <v>148</v>
      </c>
      <c r="H41" s="23" t="s">
        <v>208</v>
      </c>
      <c r="I41" s="15">
        <f>'Mechanistic level'!X41</f>
        <v>5.5089690357947294E-2</v>
      </c>
      <c r="J41" s="15">
        <f>'Mechanistic level'!Y41</f>
        <v>0.94491030964205269</v>
      </c>
      <c r="K41" s="15">
        <f>'Mechanistic level'!Z41</f>
        <v>7.6479317449895334E-2</v>
      </c>
      <c r="L41" s="15">
        <f>'Mechanistic level'!AA41</f>
        <v>0.50822494439945731</v>
      </c>
      <c r="M41" s="15">
        <f>'Mechanistic level'!AB41</f>
        <v>2.1389627091948041E-2</v>
      </c>
      <c r="N41" s="15">
        <f>'Mechanistic level'!AC41</f>
        <v>-0.43668536524259538</v>
      </c>
      <c r="O41" s="28">
        <f t="shared" si="52"/>
        <v>0.94491030964205269</v>
      </c>
      <c r="P41" s="29">
        <f t="shared" si="53"/>
        <v>5.5089690357947294E-2</v>
      </c>
      <c r="Q41" s="29">
        <f t="shared" si="54"/>
        <v>1</v>
      </c>
      <c r="R41" s="30">
        <f t="shared" si="55"/>
        <v>0.94491030964205269</v>
      </c>
      <c r="S41" s="31">
        <f t="shared" si="56"/>
        <v>0.50822494439945731</v>
      </c>
      <c r="T41" s="29">
        <f t="shared" si="57"/>
        <v>7.6479317449895334E-2</v>
      </c>
      <c r="U41" s="29">
        <f t="shared" si="58"/>
        <v>0.58470426184935265</v>
      </c>
      <c r="V41" s="32">
        <f t="shared" si="59"/>
        <v>0.86919999999999997</v>
      </c>
      <c r="W41" s="34" t="s">
        <v>207</v>
      </c>
    </row>
    <row r="42" spans="1:23" x14ac:dyDescent="0.2">
      <c r="A42" s="5">
        <v>41</v>
      </c>
      <c r="B42" s="5" t="s">
        <v>130</v>
      </c>
      <c r="C42" s="5" t="s">
        <v>55</v>
      </c>
      <c r="D42" s="5" t="str">
        <f>'Mechanistic level'!D42</f>
        <v>Synthetic wastewater</v>
      </c>
      <c r="E42" s="5" t="s">
        <v>206</v>
      </c>
      <c r="F42" s="5" t="s">
        <v>142</v>
      </c>
      <c r="G42" s="5" t="s">
        <v>148</v>
      </c>
      <c r="H42" s="23" t="s">
        <v>208</v>
      </c>
      <c r="I42" s="15">
        <f>'Mechanistic level'!X42</f>
        <v>0.27544845178973648</v>
      </c>
      <c r="J42" s="15">
        <f>'Mechanistic level'!Y42</f>
        <v>0.72455154821026357</v>
      </c>
      <c r="K42" s="15">
        <f>'Mechanistic level'!Z42</f>
        <v>0.17230827111198746</v>
      </c>
      <c r="L42" s="15">
        <f>'Mechanistic level'!AA42</f>
        <v>0.50473798080151933</v>
      </c>
      <c r="M42" s="15">
        <f>'Mechanistic level'!AB42</f>
        <v>-0.10314018067774902</v>
      </c>
      <c r="N42" s="15">
        <f>'Mechanistic level'!AC42</f>
        <v>-0.21981356740874425</v>
      </c>
      <c r="O42" s="28">
        <f t="shared" si="52"/>
        <v>0.72455154821026357</v>
      </c>
      <c r="P42" s="29">
        <f t="shared" si="53"/>
        <v>0.27544845178973648</v>
      </c>
      <c r="Q42" s="29">
        <f t="shared" si="54"/>
        <v>1</v>
      </c>
      <c r="R42" s="30">
        <f t="shared" si="55"/>
        <v>0.72455154821026357</v>
      </c>
      <c r="S42" s="31">
        <f t="shared" si="56"/>
        <v>0.50473798080151933</v>
      </c>
      <c r="T42" s="29">
        <f t="shared" si="57"/>
        <v>0.17230827111198746</v>
      </c>
      <c r="U42" s="29">
        <f t="shared" si="58"/>
        <v>0.67704625191350676</v>
      </c>
      <c r="V42" s="32">
        <f t="shared" si="59"/>
        <v>0.74550000000000005</v>
      </c>
      <c r="W42" s="34" t="str">
        <f t="shared" si="8"/>
        <v>Lower bound</v>
      </c>
    </row>
    <row r="43" spans="1:23" x14ac:dyDescent="0.2">
      <c r="A43" s="5">
        <v>42</v>
      </c>
      <c r="B43" s="5" t="s">
        <v>131</v>
      </c>
      <c r="C43" s="5" t="s">
        <v>55</v>
      </c>
      <c r="D43" s="5" t="str">
        <f>'Mechanistic level'!D43</f>
        <v>Synthetic wastewater</v>
      </c>
      <c r="E43" s="5" t="s">
        <v>206</v>
      </c>
      <c r="F43" s="5" t="s">
        <v>143</v>
      </c>
      <c r="G43" s="5" t="s">
        <v>148</v>
      </c>
      <c r="H43" s="23" t="s">
        <v>208</v>
      </c>
      <c r="I43" s="15">
        <f>'Mechanistic level'!X43</f>
        <v>0.55089690357947296</v>
      </c>
      <c r="J43" s="15">
        <f>'Mechanistic level'!Y43</f>
        <v>0.44910309642052704</v>
      </c>
      <c r="K43" s="15">
        <f>'Mechanistic level'!Z43</f>
        <v>0.42606811459654531</v>
      </c>
      <c r="L43" s="15">
        <f>'Mechanistic level'!AA43</f>
        <v>0.50299449900255044</v>
      </c>
      <c r="M43" s="15">
        <f>'Mechanistic level'!AB43</f>
        <v>-0.12482878898292765</v>
      </c>
      <c r="N43" s="15">
        <f>'Mechanistic level'!AC43</f>
        <v>5.3891402582023407E-2</v>
      </c>
      <c r="O43" s="28">
        <f t="shared" si="52"/>
        <v>0.44910309642052704</v>
      </c>
      <c r="P43" s="29">
        <f t="shared" si="53"/>
        <v>0.55089690357947296</v>
      </c>
      <c r="Q43" s="29">
        <f t="shared" si="54"/>
        <v>1</v>
      </c>
      <c r="R43" s="30">
        <f t="shared" si="55"/>
        <v>0.44910309642052704</v>
      </c>
      <c r="S43" s="31">
        <f t="shared" si="56"/>
        <v>0.50299449900255044</v>
      </c>
      <c r="T43" s="29">
        <f t="shared" si="57"/>
        <v>0.42606811459654531</v>
      </c>
      <c r="U43" s="29">
        <f t="shared" si="58"/>
        <v>0.92906261359909581</v>
      </c>
      <c r="V43" s="32">
        <f t="shared" si="59"/>
        <v>0.54139999999999999</v>
      </c>
      <c r="W43" s="34" t="str">
        <f t="shared" si="8"/>
        <v>Lower bound</v>
      </c>
    </row>
    <row r="44" spans="1:23" x14ac:dyDescent="0.2">
      <c r="A44" s="5">
        <v>43</v>
      </c>
      <c r="B44" s="5" t="s">
        <v>132</v>
      </c>
      <c r="C44" s="5" t="s">
        <v>55</v>
      </c>
      <c r="D44" s="5" t="str">
        <f>'Mechanistic level'!D44</f>
        <v>Synthetic wastewater</v>
      </c>
      <c r="E44" s="5" t="s">
        <v>206</v>
      </c>
      <c r="F44" s="5" t="s">
        <v>144</v>
      </c>
      <c r="G44" s="5" t="s">
        <v>149</v>
      </c>
      <c r="H44" s="23" t="s">
        <v>208</v>
      </c>
      <c r="I44" s="15">
        <f>'Mechanistic level'!X44</f>
        <v>2.7544845178973647E-2</v>
      </c>
      <c r="J44" s="15">
        <f>'Mechanistic level'!Y44</f>
        <v>0.9724551548210264</v>
      </c>
      <c r="K44" s="15">
        <f>'Mechanistic level'!Z44</f>
        <v>6.0663419774537415E-3</v>
      </c>
      <c r="L44" s="15">
        <f>'Mechanistic level'!AA44</f>
        <v>0.47538937051887492</v>
      </c>
      <c r="M44" s="15">
        <f>'Mechanistic level'!AB44</f>
        <v>-2.1478503201519904E-2</v>
      </c>
      <c r="N44" s="15">
        <f>'Mechanistic level'!AC44</f>
        <v>-0.49706578430215148</v>
      </c>
      <c r="O44" s="28">
        <f t="shared" si="52"/>
        <v>0.9724551548210264</v>
      </c>
      <c r="P44" s="29">
        <f t="shared" si="53"/>
        <v>2.7544845178973647E-2</v>
      </c>
      <c r="Q44" s="29">
        <f t="shared" si="54"/>
        <v>1</v>
      </c>
      <c r="R44" s="30">
        <f t="shared" si="55"/>
        <v>0.9724551548210264</v>
      </c>
      <c r="S44" s="31">
        <f t="shared" si="56"/>
        <v>0.47538937051887492</v>
      </c>
      <c r="T44" s="29">
        <f t="shared" si="57"/>
        <v>6.0663419774537415E-3</v>
      </c>
      <c r="U44" s="29">
        <f t="shared" si="58"/>
        <v>0.48145571249632868</v>
      </c>
      <c r="V44" s="32">
        <f t="shared" si="59"/>
        <v>0.98739999999999994</v>
      </c>
      <c r="W44" s="34" t="str">
        <f t="shared" si="8"/>
        <v>Lower bound</v>
      </c>
    </row>
    <row r="45" spans="1:23" x14ac:dyDescent="0.2">
      <c r="A45" s="5">
        <v>44</v>
      </c>
      <c r="B45" s="5" t="s">
        <v>133</v>
      </c>
      <c r="C45" s="5" t="s">
        <v>55</v>
      </c>
      <c r="D45" s="5" t="str">
        <f>'Mechanistic level'!D45</f>
        <v>Synthetic wastewater</v>
      </c>
      <c r="E45" s="5" t="s">
        <v>206</v>
      </c>
      <c r="F45" s="5" t="s">
        <v>145</v>
      </c>
      <c r="G45" s="5" t="s">
        <v>149</v>
      </c>
      <c r="H45" s="23" t="s">
        <v>208</v>
      </c>
      <c r="I45" s="15">
        <f>'Mechanistic level'!X45</f>
        <v>5.5089690357947294E-2</v>
      </c>
      <c r="J45" s="15">
        <f>'Mechanistic level'!Y45</f>
        <v>0.94491030964205269</v>
      </c>
      <c r="K45" s="15">
        <f>'Mechanistic level'!Z45</f>
        <v>3.4758804163237671E-2</v>
      </c>
      <c r="L45" s="15">
        <f>'Mechanistic level'!AA45</f>
        <v>0.43180232554465048</v>
      </c>
      <c r="M45" s="15">
        <f>'Mechanistic level'!AB45</f>
        <v>-2.0330886194709623E-2</v>
      </c>
      <c r="N45" s="15">
        <f>'Mechanistic level'!AC45</f>
        <v>-0.51310798409740221</v>
      </c>
      <c r="O45" s="28">
        <f t="shared" si="52"/>
        <v>0.94491030964205269</v>
      </c>
      <c r="P45" s="29">
        <f t="shared" si="53"/>
        <v>5.5089690357947294E-2</v>
      </c>
      <c r="Q45" s="29">
        <f t="shared" si="54"/>
        <v>1</v>
      </c>
      <c r="R45" s="30">
        <f t="shared" si="55"/>
        <v>0.94491030964205269</v>
      </c>
      <c r="S45" s="31">
        <f t="shared" si="56"/>
        <v>0.43180232554465048</v>
      </c>
      <c r="T45" s="29">
        <f t="shared" si="57"/>
        <v>3.4758804163237671E-2</v>
      </c>
      <c r="U45" s="29">
        <f t="shared" si="58"/>
        <v>0.46656112970788816</v>
      </c>
      <c r="V45" s="32">
        <f t="shared" si="59"/>
        <v>0.92549999999999999</v>
      </c>
      <c r="W45" s="34" t="str">
        <f t="shared" si="8"/>
        <v>Lower bound</v>
      </c>
    </row>
    <row r="46" spans="1:23" x14ac:dyDescent="0.2">
      <c r="A46" s="5">
        <v>45</v>
      </c>
      <c r="B46" s="5" t="s">
        <v>134</v>
      </c>
      <c r="C46" s="5" t="s">
        <v>55</v>
      </c>
      <c r="D46" s="5" t="str">
        <f>'Mechanistic level'!D46</f>
        <v>Synthetic wastewater</v>
      </c>
      <c r="E46" s="5" t="s">
        <v>206</v>
      </c>
      <c r="F46" s="5" t="s">
        <v>146</v>
      </c>
      <c r="G46" s="5" t="s">
        <v>149</v>
      </c>
      <c r="H46" s="23" t="s">
        <v>208</v>
      </c>
      <c r="I46" s="15">
        <f>'Mechanistic level'!X46</f>
        <v>0.27544845178973648</v>
      </c>
      <c r="J46" s="15">
        <f>'Mechanistic level'!Y46</f>
        <v>0.72455154821026357</v>
      </c>
      <c r="K46" s="15">
        <f>'Mechanistic level'!Z46</f>
        <v>9.4915913840183427E-2</v>
      </c>
      <c r="L46" s="15">
        <f>'Mechanistic level'!AA46</f>
        <v>0.36119131268640681</v>
      </c>
      <c r="M46" s="15">
        <f>'Mechanistic level'!AB46</f>
        <v>-0.18053253794955304</v>
      </c>
      <c r="N46" s="15">
        <f>'Mechanistic level'!AC46</f>
        <v>-0.36336023552385677</v>
      </c>
      <c r="O46" s="28">
        <f t="shared" si="52"/>
        <v>0.72455154821026357</v>
      </c>
      <c r="P46" s="29">
        <f t="shared" si="53"/>
        <v>0.27544845178973648</v>
      </c>
      <c r="Q46" s="29">
        <f t="shared" si="54"/>
        <v>1</v>
      </c>
      <c r="R46" s="30">
        <f t="shared" si="55"/>
        <v>0.72455154821026357</v>
      </c>
      <c r="S46" s="31">
        <f t="shared" si="56"/>
        <v>0.36119131268640681</v>
      </c>
      <c r="T46" s="29">
        <f t="shared" si="57"/>
        <v>9.4915913840183427E-2</v>
      </c>
      <c r="U46" s="29">
        <f t="shared" si="58"/>
        <v>0.45610722652659025</v>
      </c>
      <c r="V46" s="32">
        <f t="shared" si="59"/>
        <v>0.79189999999999994</v>
      </c>
      <c r="W46" s="34" t="str">
        <f t="shared" si="8"/>
        <v>Lower bound</v>
      </c>
    </row>
    <row r="47" spans="1:23" x14ac:dyDescent="0.2">
      <c r="A47" s="5">
        <v>46</v>
      </c>
      <c r="B47" s="5" t="s">
        <v>135</v>
      </c>
      <c r="C47" s="5" t="s">
        <v>55</v>
      </c>
      <c r="D47" s="5" t="str">
        <f>'Mechanistic level'!D47</f>
        <v>Synthetic wastewater</v>
      </c>
      <c r="E47" s="5" t="s">
        <v>206</v>
      </c>
      <c r="F47" s="5" t="s">
        <v>147</v>
      </c>
      <c r="G47" s="5" t="s">
        <v>149</v>
      </c>
      <c r="H47" s="23" t="s">
        <v>208</v>
      </c>
      <c r="I47" s="15">
        <f>'Mechanistic level'!X47</f>
        <v>0.55089690357947296</v>
      </c>
      <c r="J47" s="15">
        <f>'Mechanistic level'!Y47</f>
        <v>0.44910309642052704</v>
      </c>
      <c r="K47" s="15">
        <f>'Mechanistic level'!Z47</f>
        <v>0.14683978068007197</v>
      </c>
      <c r="L47" s="15">
        <f>'Mechanistic level'!AA47</f>
        <v>0.29319552252661663</v>
      </c>
      <c r="M47" s="15">
        <f>'Mechanistic level'!AB47</f>
        <v>-0.40405712289940099</v>
      </c>
      <c r="N47" s="15">
        <f>'Mechanistic level'!AC47</f>
        <v>-0.15590757389391041</v>
      </c>
      <c r="O47" s="28">
        <f t="shared" si="52"/>
        <v>0.44910309642052704</v>
      </c>
      <c r="P47" s="29">
        <f t="shared" si="53"/>
        <v>0.55089690357947296</v>
      </c>
      <c r="Q47" s="29">
        <f t="shared" si="54"/>
        <v>1</v>
      </c>
      <c r="R47" s="30">
        <f t="shared" si="55"/>
        <v>0.44910309642052704</v>
      </c>
      <c r="S47" s="31">
        <f t="shared" si="56"/>
        <v>0.29319552252661663</v>
      </c>
      <c r="T47" s="29">
        <f t="shared" si="57"/>
        <v>0.14683978068007197</v>
      </c>
      <c r="U47" s="29">
        <f t="shared" si="58"/>
        <v>0.4400353032066886</v>
      </c>
      <c r="V47" s="32">
        <f t="shared" si="59"/>
        <v>0.6663</v>
      </c>
      <c r="W47" s="34" t="str">
        <f t="shared" si="8"/>
        <v>Lower bound</v>
      </c>
    </row>
    <row r="48" spans="1:23" x14ac:dyDescent="0.2">
      <c r="A48" s="5">
        <v>47</v>
      </c>
      <c r="B48" s="5" t="s">
        <v>150</v>
      </c>
      <c r="C48" s="5" t="s">
        <v>55</v>
      </c>
      <c r="D48" s="5" t="str">
        <f>'Mechanistic level'!D48</f>
        <v>Synthetic wastewater</v>
      </c>
      <c r="E48" s="5" t="s">
        <v>206</v>
      </c>
      <c r="F48" s="5" t="s">
        <v>154</v>
      </c>
      <c r="G48" s="5" t="s">
        <v>158</v>
      </c>
      <c r="H48" s="23" t="s">
        <v>208</v>
      </c>
      <c r="I48" s="15">
        <f>'Mechanistic level'!X48</f>
        <v>2.7544845178973647E-2</v>
      </c>
      <c r="J48" s="15">
        <f>'Mechanistic level'!Y48</f>
        <v>0.9724551548210264</v>
      </c>
      <c r="K48" s="15">
        <f>'Mechanistic level'!Z48</f>
        <v>6.1061740256387876E-4</v>
      </c>
      <c r="L48" s="15">
        <f>'Mechanistic level'!AA48</f>
        <v>0.35857608998795332</v>
      </c>
      <c r="M48" s="15">
        <f>'Mechanistic level'!AB48</f>
        <v>-2.6934227776409768E-2</v>
      </c>
      <c r="N48" s="15">
        <f>'Mechanistic level'!AC48</f>
        <v>-0.61387906483307308</v>
      </c>
      <c r="O48" s="28">
        <f t="shared" si="52"/>
        <v>0.9724551548210264</v>
      </c>
      <c r="P48" s="29">
        <f t="shared" si="53"/>
        <v>2.7544845178973647E-2</v>
      </c>
      <c r="Q48" s="29">
        <f t="shared" si="54"/>
        <v>1</v>
      </c>
      <c r="R48" s="30">
        <f t="shared" si="55"/>
        <v>0.9724551548210264</v>
      </c>
      <c r="S48" s="31">
        <f t="shared" si="56"/>
        <v>0.35857608998795332</v>
      </c>
      <c r="T48" s="29">
        <f t="shared" si="57"/>
        <v>6.1061740256387876E-4</v>
      </c>
      <c r="U48" s="29">
        <f t="shared" si="58"/>
        <v>0.35918670739051717</v>
      </c>
      <c r="V48" s="32">
        <f t="shared" si="59"/>
        <v>0.99830000000000008</v>
      </c>
      <c r="W48" s="34" t="str">
        <f t="shared" si="8"/>
        <v>Lower bound</v>
      </c>
    </row>
    <row r="49" spans="1:23" x14ac:dyDescent="0.2">
      <c r="A49" s="5">
        <v>48</v>
      </c>
      <c r="B49" s="5" t="s">
        <v>151</v>
      </c>
      <c r="C49" s="5" t="s">
        <v>55</v>
      </c>
      <c r="D49" s="5" t="str">
        <f>'Mechanistic level'!D49</f>
        <v>Synthetic wastewater</v>
      </c>
      <c r="E49" s="5" t="s">
        <v>206</v>
      </c>
      <c r="F49" s="5" t="s">
        <v>155</v>
      </c>
      <c r="G49" s="5" t="s">
        <v>158</v>
      </c>
      <c r="H49" s="23" t="s">
        <v>208</v>
      </c>
      <c r="I49" s="15">
        <f>'Mechanistic level'!X49</f>
        <v>5.5089690357947294E-2</v>
      </c>
      <c r="J49" s="15">
        <f>'Mechanistic level'!Y49</f>
        <v>0.94491030964205269</v>
      </c>
      <c r="K49" s="15">
        <f>'Mechanistic level'!Z49</f>
        <v>4.2536549622634312E-2</v>
      </c>
      <c r="L49" s="15">
        <f>'Mechanistic level'!AA49</f>
        <v>0.28593101503091251</v>
      </c>
      <c r="M49" s="15">
        <f>'Mechanistic level'!AB49</f>
        <v>-1.2553140735312981E-2</v>
      </c>
      <c r="N49" s="15">
        <f>'Mechanistic level'!AC49</f>
        <v>-0.65897929461114013</v>
      </c>
      <c r="O49" s="28">
        <f t="shared" si="52"/>
        <v>0.94491030964205269</v>
      </c>
      <c r="P49" s="29">
        <f t="shared" si="53"/>
        <v>5.5089690357947294E-2</v>
      </c>
      <c r="Q49" s="29">
        <f t="shared" si="54"/>
        <v>1</v>
      </c>
      <c r="R49" s="30">
        <f t="shared" si="55"/>
        <v>0.94491030964205269</v>
      </c>
      <c r="S49" s="31">
        <f t="shared" si="56"/>
        <v>0.28593101503091251</v>
      </c>
      <c r="T49" s="29">
        <f t="shared" si="57"/>
        <v>4.2536549622634312E-2</v>
      </c>
      <c r="U49" s="29">
        <f t="shared" si="58"/>
        <v>0.32846756465354682</v>
      </c>
      <c r="V49" s="32">
        <f t="shared" si="59"/>
        <v>0.87050000000000005</v>
      </c>
      <c r="W49" s="34" t="str">
        <f t="shared" si="8"/>
        <v>Lower bound</v>
      </c>
    </row>
    <row r="50" spans="1:23" x14ac:dyDescent="0.2">
      <c r="A50" s="5">
        <v>49</v>
      </c>
      <c r="B50" s="5" t="s">
        <v>152</v>
      </c>
      <c r="C50" s="5" t="s">
        <v>55</v>
      </c>
      <c r="D50" s="5" t="str">
        <f>'Mechanistic level'!D50</f>
        <v>Synthetic wastewater</v>
      </c>
      <c r="E50" s="5" t="s">
        <v>206</v>
      </c>
      <c r="F50" s="5" t="s">
        <v>156</v>
      </c>
      <c r="G50" s="5" t="s">
        <v>158</v>
      </c>
      <c r="H50" s="23" t="s">
        <v>208</v>
      </c>
      <c r="I50" s="15">
        <f>'Mechanistic level'!X50</f>
        <v>0.27544845178973648</v>
      </c>
      <c r="J50" s="15">
        <f>'Mechanistic level'!Y50</f>
        <v>0.72455154821026357</v>
      </c>
      <c r="K50" s="15">
        <f>'Mechanistic level'!Z50</f>
        <v>0.14398913971124599</v>
      </c>
      <c r="L50" s="15">
        <f>'Mechanistic level'!AA50</f>
        <v>0.29406726342610112</v>
      </c>
      <c r="M50" s="15">
        <f>'Mechanistic level'!AB50</f>
        <v>-0.13145931207849049</v>
      </c>
      <c r="N50" s="15">
        <f>'Mechanistic level'!AC50</f>
        <v>-0.43048428478416245</v>
      </c>
      <c r="O50" s="28">
        <f t="shared" si="52"/>
        <v>0.72455154821026357</v>
      </c>
      <c r="P50" s="29">
        <f t="shared" si="53"/>
        <v>0.27544845178973648</v>
      </c>
      <c r="Q50" s="29">
        <f t="shared" si="54"/>
        <v>1</v>
      </c>
      <c r="R50" s="30">
        <f t="shared" si="55"/>
        <v>0.72455154821026357</v>
      </c>
      <c r="S50" s="31">
        <f t="shared" si="56"/>
        <v>0.29406726342610112</v>
      </c>
      <c r="T50" s="29">
        <f t="shared" si="57"/>
        <v>0.14398913971124599</v>
      </c>
      <c r="U50" s="29">
        <f t="shared" si="58"/>
        <v>0.43805640313734712</v>
      </c>
      <c r="V50" s="32">
        <f t="shared" si="59"/>
        <v>0.67130000000000001</v>
      </c>
      <c r="W50" s="34" t="str">
        <f t="shared" si="8"/>
        <v>Lower bound</v>
      </c>
    </row>
    <row r="51" spans="1:23" x14ac:dyDescent="0.2">
      <c r="A51" s="5">
        <v>50</v>
      </c>
      <c r="B51" s="5" t="s">
        <v>153</v>
      </c>
      <c r="C51" s="5" t="s">
        <v>55</v>
      </c>
      <c r="D51" s="5" t="str">
        <f>'Mechanistic level'!D51</f>
        <v>Synthetic wastewater</v>
      </c>
      <c r="E51" s="5" t="s">
        <v>206</v>
      </c>
      <c r="F51" s="5" t="s">
        <v>157</v>
      </c>
      <c r="G51" s="5" t="s">
        <v>158</v>
      </c>
      <c r="H51" s="23" t="s">
        <v>208</v>
      </c>
      <c r="I51" s="15">
        <f>'Mechanistic level'!X51</f>
        <v>0.55089690357947296</v>
      </c>
      <c r="J51" s="15">
        <f>'Mechanistic level'!Y51</f>
        <v>0.44910309642052704</v>
      </c>
      <c r="K51" s="15">
        <f>'Mechanistic level'!Z51</f>
        <v>0.27227374093898887</v>
      </c>
      <c r="L51" s="15">
        <f>'Mechanistic level'!AA51</f>
        <v>0.3088868587173374</v>
      </c>
      <c r="M51" s="15">
        <f>'Mechanistic level'!AB51</f>
        <v>-0.27862316264048409</v>
      </c>
      <c r="N51" s="15">
        <f>'Mechanistic level'!AC51</f>
        <v>-0.14021623770318964</v>
      </c>
      <c r="O51" s="28">
        <f t="shared" ref="O51:O62" si="60">J51</f>
        <v>0.44910309642052704</v>
      </c>
      <c r="P51" s="29">
        <f t="shared" ref="P51:P62" si="61">I51</f>
        <v>0.55089690357947296</v>
      </c>
      <c r="Q51" s="29">
        <f t="shared" ref="Q51:Q62" si="62">SUM(O51:P51)</f>
        <v>1</v>
      </c>
      <c r="R51" s="30">
        <f t="shared" ref="R51:R62" si="63">O51/Q51</f>
        <v>0.44910309642052704</v>
      </c>
      <c r="S51" s="31">
        <f t="shared" ref="S51:S62" si="64">L51</f>
        <v>0.3088868587173374</v>
      </c>
      <c r="T51" s="29">
        <f t="shared" ref="T51:T62" si="65">K51</f>
        <v>0.27227374093898887</v>
      </c>
      <c r="U51" s="29">
        <f t="shared" ref="U51:U62" si="66">SUM(S51:T51)</f>
        <v>0.58116059965632627</v>
      </c>
      <c r="V51" s="32">
        <f t="shared" ref="V51:V62" si="67">S51/U51</f>
        <v>0.53149999999999997</v>
      </c>
      <c r="W51" s="34" t="str">
        <f t="shared" si="8"/>
        <v>Lower bound</v>
      </c>
    </row>
    <row r="52" spans="1:23" x14ac:dyDescent="0.2">
      <c r="A52" s="5">
        <v>51</v>
      </c>
      <c r="B52" s="5" t="s">
        <v>159</v>
      </c>
      <c r="C52" s="5" t="s">
        <v>23</v>
      </c>
      <c r="D52" s="5" t="str">
        <f>'Mechanistic level'!D52</f>
        <v>Lactate</v>
      </c>
      <c r="E52" s="5" t="s">
        <v>204</v>
      </c>
      <c r="F52" s="5" t="s">
        <v>161</v>
      </c>
      <c r="G52" s="5" t="s">
        <v>123</v>
      </c>
      <c r="H52" s="23" t="s">
        <v>208</v>
      </c>
      <c r="I52" s="15">
        <f>'Mechanistic level'!X52</f>
        <v>0.54166666666666674</v>
      </c>
      <c r="J52" s="15">
        <f>'Mechanistic level'!Y52</f>
        <v>0.45833333333333326</v>
      </c>
      <c r="K52" s="15">
        <f>'Mechanistic level'!Z52</f>
        <v>0.45012499999999994</v>
      </c>
      <c r="L52" s="15">
        <f>'Mechanistic level'!AA52</f>
        <v>2.5111856110339201E-2</v>
      </c>
      <c r="M52" s="15">
        <f>'Mechanistic level'!AB52</f>
        <v>-9.1541666666666799E-2</v>
      </c>
      <c r="N52" s="15">
        <f>'Mechanistic level'!AC52</f>
        <v>-0.43322147722299403</v>
      </c>
      <c r="O52" s="28">
        <f t="shared" si="60"/>
        <v>0.45833333333333326</v>
      </c>
      <c r="P52" s="29">
        <f t="shared" si="61"/>
        <v>0.54166666666666674</v>
      </c>
      <c r="Q52" s="29">
        <f t="shared" si="62"/>
        <v>1</v>
      </c>
      <c r="R52" s="30">
        <f t="shared" si="63"/>
        <v>0.45833333333333326</v>
      </c>
      <c r="S52" s="31">
        <f t="shared" si="64"/>
        <v>2.5111856110339201E-2</v>
      </c>
      <c r="T52" s="29">
        <f t="shared" si="65"/>
        <v>0.45012499999999994</v>
      </c>
      <c r="U52" s="29">
        <f t="shared" si="66"/>
        <v>0.47523685611033917</v>
      </c>
      <c r="V52" s="32">
        <f t="shared" si="67"/>
        <v>5.2840716765681153E-2</v>
      </c>
      <c r="W52" s="34" t="str">
        <f t="shared" si="8"/>
        <v>As calculated</v>
      </c>
    </row>
    <row r="53" spans="1:23" x14ac:dyDescent="0.2">
      <c r="A53" s="5">
        <v>52</v>
      </c>
      <c r="B53" s="5" t="s">
        <v>160</v>
      </c>
      <c r="C53" s="5" t="s">
        <v>23</v>
      </c>
      <c r="D53" s="5" t="str">
        <f>'Mechanistic level'!D53</f>
        <v>Lactate</v>
      </c>
      <c r="E53" s="5" t="s">
        <v>204</v>
      </c>
      <c r="F53" s="5" t="s">
        <v>162</v>
      </c>
      <c r="G53" s="5" t="s">
        <v>163</v>
      </c>
      <c r="H53" s="23" t="s">
        <v>208</v>
      </c>
      <c r="I53" s="15">
        <f>'Mechanistic level'!X53</f>
        <v>0.54166666666666674</v>
      </c>
      <c r="J53" s="15">
        <f>'Mechanistic level'!Y53</f>
        <v>0.45833333333333326</v>
      </c>
      <c r="K53" s="15">
        <f>'Mechanistic level'!Z53</f>
        <v>0.43495833333333339</v>
      </c>
      <c r="L53" s="15">
        <f>'Mechanistic level'!AA53</f>
        <v>0.1019133449757167</v>
      </c>
      <c r="M53" s="15">
        <f>'Mechanistic level'!AB53</f>
        <v>-0.10670833333333335</v>
      </c>
      <c r="N53" s="15">
        <f>'Mechanistic level'!AC53</f>
        <v>-0.35641998835761657</v>
      </c>
      <c r="O53" s="28">
        <f t="shared" si="60"/>
        <v>0.45833333333333326</v>
      </c>
      <c r="P53" s="29">
        <f t="shared" si="61"/>
        <v>0.54166666666666674</v>
      </c>
      <c r="Q53" s="29">
        <f t="shared" si="62"/>
        <v>1</v>
      </c>
      <c r="R53" s="30">
        <f t="shared" si="63"/>
        <v>0.45833333333333326</v>
      </c>
      <c r="S53" s="31">
        <f t="shared" si="64"/>
        <v>0.1019133449757167</v>
      </c>
      <c r="T53" s="29">
        <f t="shared" si="65"/>
        <v>0.43495833333333339</v>
      </c>
      <c r="U53" s="29">
        <f t="shared" si="66"/>
        <v>0.53687167830905014</v>
      </c>
      <c r="V53" s="32">
        <f t="shared" si="67"/>
        <v>0.18982812670749658</v>
      </c>
      <c r="W53" s="34" t="str">
        <f t="shared" si="8"/>
        <v>As calculated</v>
      </c>
    </row>
    <row r="54" spans="1:23" x14ac:dyDescent="0.2">
      <c r="A54" s="5">
        <v>53</v>
      </c>
      <c r="B54" s="5" t="s">
        <v>165</v>
      </c>
      <c r="C54" s="5" t="s">
        <v>23</v>
      </c>
      <c r="D54" s="5" t="str">
        <f>'Mechanistic level'!D54</f>
        <v>Starch</v>
      </c>
      <c r="E54" s="5" t="s">
        <v>204</v>
      </c>
      <c r="F54" s="5" t="s">
        <v>37</v>
      </c>
      <c r="G54" s="5" t="s">
        <v>37</v>
      </c>
      <c r="H54" s="23" t="s">
        <v>208</v>
      </c>
      <c r="I54" s="15">
        <f>'Mechanistic level'!X54</f>
        <v>8.0301935276640174E-2</v>
      </c>
      <c r="J54" s="15">
        <f>'Mechanistic level'!Y54</f>
        <v>0.9196980647233598</v>
      </c>
      <c r="K54" s="15">
        <f>'Mechanistic level'!Z54</f>
        <v>6.4964265638801894E-2</v>
      </c>
      <c r="L54" s="15">
        <f>'Mechanistic level'!AA54</f>
        <v>0.74740254759321789</v>
      </c>
      <c r="M54" s="15">
        <f>'Mechanistic level'!AB54</f>
        <v>-1.533766963783828E-2</v>
      </c>
      <c r="N54" s="15">
        <f>'Mechanistic level'!AC54</f>
        <v>-0.17229551713014191</v>
      </c>
      <c r="O54" s="28">
        <f t="shared" si="60"/>
        <v>0.9196980647233598</v>
      </c>
      <c r="P54" s="29">
        <f t="shared" si="61"/>
        <v>8.0301935276640174E-2</v>
      </c>
      <c r="Q54" s="29">
        <f t="shared" si="62"/>
        <v>1</v>
      </c>
      <c r="R54" s="30">
        <f t="shared" si="63"/>
        <v>0.9196980647233598</v>
      </c>
      <c r="S54" s="31">
        <f t="shared" si="64"/>
        <v>0.74740254759321789</v>
      </c>
      <c r="T54" s="29">
        <f t="shared" si="65"/>
        <v>6.4964265638801894E-2</v>
      </c>
      <c r="U54" s="29">
        <f t="shared" si="66"/>
        <v>0.81236681323201976</v>
      </c>
      <c r="V54" s="32">
        <f t="shared" si="67"/>
        <v>0.92003087203877754</v>
      </c>
      <c r="W54" s="34" t="str">
        <f t="shared" si="8"/>
        <v>As calculated</v>
      </c>
    </row>
    <row r="55" spans="1:23" x14ac:dyDescent="0.2">
      <c r="A55" s="5">
        <v>54</v>
      </c>
      <c r="B55" s="5" t="s">
        <v>166</v>
      </c>
      <c r="C55" s="5" t="s">
        <v>23</v>
      </c>
      <c r="D55" s="5" t="str">
        <f>'Mechanistic level'!D55</f>
        <v>Starch</v>
      </c>
      <c r="E55" s="5" t="s">
        <v>204</v>
      </c>
      <c r="F55" s="5" t="s">
        <v>39</v>
      </c>
      <c r="G55" s="5" t="s">
        <v>39</v>
      </c>
      <c r="H55" s="23" t="s">
        <v>208</v>
      </c>
      <c r="I55" s="15">
        <f>'Mechanistic level'!X55</f>
        <v>0.14358532557972575</v>
      </c>
      <c r="J55" s="15">
        <f>'Mechanistic level'!Y55</f>
        <v>0.8564146744202743</v>
      </c>
      <c r="K55" s="15">
        <f>'Mechanistic level'!Z55</f>
        <v>0.11860147892885346</v>
      </c>
      <c r="L55" s="15">
        <f>'Mechanistic level'!AA55</f>
        <v>0.67727094125069076</v>
      </c>
      <c r="M55" s="15">
        <f>'Mechanistic level'!AB55</f>
        <v>-2.4983846650872291E-2</v>
      </c>
      <c r="N55" s="15">
        <f>'Mechanistic level'!AC55</f>
        <v>-0.17914373316958354</v>
      </c>
      <c r="O55" s="28">
        <f t="shared" si="60"/>
        <v>0.8564146744202743</v>
      </c>
      <c r="P55" s="29">
        <f t="shared" si="61"/>
        <v>0.14358532557972575</v>
      </c>
      <c r="Q55" s="29">
        <f t="shared" si="62"/>
        <v>1</v>
      </c>
      <c r="R55" s="30">
        <f t="shared" si="63"/>
        <v>0.8564146744202743</v>
      </c>
      <c r="S55" s="31">
        <f t="shared" si="64"/>
        <v>0.67727094125069076</v>
      </c>
      <c r="T55" s="29">
        <f t="shared" si="65"/>
        <v>0.11860147892885346</v>
      </c>
      <c r="U55" s="29">
        <f t="shared" si="66"/>
        <v>0.79587242017954418</v>
      </c>
      <c r="V55" s="32">
        <f t="shared" si="67"/>
        <v>0.85097928270702283</v>
      </c>
      <c r="W55" s="34" t="str">
        <f t="shared" si="8"/>
        <v>As calculated</v>
      </c>
    </row>
    <row r="56" spans="1:23" x14ac:dyDescent="0.2">
      <c r="A56" s="5">
        <v>55</v>
      </c>
      <c r="B56" s="5" t="s">
        <v>167</v>
      </c>
      <c r="C56" s="5" t="s">
        <v>23</v>
      </c>
      <c r="D56" s="5" t="str">
        <f>'Mechanistic level'!D56</f>
        <v>Starch</v>
      </c>
      <c r="E56" s="5" t="s">
        <v>204</v>
      </c>
      <c r="F56" s="5" t="s">
        <v>40</v>
      </c>
      <c r="G56" s="5" t="s">
        <v>40</v>
      </c>
      <c r="H56" s="23" t="s">
        <v>208</v>
      </c>
      <c r="I56" s="15">
        <f>'Mechanistic level'!X56</f>
        <v>0.21127802074750163</v>
      </c>
      <c r="J56" s="15">
        <f>'Mechanistic level'!Y56</f>
        <v>0.78872197925249843</v>
      </c>
      <c r="K56" s="15">
        <f>'Mechanistic level'!Z56</f>
        <v>0.17451564513743634</v>
      </c>
      <c r="L56" s="15">
        <f>'Mechanistic level'!AA56</f>
        <v>0.67326342088826063</v>
      </c>
      <c r="M56" s="15">
        <f>'Mechanistic level'!AB56</f>
        <v>-3.676237561006529E-2</v>
      </c>
      <c r="N56" s="15">
        <f>'Mechanistic level'!AC56</f>
        <v>-0.1154585583642378</v>
      </c>
      <c r="O56" s="28">
        <f t="shared" si="60"/>
        <v>0.78872197925249843</v>
      </c>
      <c r="P56" s="29">
        <f t="shared" si="61"/>
        <v>0.21127802074750163</v>
      </c>
      <c r="Q56" s="29">
        <f t="shared" si="62"/>
        <v>1</v>
      </c>
      <c r="R56" s="30">
        <f t="shared" si="63"/>
        <v>0.78872197925249843</v>
      </c>
      <c r="S56" s="31">
        <f t="shared" si="64"/>
        <v>0.67326342088826063</v>
      </c>
      <c r="T56" s="29">
        <f t="shared" si="65"/>
        <v>0.17451564513743634</v>
      </c>
      <c r="U56" s="29">
        <f t="shared" si="66"/>
        <v>0.84777906602569697</v>
      </c>
      <c r="V56" s="32">
        <f t="shared" si="67"/>
        <v>0.79414961735780043</v>
      </c>
      <c r="W56" s="34" t="str">
        <f t="shared" si="8"/>
        <v>As calculated</v>
      </c>
    </row>
    <row r="57" spans="1:23" x14ac:dyDescent="0.2">
      <c r="A57" s="5">
        <v>56</v>
      </c>
      <c r="B57" s="5" t="s">
        <v>168</v>
      </c>
      <c r="C57" s="5" t="s">
        <v>23</v>
      </c>
      <c r="D57" s="5" t="str">
        <f>'Mechanistic level'!D57</f>
        <v>Starch</v>
      </c>
      <c r="E57" s="5" t="s">
        <v>204</v>
      </c>
      <c r="F57" s="5" t="s">
        <v>41</v>
      </c>
      <c r="G57" s="5" t="s">
        <v>41</v>
      </c>
      <c r="H57" s="23" t="s">
        <v>208</v>
      </c>
      <c r="I57" s="15">
        <f>'Mechanistic level'!X57</f>
        <v>0.34142510840247192</v>
      </c>
      <c r="J57" s="15">
        <f>'Mechanistic level'!Y57</f>
        <v>0.65857489159752802</v>
      </c>
      <c r="K57" s="15">
        <f>'Mechanistic level'!Z57</f>
        <v>0.28201713954044177</v>
      </c>
      <c r="L57" s="15">
        <f>'Mechanistic level'!AA57</f>
        <v>0.47288740276675445</v>
      </c>
      <c r="M57" s="15">
        <f>'Mechanistic level'!AB57</f>
        <v>-5.9407968862030147E-2</v>
      </c>
      <c r="N57" s="15">
        <f>'Mechanistic level'!AC57</f>
        <v>-0.18568748883077357</v>
      </c>
      <c r="O57" s="28">
        <f t="shared" si="60"/>
        <v>0.65857489159752802</v>
      </c>
      <c r="P57" s="29">
        <f t="shared" si="61"/>
        <v>0.34142510840247192</v>
      </c>
      <c r="Q57" s="29">
        <f t="shared" si="62"/>
        <v>1</v>
      </c>
      <c r="R57" s="30">
        <f t="shared" si="63"/>
        <v>0.65857489159752802</v>
      </c>
      <c r="S57" s="31">
        <f t="shared" si="64"/>
        <v>0.47288740276675445</v>
      </c>
      <c r="T57" s="29">
        <f t="shared" si="65"/>
        <v>0.28201713954044177</v>
      </c>
      <c r="U57" s="29">
        <f t="shared" si="66"/>
        <v>0.75490454230719628</v>
      </c>
      <c r="V57" s="32">
        <f t="shared" si="67"/>
        <v>0.62642013163873711</v>
      </c>
      <c r="W57" s="34" t="str">
        <f t="shared" si="8"/>
        <v>As calculated</v>
      </c>
    </row>
    <row r="58" spans="1:23" x14ac:dyDescent="0.2">
      <c r="A58" s="5">
        <v>57</v>
      </c>
      <c r="B58" s="5" t="s">
        <v>169</v>
      </c>
      <c r="C58" s="5" t="s">
        <v>23</v>
      </c>
      <c r="D58" s="5" t="str">
        <f>'Mechanistic level'!D58</f>
        <v>Starch</v>
      </c>
      <c r="E58" s="5" t="s">
        <v>204</v>
      </c>
      <c r="F58" s="5" t="s">
        <v>42</v>
      </c>
      <c r="G58" s="5" t="s">
        <v>42</v>
      </c>
      <c r="H58" s="23" t="s">
        <v>208</v>
      </c>
      <c r="I58" s="15">
        <f>'Mechanistic level'!X58</f>
        <v>0.72487405313326803</v>
      </c>
      <c r="J58" s="15">
        <f>'Mechanistic level'!Y58</f>
        <v>0.27512594686673197</v>
      </c>
      <c r="K58" s="15">
        <f>'Mechanistic level'!Z58</f>
        <v>0.15367329926425283</v>
      </c>
      <c r="L58" s="15">
        <f>'Mechanistic level'!AA58</f>
        <v>4.4082723986731347E-2</v>
      </c>
      <c r="M58" s="15">
        <f>'Mechanistic level'!AB58</f>
        <v>-0.57120075386901514</v>
      </c>
      <c r="N58" s="15">
        <f>'Mechanistic level'!AC58</f>
        <v>-0.23104322288000062</v>
      </c>
      <c r="O58" s="28">
        <f t="shared" si="60"/>
        <v>0.27512594686673197</v>
      </c>
      <c r="P58" s="29">
        <f t="shared" si="61"/>
        <v>0.72487405313326803</v>
      </c>
      <c r="Q58" s="29">
        <f t="shared" si="62"/>
        <v>1</v>
      </c>
      <c r="R58" s="30">
        <f t="shared" si="63"/>
        <v>0.27512594686673197</v>
      </c>
      <c r="S58" s="31">
        <f t="shared" si="64"/>
        <v>4.4082723986731347E-2</v>
      </c>
      <c r="T58" s="29">
        <f t="shared" si="65"/>
        <v>0.15367329926425283</v>
      </c>
      <c r="U58" s="29">
        <f t="shared" si="66"/>
        <v>0.19775602325098418</v>
      </c>
      <c r="V58" s="32">
        <f t="shared" si="67"/>
        <v>0.22291469691814789</v>
      </c>
      <c r="W58" s="34" t="str">
        <f t="shared" si="8"/>
        <v>As calculated</v>
      </c>
    </row>
    <row r="59" spans="1:23" x14ac:dyDescent="0.2">
      <c r="A59" s="5">
        <v>58</v>
      </c>
      <c r="B59" s="5" t="s">
        <v>170</v>
      </c>
      <c r="C59" s="5" t="s">
        <v>23</v>
      </c>
      <c r="D59" s="5" t="str">
        <f>'Mechanistic level'!D59</f>
        <v>Starch</v>
      </c>
      <c r="E59" s="5" t="s">
        <v>204</v>
      </c>
      <c r="F59" s="5" t="s">
        <v>164</v>
      </c>
      <c r="G59" s="5" t="s">
        <v>164</v>
      </c>
      <c r="H59" s="23" t="s">
        <v>208</v>
      </c>
      <c r="I59" s="15">
        <f>'Mechanistic level'!X59</f>
        <v>1</v>
      </c>
      <c r="J59" s="15">
        <f>'Mechanistic level'!Y59</f>
        <v>0</v>
      </c>
      <c r="K59" s="15">
        <f>'Mechanistic level'!Z59</f>
        <v>0.20165355918531963</v>
      </c>
      <c r="L59" s="15">
        <f>'Mechanistic level'!AA59</f>
        <v>2.3043242083973205E-2</v>
      </c>
      <c r="M59" s="15">
        <f>'Mechanistic level'!AB59</f>
        <v>-0.79834644081468031</v>
      </c>
      <c r="N59" s="15">
        <f>'Mechanistic level'!AC59</f>
        <v>2.3043242083973205E-2</v>
      </c>
      <c r="O59" s="28">
        <f t="shared" si="60"/>
        <v>0</v>
      </c>
      <c r="P59" s="29">
        <f t="shared" si="61"/>
        <v>1</v>
      </c>
      <c r="Q59" s="29">
        <f t="shared" si="62"/>
        <v>1</v>
      </c>
      <c r="R59" s="30">
        <f t="shared" si="63"/>
        <v>0</v>
      </c>
      <c r="S59" s="31">
        <f t="shared" si="64"/>
        <v>2.3043242083973205E-2</v>
      </c>
      <c r="T59" s="29">
        <f t="shared" si="65"/>
        <v>0.20165355918531963</v>
      </c>
      <c r="U59" s="29">
        <f t="shared" si="66"/>
        <v>0.22469680126929284</v>
      </c>
      <c r="V59" s="32">
        <f t="shared" si="67"/>
        <v>0.10255260401484988</v>
      </c>
      <c r="W59" s="34" t="str">
        <f t="shared" si="8"/>
        <v>As calculated</v>
      </c>
    </row>
    <row r="60" spans="1:23" x14ac:dyDescent="0.2">
      <c r="A60" s="5">
        <v>59</v>
      </c>
      <c r="B60" s="5" t="s">
        <v>171</v>
      </c>
      <c r="C60" s="5" t="s">
        <v>55</v>
      </c>
      <c r="D60" s="5" t="str">
        <f>'Mechanistic level'!D60</f>
        <v>Glucose</v>
      </c>
      <c r="E60" s="5" t="s">
        <v>204</v>
      </c>
      <c r="F60" s="5" t="s">
        <v>174</v>
      </c>
      <c r="G60" s="5" t="s">
        <v>175</v>
      </c>
      <c r="H60" s="23" t="s">
        <v>208</v>
      </c>
      <c r="I60" s="15">
        <f>'Mechanistic level'!X60</f>
        <v>0.16666666666666666</v>
      </c>
      <c r="J60" s="15">
        <f>'Mechanistic level'!Y60</f>
        <v>0.83333333333333337</v>
      </c>
      <c r="K60" s="15">
        <f>'Mechanistic level'!Z60</f>
        <v>8.6166666666666669E-2</v>
      </c>
      <c r="L60" s="15">
        <f>'Mechanistic level'!AA60</f>
        <v>0.50397073257785308</v>
      </c>
      <c r="M60" s="15">
        <f>'Mechanistic level'!AB60</f>
        <v>-8.0499999999999988E-2</v>
      </c>
      <c r="N60" s="15">
        <f>'Mechanistic level'!AC60</f>
        <v>-0.32936260075548029</v>
      </c>
      <c r="O60" s="28">
        <f t="shared" si="60"/>
        <v>0.83333333333333337</v>
      </c>
      <c r="P60" s="29">
        <f t="shared" si="61"/>
        <v>0.16666666666666666</v>
      </c>
      <c r="Q60" s="29">
        <f t="shared" si="62"/>
        <v>1</v>
      </c>
      <c r="R60" s="30">
        <f t="shared" si="63"/>
        <v>0.83333333333333337</v>
      </c>
      <c r="S60" s="31">
        <f t="shared" si="64"/>
        <v>0.50397073257785308</v>
      </c>
      <c r="T60" s="29">
        <f t="shared" si="65"/>
        <v>8.6166666666666669E-2</v>
      </c>
      <c r="U60" s="29">
        <f t="shared" si="66"/>
        <v>0.5901373992445198</v>
      </c>
      <c r="V60" s="32">
        <f t="shared" si="67"/>
        <v>0.85398880535791277</v>
      </c>
      <c r="W60" s="34" t="str">
        <f t="shared" si="8"/>
        <v>As calculated</v>
      </c>
    </row>
    <row r="61" spans="1:23" x14ac:dyDescent="0.2">
      <c r="A61" s="5">
        <v>60</v>
      </c>
      <c r="B61" s="5" t="s">
        <v>172</v>
      </c>
      <c r="C61" s="5" t="s">
        <v>55</v>
      </c>
      <c r="D61" s="5" t="str">
        <f>'Mechanistic level'!D61</f>
        <v>Glucose</v>
      </c>
      <c r="E61" s="5" t="s">
        <v>204</v>
      </c>
      <c r="F61" s="5" t="s">
        <v>176</v>
      </c>
      <c r="G61" s="5" t="s">
        <v>177</v>
      </c>
      <c r="H61" s="23" t="s">
        <v>208</v>
      </c>
      <c r="I61" s="15">
        <f>'Mechanistic level'!X61</f>
        <v>0.16666666666666666</v>
      </c>
      <c r="J61" s="15">
        <f>'Mechanistic level'!Y61</f>
        <v>0.83333333333333337</v>
      </c>
      <c r="K61" s="15">
        <f>'Mechanistic level'!Z61</f>
        <v>8.8166666666666671E-2</v>
      </c>
      <c r="L61" s="15">
        <f>'Mechanistic level'!AA61</f>
        <v>0.52502899973230999</v>
      </c>
      <c r="M61" s="15">
        <f>'Mechanistic level'!AB61</f>
        <v>-7.8499999999999986E-2</v>
      </c>
      <c r="N61" s="15">
        <f>'Mechanistic level'!AC61</f>
        <v>-0.30830433360102338</v>
      </c>
      <c r="O61" s="28">
        <f t="shared" si="60"/>
        <v>0.83333333333333337</v>
      </c>
      <c r="P61" s="29">
        <f t="shared" si="61"/>
        <v>0.16666666666666666</v>
      </c>
      <c r="Q61" s="29">
        <f t="shared" si="62"/>
        <v>1</v>
      </c>
      <c r="R61" s="30">
        <f t="shared" si="63"/>
        <v>0.83333333333333337</v>
      </c>
      <c r="S61" s="31">
        <f t="shared" si="64"/>
        <v>0.52502899973230999</v>
      </c>
      <c r="T61" s="29">
        <f t="shared" si="65"/>
        <v>8.8166666666666671E-2</v>
      </c>
      <c r="U61" s="29">
        <f t="shared" si="66"/>
        <v>0.6131956663989766</v>
      </c>
      <c r="V61" s="32">
        <f t="shared" si="67"/>
        <v>0.85621772706837618</v>
      </c>
      <c r="W61" s="34" t="str">
        <f t="shared" si="8"/>
        <v>As calculated</v>
      </c>
    </row>
    <row r="62" spans="1:23" x14ac:dyDescent="0.2">
      <c r="A62" s="5">
        <v>61</v>
      </c>
      <c r="B62" s="5" t="s">
        <v>173</v>
      </c>
      <c r="C62" s="5" t="s">
        <v>55</v>
      </c>
      <c r="D62" s="5" t="str">
        <f>'Mechanistic level'!D62</f>
        <v>Glucose</v>
      </c>
      <c r="E62" s="5" t="s">
        <v>204</v>
      </c>
      <c r="F62" s="5" t="s">
        <v>178</v>
      </c>
      <c r="G62" s="5" t="s">
        <v>179</v>
      </c>
      <c r="H62" s="23" t="s">
        <v>208</v>
      </c>
      <c r="I62" s="15">
        <f>'Mechanistic level'!X62</f>
        <v>0.16666666666666666</v>
      </c>
      <c r="J62" s="15">
        <f>'Mechanistic level'!Y62</f>
        <v>0.83333333333333337</v>
      </c>
      <c r="K62" s="15">
        <f>'Mechanistic level'!Z62</f>
        <v>9.3666666666666676E-2</v>
      </c>
      <c r="L62" s="15">
        <f>'Mechanistic level'!AA62</f>
        <v>0.5821361648969392</v>
      </c>
      <c r="M62" s="15">
        <f>'Mechanistic level'!AB62</f>
        <v>-7.2999999999999982E-2</v>
      </c>
      <c r="N62" s="15">
        <f>'Mechanistic level'!AC62</f>
        <v>-0.25119716843639417</v>
      </c>
      <c r="O62" s="28">
        <f t="shared" si="60"/>
        <v>0.83333333333333337</v>
      </c>
      <c r="P62" s="29">
        <f t="shared" si="61"/>
        <v>0.16666666666666666</v>
      </c>
      <c r="Q62" s="29">
        <f t="shared" si="62"/>
        <v>1</v>
      </c>
      <c r="R62" s="30">
        <f t="shared" si="63"/>
        <v>0.83333333333333337</v>
      </c>
      <c r="S62" s="31">
        <f t="shared" si="64"/>
        <v>0.5821361648969392</v>
      </c>
      <c r="T62" s="29">
        <f t="shared" si="65"/>
        <v>9.3666666666666676E-2</v>
      </c>
      <c r="U62" s="29">
        <f t="shared" si="66"/>
        <v>0.67580283156360588</v>
      </c>
      <c r="V62" s="32">
        <f t="shared" si="67"/>
        <v>0.86139941667608877</v>
      </c>
      <c r="W62" s="34" t="str">
        <f t="shared" si="8"/>
        <v>As calculated</v>
      </c>
    </row>
    <row r="63" spans="1:23" ht="17" thickBot="1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</row>
    <row r="64" spans="1:23" x14ac:dyDescent="0.2">
      <c r="A64" s="35" t="s">
        <v>209</v>
      </c>
      <c r="B64" s="36"/>
      <c r="C64" s="36"/>
      <c r="D64" s="37"/>
    </row>
    <row r="65" spans="1:4" x14ac:dyDescent="0.2">
      <c r="A65" s="38"/>
      <c r="B65" s="39"/>
      <c r="C65" s="39"/>
      <c r="D65" s="40"/>
    </row>
    <row r="66" spans="1:4" x14ac:dyDescent="0.2">
      <c r="A66" s="38"/>
      <c r="B66" s="39"/>
      <c r="C66" s="39"/>
      <c r="D66" s="40"/>
    </row>
    <row r="67" spans="1:4" x14ac:dyDescent="0.2">
      <c r="A67" s="38"/>
      <c r="B67" s="39"/>
      <c r="C67" s="39"/>
      <c r="D67" s="40"/>
    </row>
    <row r="68" spans="1:4" x14ac:dyDescent="0.2">
      <c r="A68" s="38"/>
      <c r="B68" s="39"/>
      <c r="C68" s="39"/>
      <c r="D68" s="40"/>
    </row>
    <row r="69" spans="1:4" x14ac:dyDescent="0.2">
      <c r="A69" s="38"/>
      <c r="B69" s="39"/>
      <c r="C69" s="39"/>
      <c r="D69" s="40"/>
    </row>
    <row r="70" spans="1:4" x14ac:dyDescent="0.2">
      <c r="A70" s="38"/>
      <c r="B70" s="39"/>
      <c r="C70" s="39"/>
      <c r="D70" s="40"/>
    </row>
    <row r="71" spans="1:4" x14ac:dyDescent="0.2">
      <c r="A71" s="38"/>
      <c r="B71" s="39"/>
      <c r="C71" s="39"/>
      <c r="D71" s="40"/>
    </row>
    <row r="72" spans="1:4" ht="17" thickBot="1" x14ac:dyDescent="0.25">
      <c r="A72" s="41"/>
      <c r="B72" s="42"/>
      <c r="C72" s="42"/>
      <c r="D72" s="43"/>
    </row>
  </sheetData>
  <mergeCells count="1">
    <mergeCell ref="A64:D7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Mechanistic level</vt:lpstr>
      <vt:lpstr>Operational level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Trung Kien Nguyen</dc:creator>
  <cp:lastModifiedBy>Vu Trung Kien Nguyen</cp:lastModifiedBy>
  <dcterms:created xsi:type="dcterms:W3CDTF">2026-08-20T20:10:22Z</dcterms:created>
  <dcterms:modified xsi:type="dcterms:W3CDTF">2026-10-15T17:29:59Z</dcterms:modified>
</cp:coreProperties>
</file>