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ongnguyen/Desktop/5_Paper_Chain/A15 (New perspective)/GD3.Audit data_prepare/Audit_ver.2/Audit/"/>
    </mc:Choice>
  </mc:AlternateContent>
  <xr:revisionPtr revIDLastSave="0" documentId="13_ncr:1_{5B237672-ECDB-1A41-A92D-C20F72BE51D9}" xr6:coauthVersionLast="47" xr6:coauthVersionMax="47" xr10:uidLastSave="{00000000-0000-0000-0000-000000000000}"/>
  <bookViews>
    <workbookView xWindow="64660" yWindow="1860" windowWidth="34160" windowHeight="25980" firstSheet="1" activeTab="7" xr2:uid="{C8F83375-4028-3447-9E9A-C4128AF4551B}"/>
  </bookViews>
  <sheets>
    <sheet name="VFA_Formation" sheetId="1" r:id="rId1"/>
    <sheet name="Chain_Elongation" sheetId="2" r:id="rId2"/>
    <sheet name="Biogas_Upgrading" sheetId="3" r:id="rId3"/>
    <sheet name="Reductive_Azodye" sheetId="4" r:id="rId4"/>
    <sheet name="Reductive_Denitrification" sheetId="5" r:id="rId5"/>
    <sheet name="Reductive_Iron" sheetId="6" r:id="rId6"/>
    <sheet name="Reductive_Sulfate" sheetId="7" r:id="rId7"/>
    <sheet name="Summary" sheetId="8" r:id="rId8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7" l="1"/>
  <c r="T7" i="7"/>
  <c r="T9" i="7"/>
  <c r="T10" i="7"/>
  <c r="T11" i="7"/>
  <c r="T6" i="7"/>
  <c r="AB6" i="7" s="1"/>
  <c r="F130" i="8" s="1"/>
  <c r="AB7" i="7"/>
  <c r="AB9" i="7"/>
  <c r="AB10" i="7"/>
  <c r="AB11" i="7"/>
  <c r="R7" i="7"/>
  <c r="R8" i="7"/>
  <c r="T8" i="7" s="1"/>
  <c r="AB8" i="7" s="1"/>
  <c r="R9" i="7"/>
  <c r="R10" i="7"/>
  <c r="R11" i="7"/>
  <c r="R6" i="7"/>
  <c r="AJ3" i="7"/>
  <c r="N127" i="8" s="1"/>
  <c r="AJ4" i="7"/>
  <c r="N128" i="8" s="1"/>
  <c r="AJ5" i="7"/>
  <c r="N129" i="8" s="1"/>
  <c r="AJ2" i="7"/>
  <c r="N126" i="8" s="1"/>
  <c r="P2" i="5"/>
  <c r="AG2" i="6"/>
  <c r="N121" i="8" s="1"/>
  <c r="AG3" i="6"/>
  <c r="N122" i="8" s="1"/>
  <c r="AG4" i="6"/>
  <c r="N123" i="8" s="1"/>
  <c r="AG5" i="6"/>
  <c r="N124" i="8" s="1"/>
  <c r="AG6" i="6"/>
  <c r="N125" i="8" s="1"/>
  <c r="AG3" i="5"/>
  <c r="N109" i="8" s="1"/>
  <c r="AG4" i="5"/>
  <c r="N110" i="8" s="1"/>
  <c r="AG5" i="5"/>
  <c r="N111" i="8" s="1"/>
  <c r="AG6" i="5"/>
  <c r="N112" i="8" s="1"/>
  <c r="AG7" i="5"/>
  <c r="N113" i="8" s="1"/>
  <c r="AG8" i="5"/>
  <c r="N114" i="8" s="1"/>
  <c r="AG9" i="5"/>
  <c r="N115" i="8" s="1"/>
  <c r="AG10" i="5"/>
  <c r="N116" i="8" s="1"/>
  <c r="AG11" i="5"/>
  <c r="N117" i="8" s="1"/>
  <c r="AG12" i="5"/>
  <c r="N118" i="8" s="1"/>
  <c r="AG13" i="5"/>
  <c r="N119" i="8" s="1"/>
  <c r="AG14" i="5"/>
  <c r="N120" i="8" s="1"/>
  <c r="AG2" i="5"/>
  <c r="N108" i="8" s="1"/>
  <c r="S2" i="4"/>
  <c r="S3" i="4"/>
  <c r="AF4" i="4"/>
  <c r="N90" i="8" s="1"/>
  <c r="AF5" i="4"/>
  <c r="N91" i="8" s="1"/>
  <c r="AF6" i="4"/>
  <c r="N92" i="8" s="1"/>
  <c r="AF7" i="4"/>
  <c r="N93" i="8" s="1"/>
  <c r="AF8" i="4"/>
  <c r="N94" i="8" s="1"/>
  <c r="AF9" i="4"/>
  <c r="N95" i="8" s="1"/>
  <c r="AF10" i="4"/>
  <c r="N96" i="8" s="1"/>
  <c r="AF11" i="4"/>
  <c r="N97" i="8" s="1"/>
  <c r="AF12" i="4"/>
  <c r="N98" i="8" s="1"/>
  <c r="AF13" i="4"/>
  <c r="N99" i="8" s="1"/>
  <c r="AF14" i="4"/>
  <c r="N100" i="8" s="1"/>
  <c r="AF15" i="4"/>
  <c r="N101" i="8" s="1"/>
  <c r="AF16" i="4"/>
  <c r="N102" i="8" s="1"/>
  <c r="AF17" i="4"/>
  <c r="N103" i="8" s="1"/>
  <c r="AF18" i="4"/>
  <c r="N104" i="8" s="1"/>
  <c r="AF19" i="4"/>
  <c r="N105" i="8" s="1"/>
  <c r="AF20" i="4"/>
  <c r="N106" i="8" s="1"/>
  <c r="AF21" i="4"/>
  <c r="N107" i="8" s="1"/>
  <c r="S22" i="3"/>
  <c r="AF22" i="3"/>
  <c r="AL19" i="3"/>
  <c r="AM19" i="3"/>
  <c r="K83" i="8" s="1"/>
  <c r="AL20" i="3"/>
  <c r="AM20" i="3"/>
  <c r="AL21" i="3"/>
  <c r="AM21" i="3"/>
  <c r="AI19" i="3"/>
  <c r="G83" i="8" s="1"/>
  <c r="AI20" i="3"/>
  <c r="G84" i="8" s="1"/>
  <c r="AI21" i="3"/>
  <c r="G85" i="8" s="1"/>
  <c r="AK19" i="3"/>
  <c r="J83" i="8"/>
  <c r="AP19" i="3"/>
  <c r="N83" i="8" s="1"/>
  <c r="AN19" i="3"/>
  <c r="L83" i="8" s="1"/>
  <c r="AO19" i="3"/>
  <c r="M83" i="8" s="1"/>
  <c r="AK20" i="3"/>
  <c r="I84" i="8" s="1"/>
  <c r="J84" i="8"/>
  <c r="AN20" i="3"/>
  <c r="L84" i="8" s="1"/>
  <c r="AO20" i="3"/>
  <c r="M84" i="8" s="1"/>
  <c r="AK21" i="3"/>
  <c r="I85" i="8" s="1"/>
  <c r="J85" i="8"/>
  <c r="AN21" i="3"/>
  <c r="L85" i="8" s="1"/>
  <c r="AO21" i="3"/>
  <c r="M85" i="8" s="1"/>
  <c r="AP13" i="3"/>
  <c r="N77" i="8" s="1"/>
  <c r="X2" i="3"/>
  <c r="Z23" i="3"/>
  <c r="AA23" i="3" s="1"/>
  <c r="AG23" i="3" s="1"/>
  <c r="V23" i="3"/>
  <c r="T23" i="3"/>
  <c r="S23" i="3"/>
  <c r="AF23" i="3" s="1"/>
  <c r="D87" i="8" s="1"/>
  <c r="Z22" i="3"/>
  <c r="AA22" i="3" s="1"/>
  <c r="AG22" i="3" s="1"/>
  <c r="V22" i="3"/>
  <c r="T22" i="3"/>
  <c r="AC21" i="3"/>
  <c r="AD21" i="3" s="1"/>
  <c r="AE21" i="3" s="1"/>
  <c r="AG21" i="3" s="1"/>
  <c r="AB21" i="3"/>
  <c r="S21" i="3"/>
  <c r="AF21" i="3" s="1"/>
  <c r="D85" i="8" s="1"/>
  <c r="Q21" i="3"/>
  <c r="P21" i="3"/>
  <c r="AC20" i="3"/>
  <c r="AD20" i="3" s="1"/>
  <c r="AE20" i="3" s="1"/>
  <c r="AG20" i="3" s="1"/>
  <c r="AB20" i="3"/>
  <c r="S20" i="3"/>
  <c r="AF20" i="3" s="1"/>
  <c r="D84" i="8" s="1"/>
  <c r="Q20" i="3"/>
  <c r="P20" i="3"/>
  <c r="AC19" i="3"/>
  <c r="AD19" i="3" s="1"/>
  <c r="AE19" i="3" s="1"/>
  <c r="AG19" i="3" s="1"/>
  <c r="AB19" i="3"/>
  <c r="S19" i="3"/>
  <c r="AF19" i="3" s="1"/>
  <c r="D83" i="8" s="1"/>
  <c r="Q19" i="3"/>
  <c r="P19" i="3"/>
  <c r="AC18" i="3"/>
  <c r="AD18" i="3" s="1"/>
  <c r="AE18" i="3" s="1"/>
  <c r="AB18" i="3"/>
  <c r="S18" i="3"/>
  <c r="AF18" i="3" s="1"/>
  <c r="Q18" i="3"/>
  <c r="P18" i="3"/>
  <c r="AC17" i="3"/>
  <c r="AD17" i="3" s="1"/>
  <c r="AE17" i="3" s="1"/>
  <c r="AB17" i="3"/>
  <c r="X17" i="3"/>
  <c r="P17" i="3"/>
  <c r="AC16" i="3"/>
  <c r="AD16" i="3" s="1"/>
  <c r="AE16" i="3" s="1"/>
  <c r="AH16" i="3" s="1"/>
  <c r="AB16" i="3"/>
  <c r="X16" i="3"/>
  <c r="P16" i="3"/>
  <c r="AC15" i="3"/>
  <c r="AD15" i="3" s="1"/>
  <c r="AE15" i="3" s="1"/>
  <c r="AH15" i="3" s="1"/>
  <c r="AB15" i="3"/>
  <c r="X15" i="3"/>
  <c r="P15" i="3"/>
  <c r="AC14" i="3"/>
  <c r="AD14" i="3" s="1"/>
  <c r="AE14" i="3" s="1"/>
  <c r="AH14" i="3" s="1"/>
  <c r="AB14" i="3"/>
  <c r="X14" i="3"/>
  <c r="P14" i="3"/>
  <c r="AC13" i="3"/>
  <c r="AD13" i="3" s="1"/>
  <c r="AE13" i="3" s="1"/>
  <c r="AB13" i="3"/>
  <c r="X13" i="3"/>
  <c r="P13" i="3"/>
  <c r="AC12" i="3"/>
  <c r="AD12" i="3" s="1"/>
  <c r="AE12" i="3" s="1"/>
  <c r="AH12" i="3" s="1"/>
  <c r="AB12" i="3"/>
  <c r="X12" i="3"/>
  <c r="P12" i="3"/>
  <c r="AF11" i="3"/>
  <c r="AN11" i="3" s="1"/>
  <c r="AC11" i="3"/>
  <c r="AD11" i="3" s="1"/>
  <c r="AE11" i="3" s="1"/>
  <c r="AH11" i="3" s="1"/>
  <c r="AB11" i="3"/>
  <c r="X11" i="3"/>
  <c r="Z11" i="3" s="1"/>
  <c r="AA11" i="3" s="1"/>
  <c r="AG11" i="3" s="1"/>
  <c r="S11" i="3"/>
  <c r="AC10" i="3"/>
  <c r="AD10" i="3" s="1"/>
  <c r="AE10" i="3" s="1"/>
  <c r="AH10" i="3" s="1"/>
  <c r="AB10" i="3"/>
  <c r="X10" i="3"/>
  <c r="Z10" i="3" s="1"/>
  <c r="AA10" i="3" s="1"/>
  <c r="AG10" i="3" s="1"/>
  <c r="S10" i="3"/>
  <c r="AF10" i="3" s="1"/>
  <c r="AC9" i="3"/>
  <c r="AD9" i="3" s="1"/>
  <c r="AE9" i="3" s="1"/>
  <c r="AH9" i="3" s="1"/>
  <c r="AB9" i="3"/>
  <c r="X9" i="3"/>
  <c r="Z9" i="3" s="1"/>
  <c r="AA9" i="3" s="1"/>
  <c r="AG9" i="3" s="1"/>
  <c r="S9" i="3"/>
  <c r="AF9" i="3" s="1"/>
  <c r="AC8" i="3"/>
  <c r="AD8" i="3" s="1"/>
  <c r="AE8" i="3" s="1"/>
  <c r="AH8" i="3" s="1"/>
  <c r="AB8" i="3"/>
  <c r="X8" i="3"/>
  <c r="Z8" i="3" s="1"/>
  <c r="AA8" i="3" s="1"/>
  <c r="AG8" i="3" s="1"/>
  <c r="S8" i="3"/>
  <c r="AF8" i="3" s="1"/>
  <c r="AC7" i="3"/>
  <c r="AD7" i="3" s="1"/>
  <c r="AE7" i="3" s="1"/>
  <c r="AH7" i="3" s="1"/>
  <c r="AB7" i="3"/>
  <c r="X7" i="3"/>
  <c r="Z7" i="3" s="1"/>
  <c r="AA7" i="3" s="1"/>
  <c r="AG7" i="3" s="1"/>
  <c r="S7" i="3"/>
  <c r="AF7" i="3" s="1"/>
  <c r="AC6" i="3"/>
  <c r="AD6" i="3" s="1"/>
  <c r="AE6" i="3" s="1"/>
  <c r="AH6" i="3" s="1"/>
  <c r="AB6" i="3"/>
  <c r="X6" i="3"/>
  <c r="Z6" i="3" s="1"/>
  <c r="AA6" i="3" s="1"/>
  <c r="AG6" i="3" s="1"/>
  <c r="S6" i="3"/>
  <c r="AF6" i="3" s="1"/>
  <c r="AC5" i="3"/>
  <c r="AD5" i="3" s="1"/>
  <c r="AE5" i="3" s="1"/>
  <c r="AH5" i="3" s="1"/>
  <c r="AB5" i="3"/>
  <c r="X5" i="3"/>
  <c r="Z5" i="3" s="1"/>
  <c r="AA5" i="3" s="1"/>
  <c r="AG5" i="3" s="1"/>
  <c r="S5" i="3"/>
  <c r="AF5" i="3" s="1"/>
  <c r="AD4" i="3"/>
  <c r="AE4" i="3" s="1"/>
  <c r="AH4" i="3" s="1"/>
  <c r="Y4" i="3"/>
  <c r="Z4" i="3" s="1"/>
  <c r="AA4" i="3" s="1"/>
  <c r="AG4" i="3" s="1"/>
  <c r="X4" i="3"/>
  <c r="S4" i="3"/>
  <c r="AF4" i="3" s="1"/>
  <c r="AD3" i="3"/>
  <c r="AE3" i="3" s="1"/>
  <c r="AH3" i="3" s="1"/>
  <c r="Y3" i="3"/>
  <c r="Z3" i="3" s="1"/>
  <c r="AA3" i="3" s="1"/>
  <c r="AG3" i="3" s="1"/>
  <c r="X3" i="3"/>
  <c r="S3" i="3"/>
  <c r="AF3" i="3" s="1"/>
  <c r="AD2" i="3"/>
  <c r="AE2" i="3" s="1"/>
  <c r="AH2" i="3" s="1"/>
  <c r="Y2" i="3"/>
  <c r="Z2" i="3" s="1"/>
  <c r="AA2" i="3" s="1"/>
  <c r="AG2" i="3" s="1"/>
  <c r="S2" i="3"/>
  <c r="AF2" i="3" s="1"/>
  <c r="AP5" i="3"/>
  <c r="N69" i="8" s="1"/>
  <c r="AP6" i="3"/>
  <c r="N70" i="8" s="1"/>
  <c r="AP7" i="3"/>
  <c r="N71" i="8" s="1"/>
  <c r="AP8" i="3"/>
  <c r="N72" i="8" s="1"/>
  <c r="AP9" i="3"/>
  <c r="N73" i="8" s="1"/>
  <c r="AP10" i="3"/>
  <c r="N74" i="8" s="1"/>
  <c r="AP11" i="3"/>
  <c r="N75" i="8" s="1"/>
  <c r="AP12" i="3"/>
  <c r="N76" i="8" s="1"/>
  <c r="AP14" i="3"/>
  <c r="N78" i="8" s="1"/>
  <c r="AP15" i="3"/>
  <c r="N79" i="8" s="1"/>
  <c r="AP16" i="3"/>
  <c r="N80" i="8" s="1"/>
  <c r="AP17" i="3"/>
  <c r="N81" i="8" s="1"/>
  <c r="AP18" i="3"/>
  <c r="N82" i="8" s="1"/>
  <c r="AP22" i="3"/>
  <c r="N86" i="8" s="1"/>
  <c r="AP23" i="3"/>
  <c r="N87" i="8" s="1"/>
  <c r="O24" i="2"/>
  <c r="T20" i="2"/>
  <c r="O19" i="2"/>
  <c r="O18" i="2"/>
  <c r="O17" i="2"/>
  <c r="Q16" i="2"/>
  <c r="Q15" i="2"/>
  <c r="R16" i="2"/>
  <c r="R15" i="2"/>
  <c r="AA14" i="2"/>
  <c r="AA13" i="2"/>
  <c r="AA12" i="2"/>
  <c r="AA11" i="2"/>
  <c r="AA10" i="2"/>
  <c r="AA9" i="2"/>
  <c r="T14" i="2"/>
  <c r="T13" i="2"/>
  <c r="T12" i="2"/>
  <c r="T11" i="2"/>
  <c r="T10" i="2"/>
  <c r="O10" i="2"/>
  <c r="O12" i="2"/>
  <c r="O11" i="2"/>
  <c r="T9" i="2"/>
  <c r="P10" i="2"/>
  <c r="P11" i="2"/>
  <c r="P12" i="2"/>
  <c r="P13" i="2"/>
  <c r="P14" i="2"/>
  <c r="P9" i="2"/>
  <c r="O14" i="2"/>
  <c r="O13" i="2"/>
  <c r="O9" i="2"/>
  <c r="Y7" i="2"/>
  <c r="Y8" i="2"/>
  <c r="T8" i="2"/>
  <c r="Z8" i="2"/>
  <c r="Z7" i="2"/>
  <c r="U2" i="2"/>
  <c r="T2" i="2"/>
  <c r="Q3" i="2"/>
  <c r="Q4" i="2"/>
  <c r="Q5" i="2"/>
  <c r="Q6" i="2"/>
  <c r="Q2" i="2"/>
  <c r="O5" i="2"/>
  <c r="O4" i="2"/>
  <c r="O3" i="2"/>
  <c r="O2" i="2"/>
  <c r="AK20" i="2"/>
  <c r="AK21" i="2"/>
  <c r="AK22" i="2"/>
  <c r="AK23" i="2"/>
  <c r="N61" i="8" s="1"/>
  <c r="AK24" i="2"/>
  <c r="AK25" i="2"/>
  <c r="AK26" i="2"/>
  <c r="AK27" i="2"/>
  <c r="N65" i="8" s="1"/>
  <c r="Z39" i="1"/>
  <c r="Z38" i="1"/>
  <c r="Z37" i="1"/>
  <c r="Z36" i="1"/>
  <c r="Z35" i="1"/>
  <c r="Z34" i="1"/>
  <c r="Z33" i="1"/>
  <c r="Z32" i="1"/>
  <c r="Z31" i="1"/>
  <c r="O31" i="1"/>
  <c r="X31" i="1"/>
  <c r="X32" i="1"/>
  <c r="X33" i="1"/>
  <c r="X34" i="1"/>
  <c r="X35" i="1"/>
  <c r="X36" i="1"/>
  <c r="X37" i="1"/>
  <c r="X38" i="1"/>
  <c r="X39" i="1"/>
  <c r="Z27" i="1"/>
  <c r="Z28" i="1"/>
  <c r="Z29" i="1"/>
  <c r="Z30" i="1"/>
  <c r="Z21" i="1"/>
  <c r="E21" i="8" s="1"/>
  <c r="Z20" i="1"/>
  <c r="Z19" i="1"/>
  <c r="U20" i="1"/>
  <c r="U19" i="1"/>
  <c r="W13" i="1"/>
  <c r="W12" i="1"/>
  <c r="Z12" i="1"/>
  <c r="E12" i="8" s="1"/>
  <c r="Z13" i="1"/>
  <c r="Z14" i="1"/>
  <c r="Z15" i="1"/>
  <c r="Z16" i="1"/>
  <c r="Z17" i="1"/>
  <c r="Z18" i="1"/>
  <c r="Z11" i="1"/>
  <c r="E11" i="8" s="1"/>
  <c r="AI2" i="1"/>
  <c r="N2" i="8" s="1"/>
  <c r="AI9" i="1"/>
  <c r="N9" i="8" s="1"/>
  <c r="N64" i="8"/>
  <c r="N63" i="8"/>
  <c r="N62" i="8"/>
  <c r="N60" i="8"/>
  <c r="N59" i="8"/>
  <c r="N58" i="8"/>
  <c r="AI22" i="1"/>
  <c r="N22" i="8" s="1"/>
  <c r="AI23" i="1"/>
  <c r="N23" i="8" s="1"/>
  <c r="AI24" i="1"/>
  <c r="N24" i="8" s="1"/>
  <c r="AI25" i="1"/>
  <c r="N25" i="8" s="1"/>
  <c r="AI26" i="1"/>
  <c r="N26" i="8" s="1"/>
  <c r="AI27" i="1"/>
  <c r="N27" i="8" s="1"/>
  <c r="AI28" i="1"/>
  <c r="N28" i="8" s="1"/>
  <c r="AI29" i="1"/>
  <c r="N29" i="8" s="1"/>
  <c r="AI30" i="1"/>
  <c r="N30" i="8" s="1"/>
  <c r="AI31" i="1"/>
  <c r="N31" i="8" s="1"/>
  <c r="AI32" i="1"/>
  <c r="N32" i="8" s="1"/>
  <c r="AI33" i="1"/>
  <c r="N33" i="8" s="1"/>
  <c r="AI34" i="1"/>
  <c r="N34" i="8" s="1"/>
  <c r="AI35" i="1"/>
  <c r="N35" i="8" s="1"/>
  <c r="AI36" i="1"/>
  <c r="N36" i="8" s="1"/>
  <c r="AI37" i="1"/>
  <c r="N37" i="8" s="1"/>
  <c r="AI38" i="1"/>
  <c r="N38" i="8" s="1"/>
  <c r="AI39" i="1"/>
  <c r="N39" i="8" s="1"/>
  <c r="AI3" i="1"/>
  <c r="N3" i="8" s="1"/>
  <c r="AI4" i="1"/>
  <c r="N4" i="8" s="1"/>
  <c r="AI5" i="1"/>
  <c r="N5" i="8" s="1"/>
  <c r="AI6" i="1"/>
  <c r="N6" i="8" s="1"/>
  <c r="AI7" i="1"/>
  <c r="N7" i="8" s="1"/>
  <c r="AI8" i="1"/>
  <c r="N8" i="8" s="1"/>
  <c r="AI10" i="1"/>
  <c r="N10" i="8" s="1"/>
  <c r="E132" i="8"/>
  <c r="E133" i="8"/>
  <c r="E134" i="8"/>
  <c r="E135" i="8"/>
  <c r="D130" i="8"/>
  <c r="D131" i="8"/>
  <c r="D132" i="8"/>
  <c r="D133" i="8"/>
  <c r="D134" i="8"/>
  <c r="D135" i="8"/>
  <c r="D129" i="8"/>
  <c r="D128" i="8"/>
  <c r="E126" i="8"/>
  <c r="F126" i="8"/>
  <c r="I126" i="8"/>
  <c r="D127" i="8"/>
  <c r="D126" i="8"/>
  <c r="D123" i="8"/>
  <c r="D124" i="8"/>
  <c r="D125" i="8"/>
  <c r="F118" i="8"/>
  <c r="I118" i="8"/>
  <c r="E119" i="8"/>
  <c r="F119" i="8"/>
  <c r="I119" i="8"/>
  <c r="E120" i="8"/>
  <c r="F120" i="8"/>
  <c r="I120" i="8"/>
  <c r="D115" i="8"/>
  <c r="D116" i="8"/>
  <c r="D117" i="8"/>
  <c r="D118" i="8"/>
  <c r="D119" i="8"/>
  <c r="D120" i="8"/>
  <c r="E101" i="8"/>
  <c r="F101" i="8"/>
  <c r="I101" i="8"/>
  <c r="E102" i="8"/>
  <c r="F102" i="8"/>
  <c r="I102" i="8"/>
  <c r="E103" i="8"/>
  <c r="F103" i="8"/>
  <c r="I103" i="8"/>
  <c r="E104" i="8"/>
  <c r="F104" i="8"/>
  <c r="I104" i="8"/>
  <c r="E105" i="8"/>
  <c r="F105" i="8"/>
  <c r="I105" i="8"/>
  <c r="E106" i="8"/>
  <c r="F106" i="8"/>
  <c r="I106" i="8"/>
  <c r="E107" i="8"/>
  <c r="F107" i="8"/>
  <c r="I107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F83" i="8"/>
  <c r="I83" i="8"/>
  <c r="F84" i="8"/>
  <c r="F85" i="8"/>
  <c r="F86" i="8"/>
  <c r="G86" i="8"/>
  <c r="I86" i="8"/>
  <c r="J86" i="8"/>
  <c r="K86" i="8"/>
  <c r="L86" i="8"/>
  <c r="M86" i="8"/>
  <c r="F87" i="8"/>
  <c r="G87" i="8"/>
  <c r="I87" i="8"/>
  <c r="J87" i="8"/>
  <c r="K87" i="8"/>
  <c r="L87" i="8"/>
  <c r="M87" i="8"/>
  <c r="D75" i="8"/>
  <c r="F2" i="8"/>
  <c r="G2" i="8"/>
  <c r="H2" i="8"/>
  <c r="I2" i="8"/>
  <c r="J2" i="8"/>
  <c r="K2" i="8"/>
  <c r="L2" i="8"/>
  <c r="M2" i="8"/>
  <c r="F3" i="8"/>
  <c r="G3" i="8"/>
  <c r="H3" i="8"/>
  <c r="I3" i="8"/>
  <c r="J3" i="8"/>
  <c r="K3" i="8"/>
  <c r="L3" i="8"/>
  <c r="M3" i="8"/>
  <c r="F4" i="8"/>
  <c r="G4" i="8"/>
  <c r="H4" i="8"/>
  <c r="I4" i="8"/>
  <c r="J4" i="8"/>
  <c r="K4" i="8"/>
  <c r="L4" i="8"/>
  <c r="M4" i="8"/>
  <c r="F5" i="8"/>
  <c r="G5" i="8"/>
  <c r="H5" i="8"/>
  <c r="I5" i="8"/>
  <c r="J5" i="8"/>
  <c r="K5" i="8"/>
  <c r="L5" i="8"/>
  <c r="M5" i="8"/>
  <c r="F6" i="8"/>
  <c r="G6" i="8"/>
  <c r="H6" i="8"/>
  <c r="I6" i="8"/>
  <c r="J6" i="8"/>
  <c r="K6" i="8"/>
  <c r="L6" i="8"/>
  <c r="M6" i="8"/>
  <c r="F7" i="8"/>
  <c r="G7" i="8"/>
  <c r="H7" i="8"/>
  <c r="I7" i="8"/>
  <c r="J7" i="8"/>
  <c r="K7" i="8"/>
  <c r="L7" i="8"/>
  <c r="M7" i="8"/>
  <c r="F8" i="8"/>
  <c r="G8" i="8"/>
  <c r="H8" i="8"/>
  <c r="I8" i="8"/>
  <c r="J8" i="8"/>
  <c r="K8" i="8"/>
  <c r="L8" i="8"/>
  <c r="M8" i="8"/>
  <c r="F9" i="8"/>
  <c r="G9" i="8"/>
  <c r="H9" i="8"/>
  <c r="I9" i="8"/>
  <c r="J9" i="8"/>
  <c r="K9" i="8"/>
  <c r="L9" i="8"/>
  <c r="M9" i="8"/>
  <c r="F10" i="8"/>
  <c r="G10" i="8"/>
  <c r="H10" i="8"/>
  <c r="I10" i="8"/>
  <c r="J10" i="8"/>
  <c r="K10" i="8"/>
  <c r="L10" i="8"/>
  <c r="M10" i="8"/>
  <c r="E13" i="8"/>
  <c r="E14" i="8"/>
  <c r="E15" i="8"/>
  <c r="E16" i="8"/>
  <c r="E17" i="8"/>
  <c r="E18" i="8"/>
  <c r="F27" i="8"/>
  <c r="G27" i="8"/>
  <c r="I27" i="8"/>
  <c r="J27" i="8"/>
  <c r="K27" i="8"/>
  <c r="L27" i="8"/>
  <c r="M27" i="8"/>
  <c r="F28" i="8"/>
  <c r="G28" i="8"/>
  <c r="I28" i="8"/>
  <c r="J28" i="8"/>
  <c r="K28" i="8"/>
  <c r="L28" i="8"/>
  <c r="M28" i="8"/>
  <c r="F29" i="8"/>
  <c r="G29" i="8"/>
  <c r="I29" i="8"/>
  <c r="J29" i="8"/>
  <c r="K29" i="8"/>
  <c r="L29" i="8"/>
  <c r="M29" i="8"/>
  <c r="F30" i="8"/>
  <c r="G30" i="8"/>
  <c r="I30" i="8"/>
  <c r="J30" i="8"/>
  <c r="K30" i="8"/>
  <c r="L30" i="8"/>
  <c r="M30" i="8"/>
  <c r="H31" i="8"/>
  <c r="I31" i="8"/>
  <c r="K31" i="8"/>
  <c r="L31" i="8"/>
  <c r="M31" i="8"/>
  <c r="H32" i="8"/>
  <c r="I32" i="8"/>
  <c r="K32" i="8"/>
  <c r="L32" i="8"/>
  <c r="M32" i="8"/>
  <c r="H33" i="8"/>
  <c r="I33" i="8"/>
  <c r="K33" i="8"/>
  <c r="L33" i="8"/>
  <c r="M33" i="8"/>
  <c r="H34" i="8"/>
  <c r="I34" i="8"/>
  <c r="K34" i="8"/>
  <c r="L34" i="8"/>
  <c r="M34" i="8"/>
  <c r="H35" i="8"/>
  <c r="I35" i="8"/>
  <c r="K35" i="8"/>
  <c r="L35" i="8"/>
  <c r="M35" i="8"/>
  <c r="H36" i="8"/>
  <c r="I36" i="8"/>
  <c r="K36" i="8"/>
  <c r="L36" i="8"/>
  <c r="M36" i="8"/>
  <c r="H37" i="8"/>
  <c r="I37" i="8"/>
  <c r="K37" i="8"/>
  <c r="L37" i="8"/>
  <c r="M37" i="8"/>
  <c r="H38" i="8"/>
  <c r="I38" i="8"/>
  <c r="K38" i="8"/>
  <c r="L38" i="8"/>
  <c r="M38" i="8"/>
  <c r="H39" i="8"/>
  <c r="I39" i="8"/>
  <c r="K39" i="8"/>
  <c r="L39" i="8"/>
  <c r="M39" i="8"/>
  <c r="D31" i="8"/>
  <c r="D32" i="8"/>
  <c r="D33" i="8"/>
  <c r="D34" i="8"/>
  <c r="D35" i="8"/>
  <c r="D36" i="8"/>
  <c r="D37" i="8"/>
  <c r="D38" i="8"/>
  <c r="D39" i="8"/>
  <c r="Z11" i="7"/>
  <c r="U11" i="7"/>
  <c r="Y11" i="7" s="1"/>
  <c r="AA11" i="7" s="1"/>
  <c r="Z10" i="7"/>
  <c r="U10" i="7"/>
  <c r="Y10" i="7" s="1"/>
  <c r="AA10" i="7" s="1"/>
  <c r="Z9" i="7"/>
  <c r="U9" i="7"/>
  <c r="Y9" i="7" s="1"/>
  <c r="AA9" i="7" s="1"/>
  <c r="Z8" i="7"/>
  <c r="U8" i="7"/>
  <c r="Y8" i="7" s="1"/>
  <c r="AA8" i="7" s="1"/>
  <c r="Z7" i="7"/>
  <c r="U7" i="7"/>
  <c r="Y7" i="7" s="1"/>
  <c r="AA7" i="7" s="1"/>
  <c r="E131" i="8" s="1"/>
  <c r="Z6" i="7"/>
  <c r="U6" i="7"/>
  <c r="Y6" i="7" s="1"/>
  <c r="AA6" i="7" s="1"/>
  <c r="E130" i="8" s="1"/>
  <c r="Z5" i="7"/>
  <c r="W5" i="7"/>
  <c r="Y5" i="7" s="1"/>
  <c r="AA5" i="7" s="1"/>
  <c r="E129" i="8" s="1"/>
  <c r="R5" i="7"/>
  <c r="T5" i="7" s="1"/>
  <c r="AB5" i="7" s="1"/>
  <c r="Z4" i="7"/>
  <c r="W4" i="7"/>
  <c r="Y4" i="7" s="1"/>
  <c r="AA4" i="7" s="1"/>
  <c r="E128" i="8" s="1"/>
  <c r="R4" i="7"/>
  <c r="T4" i="7" s="1"/>
  <c r="AB4" i="7" s="1"/>
  <c r="Y3" i="7"/>
  <c r="AA3" i="7" s="1"/>
  <c r="E127" i="8" s="1"/>
  <c r="T3" i="7"/>
  <c r="AB3" i="7" s="1"/>
  <c r="F127" i="8" s="1"/>
  <c r="O3" i="7"/>
  <c r="Z3" i="7" s="1"/>
  <c r="AD3" i="7" s="1"/>
  <c r="H127" i="8" s="1"/>
  <c r="Y2" i="7"/>
  <c r="AA2" i="7" s="1"/>
  <c r="T2" i="7"/>
  <c r="AB2" i="7" s="1"/>
  <c r="O2" i="7"/>
  <c r="Z2" i="7" s="1"/>
  <c r="AE2" i="7" s="1"/>
  <c r="U6" i="6"/>
  <c r="V6" i="6" s="1"/>
  <c r="X6" i="6" s="1"/>
  <c r="E125" i="8" s="1"/>
  <c r="R6" i="6"/>
  <c r="Y6" i="6" s="1"/>
  <c r="O6" i="6"/>
  <c r="W6" i="6" s="1"/>
  <c r="U5" i="6"/>
  <c r="V5" i="6" s="1"/>
  <c r="X5" i="6" s="1"/>
  <c r="E124" i="8" s="1"/>
  <c r="R5" i="6"/>
  <c r="Y5" i="6" s="1"/>
  <c r="F124" i="8" s="1"/>
  <c r="O5" i="6"/>
  <c r="W5" i="6" s="1"/>
  <c r="U4" i="6"/>
  <c r="V4" i="6" s="1"/>
  <c r="X4" i="6" s="1"/>
  <c r="E123" i="8" s="1"/>
  <c r="R4" i="6"/>
  <c r="Y4" i="6" s="1"/>
  <c r="F123" i="8" s="1"/>
  <c r="O4" i="6"/>
  <c r="W4" i="6" s="1"/>
  <c r="U3" i="6"/>
  <c r="V3" i="6" s="1"/>
  <c r="X3" i="6" s="1"/>
  <c r="E122" i="8" s="1"/>
  <c r="R3" i="6"/>
  <c r="Y3" i="6" s="1"/>
  <c r="F122" i="8" s="1"/>
  <c r="O3" i="6"/>
  <c r="W3" i="6" s="1"/>
  <c r="U2" i="6"/>
  <c r="V2" i="6" s="1"/>
  <c r="X2" i="6" s="1"/>
  <c r="E121" i="8" s="1"/>
  <c r="R2" i="6"/>
  <c r="Y2" i="6" s="1"/>
  <c r="F121" i="8" s="1"/>
  <c r="O2" i="6"/>
  <c r="W2" i="6" s="1"/>
  <c r="W14" i="5"/>
  <c r="U14" i="5"/>
  <c r="V14" i="5" s="1"/>
  <c r="Y14" i="5" s="1"/>
  <c r="AB14" i="5" s="1"/>
  <c r="Q14" i="5"/>
  <c r="S14" i="5" s="1"/>
  <c r="X14" i="5" s="1"/>
  <c r="W13" i="5"/>
  <c r="U13" i="5"/>
  <c r="V13" i="5" s="1"/>
  <c r="Y13" i="5" s="1"/>
  <c r="AB13" i="5" s="1"/>
  <c r="Q13" i="5"/>
  <c r="S13" i="5" s="1"/>
  <c r="X13" i="5" s="1"/>
  <c r="W12" i="5"/>
  <c r="U12" i="5"/>
  <c r="V12" i="5" s="1"/>
  <c r="Y12" i="5" s="1"/>
  <c r="AB12" i="5" s="1"/>
  <c r="Q12" i="5"/>
  <c r="S12" i="5" s="1"/>
  <c r="X12" i="5" s="1"/>
  <c r="E118" i="8" s="1"/>
  <c r="W11" i="5"/>
  <c r="U11" i="5"/>
  <c r="V11" i="5" s="1"/>
  <c r="Y11" i="5" s="1"/>
  <c r="Q11" i="5"/>
  <c r="S11" i="5" s="1"/>
  <c r="X11" i="5" s="1"/>
  <c r="E117" i="8" s="1"/>
  <c r="W10" i="5"/>
  <c r="U10" i="5"/>
  <c r="V10" i="5" s="1"/>
  <c r="Y10" i="5" s="1"/>
  <c r="Q10" i="5"/>
  <c r="S10" i="5" s="1"/>
  <c r="X10" i="5" s="1"/>
  <c r="E116" i="8" s="1"/>
  <c r="W9" i="5"/>
  <c r="U9" i="5"/>
  <c r="V9" i="5" s="1"/>
  <c r="Y9" i="5" s="1"/>
  <c r="Q9" i="5"/>
  <c r="S9" i="5" s="1"/>
  <c r="X9" i="5" s="1"/>
  <c r="E115" i="8" s="1"/>
  <c r="W8" i="5"/>
  <c r="D114" i="8" s="1"/>
  <c r="U8" i="5"/>
  <c r="V8" i="5" s="1"/>
  <c r="Y8" i="5" s="1"/>
  <c r="Q8" i="5"/>
  <c r="S8" i="5" s="1"/>
  <c r="X8" i="5" s="1"/>
  <c r="E114" i="8" s="1"/>
  <c r="W7" i="5"/>
  <c r="D113" i="8" s="1"/>
  <c r="U7" i="5"/>
  <c r="V7" i="5" s="1"/>
  <c r="Y7" i="5" s="1"/>
  <c r="Q7" i="5"/>
  <c r="S7" i="5" s="1"/>
  <c r="X7" i="5" s="1"/>
  <c r="E113" i="8" s="1"/>
  <c r="W6" i="5"/>
  <c r="D112" i="8" s="1"/>
  <c r="U6" i="5"/>
  <c r="V6" i="5" s="1"/>
  <c r="Y6" i="5" s="1"/>
  <c r="Q6" i="5"/>
  <c r="S6" i="5" s="1"/>
  <c r="X6" i="5" s="1"/>
  <c r="E112" i="8" s="1"/>
  <c r="W5" i="5"/>
  <c r="D111" i="8" s="1"/>
  <c r="U5" i="5"/>
  <c r="V5" i="5" s="1"/>
  <c r="Y5" i="5" s="1"/>
  <c r="Q5" i="5"/>
  <c r="S5" i="5" s="1"/>
  <c r="X5" i="5" s="1"/>
  <c r="E111" i="8" s="1"/>
  <c r="V4" i="5"/>
  <c r="Y4" i="5" s="1"/>
  <c r="F110" i="8" s="1"/>
  <c r="Q4" i="5"/>
  <c r="S4" i="5" s="1"/>
  <c r="X4" i="5" s="1"/>
  <c r="E110" i="8" s="1"/>
  <c r="P4" i="5"/>
  <c r="W4" i="5" s="1"/>
  <c r="D110" i="8" s="1"/>
  <c r="V3" i="5"/>
  <c r="Y3" i="5" s="1"/>
  <c r="F109" i="8" s="1"/>
  <c r="Q3" i="5"/>
  <c r="S3" i="5" s="1"/>
  <c r="X3" i="5" s="1"/>
  <c r="E109" i="8" s="1"/>
  <c r="P3" i="5"/>
  <c r="W3" i="5" s="1"/>
  <c r="V2" i="5"/>
  <c r="Y2" i="5" s="1"/>
  <c r="F108" i="8" s="1"/>
  <c r="Q2" i="5"/>
  <c r="S2" i="5" s="1"/>
  <c r="X2" i="5" s="1"/>
  <c r="E108" i="8" s="1"/>
  <c r="W2" i="5"/>
  <c r="D108" i="8" s="1"/>
  <c r="V21" i="4"/>
  <c r="U21" i="4"/>
  <c r="X21" i="4" s="1"/>
  <c r="AA21" i="4" s="1"/>
  <c r="R21" i="4"/>
  <c r="S21" i="4" s="1"/>
  <c r="W21" i="4" s="1"/>
  <c r="V20" i="4"/>
  <c r="U20" i="4"/>
  <c r="X20" i="4" s="1"/>
  <c r="AA20" i="4" s="1"/>
  <c r="R20" i="4"/>
  <c r="S20" i="4" s="1"/>
  <c r="W20" i="4" s="1"/>
  <c r="V19" i="4"/>
  <c r="U19" i="4"/>
  <c r="X19" i="4" s="1"/>
  <c r="AA19" i="4" s="1"/>
  <c r="R19" i="4"/>
  <c r="S19" i="4" s="1"/>
  <c r="W19" i="4" s="1"/>
  <c r="V18" i="4"/>
  <c r="U18" i="4"/>
  <c r="X18" i="4" s="1"/>
  <c r="AA18" i="4" s="1"/>
  <c r="R18" i="4"/>
  <c r="S18" i="4" s="1"/>
  <c r="W18" i="4" s="1"/>
  <c r="V17" i="4"/>
  <c r="U17" i="4"/>
  <c r="X17" i="4" s="1"/>
  <c r="AA17" i="4" s="1"/>
  <c r="R17" i="4"/>
  <c r="S17" i="4" s="1"/>
  <c r="W17" i="4" s="1"/>
  <c r="V16" i="4"/>
  <c r="U16" i="4"/>
  <c r="X16" i="4" s="1"/>
  <c r="AA16" i="4" s="1"/>
  <c r="R16" i="4"/>
  <c r="S16" i="4" s="1"/>
  <c r="W16" i="4" s="1"/>
  <c r="V15" i="4"/>
  <c r="U15" i="4"/>
  <c r="X15" i="4" s="1"/>
  <c r="AA15" i="4" s="1"/>
  <c r="R15" i="4"/>
  <c r="S15" i="4" s="1"/>
  <c r="W15" i="4" s="1"/>
  <c r="V14" i="4"/>
  <c r="U14" i="4"/>
  <c r="X14" i="4" s="1"/>
  <c r="R14" i="4"/>
  <c r="S14" i="4" s="1"/>
  <c r="W14" i="4" s="1"/>
  <c r="E100" i="8" s="1"/>
  <c r="V13" i="4"/>
  <c r="U13" i="4"/>
  <c r="X13" i="4" s="1"/>
  <c r="R13" i="4"/>
  <c r="S13" i="4" s="1"/>
  <c r="W13" i="4" s="1"/>
  <c r="V12" i="4"/>
  <c r="U12" i="4"/>
  <c r="X12" i="4" s="1"/>
  <c r="R12" i="4"/>
  <c r="S12" i="4" s="1"/>
  <c r="W12" i="4" s="1"/>
  <c r="E98" i="8" s="1"/>
  <c r="V11" i="4"/>
  <c r="U11" i="4"/>
  <c r="X11" i="4" s="1"/>
  <c r="R11" i="4"/>
  <c r="S11" i="4" s="1"/>
  <c r="W11" i="4" s="1"/>
  <c r="E97" i="8" s="1"/>
  <c r="V10" i="4"/>
  <c r="U10" i="4"/>
  <c r="X10" i="4" s="1"/>
  <c r="R10" i="4"/>
  <c r="S10" i="4" s="1"/>
  <c r="W10" i="4" s="1"/>
  <c r="E96" i="8" s="1"/>
  <c r="V9" i="4"/>
  <c r="U9" i="4"/>
  <c r="X9" i="4" s="1"/>
  <c r="R9" i="4"/>
  <c r="S9" i="4" s="1"/>
  <c r="W9" i="4" s="1"/>
  <c r="E95" i="8" s="1"/>
  <c r="V8" i="4"/>
  <c r="U8" i="4"/>
  <c r="X8" i="4" s="1"/>
  <c r="R8" i="4"/>
  <c r="S8" i="4" s="1"/>
  <c r="W8" i="4" s="1"/>
  <c r="E94" i="8" s="1"/>
  <c r="V7" i="4"/>
  <c r="U7" i="4"/>
  <c r="X7" i="4" s="1"/>
  <c r="R7" i="4"/>
  <c r="S7" i="4" s="1"/>
  <c r="W7" i="4" s="1"/>
  <c r="E93" i="8" s="1"/>
  <c r="V6" i="4"/>
  <c r="D92" i="8" s="1"/>
  <c r="U6" i="4"/>
  <c r="X6" i="4" s="1"/>
  <c r="R6" i="4"/>
  <c r="S6" i="4" s="1"/>
  <c r="W6" i="4" s="1"/>
  <c r="E92" i="8" s="1"/>
  <c r="V5" i="4"/>
  <c r="D91" i="8" s="1"/>
  <c r="U5" i="4"/>
  <c r="X5" i="4" s="1"/>
  <c r="R5" i="4"/>
  <c r="S5" i="4" s="1"/>
  <c r="W5" i="4" s="1"/>
  <c r="E91" i="8" s="1"/>
  <c r="V4" i="4"/>
  <c r="D90" i="8" s="1"/>
  <c r="U4" i="4"/>
  <c r="X4" i="4" s="1"/>
  <c r="R4" i="4"/>
  <c r="S4" i="4" s="1"/>
  <c r="W4" i="4" s="1"/>
  <c r="E90" i="8" s="1"/>
  <c r="X3" i="4"/>
  <c r="F89" i="8" s="1"/>
  <c r="V3" i="4"/>
  <c r="D89" i="8" s="1"/>
  <c r="R3" i="4"/>
  <c r="W3" i="4" s="1"/>
  <c r="E89" i="8" s="1"/>
  <c r="X2" i="4"/>
  <c r="F88" i="8" s="1"/>
  <c r="V2" i="4"/>
  <c r="D88" i="8" s="1"/>
  <c r="R2" i="4"/>
  <c r="AE11" i="7" l="1"/>
  <c r="I135" i="8" s="1"/>
  <c r="F135" i="8"/>
  <c r="AE10" i="7"/>
  <c r="I134" i="8" s="1"/>
  <c r="F134" i="8"/>
  <c r="AE9" i="7"/>
  <c r="I133" i="8" s="1"/>
  <c r="F133" i="8"/>
  <c r="AE8" i="7"/>
  <c r="I132" i="8" s="1"/>
  <c r="F132" i="8"/>
  <c r="W2" i="4"/>
  <c r="E88" i="8" s="1"/>
  <c r="D86" i="8"/>
  <c r="AP20" i="3"/>
  <c r="N84" i="8" s="1"/>
  <c r="K84" i="8"/>
  <c r="AP21" i="3"/>
  <c r="N85" i="8" s="1"/>
  <c r="K85" i="8"/>
  <c r="AJ23" i="3"/>
  <c r="H87" i="8" s="1"/>
  <c r="E87" i="8"/>
  <c r="AJ22" i="3"/>
  <c r="H86" i="8" s="1"/>
  <c r="E86" i="8"/>
  <c r="AJ21" i="3"/>
  <c r="H85" i="8" s="1"/>
  <c r="E85" i="8"/>
  <c r="AJ20" i="3"/>
  <c r="H84" i="8" s="1"/>
  <c r="E84" i="8"/>
  <c r="AJ19" i="3"/>
  <c r="H83" i="8" s="1"/>
  <c r="E83" i="8"/>
  <c r="AG18" i="3"/>
  <c r="AN18" i="3"/>
  <c r="D82" i="8"/>
  <c r="F81" i="8"/>
  <c r="S17" i="3"/>
  <c r="AF17" i="3" s="1"/>
  <c r="I81" i="8" s="1"/>
  <c r="F80" i="8"/>
  <c r="V16" i="3"/>
  <c r="Y16" i="3" s="1"/>
  <c r="Z16" i="3" s="1"/>
  <c r="AA16" i="3" s="1"/>
  <c r="AG16" i="3" s="1"/>
  <c r="S16" i="3"/>
  <c r="AF16" i="3" s="1"/>
  <c r="AK16" i="3" s="1"/>
  <c r="I80" i="8" s="1"/>
  <c r="F79" i="8"/>
  <c r="V15" i="3"/>
  <c r="Y15" i="3" s="1"/>
  <c r="Z15" i="3" s="1"/>
  <c r="AA15" i="3" s="1"/>
  <c r="AG15" i="3" s="1"/>
  <c r="S15" i="3"/>
  <c r="AF15" i="3" s="1"/>
  <c r="AK15" i="3" s="1"/>
  <c r="I79" i="8" s="1"/>
  <c r="F78" i="8"/>
  <c r="S14" i="3"/>
  <c r="AF14" i="3" s="1"/>
  <c r="AK14" i="3" s="1"/>
  <c r="I78" i="8" s="1"/>
  <c r="V14" i="3"/>
  <c r="Y14" i="3" s="1"/>
  <c r="Z14" i="3" s="1"/>
  <c r="AA14" i="3" s="1"/>
  <c r="AG14" i="3" s="1"/>
  <c r="F77" i="8"/>
  <c r="S13" i="3"/>
  <c r="AF13" i="3" s="1"/>
  <c r="I77" i="8" s="1"/>
  <c r="F76" i="8"/>
  <c r="V12" i="3"/>
  <c r="Y12" i="3" s="1"/>
  <c r="Z12" i="3" s="1"/>
  <c r="AA12" i="3" s="1"/>
  <c r="AG12" i="3" s="1"/>
  <c r="S12" i="3"/>
  <c r="AF12" i="3" s="1"/>
  <c r="AK12" i="3" s="1"/>
  <c r="I76" i="8" s="1"/>
  <c r="L75" i="8"/>
  <c r="AO11" i="3"/>
  <c r="M75" i="8" s="1"/>
  <c r="AK11" i="3"/>
  <c r="I75" i="8" s="1"/>
  <c r="F75" i="8"/>
  <c r="AI11" i="3"/>
  <c r="AJ11" i="3"/>
  <c r="H75" i="8" s="1"/>
  <c r="AL11" i="3"/>
  <c r="J75" i="8" s="1"/>
  <c r="E75" i="8"/>
  <c r="AK10" i="3"/>
  <c r="I74" i="8" s="1"/>
  <c r="F74" i="8"/>
  <c r="AI10" i="3"/>
  <c r="AJ10" i="3"/>
  <c r="H74" i="8" s="1"/>
  <c r="AL10" i="3"/>
  <c r="J74" i="8" s="1"/>
  <c r="E74" i="8"/>
  <c r="AN10" i="3"/>
  <c r="D74" i="8"/>
  <c r="AK9" i="3"/>
  <c r="I73" i="8" s="1"/>
  <c r="F73" i="8"/>
  <c r="AI9" i="3"/>
  <c r="AJ9" i="3"/>
  <c r="H73" i="8" s="1"/>
  <c r="AL9" i="3"/>
  <c r="J73" i="8" s="1"/>
  <c r="E73" i="8"/>
  <c r="AN9" i="3"/>
  <c r="D73" i="8"/>
  <c r="AK8" i="3"/>
  <c r="I72" i="8" s="1"/>
  <c r="F72" i="8"/>
  <c r="AI8" i="3"/>
  <c r="AJ8" i="3"/>
  <c r="H72" i="8" s="1"/>
  <c r="AL8" i="3"/>
  <c r="J72" i="8" s="1"/>
  <c r="E72" i="8"/>
  <c r="AN8" i="3"/>
  <c r="D72" i="8"/>
  <c r="AK7" i="3"/>
  <c r="I71" i="8" s="1"/>
  <c r="F71" i="8"/>
  <c r="AI7" i="3"/>
  <c r="AJ7" i="3"/>
  <c r="H71" i="8" s="1"/>
  <c r="AL7" i="3"/>
  <c r="J71" i="8" s="1"/>
  <c r="E71" i="8"/>
  <c r="AN7" i="3"/>
  <c r="D71" i="8"/>
  <c r="AK6" i="3"/>
  <c r="I70" i="8" s="1"/>
  <c r="F70" i="8"/>
  <c r="AI6" i="3"/>
  <c r="AJ6" i="3"/>
  <c r="H70" i="8" s="1"/>
  <c r="AL6" i="3"/>
  <c r="J70" i="8" s="1"/>
  <c r="E70" i="8"/>
  <c r="AN6" i="3"/>
  <c r="D70" i="8"/>
  <c r="AK5" i="3"/>
  <c r="I69" i="8" s="1"/>
  <c r="F69" i="8"/>
  <c r="AI5" i="3"/>
  <c r="AJ5" i="3"/>
  <c r="H69" i="8" s="1"/>
  <c r="AL5" i="3"/>
  <c r="J69" i="8" s="1"/>
  <c r="E69" i="8"/>
  <c r="AN5" i="3"/>
  <c r="D69" i="8"/>
  <c r="AK4" i="3"/>
  <c r="I68" i="8" s="1"/>
  <c r="F68" i="8"/>
  <c r="AI4" i="3"/>
  <c r="AJ4" i="3"/>
  <c r="H68" i="8" s="1"/>
  <c r="AL4" i="3"/>
  <c r="J68" i="8" s="1"/>
  <c r="E68" i="8"/>
  <c r="AN4" i="3"/>
  <c r="D68" i="8"/>
  <c r="AK3" i="3"/>
  <c r="I67" i="8" s="1"/>
  <c r="F67" i="8"/>
  <c r="AI3" i="3"/>
  <c r="AJ3" i="3"/>
  <c r="H67" i="8" s="1"/>
  <c r="AL3" i="3"/>
  <c r="J67" i="8" s="1"/>
  <c r="E67" i="8"/>
  <c r="AN3" i="3"/>
  <c r="D67" i="8"/>
  <c r="AK2" i="3"/>
  <c r="I66" i="8" s="1"/>
  <c r="F66" i="8"/>
  <c r="AI2" i="3"/>
  <c r="AJ2" i="3"/>
  <c r="H66" i="8" s="1"/>
  <c r="AL2" i="3"/>
  <c r="J66" i="8" s="1"/>
  <c r="E66" i="8"/>
  <c r="AN2" i="3"/>
  <c r="D66" i="8"/>
  <c r="AH10" i="7"/>
  <c r="AE7" i="7"/>
  <c r="I131" i="8" s="1"/>
  <c r="F131" i="8"/>
  <c r="AE5" i="7"/>
  <c r="I129" i="8" s="1"/>
  <c r="F129" i="8"/>
  <c r="AE4" i="7"/>
  <c r="I128" i="8" s="1"/>
  <c r="F128" i="8"/>
  <c r="F125" i="8"/>
  <c r="Z6" i="6"/>
  <c r="AB6" i="6"/>
  <c r="I125" i="8" s="1"/>
  <c r="AE3" i="6"/>
  <c r="D122" i="8"/>
  <c r="AE2" i="6"/>
  <c r="D121" i="8"/>
  <c r="AB11" i="5"/>
  <c r="I117" i="8" s="1"/>
  <c r="F117" i="8"/>
  <c r="AB10" i="5"/>
  <c r="I116" i="8" s="1"/>
  <c r="F116" i="8"/>
  <c r="AB9" i="5"/>
  <c r="I115" i="8" s="1"/>
  <c r="F115" i="8"/>
  <c r="AB8" i="5"/>
  <c r="I114" i="8" s="1"/>
  <c r="F114" i="8"/>
  <c r="AB7" i="5"/>
  <c r="I113" i="8" s="1"/>
  <c r="F113" i="8"/>
  <c r="AB6" i="5"/>
  <c r="I112" i="8" s="1"/>
  <c r="F112" i="8"/>
  <c r="AB5" i="5"/>
  <c r="I111" i="8" s="1"/>
  <c r="F111" i="8"/>
  <c r="AB3" i="5"/>
  <c r="I109" i="8" s="1"/>
  <c r="D109" i="8"/>
  <c r="AA3" i="4"/>
  <c r="I89" i="8" s="1"/>
  <c r="AA14" i="4"/>
  <c r="I100" i="8" s="1"/>
  <c r="F100" i="8"/>
  <c r="AA13" i="4"/>
  <c r="I99" i="8" s="1"/>
  <c r="F99" i="8"/>
  <c r="AD13" i="4"/>
  <c r="E99" i="8"/>
  <c r="AA12" i="4"/>
  <c r="I98" i="8" s="1"/>
  <c r="F98" i="8"/>
  <c r="AA11" i="4"/>
  <c r="I97" i="8" s="1"/>
  <c r="F97" i="8"/>
  <c r="AA10" i="4"/>
  <c r="I96" i="8" s="1"/>
  <c r="F96" i="8"/>
  <c r="AA9" i="4"/>
  <c r="I95" i="8" s="1"/>
  <c r="F95" i="8"/>
  <c r="AA8" i="4"/>
  <c r="I94" i="8" s="1"/>
  <c r="F94" i="8"/>
  <c r="AA7" i="4"/>
  <c r="I93" i="8" s="1"/>
  <c r="F93" i="8"/>
  <c r="AA6" i="4"/>
  <c r="I92" i="8" s="1"/>
  <c r="F92" i="8"/>
  <c r="AA5" i="4"/>
  <c r="I91" i="8" s="1"/>
  <c r="F91" i="8"/>
  <c r="AA4" i="4"/>
  <c r="I90" i="8" s="1"/>
  <c r="F90" i="8"/>
  <c r="AH7" i="7"/>
  <c r="AE6" i="7"/>
  <c r="I130" i="8" s="1"/>
  <c r="AC3" i="7"/>
  <c r="G127" i="8" s="1"/>
  <c r="AD2" i="7"/>
  <c r="H126" i="8" s="1"/>
  <c r="AA6" i="6"/>
  <c r="H125" i="8" s="1"/>
  <c r="AA5" i="6"/>
  <c r="H124" i="8" s="1"/>
  <c r="AB5" i="6"/>
  <c r="I124" i="8" s="1"/>
  <c r="Z5" i="6"/>
  <c r="G124" i="8" s="1"/>
  <c r="AA4" i="6"/>
  <c r="H123" i="8" s="1"/>
  <c r="AB4" i="6"/>
  <c r="I123" i="8" s="1"/>
  <c r="Z4" i="6"/>
  <c r="G123" i="8" s="1"/>
  <c r="AA3" i="6"/>
  <c r="H122" i="8" s="1"/>
  <c r="AB3" i="6"/>
  <c r="I122" i="8" s="1"/>
  <c r="Z3" i="6"/>
  <c r="G122" i="8" s="1"/>
  <c r="AA2" i="6"/>
  <c r="H121" i="8" s="1"/>
  <c r="AB2" i="6"/>
  <c r="I121" i="8" s="1"/>
  <c r="AE10" i="5"/>
  <c r="AA4" i="5"/>
  <c r="H110" i="8" s="1"/>
  <c r="AD17" i="4"/>
  <c r="AD6" i="4"/>
  <c r="AD4" i="4"/>
  <c r="AD15" i="4"/>
  <c r="AD2" i="4"/>
  <c r="AA2" i="4"/>
  <c r="I88" i="8" s="1"/>
  <c r="AE6" i="6"/>
  <c r="AC5" i="7"/>
  <c r="AD5" i="7"/>
  <c r="H129" i="8" s="1"/>
  <c r="AD8" i="7"/>
  <c r="H132" i="8" s="1"/>
  <c r="AC8" i="7"/>
  <c r="AH5" i="7"/>
  <c r="AH8" i="7"/>
  <c r="AC2" i="7"/>
  <c r="AF2" i="7"/>
  <c r="J126" i="8" s="1"/>
  <c r="AH6" i="7"/>
  <c r="AC9" i="7"/>
  <c r="AF9" i="7"/>
  <c r="J133" i="8" s="1"/>
  <c r="AD9" i="7"/>
  <c r="H133" i="8" s="1"/>
  <c r="AD6" i="7"/>
  <c r="H130" i="8" s="1"/>
  <c r="AC6" i="7"/>
  <c r="AF6" i="7" s="1"/>
  <c r="J130" i="8" s="1"/>
  <c r="AH2" i="7"/>
  <c r="AC4" i="7"/>
  <c r="AD4" i="7"/>
  <c r="H128" i="8" s="1"/>
  <c r="AH9" i="7"/>
  <c r="AD11" i="7"/>
  <c r="H135" i="8" s="1"/>
  <c r="AC11" i="7"/>
  <c r="AG3" i="7"/>
  <c r="K127" i="8" s="1"/>
  <c r="AF3" i="7"/>
  <c r="J127" i="8" s="1"/>
  <c r="AH4" i="7"/>
  <c r="AD7" i="7"/>
  <c r="H131" i="8" s="1"/>
  <c r="AC7" i="7"/>
  <c r="G131" i="8" s="1"/>
  <c r="AH11" i="7"/>
  <c r="AH3" i="7"/>
  <c r="AE3" i="7"/>
  <c r="I127" i="8" s="1"/>
  <c r="AD10" i="7"/>
  <c r="H134" i="8" s="1"/>
  <c r="AC10" i="7"/>
  <c r="AE5" i="6"/>
  <c r="Z2" i="6"/>
  <c r="AD6" i="6"/>
  <c r="K125" i="8" s="1"/>
  <c r="AE4" i="6"/>
  <c r="Z2" i="5"/>
  <c r="AC2" i="5"/>
  <c r="J108" i="8" s="1"/>
  <c r="AA2" i="5"/>
  <c r="H108" i="8" s="1"/>
  <c r="Z13" i="5"/>
  <c r="AC13" i="5"/>
  <c r="J119" i="8" s="1"/>
  <c r="AA13" i="5"/>
  <c r="H119" i="8" s="1"/>
  <c r="AB4" i="5"/>
  <c r="I110" i="8" s="1"/>
  <c r="AE4" i="5"/>
  <c r="Z11" i="5"/>
  <c r="AA11" i="5"/>
  <c r="H117" i="8" s="1"/>
  <c r="AC11" i="5"/>
  <c r="J117" i="8" s="1"/>
  <c r="AE2" i="5"/>
  <c r="AB2" i="5"/>
  <c r="I108" i="8" s="1"/>
  <c r="AE5" i="5"/>
  <c r="AA8" i="5"/>
  <c r="H114" i="8" s="1"/>
  <c r="Z8" i="5"/>
  <c r="Z6" i="5"/>
  <c r="AA6" i="5"/>
  <c r="H112" i="8" s="1"/>
  <c r="AE6" i="5"/>
  <c r="Z3" i="5"/>
  <c r="AA3" i="5"/>
  <c r="H109" i="8" s="1"/>
  <c r="Z7" i="5"/>
  <c r="AA7" i="5"/>
  <c r="H113" i="8" s="1"/>
  <c r="AC7" i="5"/>
  <c r="J113" i="8" s="1"/>
  <c r="AE11" i="5"/>
  <c r="AA14" i="5"/>
  <c r="H120" i="8" s="1"/>
  <c r="Z14" i="5"/>
  <c r="AE8" i="5"/>
  <c r="AA9" i="5"/>
  <c r="H115" i="8" s="1"/>
  <c r="Z9" i="5"/>
  <c r="AE9" i="5"/>
  <c r="AE12" i="5"/>
  <c r="AA12" i="5"/>
  <c r="H118" i="8" s="1"/>
  <c r="Z12" i="5"/>
  <c r="AC12" i="5"/>
  <c r="J118" i="8" s="1"/>
  <c r="AE13" i="5"/>
  <c r="AA5" i="5"/>
  <c r="H111" i="8" s="1"/>
  <c r="Z5" i="5"/>
  <c r="AE3" i="5"/>
  <c r="AE7" i="5"/>
  <c r="Z10" i="5"/>
  <c r="AC10" i="5"/>
  <c r="J116" i="8" s="1"/>
  <c r="AA10" i="5"/>
  <c r="H116" i="8" s="1"/>
  <c r="AE14" i="5"/>
  <c r="Z4" i="5"/>
  <c r="Z7" i="4"/>
  <c r="H93" i="8" s="1"/>
  <c r="Y7" i="4"/>
  <c r="Z9" i="4"/>
  <c r="H95" i="8" s="1"/>
  <c r="Y9" i="4"/>
  <c r="Z5" i="4"/>
  <c r="H91" i="8" s="1"/>
  <c r="Y5" i="4"/>
  <c r="G91" i="8" s="1"/>
  <c r="Z16" i="4"/>
  <c r="H102" i="8" s="1"/>
  <c r="Y16" i="4"/>
  <c r="AB16" i="4"/>
  <c r="J102" i="8" s="1"/>
  <c r="AD7" i="4"/>
  <c r="Z14" i="4"/>
  <c r="H100" i="8" s="1"/>
  <c r="Y14" i="4"/>
  <c r="G100" i="8" s="1"/>
  <c r="Z10" i="4"/>
  <c r="H96" i="8" s="1"/>
  <c r="Y10" i="4"/>
  <c r="AD16" i="4"/>
  <c r="Z8" i="4"/>
  <c r="H94" i="8" s="1"/>
  <c r="Y8" i="4"/>
  <c r="G94" i="8" s="1"/>
  <c r="Y19" i="4"/>
  <c r="Z19" i="4"/>
  <c r="H105" i="8" s="1"/>
  <c r="Y11" i="4"/>
  <c r="G97" i="8" s="1"/>
  <c r="AD11" i="4"/>
  <c r="Z11" i="4"/>
  <c r="H97" i="8" s="1"/>
  <c r="Y20" i="4"/>
  <c r="Z20" i="4"/>
  <c r="H106" i="8" s="1"/>
  <c r="Z18" i="4"/>
  <c r="H104" i="8" s="1"/>
  <c r="Y18" i="4"/>
  <c r="Y3" i="4"/>
  <c r="AB3" i="4"/>
  <c r="J89" i="8" s="1"/>
  <c r="Z3" i="4"/>
  <c r="H89" i="8" s="1"/>
  <c r="AD3" i="4"/>
  <c r="AD20" i="4"/>
  <c r="AD9" i="4"/>
  <c r="AD18" i="4"/>
  <c r="AD5" i="4"/>
  <c r="Z21" i="4"/>
  <c r="H107" i="8" s="1"/>
  <c r="Y21" i="4"/>
  <c r="G107" i="8" s="1"/>
  <c r="Y4" i="4"/>
  <c r="G90" i="8" s="1"/>
  <c r="Z4" i="4"/>
  <c r="H90" i="8" s="1"/>
  <c r="Z6" i="4"/>
  <c r="H92" i="8" s="1"/>
  <c r="Y6" i="4"/>
  <c r="AD10" i="4"/>
  <c r="Z15" i="4"/>
  <c r="H101" i="8" s="1"/>
  <c r="Y15" i="4"/>
  <c r="G101" i="8" s="1"/>
  <c r="Z17" i="4"/>
  <c r="H103" i="8" s="1"/>
  <c r="Y17" i="4"/>
  <c r="AD21" i="4"/>
  <c r="Z12" i="4"/>
  <c r="H98" i="8" s="1"/>
  <c r="Y12" i="4"/>
  <c r="AD12" i="4"/>
  <c r="AD14" i="4"/>
  <c r="Z2" i="4"/>
  <c r="H88" i="8" s="1"/>
  <c r="Y2" i="4"/>
  <c r="AD8" i="4"/>
  <c r="Y13" i="4"/>
  <c r="Z13" i="4"/>
  <c r="H99" i="8" s="1"/>
  <c r="AD19" i="4"/>
  <c r="AI18" i="3" l="1"/>
  <c r="AJ18" i="3"/>
  <c r="H82" i="8" s="1"/>
  <c r="AL18" i="3"/>
  <c r="J82" i="8" s="1"/>
  <c r="E82" i="8"/>
  <c r="AK18" i="3"/>
  <c r="I82" i="8" s="1"/>
  <c r="F82" i="8"/>
  <c r="AO18" i="3"/>
  <c r="M82" i="8" s="1"/>
  <c r="L82" i="8"/>
  <c r="J81" i="8"/>
  <c r="H81" i="8"/>
  <c r="E81" i="8"/>
  <c r="D81" i="8"/>
  <c r="AI16" i="3"/>
  <c r="AL16" i="3" s="1"/>
  <c r="J80" i="8" s="1"/>
  <c r="AJ16" i="3"/>
  <c r="H80" i="8" s="1"/>
  <c r="E80" i="8"/>
  <c r="AN16" i="3"/>
  <c r="D80" i="8"/>
  <c r="AI15" i="3"/>
  <c r="AJ15" i="3"/>
  <c r="H79" i="8" s="1"/>
  <c r="AL15" i="3"/>
  <c r="J79" i="8" s="1"/>
  <c r="E79" i="8"/>
  <c r="AN15" i="3"/>
  <c r="D79" i="8"/>
  <c r="AN14" i="3"/>
  <c r="D78" i="8"/>
  <c r="AI14" i="3"/>
  <c r="AJ14" i="3"/>
  <c r="H78" i="8" s="1"/>
  <c r="AL14" i="3"/>
  <c r="J78" i="8" s="1"/>
  <c r="E78" i="8"/>
  <c r="H77" i="8"/>
  <c r="J77" i="8"/>
  <c r="E77" i="8"/>
  <c r="D77" i="8"/>
  <c r="AJ12" i="3"/>
  <c r="H76" i="8" s="1"/>
  <c r="E76" i="8"/>
  <c r="AI12" i="3"/>
  <c r="AL12" i="3" s="1"/>
  <c r="J76" i="8" s="1"/>
  <c r="AN12" i="3"/>
  <c r="D76" i="8"/>
  <c r="AM11" i="3"/>
  <c r="K75" i="8" s="1"/>
  <c r="G75" i="8"/>
  <c r="AM10" i="3"/>
  <c r="K74" i="8" s="1"/>
  <c r="G74" i="8"/>
  <c r="AO10" i="3"/>
  <c r="M74" i="8" s="1"/>
  <c r="L74" i="8"/>
  <c r="AM9" i="3"/>
  <c r="K73" i="8" s="1"/>
  <c r="G73" i="8"/>
  <c r="AO9" i="3"/>
  <c r="M73" i="8" s="1"/>
  <c r="L73" i="8"/>
  <c r="AM8" i="3"/>
  <c r="K72" i="8" s="1"/>
  <c r="G72" i="8"/>
  <c r="AO8" i="3"/>
  <c r="M72" i="8" s="1"/>
  <c r="L72" i="8"/>
  <c r="AM7" i="3"/>
  <c r="K71" i="8" s="1"/>
  <c r="G71" i="8"/>
  <c r="AO7" i="3"/>
  <c r="M71" i="8" s="1"/>
  <c r="L71" i="8"/>
  <c r="AM6" i="3"/>
  <c r="K70" i="8" s="1"/>
  <c r="G70" i="8"/>
  <c r="AO6" i="3"/>
  <c r="M70" i="8" s="1"/>
  <c r="L70" i="8"/>
  <c r="AM5" i="3"/>
  <c r="K69" i="8" s="1"/>
  <c r="G69" i="8"/>
  <c r="AO5" i="3"/>
  <c r="M69" i="8" s="1"/>
  <c r="L69" i="8"/>
  <c r="AM4" i="3"/>
  <c r="G68" i="8"/>
  <c r="AO4" i="3"/>
  <c r="M68" i="8" s="1"/>
  <c r="L68" i="8"/>
  <c r="AM3" i="3"/>
  <c r="G67" i="8"/>
  <c r="AO3" i="3"/>
  <c r="M67" i="8" s="1"/>
  <c r="L67" i="8"/>
  <c r="AM2" i="3"/>
  <c r="G66" i="8"/>
  <c r="AO2" i="3"/>
  <c r="M66" i="8" s="1"/>
  <c r="L66" i="8"/>
  <c r="L134" i="8"/>
  <c r="AI10" i="7"/>
  <c r="M134" i="8" s="1"/>
  <c r="AI7" i="7"/>
  <c r="M131" i="8" s="1"/>
  <c r="L131" i="8"/>
  <c r="AG5" i="7"/>
  <c r="K129" i="8" s="1"/>
  <c r="G129" i="8"/>
  <c r="AG8" i="7"/>
  <c r="G132" i="8"/>
  <c r="AI5" i="7"/>
  <c r="M129" i="8" s="1"/>
  <c r="L129" i="8"/>
  <c r="AI8" i="7"/>
  <c r="M132" i="8" s="1"/>
  <c r="L132" i="8"/>
  <c r="AG2" i="7"/>
  <c r="K126" i="8" s="1"/>
  <c r="G126" i="8"/>
  <c r="AI6" i="7"/>
  <c r="M130" i="8" s="1"/>
  <c r="L130" i="8"/>
  <c r="AG9" i="7"/>
  <c r="G133" i="8"/>
  <c r="AG6" i="7"/>
  <c r="G130" i="8"/>
  <c r="AI2" i="7"/>
  <c r="M126" i="8" s="1"/>
  <c r="L126" i="8"/>
  <c r="AG4" i="7"/>
  <c r="K128" i="8" s="1"/>
  <c r="G128" i="8"/>
  <c r="AI9" i="7"/>
  <c r="M133" i="8" s="1"/>
  <c r="L133" i="8"/>
  <c r="AG11" i="7"/>
  <c r="G135" i="8"/>
  <c r="AI4" i="7"/>
  <c r="M128" i="8" s="1"/>
  <c r="L128" i="8"/>
  <c r="AI11" i="7"/>
  <c r="M135" i="8" s="1"/>
  <c r="L135" i="8"/>
  <c r="AI3" i="7"/>
  <c r="M127" i="8" s="1"/>
  <c r="L127" i="8"/>
  <c r="AG10" i="7"/>
  <c r="G134" i="8"/>
  <c r="L122" i="8"/>
  <c r="AF3" i="6"/>
  <c r="M122" i="8" s="1"/>
  <c r="L121" i="8"/>
  <c r="AF2" i="6"/>
  <c r="M121" i="8" s="1"/>
  <c r="G125" i="8"/>
  <c r="AC6" i="6"/>
  <c r="J125" i="8" s="1"/>
  <c r="AF6" i="6"/>
  <c r="M125" i="8" s="1"/>
  <c r="L125" i="8"/>
  <c r="AF5" i="6"/>
  <c r="M124" i="8" s="1"/>
  <c r="L124" i="8"/>
  <c r="AD2" i="6"/>
  <c r="K121" i="8" s="1"/>
  <c r="AC2" i="6"/>
  <c r="J121" i="8" s="1"/>
  <c r="G121" i="8"/>
  <c r="AF4" i="6"/>
  <c r="M123" i="8" s="1"/>
  <c r="L123" i="8"/>
  <c r="AF10" i="5"/>
  <c r="M116" i="8" s="1"/>
  <c r="L116" i="8"/>
  <c r="AD2" i="5"/>
  <c r="K108" i="8" s="1"/>
  <c r="G108" i="8"/>
  <c r="AD13" i="5"/>
  <c r="K119" i="8" s="1"/>
  <c r="G119" i="8"/>
  <c r="AF4" i="5"/>
  <c r="M110" i="8" s="1"/>
  <c r="L110" i="8"/>
  <c r="AD11" i="5"/>
  <c r="K117" i="8" s="1"/>
  <c r="G117" i="8"/>
  <c r="AF2" i="5"/>
  <c r="M108" i="8" s="1"/>
  <c r="L108" i="8"/>
  <c r="AF5" i="5"/>
  <c r="M111" i="8" s="1"/>
  <c r="L111" i="8"/>
  <c r="AD8" i="5"/>
  <c r="K114" i="8" s="1"/>
  <c r="G114" i="8"/>
  <c r="AD6" i="5"/>
  <c r="K112" i="8" s="1"/>
  <c r="G112" i="8"/>
  <c r="AF6" i="5"/>
  <c r="M112" i="8" s="1"/>
  <c r="L112" i="8"/>
  <c r="AD3" i="5"/>
  <c r="K109" i="8" s="1"/>
  <c r="AC3" i="5"/>
  <c r="J109" i="8" s="1"/>
  <c r="G109" i="8"/>
  <c r="AD7" i="5"/>
  <c r="K113" i="8" s="1"/>
  <c r="G113" i="8"/>
  <c r="AF11" i="5"/>
  <c r="M117" i="8" s="1"/>
  <c r="L117" i="8"/>
  <c r="AD14" i="5"/>
  <c r="K120" i="8" s="1"/>
  <c r="G120" i="8"/>
  <c r="AF8" i="5"/>
  <c r="M114" i="8" s="1"/>
  <c r="L114" i="8"/>
  <c r="AD9" i="5"/>
  <c r="K115" i="8" s="1"/>
  <c r="G115" i="8"/>
  <c r="AF9" i="5"/>
  <c r="M115" i="8" s="1"/>
  <c r="L115" i="8"/>
  <c r="AF12" i="5"/>
  <c r="M118" i="8" s="1"/>
  <c r="L118" i="8"/>
  <c r="AD12" i="5"/>
  <c r="K118" i="8" s="1"/>
  <c r="G118" i="8"/>
  <c r="AF13" i="5"/>
  <c r="M119" i="8" s="1"/>
  <c r="L119" i="8"/>
  <c r="AD5" i="5"/>
  <c r="K111" i="8" s="1"/>
  <c r="G111" i="8"/>
  <c r="AF3" i="5"/>
  <c r="M109" i="8" s="1"/>
  <c r="L109" i="8"/>
  <c r="AF7" i="5"/>
  <c r="M113" i="8" s="1"/>
  <c r="L113" i="8"/>
  <c r="AD10" i="5"/>
  <c r="K116" i="8" s="1"/>
  <c r="G116" i="8"/>
  <c r="AF14" i="5"/>
  <c r="M120" i="8" s="1"/>
  <c r="L120" i="8"/>
  <c r="AD4" i="5"/>
  <c r="K110" i="8" s="1"/>
  <c r="G110" i="8"/>
  <c r="L99" i="8"/>
  <c r="AE13" i="4"/>
  <c r="M99" i="8" s="1"/>
  <c r="AE17" i="4"/>
  <c r="M103" i="8" s="1"/>
  <c r="L103" i="8"/>
  <c r="AE6" i="4"/>
  <c r="M92" i="8" s="1"/>
  <c r="L92" i="8"/>
  <c r="AE4" i="4"/>
  <c r="M90" i="8" s="1"/>
  <c r="L90" i="8"/>
  <c r="AE15" i="4"/>
  <c r="M101" i="8" s="1"/>
  <c r="L101" i="8"/>
  <c r="AE2" i="4"/>
  <c r="M88" i="8" s="1"/>
  <c r="L88" i="8"/>
  <c r="AC7" i="4"/>
  <c r="K93" i="8" s="1"/>
  <c r="G93" i="8"/>
  <c r="AC9" i="4"/>
  <c r="K95" i="8" s="1"/>
  <c r="G95" i="8"/>
  <c r="AC16" i="4"/>
  <c r="K102" i="8" s="1"/>
  <c r="G102" i="8"/>
  <c r="AE7" i="4"/>
  <c r="M93" i="8" s="1"/>
  <c r="L93" i="8"/>
  <c r="AC10" i="4"/>
  <c r="K96" i="8" s="1"/>
  <c r="G96" i="8"/>
  <c r="AE16" i="4"/>
  <c r="M102" i="8" s="1"/>
  <c r="L102" i="8"/>
  <c r="AC19" i="4"/>
  <c r="K105" i="8" s="1"/>
  <c r="G105" i="8"/>
  <c r="AE11" i="4"/>
  <c r="M97" i="8" s="1"/>
  <c r="L97" i="8"/>
  <c r="AC20" i="4"/>
  <c r="K106" i="8" s="1"/>
  <c r="G106" i="8"/>
  <c r="AC18" i="4"/>
  <c r="K104" i="8" s="1"/>
  <c r="G104" i="8"/>
  <c r="AC3" i="4"/>
  <c r="G89" i="8"/>
  <c r="AE3" i="4"/>
  <c r="M89" i="8" s="1"/>
  <c r="L89" i="8"/>
  <c r="AE20" i="4"/>
  <c r="M106" i="8" s="1"/>
  <c r="L106" i="8"/>
  <c r="AE9" i="4"/>
  <c r="M95" i="8" s="1"/>
  <c r="L95" i="8"/>
  <c r="AE18" i="4"/>
  <c r="M104" i="8" s="1"/>
  <c r="L104" i="8"/>
  <c r="AE5" i="4"/>
  <c r="M91" i="8" s="1"/>
  <c r="L91" i="8"/>
  <c r="AC6" i="4"/>
  <c r="K92" i="8" s="1"/>
  <c r="G92" i="8"/>
  <c r="AE10" i="4"/>
  <c r="M96" i="8" s="1"/>
  <c r="L96" i="8"/>
  <c r="AC17" i="4"/>
  <c r="K103" i="8" s="1"/>
  <c r="G103" i="8"/>
  <c r="AE21" i="4"/>
  <c r="M107" i="8" s="1"/>
  <c r="L107" i="8"/>
  <c r="AC12" i="4"/>
  <c r="K98" i="8" s="1"/>
  <c r="G98" i="8"/>
  <c r="AE12" i="4"/>
  <c r="M98" i="8" s="1"/>
  <c r="L98" i="8"/>
  <c r="AE14" i="4"/>
  <c r="M100" i="8" s="1"/>
  <c r="L100" i="8"/>
  <c r="AC2" i="4"/>
  <c r="G88" i="8"/>
  <c r="AE8" i="4"/>
  <c r="M94" i="8" s="1"/>
  <c r="L94" i="8"/>
  <c r="AC13" i="4"/>
  <c r="K99" i="8" s="1"/>
  <c r="G99" i="8"/>
  <c r="AE19" i="4"/>
  <c r="M105" i="8" s="1"/>
  <c r="L105" i="8"/>
  <c r="AG7" i="7"/>
  <c r="AF7" i="7"/>
  <c r="J131" i="8" s="1"/>
  <c r="AD5" i="6"/>
  <c r="K124" i="8" s="1"/>
  <c r="AC5" i="6"/>
  <c r="J124" i="8" s="1"/>
  <c r="AD4" i="6"/>
  <c r="K123" i="8" s="1"/>
  <c r="AC4" i="6"/>
  <c r="J123" i="8" s="1"/>
  <c r="AD3" i="6"/>
  <c r="K122" i="8" s="1"/>
  <c r="AC3" i="6"/>
  <c r="J122" i="8" s="1"/>
  <c r="AC5" i="4"/>
  <c r="K91" i="8" s="1"/>
  <c r="AB5" i="4"/>
  <c r="J91" i="8" s="1"/>
  <c r="AC14" i="4"/>
  <c r="K100" i="8" s="1"/>
  <c r="AB14" i="4"/>
  <c r="J100" i="8" s="1"/>
  <c r="AC8" i="4"/>
  <c r="K94" i="8" s="1"/>
  <c r="AB8" i="4"/>
  <c r="J94" i="8" s="1"/>
  <c r="AC11" i="4"/>
  <c r="K97" i="8" s="1"/>
  <c r="AB11" i="4"/>
  <c r="J97" i="8" s="1"/>
  <c r="AC21" i="4"/>
  <c r="K107" i="8" s="1"/>
  <c r="AB21" i="4"/>
  <c r="J107" i="8" s="1"/>
  <c r="AC4" i="4"/>
  <c r="K90" i="8" s="1"/>
  <c r="AB4" i="4"/>
  <c r="J90" i="8" s="1"/>
  <c r="AC15" i="4"/>
  <c r="K101" i="8" s="1"/>
  <c r="AB15" i="4"/>
  <c r="J101" i="8" s="1"/>
  <c r="AF8" i="7"/>
  <c r="J132" i="8" s="1"/>
  <c r="AF10" i="7"/>
  <c r="J134" i="8" s="1"/>
  <c r="AF4" i="7"/>
  <c r="J128" i="8" s="1"/>
  <c r="AF11" i="7"/>
  <c r="J135" i="8" s="1"/>
  <c r="AF5" i="7"/>
  <c r="J129" i="8" s="1"/>
  <c r="AC14" i="5"/>
  <c r="J120" i="8" s="1"/>
  <c r="AC5" i="5"/>
  <c r="J111" i="8" s="1"/>
  <c r="AC4" i="5"/>
  <c r="J110" i="8" s="1"/>
  <c r="AC6" i="5"/>
  <c r="J112" i="8" s="1"/>
  <c r="AC9" i="5"/>
  <c r="J115" i="8" s="1"/>
  <c r="AC8" i="5"/>
  <c r="J114" i="8" s="1"/>
  <c r="AB13" i="4"/>
  <c r="J99" i="8" s="1"/>
  <c r="AB20" i="4"/>
  <c r="J106" i="8" s="1"/>
  <c r="AB6" i="4"/>
  <c r="J92" i="8" s="1"/>
  <c r="AB12" i="4"/>
  <c r="J98" i="8" s="1"/>
  <c r="AB17" i="4"/>
  <c r="J103" i="8" s="1"/>
  <c r="AB18" i="4"/>
  <c r="J104" i="8" s="1"/>
  <c r="AB19" i="4"/>
  <c r="J105" i="8" s="1"/>
  <c r="AB9" i="4"/>
  <c r="J95" i="8" s="1"/>
  <c r="AB2" i="4"/>
  <c r="J88" i="8" s="1"/>
  <c r="AB10" i="4"/>
  <c r="J96" i="8" s="1"/>
  <c r="AB7" i="4"/>
  <c r="J93" i="8" s="1"/>
  <c r="K132" i="8" l="1"/>
  <c r="AJ8" i="7"/>
  <c r="N132" i="8" s="1"/>
  <c r="K133" i="8"/>
  <c r="AJ9" i="7"/>
  <c r="N133" i="8" s="1"/>
  <c r="K130" i="8"/>
  <c r="AJ6" i="7"/>
  <c r="N130" i="8" s="1"/>
  <c r="K135" i="8"/>
  <c r="AJ11" i="7"/>
  <c r="N135" i="8" s="1"/>
  <c r="K134" i="8"/>
  <c r="AJ10" i="7"/>
  <c r="N134" i="8" s="1"/>
  <c r="K131" i="8"/>
  <c r="AJ7" i="7"/>
  <c r="N131" i="8" s="1"/>
  <c r="K89" i="8"/>
  <c r="AF3" i="4"/>
  <c r="N89" i="8" s="1"/>
  <c r="K88" i="8"/>
  <c r="AF2" i="4"/>
  <c r="N88" i="8" s="1"/>
  <c r="AM18" i="3"/>
  <c r="K82" i="8" s="1"/>
  <c r="G82" i="8"/>
  <c r="K81" i="8"/>
  <c r="G81" i="8"/>
  <c r="M81" i="8"/>
  <c r="L81" i="8"/>
  <c r="AM16" i="3"/>
  <c r="K80" i="8" s="1"/>
  <c r="G80" i="8"/>
  <c r="AO16" i="3"/>
  <c r="M80" i="8" s="1"/>
  <c r="L80" i="8"/>
  <c r="AM15" i="3"/>
  <c r="K79" i="8" s="1"/>
  <c r="G79" i="8"/>
  <c r="AO15" i="3"/>
  <c r="M79" i="8" s="1"/>
  <c r="L79" i="8"/>
  <c r="AO14" i="3"/>
  <c r="M78" i="8" s="1"/>
  <c r="L78" i="8"/>
  <c r="AM14" i="3"/>
  <c r="K78" i="8" s="1"/>
  <c r="G78" i="8"/>
  <c r="K77" i="8"/>
  <c r="G77" i="8"/>
  <c r="M77" i="8"/>
  <c r="L77" i="8"/>
  <c r="AM12" i="3"/>
  <c r="K76" i="8" s="1"/>
  <c r="G76" i="8"/>
  <c r="AO12" i="3"/>
  <c r="M76" i="8" s="1"/>
  <c r="L76" i="8"/>
  <c r="K68" i="8"/>
  <c r="AP4" i="3"/>
  <c r="N68" i="8" s="1"/>
  <c r="K67" i="8"/>
  <c r="AP3" i="3"/>
  <c r="N67" i="8" s="1"/>
  <c r="K66" i="8"/>
  <c r="AP2" i="3"/>
  <c r="N66" i="8" s="1"/>
  <c r="AC27" i="2"/>
  <c r="F65" i="8" s="1"/>
  <c r="W27" i="2"/>
  <c r="T27" i="2"/>
  <c r="V27" i="2" s="1"/>
  <c r="AB27" i="2" s="1"/>
  <c r="E65" i="8" s="1"/>
  <c r="P27" i="2"/>
  <c r="O27" i="2"/>
  <c r="AA27" i="2" s="1"/>
  <c r="D65" i="8" s="1"/>
  <c r="AC26" i="2"/>
  <c r="F64" i="8" s="1"/>
  <c r="W26" i="2"/>
  <c r="T26" i="2"/>
  <c r="V26" i="2" s="1"/>
  <c r="AB26" i="2" s="1"/>
  <c r="E64" i="8" s="1"/>
  <c r="P26" i="2"/>
  <c r="O26" i="2"/>
  <c r="AA26" i="2" s="1"/>
  <c r="D64" i="8" s="1"/>
  <c r="AC25" i="2"/>
  <c r="F63" i="8" s="1"/>
  <c r="W25" i="2"/>
  <c r="T25" i="2"/>
  <c r="V25" i="2" s="1"/>
  <c r="AB25" i="2" s="1"/>
  <c r="E63" i="8" s="1"/>
  <c r="P25" i="2"/>
  <c r="O25" i="2"/>
  <c r="AA25" i="2" s="1"/>
  <c r="D63" i="8" s="1"/>
  <c r="AC24" i="2"/>
  <c r="F62" i="8" s="1"/>
  <c r="W24" i="2"/>
  <c r="T24" i="2"/>
  <c r="V24" i="2" s="1"/>
  <c r="AB24" i="2" s="1"/>
  <c r="E62" i="8" s="1"/>
  <c r="P24" i="2"/>
  <c r="AA24" i="2"/>
  <c r="D62" i="8" s="1"/>
  <c r="AC23" i="2"/>
  <c r="F61" i="8" s="1"/>
  <c r="W23" i="2"/>
  <c r="T23" i="2"/>
  <c r="V23" i="2" s="1"/>
  <c r="AB23" i="2" s="1"/>
  <c r="E61" i="8" s="1"/>
  <c r="P23" i="2"/>
  <c r="O23" i="2"/>
  <c r="L23" i="2"/>
  <c r="AC22" i="2"/>
  <c r="F60" i="8" s="1"/>
  <c r="W22" i="2"/>
  <c r="T22" i="2"/>
  <c r="P22" i="2"/>
  <c r="O22" i="2"/>
  <c r="AA22" i="2" s="1"/>
  <c r="D60" i="8" s="1"/>
  <c r="L22" i="2"/>
  <c r="AC21" i="2"/>
  <c r="F59" i="8" s="1"/>
  <c r="W21" i="2"/>
  <c r="V21" i="2"/>
  <c r="AB21" i="2" s="1"/>
  <c r="E59" i="8" s="1"/>
  <c r="T21" i="2"/>
  <c r="P21" i="2"/>
  <c r="O21" i="2"/>
  <c r="AA21" i="2" s="1"/>
  <c r="D59" i="8" s="1"/>
  <c r="L21" i="2"/>
  <c r="AC20" i="2"/>
  <c r="F58" i="8" s="1"/>
  <c r="V20" i="2"/>
  <c r="AB20" i="2" s="1"/>
  <c r="E58" i="8" s="1"/>
  <c r="S20" i="2"/>
  <c r="O20" i="2"/>
  <c r="AA20" i="2" s="1"/>
  <c r="D58" i="8" s="1"/>
  <c r="AC19" i="2"/>
  <c r="F57" i="8" s="1"/>
  <c r="W19" i="2"/>
  <c r="U19" i="2"/>
  <c r="T19" i="2"/>
  <c r="V19" i="2" s="1"/>
  <c r="AB19" i="2" s="1"/>
  <c r="E57" i="8" s="1"/>
  <c r="AA19" i="2"/>
  <c r="D57" i="8" s="1"/>
  <c r="AC18" i="2"/>
  <c r="F56" i="8" s="1"/>
  <c r="W18" i="2"/>
  <c r="U18" i="2"/>
  <c r="T18" i="2"/>
  <c r="V18" i="2" s="1"/>
  <c r="AB18" i="2" s="1"/>
  <c r="E56" i="8" s="1"/>
  <c r="AA18" i="2"/>
  <c r="D56" i="8" s="1"/>
  <c r="AC17" i="2"/>
  <c r="F55" i="8" s="1"/>
  <c r="W17" i="2"/>
  <c r="U17" i="2"/>
  <c r="V17" i="2" s="1"/>
  <c r="AB17" i="2" s="1"/>
  <c r="E55" i="8" s="1"/>
  <c r="T17" i="2"/>
  <c r="AA17" i="2"/>
  <c r="D55" i="8" s="1"/>
  <c r="AA16" i="2"/>
  <c r="D54" i="8" s="1"/>
  <c r="Z16" i="2"/>
  <c r="AC16" i="2" s="1"/>
  <c r="F54" i="8" s="1"/>
  <c r="V16" i="2"/>
  <c r="AB16" i="2" s="1"/>
  <c r="E54" i="8" s="1"/>
  <c r="AA15" i="2"/>
  <c r="D53" i="8" s="1"/>
  <c r="Z15" i="2"/>
  <c r="AC15" i="2" s="1"/>
  <c r="F53" i="8" s="1"/>
  <c r="V15" i="2"/>
  <c r="AB15" i="2" s="1"/>
  <c r="E53" i="8" s="1"/>
  <c r="AC14" i="2"/>
  <c r="F52" i="8" s="1"/>
  <c r="V14" i="2"/>
  <c r="AB14" i="2" s="1"/>
  <c r="E52" i="8" s="1"/>
  <c r="D52" i="8"/>
  <c r="AC13" i="2"/>
  <c r="F51" i="8" s="1"/>
  <c r="V13" i="2"/>
  <c r="AB13" i="2" s="1"/>
  <c r="E51" i="8" s="1"/>
  <c r="AC12" i="2"/>
  <c r="F50" i="8" s="1"/>
  <c r="V12" i="2"/>
  <c r="AB12" i="2" s="1"/>
  <c r="E50" i="8" s="1"/>
  <c r="D50" i="8"/>
  <c r="AC11" i="2"/>
  <c r="F49" i="8" s="1"/>
  <c r="V11" i="2"/>
  <c r="AB11" i="2" s="1"/>
  <c r="E49" i="8" s="1"/>
  <c r="AC10" i="2"/>
  <c r="F48" i="8" s="1"/>
  <c r="V10" i="2"/>
  <c r="AB10" i="2" s="1"/>
  <c r="E48" i="8" s="1"/>
  <c r="D48" i="8"/>
  <c r="AC9" i="2"/>
  <c r="F47" i="8" s="1"/>
  <c r="V9" i="2"/>
  <c r="AB9" i="2" s="1"/>
  <c r="E47" i="8" s="1"/>
  <c r="D47" i="8"/>
  <c r="AC8" i="2"/>
  <c r="F46" i="8" s="1"/>
  <c r="W8" i="2"/>
  <c r="V8" i="2"/>
  <c r="AB8" i="2" s="1"/>
  <c r="E46" i="8" s="1"/>
  <c r="R8" i="2"/>
  <c r="P8" i="2"/>
  <c r="O8" i="2"/>
  <c r="AA8" i="2" s="1"/>
  <c r="AC7" i="2"/>
  <c r="F45" i="8" s="1"/>
  <c r="W7" i="2"/>
  <c r="T7" i="2"/>
  <c r="V7" i="2" s="1"/>
  <c r="AB7" i="2" s="1"/>
  <c r="E45" i="8" s="1"/>
  <c r="R7" i="2"/>
  <c r="P7" i="2"/>
  <c r="O7" i="2"/>
  <c r="AA7" i="2" s="1"/>
  <c r="D45" i="8" s="1"/>
  <c r="AC6" i="2"/>
  <c r="F44" i="8" s="1"/>
  <c r="U6" i="2"/>
  <c r="T6" i="2"/>
  <c r="O6" i="2"/>
  <c r="AA6" i="2" s="1"/>
  <c r="D44" i="8" s="1"/>
  <c r="AC5" i="2"/>
  <c r="F43" i="8" s="1"/>
  <c r="U5" i="2"/>
  <c r="T5" i="2"/>
  <c r="AA5" i="2"/>
  <c r="D43" i="8" s="1"/>
  <c r="AC4" i="2"/>
  <c r="F42" i="8" s="1"/>
  <c r="U4" i="2"/>
  <c r="T4" i="2"/>
  <c r="V4" i="2" s="1"/>
  <c r="AB4" i="2" s="1"/>
  <c r="E42" i="8" s="1"/>
  <c r="AC3" i="2"/>
  <c r="F41" i="8" s="1"/>
  <c r="U3" i="2"/>
  <c r="T3" i="2"/>
  <c r="V3" i="2" s="1"/>
  <c r="AB3" i="2" s="1"/>
  <c r="E41" i="8" s="1"/>
  <c r="AA3" i="2"/>
  <c r="AC2" i="2"/>
  <c r="F40" i="8" s="1"/>
  <c r="V2" i="2"/>
  <c r="AB2" i="2" s="1"/>
  <c r="E40" i="8" s="1"/>
  <c r="AI27" i="2" l="1"/>
  <c r="V22" i="2"/>
  <c r="AB22" i="2" s="1"/>
  <c r="AF16" i="2"/>
  <c r="I54" i="8" s="1"/>
  <c r="AI11" i="2"/>
  <c r="AI7" i="2"/>
  <c r="V6" i="2"/>
  <c r="AB6" i="2" s="1"/>
  <c r="AI19" i="2"/>
  <c r="AE16" i="2"/>
  <c r="H54" i="8" s="1"/>
  <c r="AA23" i="2"/>
  <c r="AE23" i="2" s="1"/>
  <c r="H61" i="8" s="1"/>
  <c r="AI8" i="2"/>
  <c r="D46" i="8"/>
  <c r="AI3" i="2"/>
  <c r="D41" i="8"/>
  <c r="AF23" i="2"/>
  <c r="I61" i="8" s="1"/>
  <c r="AF19" i="2"/>
  <c r="I57" i="8" s="1"/>
  <c r="AF18" i="2"/>
  <c r="I56" i="8" s="1"/>
  <c r="AF6" i="2"/>
  <c r="I44" i="8" s="1"/>
  <c r="AF5" i="2"/>
  <c r="I43" i="8" s="1"/>
  <c r="V5" i="2"/>
  <c r="AB5" i="2" s="1"/>
  <c r="AA4" i="2"/>
  <c r="AA2" i="2"/>
  <c r="AI2" i="2" s="1"/>
  <c r="AI15" i="2"/>
  <c r="AE15" i="2"/>
  <c r="H53" i="8" s="1"/>
  <c r="AF17" i="2"/>
  <c r="I55" i="8" s="1"/>
  <c r="AE17" i="2"/>
  <c r="H55" i="8" s="1"/>
  <c r="AD17" i="2"/>
  <c r="AE21" i="2"/>
  <c r="H59" i="8" s="1"/>
  <c r="AD21" i="2"/>
  <c r="AF24" i="2"/>
  <c r="I62" i="8" s="1"/>
  <c r="AI24" i="2"/>
  <c r="AF7" i="2"/>
  <c r="I45" i="8" s="1"/>
  <c r="AI9" i="2"/>
  <c r="AE10" i="2"/>
  <c r="H48" i="8" s="1"/>
  <c r="AD10" i="2"/>
  <c r="AI12" i="2"/>
  <c r="AE25" i="2"/>
  <c r="H63" i="8" s="1"/>
  <c r="AD25" i="2"/>
  <c r="AD4" i="2"/>
  <c r="G42" i="8" s="1"/>
  <c r="AG4" i="2"/>
  <c r="J42" i="8" s="1"/>
  <c r="AI10" i="2"/>
  <c r="AF10" i="2"/>
  <c r="I48" i="8" s="1"/>
  <c r="AI14" i="2"/>
  <c r="AF14" i="2"/>
  <c r="I52" i="8" s="1"/>
  <c r="AE18" i="2"/>
  <c r="H56" i="8" s="1"/>
  <c r="AD18" i="2"/>
  <c r="G56" i="8" s="1"/>
  <c r="AD2" i="2"/>
  <c r="AF11" i="2"/>
  <c r="I49" i="8" s="1"/>
  <c r="AI17" i="2"/>
  <c r="AE8" i="2"/>
  <c r="H46" i="8" s="1"/>
  <c r="AD8" i="2"/>
  <c r="AG8" i="2" s="1"/>
  <c r="J46" i="8" s="1"/>
  <c r="AD11" i="2"/>
  <c r="G49" i="8" s="1"/>
  <c r="AE14" i="2"/>
  <c r="H52" i="8" s="1"/>
  <c r="AD14" i="2"/>
  <c r="AD19" i="2"/>
  <c r="AG19" i="2"/>
  <c r="J57" i="8" s="1"/>
  <c r="AE19" i="2"/>
  <c r="H57" i="8" s="1"/>
  <c r="AF22" i="2"/>
  <c r="I60" i="8" s="1"/>
  <c r="AI26" i="2"/>
  <c r="AF26" i="2"/>
  <c r="I64" i="8" s="1"/>
  <c r="AE27" i="2"/>
  <c r="H65" i="8" s="1"/>
  <c r="AD27" i="2"/>
  <c r="AE3" i="2"/>
  <c r="H41" i="8" s="1"/>
  <c r="AD3" i="2"/>
  <c r="AF8" i="2"/>
  <c r="I46" i="8" s="1"/>
  <c r="AI18" i="2"/>
  <c r="AF21" i="2"/>
  <c r="I59" i="8" s="1"/>
  <c r="AI21" i="2"/>
  <c r="AE12" i="2"/>
  <c r="H50" i="8" s="1"/>
  <c r="AD12" i="2"/>
  <c r="AF20" i="2"/>
  <c r="I58" i="8" s="1"/>
  <c r="AI20" i="2"/>
  <c r="AE9" i="2"/>
  <c r="H47" i="8" s="1"/>
  <c r="AD9" i="2"/>
  <c r="AE20" i="2"/>
  <c r="H58" i="8" s="1"/>
  <c r="AD20" i="2"/>
  <c r="AF9" i="2"/>
  <c r="I47" i="8" s="1"/>
  <c r="AI16" i="2"/>
  <c r="AE24" i="2"/>
  <c r="H62" i="8" s="1"/>
  <c r="AD24" i="2"/>
  <c r="AE7" i="2"/>
  <c r="H45" i="8" s="1"/>
  <c r="AD7" i="2"/>
  <c r="AI5" i="2"/>
  <c r="AE6" i="2"/>
  <c r="H44" i="8" s="1"/>
  <c r="AD6" i="2"/>
  <c r="AD13" i="2"/>
  <c r="G51" i="8" s="1"/>
  <c r="AD15" i="2"/>
  <c r="AF15" i="2"/>
  <c r="I53" i="8" s="1"/>
  <c r="AD23" i="2"/>
  <c r="G61" i="8" s="1"/>
  <c r="AG23" i="2"/>
  <c r="J61" i="8" s="1"/>
  <c r="AF25" i="2"/>
  <c r="I63" i="8" s="1"/>
  <c r="AI25" i="2"/>
  <c r="AE26" i="2"/>
  <c r="H64" i="8" s="1"/>
  <c r="AD26" i="2"/>
  <c r="AF27" i="2"/>
  <c r="I65" i="8" s="1"/>
  <c r="AF3" i="2"/>
  <c r="I41" i="8" s="1"/>
  <c r="AF12" i="2"/>
  <c r="I50" i="8" s="1"/>
  <c r="AD16" i="2"/>
  <c r="L65" i="8" l="1"/>
  <c r="AJ27" i="2"/>
  <c r="M65" i="8" s="1"/>
  <c r="L45" i="8"/>
  <c r="AJ7" i="2"/>
  <c r="M45" i="8" s="1"/>
  <c r="E44" i="8"/>
  <c r="AI6" i="2"/>
  <c r="L57" i="8"/>
  <c r="AJ19" i="2"/>
  <c r="M57" i="8" s="1"/>
  <c r="AI23" i="2"/>
  <c r="D61" i="8"/>
  <c r="L46" i="8"/>
  <c r="AJ8" i="2"/>
  <c r="M46" i="8" s="1"/>
  <c r="L41" i="8"/>
  <c r="AJ3" i="2"/>
  <c r="M41" i="8" s="1"/>
  <c r="AH4" i="2"/>
  <c r="AH2" i="2"/>
  <c r="AH11" i="2"/>
  <c r="AH13" i="2"/>
  <c r="AH23" i="2"/>
  <c r="K61" i="8" s="1"/>
  <c r="E60" i="8"/>
  <c r="AD22" i="2"/>
  <c r="AI22" i="2"/>
  <c r="AE22" i="2"/>
  <c r="H60" i="8" s="1"/>
  <c r="D49" i="8"/>
  <c r="AE11" i="2"/>
  <c r="H49" i="8" s="1"/>
  <c r="AE13" i="2"/>
  <c r="H51" i="8" s="1"/>
  <c r="D51" i="8"/>
  <c r="E43" i="8"/>
  <c r="AE5" i="2"/>
  <c r="H43" i="8" s="1"/>
  <c r="AD5" i="2"/>
  <c r="AG5" i="2" s="1"/>
  <c r="J43" i="8" s="1"/>
  <c r="AF4" i="2"/>
  <c r="I42" i="8" s="1"/>
  <c r="D42" i="8"/>
  <c r="AF2" i="2"/>
  <c r="I40" i="8" s="1"/>
  <c r="AE2" i="2"/>
  <c r="H40" i="8" s="1"/>
  <c r="D40" i="8"/>
  <c r="AJ15" i="2"/>
  <c r="M53" i="8" s="1"/>
  <c r="L53" i="8"/>
  <c r="AH17" i="2"/>
  <c r="G55" i="8"/>
  <c r="AH21" i="2"/>
  <c r="K59" i="8" s="1"/>
  <c r="G59" i="8"/>
  <c r="AJ24" i="2"/>
  <c r="M62" i="8" s="1"/>
  <c r="L62" i="8"/>
  <c r="AJ9" i="2"/>
  <c r="M47" i="8" s="1"/>
  <c r="L47" i="8"/>
  <c r="AH10" i="2"/>
  <c r="G48" i="8"/>
  <c r="AJ12" i="2"/>
  <c r="M50" i="8" s="1"/>
  <c r="L50" i="8"/>
  <c r="AH25" i="2"/>
  <c r="K63" i="8" s="1"/>
  <c r="G63" i="8"/>
  <c r="AJ10" i="2"/>
  <c r="M48" i="8" s="1"/>
  <c r="L48" i="8"/>
  <c r="AJ14" i="2"/>
  <c r="M52" i="8" s="1"/>
  <c r="L52" i="8"/>
  <c r="G40" i="8"/>
  <c r="AG2" i="2"/>
  <c r="J40" i="8" s="1"/>
  <c r="AJ11" i="2"/>
  <c r="M49" i="8" s="1"/>
  <c r="L49" i="8"/>
  <c r="AJ17" i="2"/>
  <c r="M55" i="8" s="1"/>
  <c r="L55" i="8"/>
  <c r="AH8" i="2"/>
  <c r="G46" i="8"/>
  <c r="AH14" i="2"/>
  <c r="G52" i="8"/>
  <c r="AH19" i="2"/>
  <c r="G57" i="8"/>
  <c r="AJ26" i="2"/>
  <c r="M64" i="8" s="1"/>
  <c r="L64" i="8"/>
  <c r="AH27" i="2"/>
  <c r="K65" i="8" s="1"/>
  <c r="G65" i="8"/>
  <c r="AH3" i="2"/>
  <c r="G41" i="8"/>
  <c r="AJ18" i="2"/>
  <c r="M56" i="8" s="1"/>
  <c r="L56" i="8"/>
  <c r="AJ21" i="2"/>
  <c r="M59" i="8" s="1"/>
  <c r="L59" i="8"/>
  <c r="AH12" i="2"/>
  <c r="G50" i="8"/>
  <c r="AJ20" i="2"/>
  <c r="M58" i="8" s="1"/>
  <c r="L58" i="8"/>
  <c r="AH9" i="2"/>
  <c r="G47" i="8"/>
  <c r="AH20" i="2"/>
  <c r="K58" i="8" s="1"/>
  <c r="G58" i="8"/>
  <c r="AJ16" i="2"/>
  <c r="M54" i="8" s="1"/>
  <c r="L54" i="8"/>
  <c r="AH24" i="2"/>
  <c r="K62" i="8" s="1"/>
  <c r="G62" i="8"/>
  <c r="AH7" i="2"/>
  <c r="G45" i="8"/>
  <c r="AJ2" i="2"/>
  <c r="M40" i="8" s="1"/>
  <c r="L40" i="8"/>
  <c r="AJ5" i="2"/>
  <c r="M43" i="8" s="1"/>
  <c r="L43" i="8"/>
  <c r="AH6" i="2"/>
  <c r="G44" i="8"/>
  <c r="AH15" i="2"/>
  <c r="G53" i="8"/>
  <c r="AJ25" i="2"/>
  <c r="M63" i="8" s="1"/>
  <c r="L63" i="8"/>
  <c r="AH26" i="2"/>
  <c r="K64" i="8" s="1"/>
  <c r="G64" i="8"/>
  <c r="AH16" i="2"/>
  <c r="G54" i="8"/>
  <c r="AF13" i="2"/>
  <c r="I51" i="8" s="1"/>
  <c r="AI13" i="2"/>
  <c r="AI4" i="2"/>
  <c r="AE4" i="2"/>
  <c r="H42" i="8" s="1"/>
  <c r="AH18" i="2"/>
  <c r="AG18" i="2"/>
  <c r="J56" i="8" s="1"/>
  <c r="AG26" i="2"/>
  <c r="J64" i="8" s="1"/>
  <c r="AG20" i="2"/>
  <c r="J58" i="8" s="1"/>
  <c r="AG12" i="2"/>
  <c r="J50" i="8" s="1"/>
  <c r="AG3" i="2"/>
  <c r="J41" i="8" s="1"/>
  <c r="AG14" i="2"/>
  <c r="J52" i="8" s="1"/>
  <c r="AG21" i="2"/>
  <c r="J59" i="8" s="1"/>
  <c r="AG11" i="2"/>
  <c r="J49" i="8" s="1"/>
  <c r="AG10" i="2"/>
  <c r="J48" i="8" s="1"/>
  <c r="AG13" i="2"/>
  <c r="J51" i="8" s="1"/>
  <c r="AG25" i="2"/>
  <c r="J63" i="8" s="1"/>
  <c r="AG15" i="2"/>
  <c r="J53" i="8" s="1"/>
  <c r="AG7" i="2"/>
  <c r="J45" i="8" s="1"/>
  <c r="AG6" i="2"/>
  <c r="J44" i="8" s="1"/>
  <c r="AG24" i="2"/>
  <c r="J62" i="8" s="1"/>
  <c r="AG9" i="2"/>
  <c r="J47" i="8" s="1"/>
  <c r="AG27" i="2"/>
  <c r="J65" i="8" s="1"/>
  <c r="AG16" i="2"/>
  <c r="J54" i="8" s="1"/>
  <c r="AG17" i="2"/>
  <c r="J55" i="8" s="1"/>
  <c r="K57" i="8" l="1"/>
  <c r="AK19" i="2"/>
  <c r="N57" i="8" s="1"/>
  <c r="K56" i="8"/>
  <c r="AK18" i="2"/>
  <c r="N56" i="8" s="1"/>
  <c r="K55" i="8"/>
  <c r="AK17" i="2"/>
  <c r="N55" i="8" s="1"/>
  <c r="K54" i="8"/>
  <c r="AK16" i="2"/>
  <c r="N54" i="8" s="1"/>
  <c r="K53" i="8"/>
  <c r="AK15" i="2"/>
  <c r="N53" i="8" s="1"/>
  <c r="K50" i="8"/>
  <c r="AK12" i="2"/>
  <c r="N50" i="8" s="1"/>
  <c r="K52" i="8"/>
  <c r="AK14" i="2"/>
  <c r="N52" i="8" s="1"/>
  <c r="K51" i="8"/>
  <c r="AK13" i="2"/>
  <c r="N51" i="8" s="1"/>
  <c r="K49" i="8"/>
  <c r="AK11" i="2"/>
  <c r="N49" i="8" s="1"/>
  <c r="K48" i="8"/>
  <c r="AK10" i="2"/>
  <c r="N48" i="8" s="1"/>
  <c r="K47" i="8"/>
  <c r="AK9" i="2"/>
  <c r="N47" i="8" s="1"/>
  <c r="K46" i="8"/>
  <c r="AK8" i="2"/>
  <c r="N46" i="8" s="1"/>
  <c r="K45" i="8"/>
  <c r="AK7" i="2"/>
  <c r="N45" i="8" s="1"/>
  <c r="K44" i="8"/>
  <c r="AK6" i="2"/>
  <c r="N44" i="8" s="1"/>
  <c r="K42" i="8"/>
  <c r="AK4" i="2"/>
  <c r="N42" i="8" s="1"/>
  <c r="K41" i="8"/>
  <c r="AK3" i="2"/>
  <c r="N41" i="8" s="1"/>
  <c r="K40" i="8"/>
  <c r="AK2" i="2"/>
  <c r="N40" i="8" s="1"/>
  <c r="L44" i="8"/>
  <c r="AJ6" i="2"/>
  <c r="M44" i="8" s="1"/>
  <c r="L61" i="8"/>
  <c r="AJ23" i="2"/>
  <c r="M61" i="8" s="1"/>
  <c r="L60" i="8"/>
  <c r="AJ22" i="2"/>
  <c r="M60" i="8" s="1"/>
  <c r="G43" i="8"/>
  <c r="AH5" i="2"/>
  <c r="G60" i="8"/>
  <c r="AG22" i="2"/>
  <c r="J60" i="8" s="1"/>
  <c r="AH22" i="2"/>
  <c r="K60" i="8" s="1"/>
  <c r="AJ13" i="2"/>
  <c r="M51" i="8" s="1"/>
  <c r="L51" i="8"/>
  <c r="AJ4" i="2"/>
  <c r="M42" i="8" s="1"/>
  <c r="L42" i="8"/>
  <c r="E20" i="8"/>
  <c r="E19" i="8"/>
  <c r="E32" i="8"/>
  <c r="E33" i="8"/>
  <c r="E34" i="8"/>
  <c r="E35" i="8"/>
  <c r="E36" i="8"/>
  <c r="E38" i="8"/>
  <c r="E39" i="8"/>
  <c r="E31" i="8"/>
  <c r="AA37" i="1"/>
  <c r="F37" i="8" s="1"/>
  <c r="AA39" i="1"/>
  <c r="AA38" i="1"/>
  <c r="AA36" i="1"/>
  <c r="AA35" i="1"/>
  <c r="AA34" i="1"/>
  <c r="AA33" i="1"/>
  <c r="AA32" i="1"/>
  <c r="F32" i="8" s="1"/>
  <c r="AA31" i="1"/>
  <c r="S39" i="1"/>
  <c r="S38" i="1"/>
  <c r="S37" i="1"/>
  <c r="S36" i="1"/>
  <c r="S35" i="1"/>
  <c r="S34" i="1"/>
  <c r="S33" i="1"/>
  <c r="S32" i="1"/>
  <c r="S31" i="1"/>
  <c r="R39" i="1"/>
  <c r="R38" i="1"/>
  <c r="R37" i="1"/>
  <c r="R36" i="1"/>
  <c r="R35" i="1"/>
  <c r="R34" i="1"/>
  <c r="R33" i="1"/>
  <c r="R32" i="1"/>
  <c r="R31" i="1"/>
  <c r="Q39" i="1"/>
  <c r="Q38" i="1"/>
  <c r="Q37" i="1"/>
  <c r="Q36" i="1"/>
  <c r="Q35" i="1"/>
  <c r="Q34" i="1"/>
  <c r="Q33" i="1"/>
  <c r="Q32" i="1"/>
  <c r="Q31" i="1"/>
  <c r="P39" i="1"/>
  <c r="P38" i="1"/>
  <c r="P37" i="1"/>
  <c r="P36" i="1"/>
  <c r="P35" i="1"/>
  <c r="P34" i="1"/>
  <c r="P33" i="1"/>
  <c r="P32" i="1"/>
  <c r="P31" i="1"/>
  <c r="O39" i="1"/>
  <c r="O38" i="1"/>
  <c r="O37" i="1"/>
  <c r="O36" i="1"/>
  <c r="O35" i="1"/>
  <c r="O34" i="1"/>
  <c r="O33" i="1"/>
  <c r="O32" i="1"/>
  <c r="E30" i="8"/>
  <c r="E29" i="8"/>
  <c r="E28" i="8"/>
  <c r="E27" i="8"/>
  <c r="N30" i="1"/>
  <c r="Y30" i="1" s="1"/>
  <c r="D30" i="8" s="1"/>
  <c r="N29" i="1"/>
  <c r="Y29" i="1" s="1"/>
  <c r="D29" i="8" s="1"/>
  <c r="N28" i="1"/>
  <c r="Y28" i="1" s="1"/>
  <c r="D28" i="8" s="1"/>
  <c r="N27" i="1"/>
  <c r="Y27" i="1" s="1"/>
  <c r="D27" i="8" s="1"/>
  <c r="Z23" i="1"/>
  <c r="E23" i="8" s="1"/>
  <c r="Z24" i="1"/>
  <c r="E24" i="8" s="1"/>
  <c r="Z25" i="1"/>
  <c r="E25" i="8" s="1"/>
  <c r="Z26" i="1"/>
  <c r="E26" i="8" s="1"/>
  <c r="Z22" i="1"/>
  <c r="E22" i="8" s="1"/>
  <c r="W26" i="1"/>
  <c r="AA26" i="1" s="1"/>
  <c r="F26" i="8" s="1"/>
  <c r="W25" i="1"/>
  <c r="AA25" i="1" s="1"/>
  <c r="F25" i="8" s="1"/>
  <c r="W24" i="1"/>
  <c r="AA24" i="1" s="1"/>
  <c r="F24" i="8" s="1"/>
  <c r="W23" i="1"/>
  <c r="AA23" i="1" s="1"/>
  <c r="F23" i="8" s="1"/>
  <c r="W22" i="1"/>
  <c r="AA22" i="1" s="1"/>
  <c r="F22" i="8" s="1"/>
  <c r="Y23" i="1"/>
  <c r="D23" i="8" s="1"/>
  <c r="Y24" i="1"/>
  <c r="D24" i="8" s="1"/>
  <c r="Y25" i="1"/>
  <c r="D25" i="8" s="1"/>
  <c r="Y26" i="1"/>
  <c r="D26" i="8" s="1"/>
  <c r="Y22" i="1"/>
  <c r="D22" i="8" s="1"/>
  <c r="AA20" i="1"/>
  <c r="F20" i="8" s="1"/>
  <c r="AA21" i="1"/>
  <c r="F21" i="8" s="1"/>
  <c r="AA19" i="1"/>
  <c r="F19" i="8" s="1"/>
  <c r="Y20" i="1"/>
  <c r="D20" i="8" s="1"/>
  <c r="Y21" i="1"/>
  <c r="D21" i="8" s="1"/>
  <c r="Y19" i="1"/>
  <c r="D19" i="8" s="1"/>
  <c r="N2" i="1"/>
  <c r="AA12" i="1"/>
  <c r="F12" i="8" s="1"/>
  <c r="AA13" i="1"/>
  <c r="F13" i="8" s="1"/>
  <c r="AA14" i="1"/>
  <c r="F14" i="8" s="1"/>
  <c r="AA15" i="1"/>
  <c r="F15" i="8" s="1"/>
  <c r="AA16" i="1"/>
  <c r="F16" i="8" s="1"/>
  <c r="AA17" i="1"/>
  <c r="F17" i="8" s="1"/>
  <c r="AA18" i="1"/>
  <c r="F18" i="8" s="1"/>
  <c r="AA11" i="1"/>
  <c r="F11" i="8" s="1"/>
  <c r="AB16" i="1"/>
  <c r="G16" i="8" s="1"/>
  <c r="Y11" i="1"/>
  <c r="Y12" i="1"/>
  <c r="D12" i="8" s="1"/>
  <c r="Y13" i="1"/>
  <c r="D13" i="8" s="1"/>
  <c r="Y14" i="1"/>
  <c r="D14" i="8" s="1"/>
  <c r="Y15" i="1"/>
  <c r="D15" i="8" s="1"/>
  <c r="Y16" i="1"/>
  <c r="D16" i="8" s="1"/>
  <c r="Y17" i="1"/>
  <c r="D17" i="8" s="1"/>
  <c r="Y18" i="1"/>
  <c r="D18" i="8" s="1"/>
  <c r="N10" i="1"/>
  <c r="O10" i="1"/>
  <c r="P10" i="1"/>
  <c r="Q10" i="1"/>
  <c r="K43" i="8" l="1"/>
  <c r="AK5" i="2"/>
  <c r="N43" i="8" s="1"/>
  <c r="AD26" i="1"/>
  <c r="I26" i="8" s="1"/>
  <c r="AD20" i="1"/>
  <c r="I20" i="8" s="1"/>
  <c r="AB37" i="1"/>
  <c r="E37" i="8"/>
  <c r="F39" i="8"/>
  <c r="AB39" i="1"/>
  <c r="AB38" i="1"/>
  <c r="F38" i="8"/>
  <c r="AB36" i="1"/>
  <c r="F36" i="8"/>
  <c r="AB35" i="1"/>
  <c r="F35" i="8"/>
  <c r="AB34" i="1"/>
  <c r="F34" i="8"/>
  <c r="AB33" i="1"/>
  <c r="F33" i="8"/>
  <c r="F31" i="8"/>
  <c r="AB31" i="1"/>
  <c r="AG11" i="1"/>
  <c r="L11" i="8" s="1"/>
  <c r="D11" i="8"/>
  <c r="AB12" i="1"/>
  <c r="AB13" i="1"/>
  <c r="AF13" i="1" s="1"/>
  <c r="AD22" i="1"/>
  <c r="I22" i="8" s="1"/>
  <c r="AB32" i="1"/>
  <c r="G32" i="8" s="1"/>
  <c r="AE32" i="1"/>
  <c r="J32" i="8" s="1"/>
  <c r="AC27" i="1"/>
  <c r="H27" i="8" s="1"/>
  <c r="AB26" i="1"/>
  <c r="AD23" i="1"/>
  <c r="I23" i="8" s="1"/>
  <c r="AC22" i="1"/>
  <c r="H22" i="8" s="1"/>
  <c r="AD24" i="1"/>
  <c r="I24" i="8" s="1"/>
  <c r="AC24" i="1"/>
  <c r="H24" i="8" s="1"/>
  <c r="AC23" i="1"/>
  <c r="H23" i="8" s="1"/>
  <c r="AC28" i="1"/>
  <c r="H28" i="8" s="1"/>
  <c r="AC29" i="1"/>
  <c r="H29" i="8" s="1"/>
  <c r="AC30" i="1"/>
  <c r="H30" i="8" s="1"/>
  <c r="AG24" i="1"/>
  <c r="AD19" i="1"/>
  <c r="I19" i="8" s="1"/>
  <c r="AG23" i="1"/>
  <c r="AB22" i="1"/>
  <c r="AC26" i="1"/>
  <c r="H26" i="8" s="1"/>
  <c r="AG22" i="1"/>
  <c r="AC20" i="1"/>
  <c r="H20" i="8" s="1"/>
  <c r="AG25" i="1"/>
  <c r="AB24" i="1"/>
  <c r="G24" i="8" s="1"/>
  <c r="AB23" i="1"/>
  <c r="G23" i="8" s="1"/>
  <c r="AD12" i="1"/>
  <c r="I12" i="8" s="1"/>
  <c r="AC25" i="1"/>
  <c r="H25" i="8" s="1"/>
  <c r="AG26" i="1"/>
  <c r="AB25" i="1"/>
  <c r="AE25" i="1"/>
  <c r="J25" i="8" s="1"/>
  <c r="AD25" i="1"/>
  <c r="I25" i="8" s="1"/>
  <c r="AB11" i="1"/>
  <c r="AG13" i="1"/>
  <c r="AB19" i="1"/>
  <c r="G19" i="8" s="1"/>
  <c r="AG21" i="1"/>
  <c r="AD21" i="1"/>
  <c r="I21" i="8" s="1"/>
  <c r="AG20" i="1"/>
  <c r="AD17" i="1"/>
  <c r="I17" i="8" s="1"/>
  <c r="AB21" i="1"/>
  <c r="AB20" i="1"/>
  <c r="G20" i="8" s="1"/>
  <c r="AC21" i="1"/>
  <c r="H21" i="8" s="1"/>
  <c r="AG19" i="1"/>
  <c r="AC19" i="1"/>
  <c r="H19" i="8" s="1"/>
  <c r="AC13" i="1"/>
  <c r="H13" i="8" s="1"/>
  <c r="AD13" i="1"/>
  <c r="I13" i="8" s="1"/>
  <c r="AB14" i="1"/>
  <c r="V10" i="1"/>
  <c r="AC11" i="1"/>
  <c r="H11" i="8" s="1"/>
  <c r="AG17" i="1"/>
  <c r="AG16" i="1"/>
  <c r="AC17" i="1"/>
  <c r="H17" i="8" s="1"/>
  <c r="AB15" i="1"/>
  <c r="AG15" i="1"/>
  <c r="AG14" i="1"/>
  <c r="AE16" i="1"/>
  <c r="J16" i="8" s="1"/>
  <c r="AC12" i="1"/>
  <c r="H12" i="8" s="1"/>
  <c r="AD14" i="1"/>
  <c r="I14" i="8" s="1"/>
  <c r="AB17" i="1"/>
  <c r="AG12" i="1"/>
  <c r="AC14" i="1"/>
  <c r="H14" i="8" s="1"/>
  <c r="AD11" i="1"/>
  <c r="I11" i="8" s="1"/>
  <c r="AG18" i="1"/>
  <c r="AB18" i="1"/>
  <c r="AC15" i="1"/>
  <c r="H15" i="8" s="1"/>
  <c r="AC18" i="1"/>
  <c r="H18" i="8" s="1"/>
  <c r="AD18" i="1"/>
  <c r="I18" i="8" s="1"/>
  <c r="AD15" i="1"/>
  <c r="I15" i="8" s="1"/>
  <c r="AF16" i="1"/>
  <c r="AC16" i="1"/>
  <c r="H16" i="8" s="1"/>
  <c r="AD16" i="1"/>
  <c r="I16" i="8" s="1"/>
  <c r="AH11" i="1"/>
  <c r="M11" i="8" s="1"/>
  <c r="G38" i="8" l="1"/>
  <c r="AE38" i="1"/>
  <c r="J38" i="8" s="1"/>
  <c r="G36" i="8"/>
  <c r="AE36" i="1"/>
  <c r="J36" i="8" s="1"/>
  <c r="G37" i="8"/>
  <c r="AE37" i="1"/>
  <c r="J37" i="8" s="1"/>
  <c r="G35" i="8"/>
  <c r="AE35" i="1"/>
  <c r="J35" i="8" s="1"/>
  <c r="G34" i="8"/>
  <c r="AE34" i="1"/>
  <c r="J34" i="8" s="1"/>
  <c r="G33" i="8"/>
  <c r="AE33" i="1"/>
  <c r="J33" i="8" s="1"/>
  <c r="G39" i="8"/>
  <c r="AE39" i="1"/>
  <c r="J39" i="8" s="1"/>
  <c r="G31" i="8"/>
  <c r="AE31" i="1"/>
  <c r="J31" i="8" s="1"/>
  <c r="AE26" i="1"/>
  <c r="J26" i="8" s="1"/>
  <c r="AF26" i="1"/>
  <c r="K26" i="8" s="1"/>
  <c r="G26" i="8"/>
  <c r="AH24" i="1"/>
  <c r="M24" i="8" s="1"/>
  <c r="L24" i="8"/>
  <c r="AH23" i="1"/>
  <c r="M23" i="8" s="1"/>
  <c r="L23" i="8"/>
  <c r="AE22" i="1"/>
  <c r="J22" i="8" s="1"/>
  <c r="G22" i="8"/>
  <c r="AH22" i="1"/>
  <c r="M22" i="8" s="1"/>
  <c r="L22" i="8"/>
  <c r="AH25" i="1"/>
  <c r="M25" i="8" s="1"/>
  <c r="L25" i="8"/>
  <c r="AH26" i="1"/>
  <c r="M26" i="8" s="1"/>
  <c r="L26" i="8"/>
  <c r="AF25" i="1"/>
  <c r="K25" i="8" s="1"/>
  <c r="G25" i="8"/>
  <c r="AH21" i="1"/>
  <c r="M21" i="8" s="1"/>
  <c r="L21" i="8"/>
  <c r="AF21" i="1"/>
  <c r="G21" i="8"/>
  <c r="AH20" i="1"/>
  <c r="M20" i="8" s="1"/>
  <c r="L20" i="8"/>
  <c r="AH19" i="1"/>
  <c r="M19" i="8" s="1"/>
  <c r="L19" i="8"/>
  <c r="G12" i="8"/>
  <c r="AF12" i="1"/>
  <c r="AE12" i="1"/>
  <c r="J12" i="8" s="1"/>
  <c r="AF14" i="1"/>
  <c r="G14" i="8"/>
  <c r="AH17" i="1"/>
  <c r="M17" i="8" s="1"/>
  <c r="L17" i="8"/>
  <c r="AH16" i="1"/>
  <c r="M16" i="8" s="1"/>
  <c r="L16" i="8"/>
  <c r="AF15" i="1"/>
  <c r="G15" i="8"/>
  <c r="AH15" i="1"/>
  <c r="M15" i="8" s="1"/>
  <c r="L15" i="8"/>
  <c r="AH14" i="1"/>
  <c r="M14" i="8" s="1"/>
  <c r="L14" i="8"/>
  <c r="AF17" i="1"/>
  <c r="G17" i="8"/>
  <c r="AH18" i="1"/>
  <c r="M18" i="8" s="1"/>
  <c r="L18" i="8"/>
  <c r="AF18" i="1"/>
  <c r="G18" i="8"/>
  <c r="K16" i="8"/>
  <c r="AI16" i="1"/>
  <c r="N16" i="8" s="1"/>
  <c r="AF11" i="1"/>
  <c r="G11" i="8"/>
  <c r="AI12" i="1"/>
  <c r="N12" i="8" s="1"/>
  <c r="K12" i="8"/>
  <c r="AH12" i="1"/>
  <c r="M12" i="8" s="1"/>
  <c r="L12" i="8"/>
  <c r="G13" i="8"/>
  <c r="AE13" i="1"/>
  <c r="J13" i="8" s="1"/>
  <c r="K13" i="8"/>
  <c r="AI13" i="1"/>
  <c r="N13" i="8" s="1"/>
  <c r="AH13" i="1"/>
  <c r="M13" i="8" s="1"/>
  <c r="L13" i="8"/>
  <c r="AF19" i="1"/>
  <c r="AE19" i="1"/>
  <c r="J19" i="8" s="1"/>
  <c r="AF22" i="1"/>
  <c r="K22" i="8" s="1"/>
  <c r="AE23" i="1"/>
  <c r="J23" i="8" s="1"/>
  <c r="AF23" i="1"/>
  <c r="K23" i="8" s="1"/>
  <c r="AE17" i="1"/>
  <c r="J17" i="8" s="1"/>
  <c r="AE24" i="1"/>
  <c r="J24" i="8" s="1"/>
  <c r="AF24" i="1"/>
  <c r="K24" i="8" s="1"/>
  <c r="AE20" i="1"/>
  <c r="J20" i="8" s="1"/>
  <c r="AF20" i="1"/>
  <c r="AE21" i="1"/>
  <c r="J21" i="8" s="1"/>
  <c r="AE15" i="1"/>
  <c r="J15" i="8" s="1"/>
  <c r="AE14" i="1"/>
  <c r="J14" i="8" s="1"/>
  <c r="AE18" i="1"/>
  <c r="J18" i="8" s="1"/>
  <c r="AE11" i="1"/>
  <c r="J11" i="8" s="1"/>
  <c r="K21" i="8" l="1"/>
  <c r="AI21" i="1"/>
  <c r="N21" i="8" s="1"/>
  <c r="K19" i="8"/>
  <c r="AI19" i="1"/>
  <c r="N19" i="8" s="1"/>
  <c r="K20" i="8"/>
  <c r="AI20" i="1"/>
  <c r="N20" i="8" s="1"/>
  <c r="AI14" i="1"/>
  <c r="N14" i="8" s="1"/>
  <c r="K14" i="8"/>
  <c r="K15" i="8"/>
  <c r="AI15" i="1"/>
  <c r="N15" i="8" s="1"/>
  <c r="K17" i="8"/>
  <c r="AI17" i="1"/>
  <c r="N17" i="8" s="1"/>
  <c r="AI18" i="1"/>
  <c r="N18" i="8" s="1"/>
  <c r="K18" i="8"/>
  <c r="K11" i="8"/>
  <c r="AI11" i="1"/>
  <c r="N11" i="8" s="1"/>
  <c r="Y10" i="1"/>
  <c r="D10" i="8" s="1"/>
  <c r="N9" i="1"/>
  <c r="Y9" i="1" s="1"/>
  <c r="D9" i="8" s="1"/>
  <c r="N8" i="1"/>
  <c r="Y8" i="1" s="1"/>
  <c r="D8" i="8" s="1"/>
  <c r="N7" i="1"/>
  <c r="Y7" i="1" s="1"/>
  <c r="D7" i="8" s="1"/>
  <c r="N3" i="1"/>
  <c r="Y3" i="1" s="1"/>
  <c r="D3" i="8" s="1"/>
  <c r="N4" i="1"/>
  <c r="Y4" i="1" s="1"/>
  <c r="D4" i="8" s="1"/>
  <c r="N5" i="1"/>
  <c r="Y5" i="1" s="1"/>
  <c r="D5" i="8" s="1"/>
  <c r="N6" i="1"/>
  <c r="Y6" i="1" s="1"/>
  <c r="D6" i="8" s="1"/>
  <c r="Y2" i="1"/>
  <c r="D2" i="8" s="1"/>
  <c r="Q9" i="1" l="1"/>
  <c r="P9" i="1"/>
  <c r="O9" i="1"/>
  <c r="Q8" i="1"/>
  <c r="P8" i="1"/>
  <c r="O8" i="1"/>
  <c r="Q7" i="1"/>
  <c r="P7" i="1"/>
  <c r="O7" i="1"/>
  <c r="Q6" i="1"/>
  <c r="P6" i="1"/>
  <c r="O6" i="1"/>
  <c r="Q5" i="1"/>
  <c r="P5" i="1"/>
  <c r="O5" i="1"/>
  <c r="Q4" i="1"/>
  <c r="P4" i="1"/>
  <c r="O4" i="1"/>
  <c r="Q3" i="1"/>
  <c r="P3" i="1"/>
  <c r="O3" i="1"/>
  <c r="Q2" i="1"/>
  <c r="P2" i="1"/>
  <c r="O2" i="1"/>
  <c r="V7" i="1" l="1"/>
  <c r="Z7" i="1" s="1"/>
  <c r="E7" i="8" s="1"/>
  <c r="V5" i="1"/>
  <c r="Z5" i="1" s="1"/>
  <c r="E5" i="8" s="1"/>
  <c r="V2" i="1"/>
  <c r="Z2" i="1" s="1"/>
  <c r="E2" i="8" s="1"/>
  <c r="V3" i="1"/>
  <c r="Z3" i="1" s="1"/>
  <c r="E3" i="8" s="1"/>
  <c r="V6" i="1"/>
  <c r="Z6" i="1" s="1"/>
  <c r="E6" i="8" s="1"/>
  <c r="V8" i="1"/>
  <c r="Z8" i="1" s="1"/>
  <c r="E8" i="8" s="1"/>
  <c r="Z10" i="1"/>
  <c r="E10" i="8" s="1"/>
  <c r="V4" i="1"/>
  <c r="Z4" i="1" s="1"/>
  <c r="E4" i="8" s="1"/>
  <c r="V9" i="1"/>
  <c r="Z9" i="1" s="1"/>
  <c r="E9" i="8" s="1"/>
</calcChain>
</file>

<file path=xl/sharedStrings.xml><?xml version="1.0" encoding="utf-8"?>
<sst xmlns="http://schemas.openxmlformats.org/spreadsheetml/2006/main" count="2549" uniqueCount="595">
  <si>
    <t>Case ID</t>
  </si>
  <si>
    <t>Reference (Author, Year)</t>
  </si>
  <si>
    <t>Analysis window</t>
  </si>
  <si>
    <t>Mode</t>
  </si>
  <si>
    <t>Substrate</t>
  </si>
  <si>
    <t>Sample</t>
  </si>
  <si>
    <t>pH</t>
  </si>
  <si>
    <t>T (C)</t>
  </si>
  <si>
    <t>HRT/SRT (d)</t>
  </si>
  <si>
    <t>COD_input (mgCOD/L)</t>
  </si>
  <si>
    <t>Acetate (mg/L)</t>
  </si>
  <si>
    <t>Propionate (mg/L)</t>
  </si>
  <si>
    <t>Butyrate (mg/L)</t>
  </si>
  <si>
    <t>iso-Butyrate (mg/L)</t>
  </si>
  <si>
    <t>Valerate (mg/L)</t>
  </si>
  <si>
    <t>iso-Valerate (mg/L)</t>
  </si>
  <si>
    <t>E_in (mmol e-/L)</t>
  </si>
  <si>
    <t>f_target</t>
  </si>
  <si>
    <t>f_competing</t>
  </si>
  <si>
    <t>A_target</t>
  </si>
  <si>
    <t>f_expressed</t>
  </si>
  <si>
    <t>f_unresolved</t>
  </si>
  <si>
    <t>Batch</t>
  </si>
  <si>
    <t>Food waste (oil removed)</t>
  </si>
  <si>
    <t>Glucose</t>
  </si>
  <si>
    <t>FD 100:0</t>
  </si>
  <si>
    <t>FD 19:1</t>
  </si>
  <si>
    <t>FD 9:1</t>
  </si>
  <si>
    <t>FD 4:1</t>
  </si>
  <si>
    <t>OLR:8</t>
  </si>
  <si>
    <t>OLR:10</t>
  </si>
  <si>
    <t>OLR:12</t>
  </si>
  <si>
    <t>OLR:14</t>
  </si>
  <si>
    <t>OLR:16</t>
  </si>
  <si>
    <t>OLR:18</t>
  </si>
  <si>
    <t>OLR:20</t>
  </si>
  <si>
    <t>OLR:22</t>
  </si>
  <si>
    <t>OLR:24</t>
  </si>
  <si>
    <t>Study ID</t>
  </si>
  <si>
    <t>VFA_Liu2017</t>
  </si>
  <si>
    <t>VFA_Liu_01</t>
  </si>
  <si>
    <t>VFA_Liu_02</t>
  </si>
  <si>
    <t>VFA_Liu_03</t>
  </si>
  <si>
    <t>VFA_Liu_04</t>
  </si>
  <si>
    <t>VFA_Liu_05</t>
  </si>
  <si>
    <t>VFA_Liu_06</t>
  </si>
  <si>
    <t>VFA_Liu_07</t>
  </si>
  <si>
    <t>VFA_Liu_08</t>
  </si>
  <si>
    <t>VFA_Liu_09</t>
  </si>
  <si>
    <t>Main objective</t>
  </si>
  <si>
    <t>VFA production</t>
  </si>
  <si>
    <t>t=0 to peak VFA</t>
  </si>
  <si>
    <t>Liu et al., 2017</t>
  </si>
  <si>
    <t>Simulated food waste</t>
  </si>
  <si>
    <t>Other VFA</t>
  </si>
  <si>
    <t>E_target (mmol e-/L)</t>
  </si>
  <si>
    <t>E_competing (mmol e-/L)</t>
  </si>
  <si>
    <t>E_expressed (mmol e-/L)</t>
  </si>
  <si>
    <t>E_unresolved (mmol e-/L)</t>
  </si>
  <si>
    <t>3g/L_Salt</t>
  </si>
  <si>
    <t>6g/L_Salt</t>
  </si>
  <si>
    <t>9g/L_Salt</t>
  </si>
  <si>
    <t>12g/L_Salt</t>
  </si>
  <si>
    <t>5g/L_Oil</t>
  </si>
  <si>
    <t>15g/L_Oil</t>
  </si>
  <si>
    <t>25g/L_Oil</t>
  </si>
  <si>
    <t>35g/L_Oil</t>
  </si>
  <si>
    <t>1g/L_NaCl</t>
  </si>
  <si>
    <t>5g/L_NaCl</t>
  </si>
  <si>
    <t>10g/L_NaCl</t>
  </si>
  <si>
    <t>20g/L_NaCl</t>
  </si>
  <si>
    <t>30g/L_NaCl</t>
  </si>
  <si>
    <t>40g/L_NaCl</t>
  </si>
  <si>
    <t>50g/L_NaCl</t>
  </si>
  <si>
    <t>t=0 to 48h</t>
  </si>
  <si>
    <t>H2 (mL/L)</t>
  </si>
  <si>
    <t>CH4 (mL/L)</t>
  </si>
  <si>
    <t>No.</t>
  </si>
  <si>
    <t>VFA_Sun2024</t>
  </si>
  <si>
    <t>VFA_Sun_01</t>
  </si>
  <si>
    <t>VFA_Sun_02</t>
  </si>
  <si>
    <t>VFA_Sun_03</t>
  </si>
  <si>
    <t>Sun et al., 2024</t>
  </si>
  <si>
    <t>Primary sludge</t>
  </si>
  <si>
    <t>40mg/L_H2O2</t>
  </si>
  <si>
    <t>80mg/L_H2O2</t>
  </si>
  <si>
    <t>Semi-continuous</t>
  </si>
  <si>
    <t>Total VFA (mg/L or mgCOD/L)</t>
  </si>
  <si>
    <t>0.03%_H2O2</t>
  </si>
  <si>
    <t>0.06%_H2O2</t>
  </si>
  <si>
    <t>0.1%_H2O2</t>
  </si>
  <si>
    <t>0.13%_H2O2</t>
  </si>
  <si>
    <t>Control_0g/L_NaCl</t>
  </si>
  <si>
    <t>Control_0g/L_Salt+Oil</t>
  </si>
  <si>
    <t>Control_0%_H2O2</t>
  </si>
  <si>
    <t>VFA_Xu_01</t>
  </si>
  <si>
    <t>VFA_Xu_02</t>
  </si>
  <si>
    <t>VFA_Xu_03</t>
  </si>
  <si>
    <t>VFA_Xu_04</t>
  </si>
  <si>
    <t>VFA_Xu_05</t>
  </si>
  <si>
    <t>VFA_Xu2021</t>
  </si>
  <si>
    <t>Xu et al., 2021</t>
  </si>
  <si>
    <t>Day 0–5</t>
  </si>
  <si>
    <t>VFA_Jiang2025</t>
  </si>
  <si>
    <t xml:space="preserve">VFA_Jiang_01 </t>
  </si>
  <si>
    <t>VFA_Jiang_02</t>
  </si>
  <si>
    <t>VFA_Jiang_03</t>
  </si>
  <si>
    <t>VFA_Jiang_04</t>
  </si>
  <si>
    <t>VFA_Li2022</t>
  </si>
  <si>
    <t>VFA_Li_01</t>
  </si>
  <si>
    <t>VFA_Li_02</t>
  </si>
  <si>
    <t>VFA_Li_03</t>
  </si>
  <si>
    <t>VFA_Li_04</t>
  </si>
  <si>
    <t>VFA_Li_05</t>
  </si>
  <si>
    <t>VFA_Li_06</t>
  </si>
  <si>
    <t>VFA_Li_07</t>
  </si>
  <si>
    <t>VFA_Li_08</t>
  </si>
  <si>
    <t>VFA_Li_09</t>
  </si>
  <si>
    <t>Jiang et al., 2025</t>
  </si>
  <si>
    <t>Li et al., 2022</t>
  </si>
  <si>
    <t>Food waste+dewatered sludge</t>
  </si>
  <si>
    <t>NR=not reported in the source study;                             NC=not calculable from the reported data;                               NA=Not applicable to the system ;                                                         R-DIG = Reported graphically; digitization required</t>
  </si>
  <si>
    <t>R-DIG</t>
  </si>
  <si>
    <t>NC</t>
  </si>
  <si>
    <t>NA</t>
  </si>
  <si>
    <t>Fruit waste</t>
  </si>
  <si>
    <t>Steady-state (OLR:8)</t>
  </si>
  <si>
    <t>Steady-state (OLR:10)</t>
  </si>
  <si>
    <t>Steady-state (OLR:12)</t>
  </si>
  <si>
    <t>Steady-state (OLR:14)</t>
  </si>
  <si>
    <t>Steady-state (OLR:16)</t>
  </si>
  <si>
    <t>Steady-state (OLR:18)</t>
  </si>
  <si>
    <t>Steady-state (OLR:20)</t>
  </si>
  <si>
    <t>Steady-state (OLR:22)</t>
  </si>
  <si>
    <t>Steady-state (OLR:24)</t>
  </si>
  <si>
    <t>NR</t>
  </si>
  <si>
    <t>Carbon-chain acceptor</t>
  </si>
  <si>
    <t>Substrate_input (mgCOD/L or mgCOD/L/d)</t>
  </si>
  <si>
    <t>Carbon-chain acceptor-Acetate (mgCOD/L or mgCOD/L/d)</t>
  </si>
  <si>
    <t>Carbon-chain acceptor-Propionate (mgCOD/L or mgCOD/L/d)</t>
  </si>
  <si>
    <t>Carbon-chain acceptor-Butyrate (mgCOD/L or mgCOD/L/d)</t>
  </si>
  <si>
    <t>Other carbon-chain acceptors (mgCOD/L or mgCOD/L/d)</t>
  </si>
  <si>
    <t>Caproate  (mgCOD/L or mgCOD/L/d)</t>
  </si>
  <si>
    <t>Heptanoate (mgCOD/L or mgCOD/L/d)</t>
  </si>
  <si>
    <t>Total MCFA (mgCOD/L or mgCOD/L/d)</t>
  </si>
  <si>
    <t>Other MCFA (mgCOD/L or mgCOD/L/d)</t>
  </si>
  <si>
    <t>CH4 (mmol/L or mmol/L/d)</t>
  </si>
  <si>
    <t>H2 (mmol/L or mmol/L/d)</t>
  </si>
  <si>
    <t>Other competing sink-Butanol or propionate formation (mmol/L or mmol/L/d)</t>
  </si>
  <si>
    <t>E_in (mmol e-/L or mmol e-/L/d)</t>
  </si>
  <si>
    <t>E_target (mmol e-/L or mmol e-/L/d)</t>
  </si>
  <si>
    <t>E_competing (mmol e-/L or mmol e-/L/d)</t>
  </si>
  <si>
    <t>E_expressed (mmol e-/L or mmol e-/L/d)</t>
  </si>
  <si>
    <t>E_unresolved (mmol e-/L or mmol e-/L/d)</t>
  </si>
  <si>
    <t>CE_Roghair2018</t>
  </si>
  <si>
    <t>CE_Roghair_01</t>
  </si>
  <si>
    <t>Roghair et al., 2018</t>
  </si>
  <si>
    <t>Continuous</t>
  </si>
  <si>
    <t>Ethanol</t>
  </si>
  <si>
    <t>Propionate</t>
  </si>
  <si>
    <t>High CO2, 2.5 LCO2/L/d</t>
  </si>
  <si>
    <t>Chain Elongation</t>
  </si>
  <si>
    <t>days 84–97 and 105–119</t>
  </si>
  <si>
    <t>CE_Roghair_02</t>
  </si>
  <si>
    <t>Medium CO2, 1.0 LCO2/L/d</t>
  </si>
  <si>
    <t>days 155–187</t>
  </si>
  <si>
    <t>CE_Roghair_03</t>
  </si>
  <si>
    <t>Low CO2, 0.5 L CO2/L/d</t>
  </si>
  <si>
    <t>days 188–201</t>
  </si>
  <si>
    <t>CE_Roghair_04</t>
  </si>
  <si>
    <t>No CO2, 0 L CO2/L/d</t>
  </si>
  <si>
    <t>days 211–224</t>
  </si>
  <si>
    <t>CE_Roghair_05</t>
  </si>
  <si>
    <t>Medium CO2 recovery</t>
  </si>
  <si>
    <t>CE_Liu2017</t>
  </si>
  <si>
    <t>CE_Liu_01</t>
  </si>
  <si>
    <t>Acetate+Butyrate</t>
  </si>
  <si>
    <t>No Biochar, Phase IV</t>
  </si>
  <si>
    <t>Phase IV (days 78–117)</t>
  </si>
  <si>
    <t>CE_Liu_02</t>
  </si>
  <si>
    <t>20 g/L Biochar, Phase IV</t>
  </si>
  <si>
    <t>CE_Fu2021</t>
  </si>
  <si>
    <t>CE_Fu_01</t>
  </si>
  <si>
    <t>Fu et al., 2021</t>
  </si>
  <si>
    <t>Acetate</t>
  </si>
  <si>
    <t>200 mmol/L ethanol, 50 mmol/L acetate, 0 g/L NZVI.</t>
  </si>
  <si>
    <t>CE_Fu_02</t>
  </si>
  <si>
    <t>200 mmol/L ethanol, 50 mmol/L acetate, 5 g/L NZVI.</t>
  </si>
  <si>
    <t>CE_Fu_03</t>
  </si>
  <si>
    <t>300 mmol/L ethanol, 50 mmol/L acetate, 0 g/L NZVI.</t>
  </si>
  <si>
    <t>CE_Fu_04</t>
  </si>
  <si>
    <t>300 mmol/L ethanol, 50 mmol/L acetate, 5 g/L NZVI.</t>
  </si>
  <si>
    <t>CE_Fu_05</t>
  </si>
  <si>
    <t>400 mmol/L ethanol, 50 mmol/L acetate, 0 g/L NZVI.</t>
  </si>
  <si>
    <t>CE_Fu_06</t>
  </si>
  <si>
    <t>400 mmol/L ethanol, 50 mmol/L acetate, 5 g/L NZVI.</t>
  </si>
  <si>
    <t>CE_Kucek2016</t>
  </si>
  <si>
    <t>CE_Kucek_01</t>
  </si>
  <si>
    <t>Kucek et al., 2016</t>
  </si>
  <si>
    <t>L-Lactate</t>
  </si>
  <si>
    <t>n-Butyrate</t>
  </si>
  <si>
    <t>Phase III_Period 12</t>
  </si>
  <si>
    <t>CE_Kucek_02</t>
  </si>
  <si>
    <t>Phase III_Period 13</t>
  </si>
  <si>
    <t>days 193–204</t>
  </si>
  <si>
    <t>CE_Xu2018</t>
  </si>
  <si>
    <t>CE_Xu_01</t>
  </si>
  <si>
    <t>Xu et al., 2018</t>
  </si>
  <si>
    <t>Period B-I, days 0–57</t>
  </si>
  <si>
    <t>Period B, days 0–57</t>
  </si>
  <si>
    <t>CE_Xu_02</t>
  </si>
  <si>
    <t>Period B-II, days 58–74</t>
  </si>
  <si>
    <t>Period B, days 58–74</t>
  </si>
  <si>
    <t>CE_Xu_03</t>
  </si>
  <si>
    <t>Period B-III, days 74–92</t>
  </si>
  <si>
    <t>Period B, days 74–92</t>
  </si>
  <si>
    <t>CE_Wu2018</t>
  </si>
  <si>
    <t>CE_Wu_01</t>
  </si>
  <si>
    <t>Wu et al., 2018</t>
  </si>
  <si>
    <t>Acetate+propionate+n-butyrate+n-valerate</t>
  </si>
  <si>
    <t>Chinese liquor-making wastewater_based</t>
  </si>
  <si>
    <t>36 days of fermentation</t>
  </si>
  <si>
    <t>CE _GrootscholtenA_01</t>
  </si>
  <si>
    <t>Grootscholten et al., 2013A</t>
  </si>
  <si>
    <t xml:space="preserve">Phase I_Ethanol load = 13.0 g/L/d </t>
  </si>
  <si>
    <t>days 56–63</t>
  </si>
  <si>
    <t>CE _GrootscholtenA_02</t>
  </si>
  <si>
    <t xml:space="preserve">Phase II_Ethanol load = 19.5 g/L/d </t>
  </si>
  <si>
    <t>days 64–70</t>
  </si>
  <si>
    <t>CE _GrootscholtenA_03</t>
  </si>
  <si>
    <t xml:space="preserve">Phase III_Ethanol load = 26.0 g/L/d </t>
  </si>
  <si>
    <t>days 71–80</t>
  </si>
  <si>
    <t>CE_GrootscholtenB_01</t>
  </si>
  <si>
    <t>Grootscholten et al., 2013B</t>
  </si>
  <si>
    <t>Ethanol+ yeast extract</t>
  </si>
  <si>
    <t>Phase I</t>
  </si>
  <si>
    <t>days 32–36</t>
  </si>
  <si>
    <t>CE_GrootscholtenB_02</t>
  </si>
  <si>
    <t>Phase II</t>
  </si>
  <si>
    <t>CE_GrootscholtenB_03</t>
  </si>
  <si>
    <t>Phase III</t>
  </si>
  <si>
    <t>CE_GrootscholtenB_04</t>
  </si>
  <si>
    <t>Phase IV</t>
  </si>
  <si>
    <t>NR=not reported in the source study;                                                                        NC=not calculable from the reported data;                                                            NA=Not applicable to the system ;                                                                                            R-DIG = Reported graphically; digitization required</t>
  </si>
  <si>
    <t>Upgrading mode</t>
  </si>
  <si>
    <t>Organic substrate/feed</t>
  </si>
  <si>
    <t>H2 device</t>
  </si>
  <si>
    <t>HRT (d)</t>
  </si>
  <si>
    <t>H2 input (mL/L/d or mL/case))</t>
  </si>
  <si>
    <t>H2 fraction (%)</t>
  </si>
  <si>
    <t>Gas volume basis</t>
  </si>
  <si>
    <t>H2 input (mmol/L/d or mmol/case)</t>
  </si>
  <si>
    <t>Biogas volume - input/background (mL/L/d or mL/case)</t>
  </si>
  <si>
    <t>CH4 fraction - input/background (%)</t>
  </si>
  <si>
    <t>Biogas volume - output/upgrading (mL/L/d or mL/case)</t>
  </si>
  <si>
    <t>CH4 fraction - output/upgrading (%)</t>
  </si>
  <si>
    <t>CH4 input/background (mL/L/d or mL/case)</t>
  </si>
  <si>
    <t>CH4 output (mL/L/d or mL/case)</t>
  </si>
  <si>
    <t>Net CH4 formed (mL/L/d or mL/case)</t>
  </si>
  <si>
    <t>Net CH4 formed (mmol/L/d or mmol/case)</t>
  </si>
  <si>
    <t>Acetate input/background (mmol/L)</t>
  </si>
  <si>
    <t>Acetate output/upgrading (mmol/L)</t>
  </si>
  <si>
    <t>Net acetate (mmol/L)</t>
  </si>
  <si>
    <t>Net acetate formed (mmol/L/d or mmol/case)</t>
  </si>
  <si>
    <t>E_in (mmol e-/L/d or mmol e-/case)</t>
  </si>
  <si>
    <t>E_target (mmol e-/L/d or mmol e-/case)</t>
  </si>
  <si>
    <t>E_competing (mmol e-/L/d or mmol e-/case)</t>
  </si>
  <si>
    <t>E_expressed (mmol e-/L/d or mmol e-/case)</t>
  </si>
  <si>
    <t>BU_Luo2013</t>
  </si>
  <si>
    <t>BU_Luo_01</t>
  </si>
  <si>
    <t xml:space="preserve">Luo &amp; Angelidaki 2013 </t>
  </si>
  <si>
    <t>In situ</t>
  </si>
  <si>
    <t>Cattle manure + whey</t>
  </si>
  <si>
    <t>Hollow fiber membrane</t>
  </si>
  <si>
    <t>Phase 1_H2_930 mL/L/d</t>
  </si>
  <si>
    <t>Biogas upgrading</t>
  </si>
  <si>
    <t>BU_Luo_02</t>
  </si>
  <si>
    <t>Phase 2_H2_1440 mL/L/d</t>
  </si>
  <si>
    <t>BU_Luo_03</t>
  </si>
  <si>
    <t>Phase 3_H2_1760 mL/L/d</t>
  </si>
  <si>
    <t>BU_Bassani2016</t>
  </si>
  <si>
    <t xml:space="preserve">BU_Bassani_01 </t>
  </si>
  <si>
    <t>Bassani et al., 2016</t>
  </si>
  <si>
    <t>Diluted potato-starch wastewater</t>
  </si>
  <si>
    <t>Metallic diffuser + Rashig rings</t>
  </si>
  <si>
    <t>Rashig rings</t>
  </si>
  <si>
    <t>BU_Bassani_02</t>
  </si>
  <si>
    <t>Rashig rings with increased liquid recirculation</t>
  </si>
  <si>
    <t>BU_Bassani_03</t>
  </si>
  <si>
    <t>Metallic diffuser + ceramic sponge</t>
  </si>
  <si>
    <t>Ceramic sponge</t>
  </si>
  <si>
    <t>BU_Bassani_04</t>
  </si>
  <si>
    <t>Ceramic sponge with gas recirculation at 4 mL/min</t>
  </si>
  <si>
    <t>BU_Bassani_05</t>
  </si>
  <si>
    <t>Ceramic sponge with gas recirculation at 6 mL/min</t>
  </si>
  <si>
    <t>BU_Bassani_06</t>
  </si>
  <si>
    <t>Serial H2-injection chambers</t>
  </si>
  <si>
    <t>BU_Bassani_07</t>
  </si>
  <si>
    <t>Single extended H2-injection chamber</t>
  </si>
  <si>
    <t>BU_ Kougias2017</t>
  </si>
  <si>
    <t xml:space="preserve">BU_Kougias_01 </t>
  </si>
  <si>
    <t>Kougias et al., 2017</t>
  </si>
  <si>
    <t>Ex situ</t>
  </si>
  <si>
    <t>Digested slurry as nutrient medium</t>
  </si>
  <si>
    <t>2 stainless-steel diffusers in R1; R2 fed with R1 effluent gas</t>
  </si>
  <si>
    <t>R1+R2, Period I</t>
  </si>
  <si>
    <t>days 0–18</t>
  </si>
  <si>
    <t>BU_Kougias_02</t>
  </si>
  <si>
    <t>R1+R2, Period II</t>
  </si>
  <si>
    <t>days 19–51</t>
  </si>
  <si>
    <t>BU_Kougias_03</t>
  </si>
  <si>
    <t>R3, Period I</t>
  </si>
  <si>
    <t>BU_Kougias_04</t>
  </si>
  <si>
    <t>R3, Period II</t>
  </si>
  <si>
    <t>BU_Kougias_05</t>
  </si>
  <si>
    <t>R4, Period I</t>
  </si>
  <si>
    <t>BU_Kougias_06</t>
  </si>
  <si>
    <t>R4, Period II</t>
  </si>
  <si>
    <t>BU_Omar2018</t>
  </si>
  <si>
    <t xml:space="preserve">BU_Omar_01 </t>
  </si>
  <si>
    <t>Omar et al., 2018</t>
  </si>
  <si>
    <t>Carbon-free BA medium + BES-treated digested sewage-sludge inoculum</t>
  </si>
  <si>
    <t>H2-containing synthetic gas supplied to bottle headspace</t>
  </si>
  <si>
    <t>GR(1x): H2:CO2:CH4 = 1:1:1.5</t>
  </si>
  <si>
    <t>Biogas upgrading through acetate formation</t>
  </si>
  <si>
    <t>10-day of batch incubation</t>
  </si>
  <si>
    <t>BU_Omar_02</t>
  </si>
  <si>
    <t>GR(2x): H2:CO2:CH4 = 2:1:1.5</t>
  </si>
  <si>
    <t>BU_Omar_03</t>
  </si>
  <si>
    <t>GR(3x): H2:CO2:CH4 = 3:1:1.5</t>
  </si>
  <si>
    <t>BU_Omar_04</t>
  </si>
  <si>
    <t>GR(4x): H2:CO2:CH4 = 4:1:1.5</t>
  </si>
  <si>
    <t>BU_Mulat2017</t>
  </si>
  <si>
    <t xml:space="preserve">BU_Mulat_01 </t>
  </si>
  <si>
    <t>Mulat et al., 2017</t>
  </si>
  <si>
    <t>Unlabelled maize leaf + thermophilic digestate inoculum</t>
  </si>
  <si>
    <t>Periodic H2 injection into headspace by gas-tight syringe</t>
  </si>
  <si>
    <t>UMH</t>
  </si>
  <si>
    <t>day 6–10</t>
  </si>
  <si>
    <t>BU_Mulat_02</t>
  </si>
  <si>
    <t>U-¹³C-labelled maize leaf + thermophilic digestate inoculum</t>
  </si>
  <si>
    <t>LMH</t>
  </si>
  <si>
    <t>NR=not reported in the source study;                                    NC=not calculable from the reported data;                               NA=Not applicable to the system ;                                                         R-DIG = Reported graphically; digitization required</t>
  </si>
  <si>
    <t>Dye type</t>
  </si>
  <si>
    <t>Dye conc. (mg/L)</t>
  </si>
  <si>
    <t>Decolorization eff. (%)</t>
  </si>
  <si>
    <t>Dye reduced (mg/L)</t>
  </si>
  <si>
    <t>Dye reduced (mgCOD/L)</t>
  </si>
  <si>
    <t>CH4 (COD_CH4/COD_glucose)</t>
  </si>
  <si>
    <t>CH4 (mgCOD/L)</t>
  </si>
  <si>
    <t>RedAzo_Dai2018</t>
  </si>
  <si>
    <t>RedAzo_Dai_01</t>
  </si>
  <si>
    <t>Dai et al., 2018</t>
  </si>
  <si>
    <t>Acid Orange 7</t>
  </si>
  <si>
    <t>Glucose 1000 + AO7 600, no AQS</t>
  </si>
  <si>
    <t>Decolorization</t>
  </si>
  <si>
    <t>0-48h</t>
  </si>
  <si>
    <t>RedAzo_Dai_02</t>
  </si>
  <si>
    <t>RedAzo_Dai_03</t>
  </si>
  <si>
    <t>RedAzo_Dai_04</t>
  </si>
  <si>
    <t>RedAzo_Dai_05</t>
  </si>
  <si>
    <t>RedAzo_Dai_06</t>
  </si>
  <si>
    <t>RedAzo_Dai_07</t>
  </si>
  <si>
    <t>RedAzo_Dai_08</t>
  </si>
  <si>
    <t>RedAzo_Dai_09</t>
  </si>
  <si>
    <t>RedAzo_Dai_10</t>
  </si>
  <si>
    <t>RedAzo_Dai_11</t>
  </si>
  <si>
    <t>RedAzo_Dai_12</t>
  </si>
  <si>
    <t>RedAzo_Dai_13</t>
  </si>
  <si>
    <t>RedAzo_Dai_14</t>
  </si>
  <si>
    <t>RedAzo_Dai_15</t>
  </si>
  <si>
    <t>RedAzo_Dai_16</t>
  </si>
  <si>
    <t>RedAzo_Dai_17</t>
  </si>
  <si>
    <t>RedAzo_Dai_18</t>
  </si>
  <si>
    <t>RedAzo_Dai_19</t>
  </si>
  <si>
    <t>RedAzo_Dai_20</t>
  </si>
  <si>
    <t>inf. NH4 (mg/L)</t>
  </si>
  <si>
    <t>OLR reported (kgCOD/m3/d)</t>
  </si>
  <si>
    <t>COD_input (mgCOD/L/d or mgCOD/L)</t>
  </si>
  <si>
    <t>NOx-N reduced (mg-N/m³/d or mg-N/L)</t>
  </si>
  <si>
    <t>ν_DN (gCOD/gN)</t>
  </si>
  <si>
    <t>NOx-N reduced (mgCOD/L/d or mgCOD/L)</t>
  </si>
  <si>
    <t>Organic removal rate (kgCOD/m3/d)</t>
  </si>
  <si>
    <t>CH4 yield (m3CH4/kgCOD or mL/L)</t>
  </si>
  <si>
    <t>CH4 COD rate (mgCOD/L/d or mgCOD/L)</t>
  </si>
  <si>
    <t>E_in (mmol e-/L/d)</t>
  </si>
  <si>
    <t>E_target (mmol e-/L/d)</t>
  </si>
  <si>
    <t>E_competing (mmol e-/L/d)</t>
  </si>
  <si>
    <t>E_expressed (mmol e-/L/d)</t>
  </si>
  <si>
    <t>RedDen_Wu2022</t>
  </si>
  <si>
    <t xml:space="preserve">RedDen_Wu_01 </t>
  </si>
  <si>
    <t>Wu et al., 2022</t>
  </si>
  <si>
    <t>Glucose + sodium acetate (8:2 COD)</t>
  </si>
  <si>
    <t>Stage I, C/N = 40</t>
  </si>
  <si>
    <t>Denitrification</t>
  </si>
  <si>
    <t>Stage I operational period</t>
  </si>
  <si>
    <t>RedDen_Wu_02</t>
  </si>
  <si>
    <t>Stage II, C/N = 10</t>
  </si>
  <si>
    <t>Stage II operational period</t>
  </si>
  <si>
    <t>RedDen_Wu_03</t>
  </si>
  <si>
    <t>Stage III, C/N = 5</t>
  </si>
  <si>
    <t>Stage III operational period</t>
  </si>
  <si>
    <t>RedDen_Xie2012</t>
  </si>
  <si>
    <t>RedDen_Xie_01</t>
  </si>
  <si>
    <t>Xie et al., 2012</t>
  </si>
  <si>
    <t>Anaerobic effluent of cassava stillage</t>
  </si>
  <si>
    <t>COD/NO3-N = 3</t>
  </si>
  <si>
    <t>From batch initiation to 19 h</t>
  </si>
  <si>
    <t>RedDen_Xie_02</t>
  </si>
  <si>
    <t>COD/NO3-N = 5</t>
  </si>
  <si>
    <t>RedDen_Xie_03</t>
  </si>
  <si>
    <t>COD/NO3-N = 8</t>
  </si>
  <si>
    <t>RedDen_Xie_04</t>
  </si>
  <si>
    <t>COD/NO3-N = 19</t>
  </si>
  <si>
    <t>RedDen_Xie_05</t>
  </si>
  <si>
    <t>COD/NO3-N = 55</t>
  </si>
  <si>
    <t>RedDen_Xie_06</t>
  </si>
  <si>
    <t>RedDen_Xie_07</t>
  </si>
  <si>
    <t>RedDen_Xie_08</t>
  </si>
  <si>
    <t>COD/NO3-N = 7</t>
  </si>
  <si>
    <t>RedDen_Xie_09</t>
  </si>
  <si>
    <t>COD/NO3-N = 18</t>
  </si>
  <si>
    <t>RedDen_Xie_10</t>
  </si>
  <si>
    <t>COD/NO3-N = 50</t>
  </si>
  <si>
    <t>Iron conc. (mg/L)</t>
  </si>
  <si>
    <t>Fe(II), day 0 (mg/L)</t>
  </si>
  <si>
    <t>Fe(II), day 20 (mg/L)</t>
  </si>
  <si>
    <t>Fe(II) formation (mg/L)</t>
  </si>
  <si>
    <t>VSS_input (gVSS/L)</t>
  </si>
  <si>
    <t>RedFe_Wang2024</t>
  </si>
  <si>
    <t xml:space="preserve">RedFe_Wang_01 </t>
  </si>
  <si>
    <t>Wang et al., 2024</t>
  </si>
  <si>
    <t>WAS</t>
  </si>
  <si>
    <t>35 mg/L Fe(III)</t>
  </si>
  <si>
    <t>Methanogenesis</t>
  </si>
  <si>
    <t>RedFe_Wang_02</t>
  </si>
  <si>
    <t>750 mg/L Fe(III)</t>
  </si>
  <si>
    <t>RedFe_Wang_03</t>
  </si>
  <si>
    <t>1470 mg/L Fe(III)</t>
  </si>
  <si>
    <t>RedFe_Wang_04</t>
  </si>
  <si>
    <t>2180 mg/L Fe(III)</t>
  </si>
  <si>
    <t>RedFe_Wang_05</t>
  </si>
  <si>
    <t>2900 mg/L Fe(III)</t>
  </si>
  <si>
    <t>Sulfate conc. (mg/L)</t>
  </si>
  <si>
    <t>Total sulfide-COD (%)</t>
  </si>
  <si>
    <t>Sulfate removal (%)</t>
  </si>
  <si>
    <t>Sulfate removed (mg/L)</t>
  </si>
  <si>
    <t>Cumulative sulfide-COD (gCOD)</t>
  </si>
  <si>
    <t>Sulfide-COD or sulfate removed (mgCOD/L)</t>
  </si>
  <si>
    <t>Total CH₄-COD (%)</t>
  </si>
  <si>
    <t>CH4 (mL/d)</t>
  </si>
  <si>
    <t>CH4 (mL/L treated)</t>
  </si>
  <si>
    <t>CH4 (gCOD)</t>
  </si>
  <si>
    <t>RedSR_Paepatung_01</t>
  </si>
  <si>
    <t>Paepatung et al., 2022</t>
  </si>
  <si>
    <t>Phase I – failure phase, no ZVI</t>
  </si>
  <si>
    <t>Influent 7.6-8</t>
  </si>
  <si>
    <t>Day 0–67</t>
  </si>
  <si>
    <t>RedSR_Paepatung_02</t>
  </si>
  <si>
    <t>Glucose+ZVI</t>
  </si>
  <si>
    <t>Phase II – recovery phase, 210 g ZVI added once</t>
  </si>
  <si>
    <t>Influent 7.6-8; 7.0-7.2; 5.9-6.0</t>
  </si>
  <si>
    <t>28-30</t>
  </si>
  <si>
    <t>Day 108–223</t>
  </si>
  <si>
    <t>RedSR_ Li2017</t>
  </si>
  <si>
    <t>RedSR_ Li_01</t>
  </si>
  <si>
    <t>Li et al., 2017</t>
  </si>
  <si>
    <t>R1 – plastic threads</t>
  </si>
  <si>
    <t>RedSR_ Li_02</t>
  </si>
  <si>
    <t>R2 – stainless steel</t>
  </si>
  <si>
    <t>RedSR_ Lu2016</t>
  </si>
  <si>
    <t>Lu et al., 2016</t>
  </si>
  <si>
    <t>Starch</t>
  </si>
  <si>
    <t>COD/SO4=10</t>
  </si>
  <si>
    <t>&gt;7.0</t>
  </si>
  <si>
    <t>day 37–62</t>
  </si>
  <si>
    <t>COD/SO4=5</t>
  </si>
  <si>
    <t>day 63–94</t>
  </si>
  <si>
    <t>COD/SO4=3</t>
  </si>
  <si>
    <t>day 95–130</t>
  </si>
  <si>
    <t>COD/SO4=2</t>
  </si>
  <si>
    <t>day 131–187</t>
  </si>
  <si>
    <t>COD/SO4=1</t>
  </si>
  <si>
    <t>day 188–220</t>
  </si>
  <si>
    <t>COD/SO4=0.5</t>
  </si>
  <si>
    <t>day 221–250</t>
  </si>
  <si>
    <t>Interpretation of f_target, f_expressed</t>
  </si>
  <si>
    <t>E_in basis (COD type)</t>
  </si>
  <si>
    <t>Defined substrate: chemically defined substrate, assumed to be fully biodegradable (e.g., glucose, ethanol, acetate, lactate, H2).
Total COD: real waste or wastewater containing a non-biodegradable fraction; no biodegradability correction applied.
Biodegradable COD: corrected for biodegradability, e.g., based on BMP, BOD, or the degradable fraction reported in the source study.
Mixed: E_in comprises both defined and real-waste components, e.g., oil + food waste, or ethanol + wastewater.</t>
  </si>
  <si>
    <t>Total COD</t>
  </si>
  <si>
    <t>Mixed</t>
  </si>
  <si>
    <t>2 (cycle length)</t>
  </si>
  <si>
    <t>5 (batch incubation)</t>
  </si>
  <si>
    <t>6 (batch incubation)</t>
  </si>
  <si>
    <t>7 (batch incubation)</t>
  </si>
  <si>
    <t>8 (batch incubation)</t>
  </si>
  <si>
    <t>9 (batch incubation)</t>
  </si>
  <si>
    <t>10 (batch incubation)</t>
  </si>
  <si>
    <t>11 (batch incubation)</t>
  </si>
  <si>
    <t>12 (batch incubation)</t>
  </si>
  <si>
    <t>13 (batch incubation)</t>
  </si>
  <si>
    <t>Sarkar et al., 2020</t>
  </si>
  <si>
    <t>VFA_Sarkar2020</t>
  </si>
  <si>
    <t>VFA_Sarkar_01</t>
  </si>
  <si>
    <t>VFA_Sarkar_02</t>
  </si>
  <si>
    <t>VFA_Sarkar_03</t>
  </si>
  <si>
    <t>VFA_Sarkar_04</t>
  </si>
  <si>
    <t>VFA_Sarkar_05</t>
  </si>
  <si>
    <t>VFA_Sarkar_06</t>
  </si>
  <si>
    <t>VFA_Sarkar_07</t>
  </si>
  <si>
    <t>VFA_Sarkar_08</t>
  </si>
  <si>
    <t>Control_0mg/L_H2O2</t>
  </si>
  <si>
    <t>Days 0–30</t>
  </si>
  <si>
    <t>Days 30–51</t>
  </si>
  <si>
    <t>Days 93–150</t>
  </si>
  <si>
    <t>Defined substrate</t>
  </si>
  <si>
    <t>VFA_Jiang_01</t>
  </si>
  <si>
    <t>Day 1-33, Daily cycle</t>
  </si>
  <si>
    <t>Day 34-67, Daily cycle</t>
  </si>
  <si>
    <t>Day 68-100, Daily cycle</t>
  </si>
  <si>
    <t>Day 101-133, Daily cycle</t>
  </si>
  <si>
    <t>days 229–240</t>
  </si>
  <si>
    <t>40 (batch incubation)</t>
  </si>
  <si>
    <t>6.2–7.2</t>
  </si>
  <si>
    <t>18 (batch incubation)</t>
  </si>
  <si>
    <t>Days 0–18 (end values averaged over days 14–18)</t>
  </si>
  <si>
    <t>days 176–193</t>
  </si>
  <si>
    <t>Phase A effluent (lactic-acid-rich acid whey)</t>
  </si>
  <si>
    <t>36 (batch incubation)</t>
  </si>
  <si>
    <t>Ethanol + lactate + glucose (CLMW)</t>
  </si>
  <si>
    <t>6.5-7.0</t>
  </si>
  <si>
    <t>6.5-7.2</t>
  </si>
  <si>
    <t>CE_Grootscholten2013A</t>
  </si>
  <si>
    <t>CE_Grootscholten2013B</t>
  </si>
  <si>
    <t>days 47–50 and 53–55</t>
  </si>
  <si>
    <t>days 37–44</t>
  </si>
  <si>
    <t xml:space="preserve">days 66–69 </t>
  </si>
  <si>
    <t>Steady state, Phase I (day 1–45)</t>
  </si>
  <si>
    <t>Steady state, Phase II (day 46–91)</t>
  </si>
  <si>
    <t>Steady state, Phase III (day 92–134)</t>
  </si>
  <si>
    <t>Phase II, steady state</t>
  </si>
  <si>
    <t>Phase III, steady state</t>
  </si>
  <si>
    <t>Phase IV, steady state</t>
  </si>
  <si>
    <t>Phase V, steady state</t>
  </si>
  <si>
    <t>Phase VI, steady state</t>
  </si>
  <si>
    <t>Phase VII, steady state</t>
  </si>
  <si>
    <t>Phase VIII, steady state</t>
  </si>
  <si>
    <t>2 stainless-steel diffusers (CSTR)</t>
  </si>
  <si>
    <t>2 stainless-steel diffusers (bubble column)</t>
  </si>
  <si>
    <t>BU_Omar_01</t>
  </si>
  <si>
    <t>7.0–8.0</t>
  </si>
  <si>
    <t>24 (batch incubation)</t>
  </si>
  <si>
    <t>2 (batch incubation)</t>
  </si>
  <si>
    <t>Glucose 1000 + AO7 600 + AQS 100 μM</t>
  </si>
  <si>
    <t>Glucose 250 + AO7 600 + AQS 25 μM</t>
  </si>
  <si>
    <t>Glucose 2000 + AO7 600 + AQS 25 μM</t>
  </si>
  <si>
    <t>Glucose 250 + AO7 600 + AQS 300 μM</t>
  </si>
  <si>
    <t>Glucose 2000 + AO7 600 + AQS 300 μM</t>
  </si>
  <si>
    <t>Glucose 250 + AO7 200 + AQS 162.5 μM</t>
  </si>
  <si>
    <t>Glucose 2000 + AO7 200 + AQS 162.5 μM</t>
  </si>
  <si>
    <t>Glucose 250 + AO7 1000 + AQS 162.5 μM</t>
  </si>
  <si>
    <t>Glucose 2000 + AO7 1000 + AQS 162.5 μM</t>
  </si>
  <si>
    <t>Glucose 1125 + AO7 200 + AQS 25 μM</t>
  </si>
  <si>
    <t>Glucose 1125 + AO7 200 + AQS 300 μM</t>
  </si>
  <si>
    <t>Glucose 1125 + AO7 1000 + AQS 25 μM</t>
  </si>
  <si>
    <t>Glucose 1125 + AO7 1000 + AQS 300 μM</t>
  </si>
  <si>
    <t>Glucose 1125 + AO7 600 + AQS 162.5 μM</t>
  </si>
  <si>
    <t>Glucose 1000 + AO7 500 + AQS 50 μM</t>
  </si>
  <si>
    <t>Glucose 1500 + AO7 900 + AQS 200 μM</t>
  </si>
  <si>
    <t>Glucose 500 + AO7 300 + AQS 100 μM</t>
  </si>
  <si>
    <t>RedDen_Wu_01</t>
  </si>
  <si>
    <t>NR (influent&gt;9)</t>
  </si>
  <si>
    <t>CH4 yield at day 38 (mL/gVSS)</t>
  </si>
  <si>
    <t>0–38 d</t>
  </si>
  <si>
    <t>RedFe_Wang_01</t>
  </si>
  <si>
    <t>RedSR_Paepatung2022</t>
  </si>
  <si>
    <t>Sodium lactate</t>
  </si>
  <si>
    <t>Steady-state average (period NR)</t>
  </si>
  <si>
    <t>RedSR_Lu2016</t>
  </si>
  <si>
    <t>RedSR_Lu_01</t>
  </si>
  <si>
    <t>RedSR_Lu_02</t>
  </si>
  <si>
    <t>RedSR_Lu_03</t>
  </si>
  <si>
    <t>RedSR_Lu_04</t>
  </si>
  <si>
    <t>RedSR_Lu_05</t>
  </si>
  <si>
    <t>RedSR_Lu_06</t>
  </si>
  <si>
    <r>
      <rPr>
        <b/>
        <sz val="12"/>
        <color theme="1"/>
        <rFont val="Aptos Narrow"/>
        <scheme val="minor"/>
      </rPr>
      <t>As calculated</t>
    </r>
    <r>
      <rPr>
        <sz val="12"/>
        <color theme="1"/>
        <rFont val="Aptos Narrow"/>
        <family val="2"/>
        <scheme val="minor"/>
      </rPr>
      <t xml:space="preserve">: E_in is based on a defined substrate or on biodegradable COD; f_target and f_expressed are interpreted as calculated.
</t>
    </r>
    <r>
      <rPr>
        <b/>
        <sz val="12"/>
        <color theme="1"/>
        <rFont val="Aptos Narrow"/>
        <scheme val="minor"/>
      </rPr>
      <t>Lower bound</t>
    </r>
    <r>
      <rPr>
        <sz val="12"/>
        <color theme="1"/>
        <rFont val="Aptos Narrow"/>
        <family val="2"/>
        <scheme val="minor"/>
      </rPr>
      <t xml:space="preserve">: E_in is based on total COD or includes a real-waste component (Total COD or Mixed); because part of E_in may not be biodegradable, f_target and f_expressed are lower bounds.
</t>
    </r>
    <r>
      <rPr>
        <b/>
        <sz val="12"/>
        <color theme="1"/>
        <rFont val="Aptos Narrow"/>
        <scheme val="minor"/>
      </rPr>
      <t>Excluded</t>
    </r>
    <r>
      <rPr>
        <sz val="12"/>
        <color theme="1"/>
        <rFont val="Aptos Narrow"/>
        <family val="2"/>
        <scheme val="minor"/>
      </rPr>
      <t xml:space="preserve">: f_expressed fell outside the physically valid range [0, 1]; the case was excluded from Figure 3.
</t>
    </r>
    <r>
      <rPr>
        <b/>
        <sz val="12"/>
        <color theme="1"/>
        <rFont val="Aptos Narrow"/>
        <scheme val="minor"/>
      </rPr>
      <t>NC</t>
    </r>
    <r>
      <rPr>
        <sz val="12"/>
        <color theme="1"/>
        <rFont val="Aptos Narrow"/>
        <family val="2"/>
        <scheme val="minor"/>
      </rPr>
      <t>: f_expressed could not be calculated from the reported data; the case was excluded from Figure 3.</t>
    </r>
  </si>
  <si>
    <t>NR=not reported in the source study;                                                                                   NC=not calculable from the reported data;                                                                           NA=Not applicable to the system ;                                                                                                       R-DIG = Reported graphically; digitization required</t>
  </si>
  <si>
    <t>CE_GrootscholtenA_01</t>
  </si>
  <si>
    <t>CE_GrootscholtenA_02</t>
  </si>
  <si>
    <t>CE_GrootscholtenA_03</t>
  </si>
  <si>
    <t>BU_Kougias2017</t>
  </si>
  <si>
    <t>RedSR_Li2017</t>
  </si>
  <si>
    <t>RedSR_Li_01</t>
  </si>
  <si>
    <t>RedSR_Li_02</t>
  </si>
  <si>
    <t>NR=not reported in the source study;                                                           NC=not calculable from the reported data;                                                 NA=Not applicable to the system ;                                                                           R-DIG = Reported graphically; digitization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</si>
</sst>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color rgb="FFFFFFFF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9" tint="0.79998168889431442"/>
        <bgColor rgb="FFF2F2F2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5" tint="0.79998168889431442"/>
        <bgColor rgb="FFEEF2F3"/>
      </patternFill>
    </fill>
    <fill>
      <patternFill patternType="solid">
        <fgColor theme="2"/>
        <bgColor rgb="FFEEF2F3"/>
      </patternFill>
    </fill>
    <fill>
      <patternFill patternType="solid">
        <fgColor theme="2"/>
        <bgColor indexed="64"/>
      </patternFill>
    </fill>
    <fill>
      <patternFill patternType="solid">
        <fgColor theme="2" tint="-0.89999084444715716"/>
        <bgColor rgb="FF333333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rgb="FF333333"/>
      </patternFill>
    </fill>
    <fill>
      <patternFill patternType="solid">
        <fgColor theme="9" tint="-0.499984740745262"/>
        <bgColor rgb="FF333333"/>
      </patternFill>
    </fill>
    <fill>
      <patternFill patternType="solid">
        <fgColor theme="7" tint="-0.499984740745262"/>
        <bgColor rgb="FF333333"/>
      </patternFill>
    </fill>
    <fill>
      <patternFill patternType="solid">
        <fgColor theme="1" tint="0.499984740745262"/>
        <bgColor rgb="FF333333"/>
      </patternFill>
    </fill>
    <fill>
      <patternFill patternType="solid">
        <fgColor rgb="FF808080"/>
        <bgColor rgb="FF333333"/>
      </patternFill>
    </fill>
    <fill>
      <patternFill patternType="solid">
        <fgColor rgb="FF161616"/>
        <bgColor rgb="FF333333"/>
      </patternFill>
    </fill>
    <fill>
      <patternFill patternType="solid">
        <fgColor rgb="FF7E350E"/>
        <bgColor rgb="FF333333"/>
      </patternFill>
    </fill>
    <fill>
      <patternFill patternType="solid">
        <fgColor rgb="FF275317"/>
        <bgColor rgb="FF333333"/>
      </patternFill>
    </fill>
    <fill>
      <patternFill patternType="solid">
        <fgColor rgb="FF074F69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E8E8E8"/>
        <bgColor rgb="FFEEF2F3"/>
      </patternFill>
    </fill>
    <fill>
      <patternFill patternType="solid">
        <fgColor rgb="FFFBE2D5"/>
        <bgColor rgb="FFEEF2F3"/>
      </patternFill>
    </fill>
    <fill>
      <patternFill patternType="solid">
        <fgColor rgb="FFCAEDFB"/>
        <bgColor rgb="FFF2F2F2"/>
      </patternFill>
    </fill>
    <fill>
      <patternFill patternType="solid">
        <fgColor rgb="FFE8E8E8"/>
        <bgColor rgb="FF000000"/>
      </patternFill>
    </fill>
    <fill>
      <patternFill patternType="solid">
        <fgColor theme="8"/>
        <bgColor rgb="FF333333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3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2" fontId="4" fillId="4" borderId="9" xfId="0" applyNumberFormat="1" applyFont="1" applyFill="1" applyBorder="1" applyAlignment="1">
      <alignment horizontal="center"/>
    </xf>
    <xf numFmtId="164" fontId="4" fillId="4" borderId="9" xfId="0" applyNumberFormat="1" applyFont="1" applyFill="1" applyBorder="1" applyAlignment="1">
      <alignment horizontal="center"/>
    </xf>
    <xf numFmtId="0" fontId="4" fillId="5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/>
    </xf>
    <xf numFmtId="0" fontId="5" fillId="6" borderId="9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5" fillId="6" borderId="9" xfId="1" applyFont="1" applyFill="1" applyBorder="1" applyAlignment="1">
      <alignment vertical="center" wrapText="1"/>
    </xf>
    <xf numFmtId="0" fontId="5" fillId="5" borderId="9" xfId="1" applyFont="1" applyFill="1" applyBorder="1" applyAlignment="1">
      <alignment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5" fillId="9" borderId="9" xfId="0" applyFont="1" applyFill="1" applyBorder="1"/>
    <xf numFmtId="0" fontId="3" fillId="10" borderId="9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1" fontId="4" fillId="2" borderId="9" xfId="0" applyNumberFormat="1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165" fontId="5" fillId="6" borderId="9" xfId="0" applyNumberFormat="1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2" fillId="14" borderId="10" xfId="0" applyFont="1" applyFill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center" vertical="center" wrapText="1"/>
    </xf>
    <xf numFmtId="0" fontId="2" fillId="16" borderId="10" xfId="0" applyFont="1" applyFill="1" applyBorder="1" applyAlignment="1">
      <alignment horizontal="center" vertical="center" wrapText="1"/>
    </xf>
    <xf numFmtId="0" fontId="2" fillId="17" borderId="10" xfId="0" applyFont="1" applyFill="1" applyBorder="1" applyAlignment="1">
      <alignment horizontal="center" vertical="center" wrapText="1"/>
    </xf>
    <xf numFmtId="0" fontId="2" fillId="18" borderId="1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1" xfId="0" applyFont="1" applyBorder="1" applyAlignment="1">
      <alignment horizontal="center"/>
    </xf>
    <xf numFmtId="0" fontId="4" fillId="19" borderId="12" xfId="0" applyFont="1" applyFill="1" applyBorder="1"/>
    <xf numFmtId="0" fontId="4" fillId="20" borderId="12" xfId="0" applyFont="1" applyFill="1" applyBorder="1" applyAlignment="1">
      <alignment vertical="center" wrapText="1"/>
    </xf>
    <xf numFmtId="0" fontId="4" fillId="20" borderId="12" xfId="0" applyFont="1" applyFill="1" applyBorder="1" applyAlignment="1">
      <alignment vertical="center"/>
    </xf>
    <xf numFmtId="0" fontId="4" fillId="20" borderId="12" xfId="0" applyFont="1" applyFill="1" applyBorder="1" applyAlignment="1">
      <alignment horizontal="left" vertical="center"/>
    </xf>
    <xf numFmtId="0" fontId="4" fillId="21" borderId="12" xfId="0" applyFont="1" applyFill="1" applyBorder="1" applyAlignment="1">
      <alignment horizontal="left" vertical="center" wrapText="1"/>
    </xf>
    <xf numFmtId="0" fontId="4" fillId="21" borderId="12" xfId="0" applyFont="1" applyFill="1" applyBorder="1" applyAlignment="1">
      <alignment vertical="center" wrapText="1"/>
    </xf>
    <xf numFmtId="2" fontId="4" fillId="22" borderId="12" xfId="0" applyNumberFormat="1" applyFont="1" applyFill="1" applyBorder="1" applyAlignment="1">
      <alignment horizontal="center"/>
    </xf>
    <xf numFmtId="0" fontId="4" fillId="23" borderId="12" xfId="0" applyFont="1" applyFill="1" applyBorder="1" applyAlignment="1">
      <alignment horizontal="left" vertical="center"/>
    </xf>
    <xf numFmtId="0" fontId="4" fillId="21" borderId="12" xfId="0" applyFont="1" applyFill="1" applyBorder="1" applyAlignment="1">
      <alignment horizontal="left" vertical="center"/>
    </xf>
    <xf numFmtId="0" fontId="4" fillId="21" borderId="12" xfId="0" applyFont="1" applyFill="1" applyBorder="1" applyAlignment="1">
      <alignment vertical="center"/>
    </xf>
    <xf numFmtId="0" fontId="5" fillId="6" borderId="9" xfId="0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vertical="center"/>
    </xf>
    <xf numFmtId="0" fontId="5" fillId="6" borderId="9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/>
    </xf>
    <xf numFmtId="0" fontId="2" fillId="24" borderId="9" xfId="0" applyFont="1" applyFill="1" applyBorder="1" applyAlignment="1">
      <alignment horizontal="center" vertical="center" wrapText="1"/>
    </xf>
    <xf numFmtId="2" fontId="4" fillId="25" borderId="9" xfId="0" applyNumberFormat="1" applyFont="1" applyFill="1" applyBorder="1" applyAlignment="1">
      <alignment horizontal="center"/>
    </xf>
    <xf numFmtId="2" fontId="4" fillId="25" borderId="12" xfId="0" applyNumberFormat="1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5" fillId="9" borderId="18" xfId="0" applyFont="1" applyFill="1" applyBorder="1"/>
    <xf numFmtId="0" fontId="5" fillId="6" borderId="18" xfId="1" applyFont="1" applyFill="1" applyBorder="1" applyAlignment="1">
      <alignment vertical="center" wrapText="1"/>
    </xf>
    <xf numFmtId="0" fontId="5" fillId="6" borderId="18" xfId="0" applyFont="1" applyFill="1" applyBorder="1" applyAlignment="1">
      <alignment vertical="center" wrapText="1"/>
    </xf>
    <xf numFmtId="0" fontId="5" fillId="7" borderId="18" xfId="0" applyFont="1" applyFill="1" applyBorder="1" applyAlignment="1">
      <alignment horizontal="left" vertical="center" wrapText="1"/>
    </xf>
    <xf numFmtId="0" fontId="5" fillId="6" borderId="18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5" fillId="5" borderId="18" xfId="1" applyFont="1" applyFill="1" applyBorder="1" applyAlignment="1">
      <alignment vertical="center" wrapText="1"/>
    </xf>
    <xf numFmtId="1" fontId="4" fillId="2" borderId="18" xfId="0" applyNumberFormat="1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2" fontId="4" fillId="2" borderId="18" xfId="0" applyNumberFormat="1" applyFont="1" applyFill="1" applyBorder="1" applyAlignment="1">
      <alignment horizontal="center"/>
    </xf>
    <xf numFmtId="2" fontId="4" fillId="4" borderId="18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9" borderId="11" xfId="0" applyFont="1" applyFill="1" applyBorder="1"/>
    <xf numFmtId="0" fontId="5" fillId="6" borderId="11" xfId="1" applyFont="1" applyFill="1" applyBorder="1" applyAlignment="1">
      <alignment vertical="center" wrapText="1"/>
    </xf>
    <xf numFmtId="0" fontId="5" fillId="6" borderId="11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5" fillId="5" borderId="11" xfId="1" applyFont="1" applyFill="1" applyBorder="1" applyAlignment="1">
      <alignment vertical="center" wrapText="1"/>
    </xf>
    <xf numFmtId="1" fontId="4" fillId="2" borderId="1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2" fontId="4" fillId="4" borderId="1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2" fillId="24" borderId="10" xfId="0" applyFont="1" applyFill="1" applyBorder="1" applyAlignment="1">
      <alignment horizontal="center" vertical="center" wrapText="1"/>
    </xf>
    <xf numFmtId="0" fontId="7" fillId="26" borderId="9" xfId="0" applyFont="1" applyFill="1" applyBorder="1"/>
    <xf numFmtId="2" fontId="4" fillId="25" borderId="18" xfId="0" applyNumberFormat="1" applyFont="1" applyFill="1" applyBorder="1" applyAlignment="1">
      <alignment horizontal="center"/>
    </xf>
    <xf numFmtId="2" fontId="4" fillId="25" borderId="11" xfId="0" applyNumberFormat="1" applyFont="1" applyFill="1" applyBorder="1" applyAlignment="1">
      <alignment horizontal="center"/>
    </xf>
    <xf numFmtId="0" fontId="7" fillId="26" borderId="9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19" borderId="20" xfId="0" applyFont="1" applyFill="1" applyBorder="1"/>
    <xf numFmtId="0" fontId="4" fillId="20" borderId="20" xfId="0" applyFont="1" applyFill="1" applyBorder="1" applyAlignment="1">
      <alignment vertical="center" wrapText="1"/>
    </xf>
    <xf numFmtId="0" fontId="4" fillId="20" borderId="20" xfId="0" applyFont="1" applyFill="1" applyBorder="1" applyAlignment="1">
      <alignment vertical="center"/>
    </xf>
    <xf numFmtId="0" fontId="4" fillId="23" borderId="20" xfId="0" applyFont="1" applyFill="1" applyBorder="1" applyAlignment="1">
      <alignment horizontal="left" vertical="center"/>
    </xf>
    <xf numFmtId="0" fontId="4" fillId="20" borderId="20" xfId="0" applyFont="1" applyFill="1" applyBorder="1" applyAlignment="1">
      <alignment horizontal="left" vertical="center"/>
    </xf>
    <xf numFmtId="0" fontId="4" fillId="21" borderId="20" xfId="0" applyFont="1" applyFill="1" applyBorder="1" applyAlignment="1">
      <alignment horizontal="left" vertical="center" wrapText="1"/>
    </xf>
    <xf numFmtId="0" fontId="4" fillId="21" borderId="20" xfId="0" applyFont="1" applyFill="1" applyBorder="1" applyAlignment="1">
      <alignment vertical="center" wrapText="1"/>
    </xf>
    <xf numFmtId="0" fontId="7" fillId="26" borderId="18" xfId="0" applyFont="1" applyFill="1" applyBorder="1" applyAlignment="1">
      <alignment horizontal="center"/>
    </xf>
    <xf numFmtId="164" fontId="4" fillId="4" borderId="11" xfId="0" applyNumberFormat="1" applyFont="1" applyFill="1" applyBorder="1" applyAlignment="1">
      <alignment horizontal="center"/>
    </xf>
    <xf numFmtId="0" fontId="7" fillId="26" borderId="11" xfId="0" applyFont="1" applyFill="1" applyBorder="1" applyAlignment="1">
      <alignment horizontal="center"/>
    </xf>
    <xf numFmtId="0" fontId="4" fillId="19" borderId="9" xfId="0" applyFont="1" applyFill="1" applyBorder="1"/>
    <xf numFmtId="0" fontId="4" fillId="20" borderId="9" xfId="0" applyFont="1" applyFill="1" applyBorder="1" applyAlignment="1">
      <alignment vertical="center" wrapText="1"/>
    </xf>
    <xf numFmtId="0" fontId="4" fillId="20" borderId="9" xfId="0" applyFont="1" applyFill="1" applyBorder="1" applyAlignment="1">
      <alignment vertical="center"/>
    </xf>
    <xf numFmtId="0" fontId="4" fillId="23" borderId="9" xfId="0" applyFont="1" applyFill="1" applyBorder="1" applyAlignment="1">
      <alignment horizontal="left" vertical="center"/>
    </xf>
    <xf numFmtId="0" fontId="4" fillId="20" borderId="9" xfId="0" applyFont="1" applyFill="1" applyBorder="1" applyAlignment="1">
      <alignment horizontal="left" vertical="center"/>
    </xf>
    <xf numFmtId="0" fontId="4" fillId="21" borderId="9" xfId="0" applyFont="1" applyFill="1" applyBorder="1" applyAlignment="1">
      <alignment horizontal="left" vertical="center" wrapText="1"/>
    </xf>
    <xf numFmtId="0" fontId="4" fillId="21" borderId="9" xfId="0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F32C-8CE7-E64F-A92C-10C1AD4424DB}">
  <dimension ref="A1:GL53"/>
  <sheetViews>
    <sheetView topLeftCell="Z1" zoomScale="115" workbookViewId="0">
      <pane ySplit="1" topLeftCell="A5" activePane="bottomLeft" state="frozen"/>
      <selection activeCell="D1" sqref="D1"/>
      <selection pane="bottomLeft" activeCell="AJ22" sqref="AJ22"/>
    </sheetView>
  </sheetViews>
  <sheetFormatPr baseColWidth="10" defaultRowHeight="16" x14ac:dyDescent="0.2"/>
  <cols>
    <col min="1" max="1" width="4.1640625" style="1" customWidth="1"/>
    <col min="2" max="2" width="13" customWidth="1"/>
    <col min="3" max="3" width="13.1640625" customWidth="1"/>
    <col min="4" max="4" width="15.33203125" customWidth="1"/>
    <col min="5" max="5" width="13" customWidth="1"/>
    <col min="6" max="6" width="24" customWidth="1"/>
    <col min="7" max="7" width="17.1640625" customWidth="1"/>
    <col min="8" max="8" width="19" customWidth="1"/>
    <col min="9" max="9" width="3.83203125" customWidth="1"/>
    <col min="10" max="10" width="4.5" customWidth="1"/>
    <col min="11" max="11" width="16" customWidth="1"/>
    <col min="12" max="12" width="12.1640625" customWidth="1"/>
    <col min="13" max="13" width="19.33203125" customWidth="1"/>
    <col min="27" max="28" width="13" customWidth="1"/>
    <col min="35" max="35" width="12.83203125" customWidth="1"/>
  </cols>
  <sheetData>
    <row r="1" spans="1:194" s="2" customFormat="1" ht="39" x14ac:dyDescent="0.2">
      <c r="A1" s="18" t="s">
        <v>77</v>
      </c>
      <c r="B1" s="17" t="s">
        <v>38</v>
      </c>
      <c r="C1" s="17" t="s">
        <v>0</v>
      </c>
      <c r="D1" s="12" t="s">
        <v>1</v>
      </c>
      <c r="E1" s="12" t="s">
        <v>3</v>
      </c>
      <c r="F1" s="12" t="s">
        <v>4</v>
      </c>
      <c r="G1" s="12" t="s">
        <v>487</v>
      </c>
      <c r="H1" s="12" t="s">
        <v>5</v>
      </c>
      <c r="I1" s="12" t="s">
        <v>6</v>
      </c>
      <c r="J1" s="12" t="s">
        <v>7</v>
      </c>
      <c r="K1" s="12" t="s">
        <v>8</v>
      </c>
      <c r="L1" s="14" t="s">
        <v>49</v>
      </c>
      <c r="M1" s="14" t="s">
        <v>2</v>
      </c>
      <c r="N1" s="15" t="s">
        <v>9</v>
      </c>
      <c r="O1" s="15" t="s">
        <v>10</v>
      </c>
      <c r="P1" s="15" t="s">
        <v>11</v>
      </c>
      <c r="Q1" s="15" t="s">
        <v>12</v>
      </c>
      <c r="R1" s="15" t="s">
        <v>13</v>
      </c>
      <c r="S1" s="15" t="s">
        <v>14</v>
      </c>
      <c r="T1" s="15" t="s">
        <v>15</v>
      </c>
      <c r="U1" s="15" t="s">
        <v>87</v>
      </c>
      <c r="V1" s="15" t="s">
        <v>54</v>
      </c>
      <c r="W1" s="15" t="s">
        <v>76</v>
      </c>
      <c r="X1" s="15" t="s">
        <v>75</v>
      </c>
      <c r="Y1" s="16" t="s">
        <v>16</v>
      </c>
      <c r="Z1" s="16" t="s">
        <v>55</v>
      </c>
      <c r="AA1" s="16" t="s">
        <v>56</v>
      </c>
      <c r="AB1" s="16" t="s">
        <v>57</v>
      </c>
      <c r="AC1" s="16" t="s">
        <v>17</v>
      </c>
      <c r="AD1" s="16" t="s">
        <v>18</v>
      </c>
      <c r="AE1" s="16" t="s">
        <v>19</v>
      </c>
      <c r="AF1" s="16" t="s">
        <v>20</v>
      </c>
      <c r="AG1" s="16" t="s">
        <v>58</v>
      </c>
      <c r="AH1" s="16" t="s">
        <v>21</v>
      </c>
      <c r="AI1" s="45" t="s">
        <v>486</v>
      </c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</row>
    <row r="2" spans="1:194" ht="15" customHeight="1" x14ac:dyDescent="0.2">
      <c r="A2" s="18">
        <v>1</v>
      </c>
      <c r="B2" s="13" t="s">
        <v>39</v>
      </c>
      <c r="C2" s="13" t="s">
        <v>40</v>
      </c>
      <c r="D2" s="10" t="s">
        <v>52</v>
      </c>
      <c r="E2" s="7" t="s">
        <v>22</v>
      </c>
      <c r="F2" s="7" t="s">
        <v>53</v>
      </c>
      <c r="G2" s="7" t="s">
        <v>489</v>
      </c>
      <c r="H2" s="8" t="s">
        <v>93</v>
      </c>
      <c r="I2" s="8">
        <v>6</v>
      </c>
      <c r="J2" s="8">
        <v>35</v>
      </c>
      <c r="K2" s="8" t="s">
        <v>492</v>
      </c>
      <c r="L2" s="5" t="s">
        <v>50</v>
      </c>
      <c r="M2" s="11" t="s">
        <v>51</v>
      </c>
      <c r="N2" s="6">
        <f>((338.45/199.5*150)*2.96/4)*1000</f>
        <v>188310.52631578947</v>
      </c>
      <c r="O2" s="6">
        <f>0.476*U2</f>
        <v>19544.559999999998</v>
      </c>
      <c r="P2" s="6">
        <f>8.9/100*U2</f>
        <v>3654.3400000000006</v>
      </c>
      <c r="Q2" s="6">
        <f>0.264*U2</f>
        <v>10839.84</v>
      </c>
      <c r="R2" s="6">
        <v>0</v>
      </c>
      <c r="S2" s="6">
        <v>0</v>
      </c>
      <c r="T2" s="6">
        <v>0</v>
      </c>
      <c r="U2" s="6">
        <v>41060</v>
      </c>
      <c r="V2" s="6">
        <f>U2-SUM(O2:Q2)</f>
        <v>7021.260000000002</v>
      </c>
      <c r="W2" s="6" t="s">
        <v>135</v>
      </c>
      <c r="X2" s="6" t="s">
        <v>135</v>
      </c>
      <c r="Y2" s="3">
        <f>N2/8</f>
        <v>23538.815789473683</v>
      </c>
      <c r="Z2" s="3">
        <f t="shared" ref="Z2:Z10" si="0">(O2*1.066+P2*1.512+Q2*1.816+V2*1.963)/8</f>
        <v>7478.4682325000003</v>
      </c>
      <c r="AA2" s="3" t="s">
        <v>123</v>
      </c>
      <c r="AB2" s="3" t="s">
        <v>123</v>
      </c>
      <c r="AC2" s="3" t="s">
        <v>123</v>
      </c>
      <c r="AD2" s="3" t="s">
        <v>123</v>
      </c>
      <c r="AE2" s="3" t="s">
        <v>123</v>
      </c>
      <c r="AF2" s="3" t="s">
        <v>123</v>
      </c>
      <c r="AG2" s="3" t="s">
        <v>123</v>
      </c>
      <c r="AH2" s="3" t="s">
        <v>123</v>
      </c>
      <c r="AI2" s="46" t="str">
        <f t="shared" ref="AI2:AI39" si="1">IF(G2="","",IF(AF2="NC","NC",IF(OR(AF2&lt;0,AF2&gt;1),"Excluded",IF(OR(G2="Total COD",G2="Mixed"),"Lower bound",IF(OR(G2="Defined substrate",G2="Biodegradable COD"),"As calculated","CHECK")))))</f>
        <v>NC</v>
      </c>
    </row>
    <row r="3" spans="1:194" x14ac:dyDescent="0.2">
      <c r="A3" s="18">
        <v>2</v>
      </c>
      <c r="B3" s="13" t="s">
        <v>39</v>
      </c>
      <c r="C3" s="13" t="s">
        <v>41</v>
      </c>
      <c r="D3" s="10" t="s">
        <v>52</v>
      </c>
      <c r="E3" s="7" t="s">
        <v>22</v>
      </c>
      <c r="F3" s="7" t="s">
        <v>53</v>
      </c>
      <c r="G3" s="7" t="s">
        <v>489</v>
      </c>
      <c r="H3" s="8" t="s">
        <v>59</v>
      </c>
      <c r="I3" s="8">
        <v>6</v>
      </c>
      <c r="J3" s="8">
        <v>35</v>
      </c>
      <c r="K3" s="8" t="s">
        <v>493</v>
      </c>
      <c r="L3" s="5" t="s">
        <v>50</v>
      </c>
      <c r="M3" s="11" t="s">
        <v>51</v>
      </c>
      <c r="N3" s="6">
        <f t="shared" ref="N3:N6" si="2">((338.45/199.5*150)*2.96/4)*1000</f>
        <v>188310.52631578947</v>
      </c>
      <c r="O3" s="6">
        <f>0.427*U3</f>
        <v>15448.859999999999</v>
      </c>
      <c r="P3" s="6">
        <f>0.103*U3</f>
        <v>3726.54</v>
      </c>
      <c r="Q3" s="6">
        <f>0.271*U3</f>
        <v>9804.7800000000007</v>
      </c>
      <c r="R3" s="6">
        <v>0</v>
      </c>
      <c r="S3" s="6">
        <v>0</v>
      </c>
      <c r="T3" s="6">
        <v>0</v>
      </c>
      <c r="U3" s="6">
        <v>36180</v>
      </c>
      <c r="V3" s="6">
        <f t="shared" ref="V3:V10" si="3">U3-SUM(O3:Q3)</f>
        <v>7199.82</v>
      </c>
      <c r="W3" s="6" t="s">
        <v>135</v>
      </c>
      <c r="X3" s="6" t="s">
        <v>135</v>
      </c>
      <c r="Y3" s="3">
        <f t="shared" ref="Y3:Y20" si="4">N3/8</f>
        <v>23538.815789473683</v>
      </c>
      <c r="Z3" s="3">
        <f t="shared" si="0"/>
        <v>6755.2175475000004</v>
      </c>
      <c r="AA3" s="3" t="s">
        <v>123</v>
      </c>
      <c r="AB3" s="3" t="s">
        <v>123</v>
      </c>
      <c r="AC3" s="3" t="s">
        <v>123</v>
      </c>
      <c r="AD3" s="3" t="s">
        <v>123</v>
      </c>
      <c r="AE3" s="3" t="s">
        <v>123</v>
      </c>
      <c r="AF3" s="3" t="s">
        <v>123</v>
      </c>
      <c r="AG3" s="3" t="s">
        <v>123</v>
      </c>
      <c r="AH3" s="3" t="s">
        <v>123</v>
      </c>
      <c r="AI3" s="46" t="str">
        <f t="shared" si="1"/>
        <v>NC</v>
      </c>
    </row>
    <row r="4" spans="1:194" x14ac:dyDescent="0.2">
      <c r="A4" s="18">
        <v>3</v>
      </c>
      <c r="B4" s="13" t="s">
        <v>39</v>
      </c>
      <c r="C4" s="13" t="s">
        <v>42</v>
      </c>
      <c r="D4" s="10" t="s">
        <v>52</v>
      </c>
      <c r="E4" s="7" t="s">
        <v>22</v>
      </c>
      <c r="F4" s="7" t="s">
        <v>53</v>
      </c>
      <c r="G4" s="7" t="s">
        <v>489</v>
      </c>
      <c r="H4" s="8" t="s">
        <v>60</v>
      </c>
      <c r="I4" s="8">
        <v>6</v>
      </c>
      <c r="J4" s="8">
        <v>35</v>
      </c>
      <c r="K4" s="8" t="s">
        <v>494</v>
      </c>
      <c r="L4" s="5" t="s">
        <v>50</v>
      </c>
      <c r="M4" s="11" t="s">
        <v>51</v>
      </c>
      <c r="N4" s="6">
        <f t="shared" si="2"/>
        <v>188310.52631578947</v>
      </c>
      <c r="O4" s="6">
        <f>0.406*U4</f>
        <v>13548.220000000001</v>
      </c>
      <c r="P4" s="6">
        <f>0.04*U4</f>
        <v>1334.8</v>
      </c>
      <c r="Q4" s="6">
        <f>0.353*U4</f>
        <v>11779.609999999999</v>
      </c>
      <c r="R4" s="6">
        <v>0</v>
      </c>
      <c r="S4" s="6">
        <v>0</v>
      </c>
      <c r="T4" s="6">
        <v>0</v>
      </c>
      <c r="U4" s="6">
        <v>33370</v>
      </c>
      <c r="V4" s="6">
        <f t="shared" si="3"/>
        <v>6707.3700000000026</v>
      </c>
      <c r="W4" s="6" t="s">
        <v>135</v>
      </c>
      <c r="X4" s="6" t="s">
        <v>135</v>
      </c>
      <c r="Y4" s="3">
        <f t="shared" si="4"/>
        <v>23538.815789473683</v>
      </c>
      <c r="Z4" s="3">
        <f t="shared" si="0"/>
        <v>6377.3698987500002</v>
      </c>
      <c r="AA4" s="3" t="s">
        <v>123</v>
      </c>
      <c r="AB4" s="3" t="s">
        <v>123</v>
      </c>
      <c r="AC4" s="3" t="s">
        <v>123</v>
      </c>
      <c r="AD4" s="3" t="s">
        <v>123</v>
      </c>
      <c r="AE4" s="3" t="s">
        <v>123</v>
      </c>
      <c r="AF4" s="3" t="s">
        <v>123</v>
      </c>
      <c r="AG4" s="3" t="s">
        <v>123</v>
      </c>
      <c r="AH4" s="3" t="s">
        <v>123</v>
      </c>
      <c r="AI4" s="46" t="str">
        <f t="shared" si="1"/>
        <v>NC</v>
      </c>
    </row>
    <row r="5" spans="1:194" x14ac:dyDescent="0.2">
      <c r="A5" s="18">
        <v>4</v>
      </c>
      <c r="B5" s="13" t="s">
        <v>39</v>
      </c>
      <c r="C5" s="13" t="s">
        <v>43</v>
      </c>
      <c r="D5" s="10" t="s">
        <v>52</v>
      </c>
      <c r="E5" s="7" t="s">
        <v>22</v>
      </c>
      <c r="F5" s="7" t="s">
        <v>53</v>
      </c>
      <c r="G5" s="7" t="s">
        <v>489</v>
      </c>
      <c r="H5" s="8" t="s">
        <v>61</v>
      </c>
      <c r="I5" s="8">
        <v>6</v>
      </c>
      <c r="J5" s="8">
        <v>35</v>
      </c>
      <c r="K5" s="8" t="s">
        <v>495</v>
      </c>
      <c r="L5" s="5" t="s">
        <v>50</v>
      </c>
      <c r="M5" s="11" t="s">
        <v>51</v>
      </c>
      <c r="N5" s="6">
        <f t="shared" si="2"/>
        <v>188310.52631578947</v>
      </c>
      <c r="O5" s="6">
        <f>0.255*U5</f>
        <v>5775.75</v>
      </c>
      <c r="P5" s="6">
        <f>0.085*U5</f>
        <v>1925.2500000000002</v>
      </c>
      <c r="Q5" s="6">
        <f>0.512*U5</f>
        <v>11596.800000000001</v>
      </c>
      <c r="R5" s="6">
        <v>0</v>
      </c>
      <c r="S5" s="6">
        <v>0</v>
      </c>
      <c r="T5" s="6">
        <v>0</v>
      </c>
      <c r="U5" s="6">
        <v>22650</v>
      </c>
      <c r="V5" s="6">
        <f t="shared" si="3"/>
        <v>3352.1999999999971</v>
      </c>
      <c r="W5" s="6" t="s">
        <v>135</v>
      </c>
      <c r="X5" s="6" t="s">
        <v>135</v>
      </c>
      <c r="Y5" s="3">
        <f t="shared" si="4"/>
        <v>23538.815789473683</v>
      </c>
      <c r="Z5" s="3">
        <f t="shared" si="0"/>
        <v>4588.5106125000002</v>
      </c>
      <c r="AA5" s="3" t="s">
        <v>123</v>
      </c>
      <c r="AB5" s="3" t="s">
        <v>123</v>
      </c>
      <c r="AC5" s="3" t="s">
        <v>123</v>
      </c>
      <c r="AD5" s="3" t="s">
        <v>123</v>
      </c>
      <c r="AE5" s="3" t="s">
        <v>123</v>
      </c>
      <c r="AF5" s="3" t="s">
        <v>123</v>
      </c>
      <c r="AG5" s="3" t="s">
        <v>123</v>
      </c>
      <c r="AH5" s="3" t="s">
        <v>123</v>
      </c>
      <c r="AI5" s="46" t="str">
        <f t="shared" si="1"/>
        <v>NC</v>
      </c>
    </row>
    <row r="6" spans="1:194" x14ac:dyDescent="0.2">
      <c r="A6" s="18">
        <v>5</v>
      </c>
      <c r="B6" s="13" t="s">
        <v>39</v>
      </c>
      <c r="C6" s="13" t="s">
        <v>44</v>
      </c>
      <c r="D6" s="10" t="s">
        <v>52</v>
      </c>
      <c r="E6" s="7" t="s">
        <v>22</v>
      </c>
      <c r="F6" s="7" t="s">
        <v>53</v>
      </c>
      <c r="G6" s="7" t="s">
        <v>489</v>
      </c>
      <c r="H6" s="8" t="s">
        <v>62</v>
      </c>
      <c r="I6" s="8">
        <v>6</v>
      </c>
      <c r="J6" s="8">
        <v>35</v>
      </c>
      <c r="K6" s="8" t="s">
        <v>496</v>
      </c>
      <c r="L6" s="5" t="s">
        <v>50</v>
      </c>
      <c r="M6" s="11" t="s">
        <v>51</v>
      </c>
      <c r="N6" s="6">
        <f t="shared" si="2"/>
        <v>188310.52631578947</v>
      </c>
      <c r="O6" s="6">
        <f>0.252*U6</f>
        <v>1043.28</v>
      </c>
      <c r="P6" s="6">
        <f>0.027*U6</f>
        <v>111.78</v>
      </c>
      <c r="Q6" s="6">
        <f>0.189*U6</f>
        <v>782.46</v>
      </c>
      <c r="R6" s="6">
        <v>0</v>
      </c>
      <c r="S6" s="6">
        <v>0</v>
      </c>
      <c r="T6" s="6">
        <v>0</v>
      </c>
      <c r="U6" s="6">
        <v>4140</v>
      </c>
      <c r="V6" s="6">
        <f t="shared" si="3"/>
        <v>2202.48</v>
      </c>
      <c r="W6" s="6" t="s">
        <v>135</v>
      </c>
      <c r="X6" s="6" t="s">
        <v>135</v>
      </c>
      <c r="Y6" s="3">
        <f t="shared" si="4"/>
        <v>23538.815789473683</v>
      </c>
      <c r="Z6" s="3">
        <f t="shared" si="0"/>
        <v>878.19542999999999</v>
      </c>
      <c r="AA6" s="3" t="s">
        <v>123</v>
      </c>
      <c r="AB6" s="3" t="s">
        <v>123</v>
      </c>
      <c r="AC6" s="3" t="s">
        <v>123</v>
      </c>
      <c r="AD6" s="3" t="s">
        <v>123</v>
      </c>
      <c r="AE6" s="3" t="s">
        <v>123</v>
      </c>
      <c r="AF6" s="3" t="s">
        <v>123</v>
      </c>
      <c r="AG6" s="3" t="s">
        <v>123</v>
      </c>
      <c r="AH6" s="3" t="s">
        <v>123</v>
      </c>
      <c r="AI6" s="46" t="str">
        <f t="shared" si="1"/>
        <v>NC</v>
      </c>
    </row>
    <row r="7" spans="1:194" x14ac:dyDescent="0.2">
      <c r="A7" s="18">
        <v>6</v>
      </c>
      <c r="B7" s="13" t="s">
        <v>39</v>
      </c>
      <c r="C7" s="13" t="s">
        <v>45</v>
      </c>
      <c r="D7" s="10" t="s">
        <v>52</v>
      </c>
      <c r="E7" s="7" t="s">
        <v>22</v>
      </c>
      <c r="F7" s="7" t="s">
        <v>53</v>
      </c>
      <c r="G7" s="7" t="s">
        <v>490</v>
      </c>
      <c r="H7" s="9" t="s">
        <v>63</v>
      </c>
      <c r="I7" s="8">
        <v>6</v>
      </c>
      <c r="J7" s="8">
        <v>35</v>
      </c>
      <c r="K7" s="8" t="s">
        <v>497</v>
      </c>
      <c r="L7" s="5" t="s">
        <v>50</v>
      </c>
      <c r="M7" s="11" t="s">
        <v>51</v>
      </c>
      <c r="N7" s="6">
        <f>(((338.45/199.5*150)*2.96/4)*1000)+(2.9*5*1000)</f>
        <v>202810.52631578947</v>
      </c>
      <c r="O7" s="6">
        <f>0.343*U7</f>
        <v>13260.380000000001</v>
      </c>
      <c r="P7" s="6">
        <f>0.321*U7</f>
        <v>12409.86</v>
      </c>
      <c r="Q7" s="6">
        <f>0.248*U7</f>
        <v>9587.68</v>
      </c>
      <c r="R7" s="6">
        <v>0</v>
      </c>
      <c r="S7" s="6">
        <v>0</v>
      </c>
      <c r="T7" s="6">
        <v>0</v>
      </c>
      <c r="U7" s="6">
        <v>38660</v>
      </c>
      <c r="V7" s="6">
        <f t="shared" si="3"/>
        <v>3402.0800000000017</v>
      </c>
      <c r="W7" s="6" t="s">
        <v>135</v>
      </c>
      <c r="X7" s="6" t="s">
        <v>135</v>
      </c>
      <c r="Y7" s="3">
        <f t="shared" si="4"/>
        <v>25351.315789473683</v>
      </c>
      <c r="Z7" s="3">
        <f t="shared" si="0"/>
        <v>7123.5979150000012</v>
      </c>
      <c r="AA7" s="3" t="s">
        <v>123</v>
      </c>
      <c r="AB7" s="3" t="s">
        <v>123</v>
      </c>
      <c r="AC7" s="3" t="s">
        <v>123</v>
      </c>
      <c r="AD7" s="3" t="s">
        <v>123</v>
      </c>
      <c r="AE7" s="3" t="s">
        <v>123</v>
      </c>
      <c r="AF7" s="3" t="s">
        <v>123</v>
      </c>
      <c r="AG7" s="3" t="s">
        <v>123</v>
      </c>
      <c r="AH7" s="3" t="s">
        <v>123</v>
      </c>
      <c r="AI7" s="46" t="str">
        <f t="shared" si="1"/>
        <v>NC</v>
      </c>
    </row>
    <row r="8" spans="1:194" x14ac:dyDescent="0.2">
      <c r="A8" s="18">
        <v>7</v>
      </c>
      <c r="B8" s="13" t="s">
        <v>39</v>
      </c>
      <c r="C8" s="13" t="s">
        <v>46</v>
      </c>
      <c r="D8" s="10" t="s">
        <v>52</v>
      </c>
      <c r="E8" s="7" t="s">
        <v>22</v>
      </c>
      <c r="F8" s="7" t="s">
        <v>53</v>
      </c>
      <c r="G8" s="7" t="s">
        <v>490</v>
      </c>
      <c r="H8" s="9" t="s">
        <v>64</v>
      </c>
      <c r="I8" s="8">
        <v>6</v>
      </c>
      <c r="J8" s="8">
        <v>35</v>
      </c>
      <c r="K8" s="8" t="s">
        <v>498</v>
      </c>
      <c r="L8" s="5" t="s">
        <v>50</v>
      </c>
      <c r="M8" s="11" t="s">
        <v>51</v>
      </c>
      <c r="N8" s="6">
        <f>(((338.45/199.5*150)*2.96/4)*1000)+(2.9*15*1000)</f>
        <v>231810.52631578947</v>
      </c>
      <c r="O8" s="6">
        <f>0.288*U8</f>
        <v>9469.4399999999987</v>
      </c>
      <c r="P8" s="6">
        <f>0.231*U8</f>
        <v>7595.2800000000007</v>
      </c>
      <c r="Q8" s="6">
        <f>0.368*U8</f>
        <v>12099.84</v>
      </c>
      <c r="R8" s="6">
        <v>0</v>
      </c>
      <c r="S8" s="6">
        <v>0</v>
      </c>
      <c r="T8" s="6">
        <v>0</v>
      </c>
      <c r="U8" s="6">
        <v>32880</v>
      </c>
      <c r="V8" s="6">
        <f t="shared" si="3"/>
        <v>3715.4399999999987</v>
      </c>
      <c r="W8" s="6" t="s">
        <v>135</v>
      </c>
      <c r="X8" s="6" t="s">
        <v>135</v>
      </c>
      <c r="Y8" s="3">
        <f t="shared" si="4"/>
        <v>28976.315789473683</v>
      </c>
      <c r="Z8" s="3">
        <f t="shared" si="0"/>
        <v>6355.6505700000007</v>
      </c>
      <c r="AA8" s="3" t="s">
        <v>123</v>
      </c>
      <c r="AB8" s="3" t="s">
        <v>123</v>
      </c>
      <c r="AC8" s="3" t="s">
        <v>123</v>
      </c>
      <c r="AD8" s="3" t="s">
        <v>123</v>
      </c>
      <c r="AE8" s="3" t="s">
        <v>123</v>
      </c>
      <c r="AF8" s="3" t="s">
        <v>123</v>
      </c>
      <c r="AG8" s="3" t="s">
        <v>123</v>
      </c>
      <c r="AH8" s="3" t="s">
        <v>123</v>
      </c>
      <c r="AI8" s="46" t="str">
        <f t="shared" si="1"/>
        <v>NC</v>
      </c>
    </row>
    <row r="9" spans="1:194" x14ac:dyDescent="0.2">
      <c r="A9" s="18">
        <v>8</v>
      </c>
      <c r="B9" s="13" t="s">
        <v>39</v>
      </c>
      <c r="C9" s="13" t="s">
        <v>47</v>
      </c>
      <c r="D9" s="10" t="s">
        <v>52</v>
      </c>
      <c r="E9" s="7" t="s">
        <v>22</v>
      </c>
      <c r="F9" s="7" t="s">
        <v>53</v>
      </c>
      <c r="G9" s="7" t="s">
        <v>490</v>
      </c>
      <c r="H9" s="9" t="s">
        <v>65</v>
      </c>
      <c r="I9" s="8">
        <v>6</v>
      </c>
      <c r="J9" s="8">
        <v>35</v>
      </c>
      <c r="K9" s="8" t="s">
        <v>499</v>
      </c>
      <c r="L9" s="5" t="s">
        <v>50</v>
      </c>
      <c r="M9" s="11" t="s">
        <v>51</v>
      </c>
      <c r="N9" s="6">
        <f>(((338.45/199.5*150)*2.96/4)*1000)+(2.9*25*1000)</f>
        <v>260810.52631578947</v>
      </c>
      <c r="O9" s="6">
        <f>0.235*U9</f>
        <v>5456.7</v>
      </c>
      <c r="P9" s="6">
        <f>0.203*U9</f>
        <v>4713.6600000000008</v>
      </c>
      <c r="Q9" s="6">
        <f>0.421*U9</f>
        <v>9775.619999999999</v>
      </c>
      <c r="R9" s="6">
        <v>0</v>
      </c>
      <c r="S9" s="6">
        <v>0</v>
      </c>
      <c r="T9" s="6">
        <v>0</v>
      </c>
      <c r="U9" s="6">
        <v>23220</v>
      </c>
      <c r="V9" s="6">
        <f t="shared" si="3"/>
        <v>3274.0200000000004</v>
      </c>
      <c r="W9" s="6" t="s">
        <v>135</v>
      </c>
      <c r="X9" s="6" t="s">
        <v>135</v>
      </c>
      <c r="Y9" s="3">
        <f t="shared" si="4"/>
        <v>32601.315789473683</v>
      </c>
      <c r="Z9" s="3">
        <f t="shared" si="0"/>
        <v>4640.4154125000005</v>
      </c>
      <c r="AA9" s="3" t="s">
        <v>123</v>
      </c>
      <c r="AB9" s="3" t="s">
        <v>123</v>
      </c>
      <c r="AC9" s="3" t="s">
        <v>123</v>
      </c>
      <c r="AD9" s="3" t="s">
        <v>123</v>
      </c>
      <c r="AE9" s="3" t="s">
        <v>123</v>
      </c>
      <c r="AF9" s="3" t="s">
        <v>123</v>
      </c>
      <c r="AG9" s="3" t="s">
        <v>123</v>
      </c>
      <c r="AH9" s="3" t="s">
        <v>123</v>
      </c>
      <c r="AI9" s="46" t="str">
        <f t="shared" si="1"/>
        <v>NC</v>
      </c>
    </row>
    <row r="10" spans="1:194" x14ac:dyDescent="0.2">
      <c r="A10" s="18">
        <v>9</v>
      </c>
      <c r="B10" s="13" t="s">
        <v>39</v>
      </c>
      <c r="C10" s="13" t="s">
        <v>48</v>
      </c>
      <c r="D10" s="10" t="s">
        <v>52</v>
      </c>
      <c r="E10" s="7" t="s">
        <v>22</v>
      </c>
      <c r="F10" s="7" t="s">
        <v>53</v>
      </c>
      <c r="G10" s="7" t="s">
        <v>490</v>
      </c>
      <c r="H10" s="9" t="s">
        <v>66</v>
      </c>
      <c r="I10" s="8">
        <v>6</v>
      </c>
      <c r="J10" s="8">
        <v>35</v>
      </c>
      <c r="K10" s="8" t="s">
        <v>500</v>
      </c>
      <c r="L10" s="5" t="s">
        <v>50</v>
      </c>
      <c r="M10" s="11" t="s">
        <v>51</v>
      </c>
      <c r="N10" s="6">
        <f>(((338.45/199.5*150)*2.96/4)*1000)+(2.9*35*1000)</f>
        <v>289810.52631578944</v>
      </c>
      <c r="O10" s="6">
        <f>0.24*U10</f>
        <v>3225.6</v>
      </c>
      <c r="P10" s="6">
        <f>0.202*U10</f>
        <v>2714.88</v>
      </c>
      <c r="Q10" s="6">
        <f>0.39*U10</f>
        <v>5241.6000000000004</v>
      </c>
      <c r="R10" s="6">
        <v>0</v>
      </c>
      <c r="S10" s="6">
        <v>0</v>
      </c>
      <c r="T10" s="6">
        <v>0</v>
      </c>
      <c r="U10" s="6">
        <v>13440</v>
      </c>
      <c r="V10" s="6">
        <f t="shared" si="3"/>
        <v>2257.92</v>
      </c>
      <c r="W10" s="6" t="s">
        <v>135</v>
      </c>
      <c r="X10" s="6" t="s">
        <v>135</v>
      </c>
      <c r="Y10" s="3">
        <f t="shared" si="4"/>
        <v>36226.31578947368</v>
      </c>
      <c r="Z10" s="3">
        <f t="shared" si="0"/>
        <v>2686.80384</v>
      </c>
      <c r="AA10" s="3" t="s">
        <v>123</v>
      </c>
      <c r="AB10" s="3" t="s">
        <v>123</v>
      </c>
      <c r="AC10" s="3" t="s">
        <v>123</v>
      </c>
      <c r="AD10" s="3" t="s">
        <v>123</v>
      </c>
      <c r="AE10" s="3" t="s">
        <v>123</v>
      </c>
      <c r="AF10" s="3" t="s">
        <v>123</v>
      </c>
      <c r="AG10" s="3" t="s">
        <v>123</v>
      </c>
      <c r="AH10" s="3" t="s">
        <v>123</v>
      </c>
      <c r="AI10" s="46" t="str">
        <f t="shared" si="1"/>
        <v>NC</v>
      </c>
    </row>
    <row r="11" spans="1:194" ht="16" customHeight="1" x14ac:dyDescent="0.2">
      <c r="A11" s="18">
        <v>10</v>
      </c>
      <c r="B11" s="13" t="s">
        <v>502</v>
      </c>
      <c r="C11" s="13" t="s">
        <v>503</v>
      </c>
      <c r="D11" s="10" t="s">
        <v>501</v>
      </c>
      <c r="E11" s="7" t="s">
        <v>86</v>
      </c>
      <c r="F11" s="7" t="s">
        <v>23</v>
      </c>
      <c r="G11" s="7" t="s">
        <v>489</v>
      </c>
      <c r="H11" s="9" t="s">
        <v>92</v>
      </c>
      <c r="I11" s="8">
        <v>6</v>
      </c>
      <c r="J11" s="8">
        <v>28</v>
      </c>
      <c r="K11" s="8" t="s">
        <v>491</v>
      </c>
      <c r="L11" s="5" t="s">
        <v>50</v>
      </c>
      <c r="M11" s="11" t="s">
        <v>74</v>
      </c>
      <c r="N11" s="6">
        <v>15000</v>
      </c>
      <c r="O11" s="6">
        <v>1790</v>
      </c>
      <c r="P11" s="6">
        <v>1597</v>
      </c>
      <c r="Q11" s="6">
        <v>1452</v>
      </c>
      <c r="R11" s="6" t="s">
        <v>135</v>
      </c>
      <c r="S11" s="6">
        <v>0</v>
      </c>
      <c r="T11" s="6" t="s">
        <v>135</v>
      </c>
      <c r="U11" s="6">
        <v>4603</v>
      </c>
      <c r="V11" s="6" t="s">
        <v>135</v>
      </c>
      <c r="W11" s="6">
        <v>3289</v>
      </c>
      <c r="X11" s="6">
        <v>777.6</v>
      </c>
      <c r="Y11" s="3">
        <f t="shared" si="4"/>
        <v>1875</v>
      </c>
      <c r="Z11" s="3">
        <f>(O11*1.066+P11*1.512+Q11*1.816+S11*2.037-905)/8</f>
        <v>756.82950000000005</v>
      </c>
      <c r="AA11" s="3">
        <f t="shared" ref="AA11:AA18" si="5">((W11*8)/24.71)+((X11*2)/24.71)</f>
        <v>1127.7701335491702</v>
      </c>
      <c r="AB11" s="3">
        <f>Z11+AA11</f>
        <v>1884.5996335491702</v>
      </c>
      <c r="AC11" s="4">
        <f>Z11/Y11</f>
        <v>0.40364240000000001</v>
      </c>
      <c r="AD11" s="4">
        <f t="shared" ref="AD11" si="6">AA11/Y11</f>
        <v>0.60147740455955745</v>
      </c>
      <c r="AE11" s="4">
        <f t="shared" ref="AE11" si="7">Z11/AB11</f>
        <v>0.4015863563417455</v>
      </c>
      <c r="AF11" s="4">
        <f t="shared" ref="AF11" si="8">AB11/Y11</f>
        <v>1.0051198045595575</v>
      </c>
      <c r="AG11" s="4">
        <f>Y11-SUM(Z11:AA11)</f>
        <v>-9.5996335491702212</v>
      </c>
      <c r="AH11" s="4">
        <f t="shared" ref="AH11:AH26" si="9">AG11/Y11</f>
        <v>-5.1198045595574511E-3</v>
      </c>
      <c r="AI11" s="46" t="str">
        <f t="shared" si="1"/>
        <v>Excluded</v>
      </c>
    </row>
    <row r="12" spans="1:194" x14ac:dyDescent="0.2">
      <c r="A12" s="18">
        <v>11</v>
      </c>
      <c r="B12" s="13" t="s">
        <v>502</v>
      </c>
      <c r="C12" s="13" t="s">
        <v>504</v>
      </c>
      <c r="D12" s="10" t="s">
        <v>501</v>
      </c>
      <c r="E12" s="7" t="s">
        <v>86</v>
      </c>
      <c r="F12" s="7" t="s">
        <v>23</v>
      </c>
      <c r="G12" s="7" t="s">
        <v>489</v>
      </c>
      <c r="H12" s="9" t="s">
        <v>67</v>
      </c>
      <c r="I12" s="8">
        <v>6</v>
      </c>
      <c r="J12" s="8">
        <v>28</v>
      </c>
      <c r="K12" s="8" t="s">
        <v>491</v>
      </c>
      <c r="L12" s="5" t="s">
        <v>50</v>
      </c>
      <c r="M12" s="11" t="s">
        <v>74</v>
      </c>
      <c r="N12" s="6">
        <v>15000</v>
      </c>
      <c r="O12" s="6">
        <v>2638</v>
      </c>
      <c r="P12" s="6">
        <v>807</v>
      </c>
      <c r="Q12" s="6">
        <v>1722</v>
      </c>
      <c r="R12" s="6" t="s">
        <v>135</v>
      </c>
      <c r="S12" s="6">
        <v>215.4</v>
      </c>
      <c r="T12" s="6" t="s">
        <v>135</v>
      </c>
      <c r="U12" s="6">
        <v>5384</v>
      </c>
      <c r="V12" s="6" t="s">
        <v>135</v>
      </c>
      <c r="W12" s="6">
        <f>1.94*(1-0.34)*1000/0.5</f>
        <v>2560.7999999999997</v>
      </c>
      <c r="X12" s="6">
        <v>1324.8</v>
      </c>
      <c r="Y12" s="3">
        <f t="shared" si="4"/>
        <v>1875</v>
      </c>
      <c r="Z12" s="3">
        <f t="shared" ref="Z12:Z18" si="10">(O12*1.066+P12*1.512+Q12*1.816+S12*2.037-905)/8</f>
        <v>836.65172500000006</v>
      </c>
      <c r="AA12" s="3">
        <f t="shared" si="5"/>
        <v>936.30109267503019</v>
      </c>
      <c r="AB12" s="3">
        <f t="shared" ref="AB12:AB26" si="11">Z12+AA12</f>
        <v>1772.9528176750302</v>
      </c>
      <c r="AC12" s="4">
        <f t="shared" ref="AC12:AC30" si="12">Z12/Y12</f>
        <v>0.44621425333333337</v>
      </c>
      <c r="AD12" s="4">
        <f t="shared" ref="AD12:AD26" si="13">AA12/Y12</f>
        <v>0.4993605827600161</v>
      </c>
      <c r="AE12" s="4">
        <f t="shared" ref="AE12:AE39" si="14">Z12/AB12</f>
        <v>0.4718973436062146</v>
      </c>
      <c r="AF12" s="4">
        <f t="shared" ref="AF12:AF26" si="15">AB12/Y12</f>
        <v>0.94557483609334947</v>
      </c>
      <c r="AG12" s="4">
        <f t="shared" ref="AG12:AG26" si="16">Y12-SUM(Z12:AA12)</f>
        <v>102.04718232496975</v>
      </c>
      <c r="AH12" s="4">
        <f t="shared" si="9"/>
        <v>5.4425163906650538E-2</v>
      </c>
      <c r="AI12" s="46" t="str">
        <f t="shared" si="1"/>
        <v>Lower bound</v>
      </c>
    </row>
    <row r="13" spans="1:194" x14ac:dyDescent="0.2">
      <c r="A13" s="18">
        <v>12</v>
      </c>
      <c r="B13" s="13" t="s">
        <v>502</v>
      </c>
      <c r="C13" s="13" t="s">
        <v>505</v>
      </c>
      <c r="D13" s="10" t="s">
        <v>501</v>
      </c>
      <c r="E13" s="7" t="s">
        <v>86</v>
      </c>
      <c r="F13" s="7" t="s">
        <v>23</v>
      </c>
      <c r="G13" s="7" t="s">
        <v>489</v>
      </c>
      <c r="H13" s="9" t="s">
        <v>68</v>
      </c>
      <c r="I13" s="8">
        <v>6</v>
      </c>
      <c r="J13" s="8">
        <v>28</v>
      </c>
      <c r="K13" s="8" t="s">
        <v>491</v>
      </c>
      <c r="L13" s="5" t="s">
        <v>50</v>
      </c>
      <c r="M13" s="11" t="s">
        <v>74</v>
      </c>
      <c r="N13" s="6">
        <v>15000</v>
      </c>
      <c r="O13" s="6">
        <v>2625</v>
      </c>
      <c r="P13" s="6">
        <v>1187</v>
      </c>
      <c r="Q13" s="6">
        <v>2125</v>
      </c>
      <c r="R13" s="6" t="s">
        <v>135</v>
      </c>
      <c r="S13" s="6">
        <v>312.5</v>
      </c>
      <c r="T13" s="6" t="s">
        <v>135</v>
      </c>
      <c r="U13" s="6">
        <v>6250</v>
      </c>
      <c r="V13" s="6" t="s">
        <v>135</v>
      </c>
      <c r="W13" s="6">
        <f>720/0.5</f>
        <v>1440</v>
      </c>
      <c r="X13" s="6">
        <v>1440</v>
      </c>
      <c r="Y13" s="3">
        <f t="shared" si="4"/>
        <v>1875</v>
      </c>
      <c r="Z13" s="3">
        <f t="shared" si="10"/>
        <v>1022.9445624999998</v>
      </c>
      <c r="AA13" s="3">
        <f t="shared" si="5"/>
        <v>582.76001618777821</v>
      </c>
      <c r="AB13" s="3">
        <f t="shared" si="11"/>
        <v>1605.7045786877779</v>
      </c>
      <c r="AC13" s="4">
        <f t="shared" si="12"/>
        <v>0.54557043333333322</v>
      </c>
      <c r="AD13" s="4">
        <f t="shared" si="13"/>
        <v>0.31080534196681503</v>
      </c>
      <c r="AE13" s="4">
        <f t="shared" si="14"/>
        <v>0.63706897026847609</v>
      </c>
      <c r="AF13" s="4">
        <f t="shared" si="15"/>
        <v>0.85637577530014819</v>
      </c>
      <c r="AG13" s="4">
        <f t="shared" si="16"/>
        <v>269.29542131222206</v>
      </c>
      <c r="AH13" s="4">
        <f t="shared" si="9"/>
        <v>0.14362422469985175</v>
      </c>
      <c r="AI13" s="46" t="str">
        <f t="shared" si="1"/>
        <v>Lower bound</v>
      </c>
    </row>
    <row r="14" spans="1:194" x14ac:dyDescent="0.2">
      <c r="A14" s="18">
        <v>13</v>
      </c>
      <c r="B14" s="13" t="s">
        <v>502</v>
      </c>
      <c r="C14" s="13" t="s">
        <v>506</v>
      </c>
      <c r="D14" s="10" t="s">
        <v>501</v>
      </c>
      <c r="E14" s="7" t="s">
        <v>86</v>
      </c>
      <c r="F14" s="7" t="s">
        <v>23</v>
      </c>
      <c r="G14" s="7" t="s">
        <v>489</v>
      </c>
      <c r="H14" s="9" t="s">
        <v>69</v>
      </c>
      <c r="I14" s="8">
        <v>6</v>
      </c>
      <c r="J14" s="8">
        <v>28</v>
      </c>
      <c r="K14" s="8" t="s">
        <v>491</v>
      </c>
      <c r="L14" s="5" t="s">
        <v>50</v>
      </c>
      <c r="M14" s="11" t="s">
        <v>74</v>
      </c>
      <c r="N14" s="6">
        <v>15000</v>
      </c>
      <c r="O14" s="6">
        <v>2631</v>
      </c>
      <c r="P14" s="6">
        <v>1101</v>
      </c>
      <c r="Q14" s="6">
        <v>1958</v>
      </c>
      <c r="R14" s="6" t="s">
        <v>135</v>
      </c>
      <c r="S14" s="6">
        <v>428.4</v>
      </c>
      <c r="T14" s="6" t="s">
        <v>135</v>
      </c>
      <c r="U14" s="6">
        <v>6120</v>
      </c>
      <c r="V14" s="6" t="s">
        <v>135</v>
      </c>
      <c r="W14" s="6">
        <v>0</v>
      </c>
      <c r="X14" s="6">
        <v>1468.8</v>
      </c>
      <c r="Y14" s="3">
        <f t="shared" si="4"/>
        <v>1875</v>
      </c>
      <c r="Z14" s="3">
        <f t="shared" si="10"/>
        <v>999.09210000000007</v>
      </c>
      <c r="AA14" s="3">
        <f t="shared" si="5"/>
        <v>118.88304330230675</v>
      </c>
      <c r="AB14" s="3">
        <f t="shared" si="11"/>
        <v>1117.9751433023068</v>
      </c>
      <c r="AC14" s="4">
        <f t="shared" si="12"/>
        <v>0.53284912000000006</v>
      </c>
      <c r="AD14" s="4">
        <f t="shared" si="13"/>
        <v>6.3404289761230262E-2</v>
      </c>
      <c r="AE14" s="4">
        <f t="shared" si="14"/>
        <v>0.89366217664630121</v>
      </c>
      <c r="AF14" s="4">
        <f t="shared" si="15"/>
        <v>0.59625340976123031</v>
      </c>
      <c r="AG14" s="4">
        <f t="shared" si="16"/>
        <v>757.02485669769317</v>
      </c>
      <c r="AH14" s="4">
        <f t="shared" si="9"/>
        <v>0.40374659023876969</v>
      </c>
      <c r="AI14" s="46" t="str">
        <f t="shared" si="1"/>
        <v>Lower bound</v>
      </c>
    </row>
    <row r="15" spans="1:194" x14ac:dyDescent="0.2">
      <c r="A15" s="18">
        <v>14</v>
      </c>
      <c r="B15" s="13" t="s">
        <v>502</v>
      </c>
      <c r="C15" s="13" t="s">
        <v>507</v>
      </c>
      <c r="D15" s="10" t="s">
        <v>501</v>
      </c>
      <c r="E15" s="7" t="s">
        <v>86</v>
      </c>
      <c r="F15" s="7" t="s">
        <v>23</v>
      </c>
      <c r="G15" s="7" t="s">
        <v>489</v>
      </c>
      <c r="H15" s="9" t="s">
        <v>70</v>
      </c>
      <c r="I15" s="8">
        <v>6</v>
      </c>
      <c r="J15" s="8">
        <v>28</v>
      </c>
      <c r="K15" s="8" t="s">
        <v>491</v>
      </c>
      <c r="L15" s="5" t="s">
        <v>50</v>
      </c>
      <c r="M15" s="11" t="s">
        <v>74</v>
      </c>
      <c r="N15" s="6">
        <v>15000</v>
      </c>
      <c r="O15" s="6">
        <v>2141</v>
      </c>
      <c r="P15" s="6">
        <v>1038</v>
      </c>
      <c r="Q15" s="6">
        <v>2595</v>
      </c>
      <c r="R15" s="6" t="s">
        <v>135</v>
      </c>
      <c r="S15" s="6">
        <v>713.7</v>
      </c>
      <c r="T15" s="6" t="s">
        <v>135</v>
      </c>
      <c r="U15" s="6">
        <v>6488</v>
      </c>
      <c r="V15" s="6" t="s">
        <v>135</v>
      </c>
      <c r="W15" s="6">
        <v>0</v>
      </c>
      <c r="X15" s="6">
        <v>1670.4</v>
      </c>
      <c r="Y15" s="3">
        <f t="shared" si="4"/>
        <v>1875</v>
      </c>
      <c r="Z15" s="3">
        <f t="shared" si="10"/>
        <v>1139.1361124999999</v>
      </c>
      <c r="AA15" s="3">
        <f t="shared" si="5"/>
        <v>135.20032375556454</v>
      </c>
      <c r="AB15" s="3">
        <f t="shared" si="11"/>
        <v>1274.3364362555644</v>
      </c>
      <c r="AC15" s="4">
        <f t="shared" si="12"/>
        <v>0.60753925999999991</v>
      </c>
      <c r="AD15" s="4">
        <f t="shared" si="13"/>
        <v>7.210683933630109E-2</v>
      </c>
      <c r="AE15" s="4">
        <f t="shared" si="14"/>
        <v>0.89390531424116748</v>
      </c>
      <c r="AF15" s="4">
        <f t="shared" si="15"/>
        <v>0.67964609933630105</v>
      </c>
      <c r="AG15" s="4">
        <f t="shared" si="16"/>
        <v>600.66356374443558</v>
      </c>
      <c r="AH15" s="4">
        <f t="shared" si="9"/>
        <v>0.32035390066369895</v>
      </c>
      <c r="AI15" s="46" t="str">
        <f t="shared" si="1"/>
        <v>Lower bound</v>
      </c>
    </row>
    <row r="16" spans="1:194" x14ac:dyDescent="0.2">
      <c r="A16" s="18">
        <v>15</v>
      </c>
      <c r="B16" s="13" t="s">
        <v>502</v>
      </c>
      <c r="C16" s="13" t="s">
        <v>508</v>
      </c>
      <c r="D16" s="10" t="s">
        <v>501</v>
      </c>
      <c r="E16" s="7" t="s">
        <v>86</v>
      </c>
      <c r="F16" s="7" t="s">
        <v>23</v>
      </c>
      <c r="G16" s="7" t="s">
        <v>489</v>
      </c>
      <c r="H16" s="9" t="s">
        <v>71</v>
      </c>
      <c r="I16" s="8">
        <v>6</v>
      </c>
      <c r="J16" s="8">
        <v>28</v>
      </c>
      <c r="K16" s="8" t="s">
        <v>491</v>
      </c>
      <c r="L16" s="5" t="s">
        <v>50</v>
      </c>
      <c r="M16" s="11" t="s">
        <v>74</v>
      </c>
      <c r="N16" s="6">
        <v>15000</v>
      </c>
      <c r="O16" s="6">
        <v>1760</v>
      </c>
      <c r="P16" s="6">
        <v>978</v>
      </c>
      <c r="Q16" s="6">
        <v>2868</v>
      </c>
      <c r="R16" s="6" t="s">
        <v>135</v>
      </c>
      <c r="S16" s="6">
        <v>912.8</v>
      </c>
      <c r="T16" s="6" t="s">
        <v>135</v>
      </c>
      <c r="U16" s="6">
        <v>6520</v>
      </c>
      <c r="V16" s="6" t="s">
        <v>135</v>
      </c>
      <c r="W16" s="6">
        <v>0</v>
      </c>
      <c r="X16" s="6">
        <v>1612.8</v>
      </c>
      <c r="Y16" s="3">
        <f t="shared" si="4"/>
        <v>1875</v>
      </c>
      <c r="Z16" s="3">
        <f t="shared" si="10"/>
        <v>1189.6947</v>
      </c>
      <c r="AA16" s="3">
        <f t="shared" si="5"/>
        <v>130.53824362606233</v>
      </c>
      <c r="AB16" s="3">
        <f t="shared" si="11"/>
        <v>1320.2329436260623</v>
      </c>
      <c r="AC16" s="4">
        <f t="shared" si="12"/>
        <v>0.63450384000000004</v>
      </c>
      <c r="AD16" s="4">
        <f t="shared" si="13"/>
        <v>6.962039660056657E-2</v>
      </c>
      <c r="AE16" s="4">
        <f t="shared" si="14"/>
        <v>0.90112483993352355</v>
      </c>
      <c r="AF16" s="4">
        <f t="shared" si="15"/>
        <v>0.70412423660056656</v>
      </c>
      <c r="AG16" s="4">
        <f t="shared" si="16"/>
        <v>554.76705637393775</v>
      </c>
      <c r="AH16" s="4">
        <f t="shared" si="9"/>
        <v>0.29587576339943344</v>
      </c>
      <c r="AI16" s="46" t="str">
        <f t="shared" si="1"/>
        <v>Lower bound</v>
      </c>
    </row>
    <row r="17" spans="1:35" x14ac:dyDescent="0.2">
      <c r="A17" s="18">
        <v>16</v>
      </c>
      <c r="B17" s="13" t="s">
        <v>502</v>
      </c>
      <c r="C17" s="13" t="s">
        <v>509</v>
      </c>
      <c r="D17" s="10" t="s">
        <v>501</v>
      </c>
      <c r="E17" s="7" t="s">
        <v>86</v>
      </c>
      <c r="F17" s="7" t="s">
        <v>23</v>
      </c>
      <c r="G17" s="7" t="s">
        <v>489</v>
      </c>
      <c r="H17" s="9" t="s">
        <v>72</v>
      </c>
      <c r="I17" s="8">
        <v>6</v>
      </c>
      <c r="J17" s="8">
        <v>28</v>
      </c>
      <c r="K17" s="8" t="s">
        <v>491</v>
      </c>
      <c r="L17" s="5" t="s">
        <v>50</v>
      </c>
      <c r="M17" s="11" t="s">
        <v>74</v>
      </c>
      <c r="N17" s="6">
        <v>15000</v>
      </c>
      <c r="O17" s="6">
        <v>1644</v>
      </c>
      <c r="P17" s="6">
        <v>723</v>
      </c>
      <c r="Q17" s="6">
        <v>3091</v>
      </c>
      <c r="R17" s="6" t="s">
        <v>135</v>
      </c>
      <c r="S17" s="6">
        <v>1118</v>
      </c>
      <c r="T17" s="6" t="s">
        <v>135</v>
      </c>
      <c r="U17" s="6">
        <v>6578</v>
      </c>
      <c r="V17" s="6" t="s">
        <v>135</v>
      </c>
      <c r="W17" s="6">
        <v>0</v>
      </c>
      <c r="X17" s="6">
        <v>2116.8000000000002</v>
      </c>
      <c r="Y17" s="3">
        <f t="shared" si="4"/>
        <v>1875</v>
      </c>
      <c r="Z17" s="3">
        <f t="shared" si="10"/>
        <v>1228.9127500000002</v>
      </c>
      <c r="AA17" s="3">
        <f t="shared" si="5"/>
        <v>171.33144475920682</v>
      </c>
      <c r="AB17" s="3">
        <f t="shared" si="11"/>
        <v>1400.2441947592069</v>
      </c>
      <c r="AC17" s="4">
        <f t="shared" si="12"/>
        <v>0.65542013333333349</v>
      </c>
      <c r="AD17" s="4">
        <f t="shared" si="13"/>
        <v>9.137677053824364E-2</v>
      </c>
      <c r="AE17" s="4">
        <f t="shared" si="14"/>
        <v>0.8776417389192106</v>
      </c>
      <c r="AF17" s="4">
        <f t="shared" si="15"/>
        <v>0.74679690387157704</v>
      </c>
      <c r="AG17" s="4">
        <f t="shared" si="16"/>
        <v>474.75580524079305</v>
      </c>
      <c r="AH17" s="4">
        <f t="shared" si="9"/>
        <v>0.25320309612842296</v>
      </c>
      <c r="AI17" s="46" t="str">
        <f t="shared" si="1"/>
        <v>Lower bound</v>
      </c>
    </row>
    <row r="18" spans="1:35" x14ac:dyDescent="0.2">
      <c r="A18" s="18">
        <v>17</v>
      </c>
      <c r="B18" s="13" t="s">
        <v>502</v>
      </c>
      <c r="C18" s="13" t="s">
        <v>510</v>
      </c>
      <c r="D18" s="10" t="s">
        <v>501</v>
      </c>
      <c r="E18" s="7" t="s">
        <v>86</v>
      </c>
      <c r="F18" s="7" t="s">
        <v>23</v>
      </c>
      <c r="G18" s="7" t="s">
        <v>489</v>
      </c>
      <c r="H18" s="9" t="s">
        <v>73</v>
      </c>
      <c r="I18" s="8">
        <v>6</v>
      </c>
      <c r="J18" s="8">
        <v>28</v>
      </c>
      <c r="K18" s="8" t="s">
        <v>491</v>
      </c>
      <c r="L18" s="5" t="s">
        <v>50</v>
      </c>
      <c r="M18" s="11" t="s">
        <v>74</v>
      </c>
      <c r="N18" s="6">
        <v>15000</v>
      </c>
      <c r="O18" s="6">
        <v>1556</v>
      </c>
      <c r="P18" s="6">
        <v>891</v>
      </c>
      <c r="Q18" s="6">
        <v>2634</v>
      </c>
      <c r="R18" s="6" t="s">
        <v>135</v>
      </c>
      <c r="S18" s="6">
        <v>734</v>
      </c>
      <c r="T18" s="6" t="s">
        <v>135</v>
      </c>
      <c r="U18" s="6">
        <v>5988</v>
      </c>
      <c r="V18" s="6" t="s">
        <v>135</v>
      </c>
      <c r="W18" s="6">
        <v>0</v>
      </c>
      <c r="X18" s="6">
        <v>1398.4</v>
      </c>
      <c r="Y18" s="3">
        <f t="shared" si="4"/>
        <v>1875</v>
      </c>
      <c r="Z18" s="3">
        <f t="shared" si="10"/>
        <v>1047.4237499999999</v>
      </c>
      <c r="AA18" s="3">
        <f t="shared" si="5"/>
        <v>113.18494536624848</v>
      </c>
      <c r="AB18" s="3">
        <f t="shared" si="11"/>
        <v>1160.6086953662484</v>
      </c>
      <c r="AC18" s="4">
        <f t="shared" si="12"/>
        <v>0.55862599999999996</v>
      </c>
      <c r="AD18" s="4">
        <f t="shared" si="13"/>
        <v>6.0365304195332523E-2</v>
      </c>
      <c r="AE18" s="4">
        <f t="shared" si="14"/>
        <v>0.90247794470423881</v>
      </c>
      <c r="AF18" s="4">
        <f t="shared" si="15"/>
        <v>0.61899130419533244</v>
      </c>
      <c r="AG18" s="4">
        <f t="shared" si="16"/>
        <v>714.39130463375159</v>
      </c>
      <c r="AH18" s="4">
        <f t="shared" si="9"/>
        <v>0.38100869580466751</v>
      </c>
      <c r="AI18" s="46" t="str">
        <f t="shared" si="1"/>
        <v>Lower bound</v>
      </c>
    </row>
    <row r="19" spans="1:35" ht="17" customHeight="1" x14ac:dyDescent="0.2">
      <c r="A19" s="18">
        <v>18</v>
      </c>
      <c r="B19" s="13" t="s">
        <v>78</v>
      </c>
      <c r="C19" s="13" t="s">
        <v>79</v>
      </c>
      <c r="D19" s="10" t="s">
        <v>82</v>
      </c>
      <c r="E19" s="7" t="s">
        <v>86</v>
      </c>
      <c r="F19" s="7" t="s">
        <v>83</v>
      </c>
      <c r="G19" s="7" t="s">
        <v>489</v>
      </c>
      <c r="H19" s="9" t="s">
        <v>511</v>
      </c>
      <c r="I19" s="8">
        <v>7</v>
      </c>
      <c r="J19" s="8">
        <v>37</v>
      </c>
      <c r="K19" s="8">
        <v>15</v>
      </c>
      <c r="L19" s="5" t="s">
        <v>50</v>
      </c>
      <c r="M19" s="11" t="s">
        <v>512</v>
      </c>
      <c r="N19" s="6">
        <v>7020</v>
      </c>
      <c r="O19" s="6" t="s">
        <v>135</v>
      </c>
      <c r="P19" s="6" t="s">
        <v>135</v>
      </c>
      <c r="Q19" s="6" t="s">
        <v>135</v>
      </c>
      <c r="R19" s="6" t="s">
        <v>135</v>
      </c>
      <c r="S19" s="6" t="s">
        <v>135</v>
      </c>
      <c r="T19" s="6" t="s">
        <v>135</v>
      </c>
      <c r="U19" s="6">
        <f>801*8.66/100</f>
        <v>69.366600000000005</v>
      </c>
      <c r="V19" s="6" t="s">
        <v>135</v>
      </c>
      <c r="W19" s="6">
        <v>2133</v>
      </c>
      <c r="X19" s="6" t="s">
        <v>135</v>
      </c>
      <c r="Y19" s="3">
        <f t="shared" si="4"/>
        <v>877.5</v>
      </c>
      <c r="Z19" s="3">
        <f>(40/200)*U19/8</f>
        <v>1.7341650000000002</v>
      </c>
      <c r="AA19" s="3">
        <f>W19*8/25.45</f>
        <v>670.49115913556</v>
      </c>
      <c r="AB19" s="3">
        <f t="shared" si="11"/>
        <v>672.22532413555996</v>
      </c>
      <c r="AC19" s="4">
        <f t="shared" si="12"/>
        <v>1.9762564102564105E-3</v>
      </c>
      <c r="AD19" s="4">
        <f t="shared" si="13"/>
        <v>0.76409248904337324</v>
      </c>
      <c r="AE19" s="4">
        <f t="shared" si="14"/>
        <v>2.5797376827926392E-3</v>
      </c>
      <c r="AF19" s="4">
        <f t="shared" si="15"/>
        <v>0.76606874545362957</v>
      </c>
      <c r="AG19" s="4">
        <f t="shared" si="16"/>
        <v>205.27467586444004</v>
      </c>
      <c r="AH19" s="4">
        <f t="shared" si="9"/>
        <v>0.23393125454637043</v>
      </c>
      <c r="AI19" s="46" t="str">
        <f t="shared" si="1"/>
        <v>Lower bound</v>
      </c>
    </row>
    <row r="20" spans="1:35" x14ac:dyDescent="0.2">
      <c r="A20" s="18">
        <v>19</v>
      </c>
      <c r="B20" s="13" t="s">
        <v>78</v>
      </c>
      <c r="C20" s="13" t="s">
        <v>80</v>
      </c>
      <c r="D20" s="10" t="s">
        <v>82</v>
      </c>
      <c r="E20" s="7" t="s">
        <v>86</v>
      </c>
      <c r="F20" s="7" t="s">
        <v>83</v>
      </c>
      <c r="G20" s="7" t="s">
        <v>489</v>
      </c>
      <c r="H20" s="9" t="s">
        <v>84</v>
      </c>
      <c r="I20" s="8">
        <v>7</v>
      </c>
      <c r="J20" s="8">
        <v>37</v>
      </c>
      <c r="K20" s="8">
        <v>15</v>
      </c>
      <c r="L20" s="5" t="s">
        <v>50</v>
      </c>
      <c r="M20" s="11" t="s">
        <v>513</v>
      </c>
      <c r="N20" s="6">
        <v>7020</v>
      </c>
      <c r="O20" s="6" t="s">
        <v>135</v>
      </c>
      <c r="P20" s="6" t="s">
        <v>135</v>
      </c>
      <c r="Q20" s="6" t="s">
        <v>135</v>
      </c>
      <c r="R20" s="6" t="s">
        <v>135</v>
      </c>
      <c r="S20" s="6" t="s">
        <v>135</v>
      </c>
      <c r="T20" s="6" t="s">
        <v>135</v>
      </c>
      <c r="U20" s="6">
        <f>840*7.18/100</f>
        <v>60.311999999999998</v>
      </c>
      <c r="V20" s="6" t="s">
        <v>135</v>
      </c>
      <c r="W20" s="6">
        <v>1773.6</v>
      </c>
      <c r="X20" s="6" t="s">
        <v>135</v>
      </c>
      <c r="Y20" s="3">
        <f t="shared" si="4"/>
        <v>877.5</v>
      </c>
      <c r="Z20" s="3">
        <f>(40/200)*U20/8</f>
        <v>1.5078</v>
      </c>
      <c r="AA20" s="3">
        <f t="shared" ref="AA20:AA21" si="17">W20*8/25.45</f>
        <v>557.51669941060902</v>
      </c>
      <c r="AB20" s="3">
        <f t="shared" si="11"/>
        <v>559.024499410609</v>
      </c>
      <c r="AC20" s="4">
        <f t="shared" si="12"/>
        <v>1.7182905982905984E-3</v>
      </c>
      <c r="AD20" s="4">
        <f t="shared" si="13"/>
        <v>0.63534666599499601</v>
      </c>
      <c r="AE20" s="4">
        <f t="shared" si="14"/>
        <v>2.6971984261686286E-3</v>
      </c>
      <c r="AF20" s="4">
        <f t="shared" si="15"/>
        <v>0.63706495659328666</v>
      </c>
      <c r="AG20" s="4">
        <f t="shared" si="16"/>
        <v>318.475500589391</v>
      </c>
      <c r="AH20" s="4">
        <f t="shared" si="9"/>
        <v>0.3629350434067134</v>
      </c>
      <c r="AI20" s="46" t="str">
        <f t="shared" si="1"/>
        <v>Lower bound</v>
      </c>
    </row>
    <row r="21" spans="1:35" x14ac:dyDescent="0.2">
      <c r="A21" s="18">
        <v>20</v>
      </c>
      <c r="B21" s="13" t="s">
        <v>78</v>
      </c>
      <c r="C21" s="13" t="s">
        <v>81</v>
      </c>
      <c r="D21" s="10" t="s">
        <v>82</v>
      </c>
      <c r="E21" s="7" t="s">
        <v>86</v>
      </c>
      <c r="F21" s="7" t="s">
        <v>83</v>
      </c>
      <c r="G21" s="7" t="s">
        <v>489</v>
      </c>
      <c r="H21" s="9" t="s">
        <v>85</v>
      </c>
      <c r="I21" s="8">
        <v>5</v>
      </c>
      <c r="J21" s="8">
        <v>37</v>
      </c>
      <c r="K21" s="8">
        <v>15</v>
      </c>
      <c r="L21" s="5" t="s">
        <v>50</v>
      </c>
      <c r="M21" s="11" t="s">
        <v>514</v>
      </c>
      <c r="N21" s="6">
        <v>7020</v>
      </c>
      <c r="O21" s="6" t="s">
        <v>135</v>
      </c>
      <c r="P21" s="6" t="s">
        <v>135</v>
      </c>
      <c r="Q21" s="6" t="s">
        <v>135</v>
      </c>
      <c r="R21" s="6" t="s">
        <v>135</v>
      </c>
      <c r="S21" s="6" t="s">
        <v>135</v>
      </c>
      <c r="T21" s="6" t="s">
        <v>135</v>
      </c>
      <c r="U21" s="6">
        <v>10585.5</v>
      </c>
      <c r="V21" s="6" t="s">
        <v>135</v>
      </c>
      <c r="W21" s="6">
        <v>0</v>
      </c>
      <c r="X21" s="6" t="s">
        <v>135</v>
      </c>
      <c r="Y21" s="3">
        <f>N21/8</f>
        <v>877.5</v>
      </c>
      <c r="Z21" s="3">
        <f>(40/200)*U21/8</f>
        <v>264.63749999999999</v>
      </c>
      <c r="AA21" s="3">
        <f t="shared" si="17"/>
        <v>0</v>
      </c>
      <c r="AB21" s="3">
        <f t="shared" si="11"/>
        <v>264.63749999999999</v>
      </c>
      <c r="AC21" s="4">
        <f t="shared" si="12"/>
        <v>0.30158119658119659</v>
      </c>
      <c r="AD21" s="4">
        <f t="shared" si="13"/>
        <v>0</v>
      </c>
      <c r="AE21" s="4">
        <f t="shared" si="14"/>
        <v>1</v>
      </c>
      <c r="AF21" s="4">
        <f t="shared" si="15"/>
        <v>0.30158119658119659</v>
      </c>
      <c r="AG21" s="4">
        <f t="shared" si="16"/>
        <v>612.86249999999995</v>
      </c>
      <c r="AH21" s="4">
        <f t="shared" si="9"/>
        <v>0.69841880341880336</v>
      </c>
      <c r="AI21" s="46" t="str">
        <f t="shared" si="1"/>
        <v>Lower bound</v>
      </c>
    </row>
    <row r="22" spans="1:35" x14ac:dyDescent="0.2">
      <c r="A22" s="18">
        <v>21</v>
      </c>
      <c r="B22" s="13" t="s">
        <v>100</v>
      </c>
      <c r="C22" s="13" t="s">
        <v>95</v>
      </c>
      <c r="D22" s="10" t="s">
        <v>101</v>
      </c>
      <c r="E22" s="7" t="s">
        <v>22</v>
      </c>
      <c r="F22" s="7" t="s">
        <v>24</v>
      </c>
      <c r="G22" s="7" t="s">
        <v>515</v>
      </c>
      <c r="H22" s="9" t="s">
        <v>94</v>
      </c>
      <c r="I22" s="8" t="s">
        <v>135</v>
      </c>
      <c r="J22" s="8">
        <v>35</v>
      </c>
      <c r="K22" s="8" t="s">
        <v>492</v>
      </c>
      <c r="L22" s="5" t="s">
        <v>50</v>
      </c>
      <c r="M22" s="11" t="s">
        <v>102</v>
      </c>
      <c r="N22" s="6">
        <v>3000</v>
      </c>
      <c r="O22" s="6">
        <v>0</v>
      </c>
      <c r="P22" s="6">
        <v>30</v>
      </c>
      <c r="Q22" s="6">
        <v>369</v>
      </c>
      <c r="R22" s="6">
        <v>17</v>
      </c>
      <c r="S22" s="6">
        <v>0</v>
      </c>
      <c r="T22" s="6">
        <v>12.9</v>
      </c>
      <c r="U22" s="6">
        <v>429.3</v>
      </c>
      <c r="V22" s="6" t="s">
        <v>135</v>
      </c>
      <c r="W22" s="6">
        <f>20.7*20</f>
        <v>414</v>
      </c>
      <c r="X22" s="6" t="s">
        <v>135</v>
      </c>
      <c r="Y22" s="3">
        <f>N22/8</f>
        <v>375</v>
      </c>
      <c r="Z22" s="3">
        <f>(O22*1.066+P22*1.512+Q22*1.816+R22*1.816+S22*2.037+T22*2.037)/8</f>
        <v>96.576662499999998</v>
      </c>
      <c r="AA22" s="3">
        <f>W22/25.29*8</f>
        <v>130.96085409252669</v>
      </c>
      <c r="AB22" s="3">
        <f t="shared" si="11"/>
        <v>227.53751659252669</v>
      </c>
      <c r="AC22" s="4">
        <f t="shared" si="12"/>
        <v>0.25753776666666667</v>
      </c>
      <c r="AD22" s="4">
        <f t="shared" si="13"/>
        <v>0.34922894424673784</v>
      </c>
      <c r="AE22" s="4">
        <f t="shared" si="14"/>
        <v>0.42444280814116958</v>
      </c>
      <c r="AF22" s="4">
        <f t="shared" si="15"/>
        <v>0.60676671091340451</v>
      </c>
      <c r="AG22" s="4">
        <f t="shared" si="16"/>
        <v>147.46248340747331</v>
      </c>
      <c r="AH22" s="4">
        <f t="shared" si="9"/>
        <v>0.39323328908659549</v>
      </c>
      <c r="AI22" s="46" t="str">
        <f t="shared" si="1"/>
        <v>As calculated</v>
      </c>
    </row>
    <row r="23" spans="1:35" x14ac:dyDescent="0.2">
      <c r="A23" s="18">
        <v>22</v>
      </c>
      <c r="B23" s="13" t="s">
        <v>100</v>
      </c>
      <c r="C23" s="13" t="s">
        <v>96</v>
      </c>
      <c r="D23" s="10" t="s">
        <v>101</v>
      </c>
      <c r="E23" s="7" t="s">
        <v>22</v>
      </c>
      <c r="F23" s="7" t="s">
        <v>24</v>
      </c>
      <c r="G23" s="7" t="s">
        <v>515</v>
      </c>
      <c r="H23" s="9" t="s">
        <v>88</v>
      </c>
      <c r="I23" s="8" t="s">
        <v>135</v>
      </c>
      <c r="J23" s="8">
        <v>35</v>
      </c>
      <c r="K23" s="8" t="s">
        <v>492</v>
      </c>
      <c r="L23" s="5" t="s">
        <v>50</v>
      </c>
      <c r="M23" s="11" t="s">
        <v>102</v>
      </c>
      <c r="N23" s="6">
        <v>3000</v>
      </c>
      <c r="O23" s="6">
        <v>1088</v>
      </c>
      <c r="P23" s="6">
        <v>212</v>
      </c>
      <c r="Q23" s="6">
        <v>13</v>
      </c>
      <c r="R23" s="6">
        <v>13</v>
      </c>
      <c r="S23" s="6">
        <v>0</v>
      </c>
      <c r="T23" s="6">
        <v>0</v>
      </c>
      <c r="U23" s="6">
        <v>1326.3</v>
      </c>
      <c r="V23" s="6" t="s">
        <v>135</v>
      </c>
      <c r="W23" s="6">
        <f>2.9*20</f>
        <v>58</v>
      </c>
      <c r="X23" s="6" t="s">
        <v>135</v>
      </c>
      <c r="Y23" s="3">
        <f t="shared" ref="Y23:Y30" si="18">N23/8</f>
        <v>375</v>
      </c>
      <c r="Z23" s="3">
        <f t="shared" ref="Z23:Z26" si="19">(O23*1.066+P23*1.512+Q23*1.816+R23*1.816+S23*2.037+T23*2.037)/8</f>
        <v>190.94599999999997</v>
      </c>
      <c r="AA23" s="3">
        <f>W23/25.29*8</f>
        <v>18.347172795571371</v>
      </c>
      <c r="AB23" s="3">
        <f t="shared" si="11"/>
        <v>209.29317279557134</v>
      </c>
      <c r="AC23" s="4">
        <f t="shared" si="12"/>
        <v>0.50918933333333327</v>
      </c>
      <c r="AD23" s="4">
        <f t="shared" si="13"/>
        <v>4.8925794121523654E-2</v>
      </c>
      <c r="AE23" s="4">
        <f t="shared" si="14"/>
        <v>0.91233745205108963</v>
      </c>
      <c r="AF23" s="4">
        <f t="shared" si="15"/>
        <v>0.55811512745485692</v>
      </c>
      <c r="AG23" s="4">
        <f t="shared" si="16"/>
        <v>165.70682720442866</v>
      </c>
      <c r="AH23" s="4">
        <f t="shared" si="9"/>
        <v>0.44188487254514308</v>
      </c>
      <c r="AI23" s="46" t="str">
        <f t="shared" si="1"/>
        <v>As calculated</v>
      </c>
    </row>
    <row r="24" spans="1:35" x14ac:dyDescent="0.2">
      <c r="A24" s="18">
        <v>23</v>
      </c>
      <c r="B24" s="13" t="s">
        <v>100</v>
      </c>
      <c r="C24" s="13" t="s">
        <v>97</v>
      </c>
      <c r="D24" s="10" t="s">
        <v>101</v>
      </c>
      <c r="E24" s="7" t="s">
        <v>22</v>
      </c>
      <c r="F24" s="7" t="s">
        <v>24</v>
      </c>
      <c r="G24" s="7" t="s">
        <v>515</v>
      </c>
      <c r="H24" s="9" t="s">
        <v>89</v>
      </c>
      <c r="I24" s="8" t="s">
        <v>135</v>
      </c>
      <c r="J24" s="8">
        <v>35</v>
      </c>
      <c r="K24" s="8" t="s">
        <v>492</v>
      </c>
      <c r="L24" s="5" t="s">
        <v>50</v>
      </c>
      <c r="M24" s="11" t="s">
        <v>102</v>
      </c>
      <c r="N24" s="6">
        <v>3000</v>
      </c>
      <c r="O24" s="6">
        <v>987</v>
      </c>
      <c r="P24" s="6">
        <v>210</v>
      </c>
      <c r="Q24" s="6">
        <v>25</v>
      </c>
      <c r="R24" s="6">
        <v>12</v>
      </c>
      <c r="S24" s="6">
        <v>0</v>
      </c>
      <c r="T24" s="6">
        <v>0</v>
      </c>
      <c r="U24" s="6">
        <v>1233.0999999999999</v>
      </c>
      <c r="V24" s="6" t="s">
        <v>135</v>
      </c>
      <c r="W24" s="6">
        <f>2*20</f>
        <v>40</v>
      </c>
      <c r="X24" s="6" t="s">
        <v>135</v>
      </c>
      <c r="Y24" s="3">
        <f t="shared" si="18"/>
        <v>375</v>
      </c>
      <c r="Z24" s="3">
        <f t="shared" si="19"/>
        <v>179.60675000000001</v>
      </c>
      <c r="AA24" s="3">
        <f t="shared" ref="AA24:AA26" si="20">W24/25.29*8</f>
        <v>12.65322261763543</v>
      </c>
      <c r="AB24" s="3">
        <f t="shared" si="11"/>
        <v>192.25997261763544</v>
      </c>
      <c r="AC24" s="4">
        <f t="shared" si="12"/>
        <v>0.47895133333333334</v>
      </c>
      <c r="AD24" s="4">
        <f t="shared" si="13"/>
        <v>3.3741926980361145E-2</v>
      </c>
      <c r="AE24" s="4">
        <f t="shared" si="14"/>
        <v>0.93418691137130228</v>
      </c>
      <c r="AF24" s="4">
        <f t="shared" si="15"/>
        <v>0.51269326031369455</v>
      </c>
      <c r="AG24" s="4">
        <f t="shared" si="16"/>
        <v>182.74002738236456</v>
      </c>
      <c r="AH24" s="4">
        <f t="shared" si="9"/>
        <v>0.4873067396863055</v>
      </c>
      <c r="AI24" s="46" t="str">
        <f t="shared" si="1"/>
        <v>As calculated</v>
      </c>
    </row>
    <row r="25" spans="1:35" x14ac:dyDescent="0.2">
      <c r="A25" s="18">
        <v>24</v>
      </c>
      <c r="B25" s="13" t="s">
        <v>100</v>
      </c>
      <c r="C25" s="13" t="s">
        <v>98</v>
      </c>
      <c r="D25" s="10" t="s">
        <v>101</v>
      </c>
      <c r="E25" s="7" t="s">
        <v>22</v>
      </c>
      <c r="F25" s="7" t="s">
        <v>24</v>
      </c>
      <c r="G25" s="7" t="s">
        <v>515</v>
      </c>
      <c r="H25" s="9" t="s">
        <v>90</v>
      </c>
      <c r="I25" s="8" t="s">
        <v>135</v>
      </c>
      <c r="J25" s="8">
        <v>35</v>
      </c>
      <c r="K25" s="8" t="s">
        <v>492</v>
      </c>
      <c r="L25" s="5" t="s">
        <v>50</v>
      </c>
      <c r="M25" s="11" t="s">
        <v>102</v>
      </c>
      <c r="N25" s="6">
        <v>3000</v>
      </c>
      <c r="O25" s="6">
        <v>714</v>
      </c>
      <c r="P25" s="6">
        <v>275</v>
      </c>
      <c r="Q25" s="6">
        <v>20</v>
      </c>
      <c r="R25" s="6">
        <v>10</v>
      </c>
      <c r="S25" s="6">
        <v>0</v>
      </c>
      <c r="T25" s="6">
        <v>0</v>
      </c>
      <c r="U25" s="6">
        <v>1020</v>
      </c>
      <c r="V25" s="6" t="s">
        <v>135</v>
      </c>
      <c r="W25" s="6">
        <f>1*20</f>
        <v>20</v>
      </c>
      <c r="X25" s="6" t="s">
        <v>135</v>
      </c>
      <c r="Y25" s="3">
        <f t="shared" si="18"/>
        <v>375</v>
      </c>
      <c r="Z25" s="3">
        <f t="shared" si="19"/>
        <v>153.9255</v>
      </c>
      <c r="AA25" s="3">
        <f t="shared" si="20"/>
        <v>6.3266113088177152</v>
      </c>
      <c r="AB25" s="3">
        <f t="shared" si="11"/>
        <v>160.25211130881772</v>
      </c>
      <c r="AC25" s="4">
        <f t="shared" si="12"/>
        <v>0.410468</v>
      </c>
      <c r="AD25" s="4">
        <f t="shared" si="13"/>
        <v>1.6870963490180572E-2</v>
      </c>
      <c r="AE25" s="4">
        <f t="shared" si="14"/>
        <v>0.96052088638866129</v>
      </c>
      <c r="AF25" s="4">
        <f t="shared" si="15"/>
        <v>0.42733896349018058</v>
      </c>
      <c r="AG25" s="4">
        <f t="shared" si="16"/>
        <v>214.74788869118228</v>
      </c>
      <c r="AH25" s="4">
        <f t="shared" si="9"/>
        <v>0.57266103650981937</v>
      </c>
      <c r="AI25" s="46" t="str">
        <f t="shared" si="1"/>
        <v>As calculated</v>
      </c>
    </row>
    <row r="26" spans="1:35" x14ac:dyDescent="0.2">
      <c r="A26" s="18">
        <v>25</v>
      </c>
      <c r="B26" s="13" t="s">
        <v>100</v>
      </c>
      <c r="C26" s="13" t="s">
        <v>99</v>
      </c>
      <c r="D26" s="10" t="s">
        <v>101</v>
      </c>
      <c r="E26" s="7" t="s">
        <v>22</v>
      </c>
      <c r="F26" s="7" t="s">
        <v>24</v>
      </c>
      <c r="G26" s="7" t="s">
        <v>515</v>
      </c>
      <c r="H26" s="9" t="s">
        <v>91</v>
      </c>
      <c r="I26" s="8" t="s">
        <v>135</v>
      </c>
      <c r="J26" s="8">
        <v>35</v>
      </c>
      <c r="K26" s="8" t="s">
        <v>492</v>
      </c>
      <c r="L26" s="5" t="s">
        <v>50</v>
      </c>
      <c r="M26" s="11" t="s">
        <v>102</v>
      </c>
      <c r="N26" s="6">
        <v>3000</v>
      </c>
      <c r="O26" s="6">
        <v>277</v>
      </c>
      <c r="P26" s="6">
        <v>65</v>
      </c>
      <c r="Q26" s="6">
        <v>151</v>
      </c>
      <c r="R26" s="6">
        <v>5</v>
      </c>
      <c r="S26" s="6">
        <v>0</v>
      </c>
      <c r="T26" s="6">
        <v>5</v>
      </c>
      <c r="U26" s="6">
        <v>502.9</v>
      </c>
      <c r="V26" s="6" t="s">
        <v>135</v>
      </c>
      <c r="W26" s="6">
        <f>0.7*20</f>
        <v>14</v>
      </c>
      <c r="X26" s="6" t="s">
        <v>135</v>
      </c>
      <c r="Y26" s="3">
        <f t="shared" si="18"/>
        <v>375</v>
      </c>
      <c r="Z26" s="3">
        <f t="shared" si="19"/>
        <v>85.880375000000001</v>
      </c>
      <c r="AA26" s="3">
        <f t="shared" si="20"/>
        <v>4.4286279161724007</v>
      </c>
      <c r="AB26" s="3">
        <f t="shared" si="11"/>
        <v>90.309002916172403</v>
      </c>
      <c r="AC26" s="4">
        <f t="shared" si="12"/>
        <v>0.22901433333333335</v>
      </c>
      <c r="AD26" s="4">
        <f t="shared" si="13"/>
        <v>1.1809674443126401E-2</v>
      </c>
      <c r="AE26" s="4">
        <f t="shared" si="14"/>
        <v>0.95096139063473895</v>
      </c>
      <c r="AF26" s="4">
        <f t="shared" si="15"/>
        <v>0.24082400777645974</v>
      </c>
      <c r="AG26" s="4">
        <f t="shared" si="16"/>
        <v>284.6909970838276</v>
      </c>
      <c r="AH26" s="4">
        <f t="shared" si="9"/>
        <v>0.75917599222354026</v>
      </c>
      <c r="AI26" s="46" t="str">
        <f t="shared" si="1"/>
        <v>As calculated</v>
      </c>
    </row>
    <row r="27" spans="1:35" ht="16" customHeight="1" x14ac:dyDescent="0.2">
      <c r="A27" s="18">
        <v>26</v>
      </c>
      <c r="B27" s="13" t="s">
        <v>103</v>
      </c>
      <c r="C27" s="13" t="s">
        <v>516</v>
      </c>
      <c r="D27" s="10" t="s">
        <v>118</v>
      </c>
      <c r="E27" s="7" t="s">
        <v>86</v>
      </c>
      <c r="F27" s="7" t="s">
        <v>120</v>
      </c>
      <c r="G27" s="7" t="s">
        <v>489</v>
      </c>
      <c r="H27" s="9" t="s">
        <v>25</v>
      </c>
      <c r="I27" s="8">
        <v>3.36</v>
      </c>
      <c r="J27" s="8">
        <v>37</v>
      </c>
      <c r="K27" s="8">
        <v>6.67</v>
      </c>
      <c r="L27" s="5" t="s">
        <v>50</v>
      </c>
      <c r="M27" s="11" t="s">
        <v>517</v>
      </c>
      <c r="N27" s="6">
        <f>87590*(3/20)</f>
        <v>13138.5</v>
      </c>
      <c r="O27" s="6" t="s">
        <v>122</v>
      </c>
      <c r="P27" s="6" t="s">
        <v>122</v>
      </c>
      <c r="Q27" s="6" t="s">
        <v>122</v>
      </c>
      <c r="R27" s="6" t="s">
        <v>122</v>
      </c>
      <c r="S27" s="6" t="s">
        <v>122</v>
      </c>
      <c r="T27" s="6" t="s">
        <v>122</v>
      </c>
      <c r="U27" s="6">
        <v>4200</v>
      </c>
      <c r="V27" s="6" t="s">
        <v>135</v>
      </c>
      <c r="W27" s="6" t="s">
        <v>135</v>
      </c>
      <c r="X27" s="6" t="s">
        <v>135</v>
      </c>
      <c r="Y27" s="3">
        <f t="shared" si="18"/>
        <v>1642.3125</v>
      </c>
      <c r="Z27" s="3">
        <f>(3/20)*U27/8</f>
        <v>78.75</v>
      </c>
      <c r="AA27" s="3" t="s">
        <v>123</v>
      </c>
      <c r="AB27" s="3" t="s">
        <v>123</v>
      </c>
      <c r="AC27" s="4">
        <f t="shared" si="12"/>
        <v>4.79506793012901E-2</v>
      </c>
      <c r="AD27" s="3" t="s">
        <v>123</v>
      </c>
      <c r="AE27" s="3" t="s">
        <v>123</v>
      </c>
      <c r="AF27" s="3" t="s">
        <v>123</v>
      </c>
      <c r="AG27" s="3" t="s">
        <v>123</v>
      </c>
      <c r="AH27" s="3" t="s">
        <v>123</v>
      </c>
      <c r="AI27" s="46" t="str">
        <f t="shared" si="1"/>
        <v>NC</v>
      </c>
    </row>
    <row r="28" spans="1:35" ht="16" customHeight="1" x14ac:dyDescent="0.2">
      <c r="A28" s="18">
        <v>27</v>
      </c>
      <c r="B28" s="13" t="s">
        <v>103</v>
      </c>
      <c r="C28" s="13" t="s">
        <v>105</v>
      </c>
      <c r="D28" s="10" t="s">
        <v>118</v>
      </c>
      <c r="E28" s="7" t="s">
        <v>86</v>
      </c>
      <c r="F28" s="7" t="s">
        <v>120</v>
      </c>
      <c r="G28" s="7" t="s">
        <v>489</v>
      </c>
      <c r="H28" s="9" t="s">
        <v>26</v>
      </c>
      <c r="I28" s="8">
        <v>4.2</v>
      </c>
      <c r="J28" s="8">
        <v>37</v>
      </c>
      <c r="K28" s="8">
        <v>6.67</v>
      </c>
      <c r="L28" s="5" t="s">
        <v>50</v>
      </c>
      <c r="M28" s="11" t="s">
        <v>518</v>
      </c>
      <c r="N28" s="6">
        <f>76710*(3/20)</f>
        <v>11506.5</v>
      </c>
      <c r="O28" s="6" t="s">
        <v>122</v>
      </c>
      <c r="P28" s="6" t="s">
        <v>122</v>
      </c>
      <c r="Q28" s="6" t="s">
        <v>122</v>
      </c>
      <c r="R28" s="6" t="s">
        <v>122</v>
      </c>
      <c r="S28" s="6" t="s">
        <v>122</v>
      </c>
      <c r="T28" s="6" t="s">
        <v>122</v>
      </c>
      <c r="U28" s="6">
        <v>21551</v>
      </c>
      <c r="V28" s="6" t="s">
        <v>135</v>
      </c>
      <c r="W28" s="6" t="s">
        <v>135</v>
      </c>
      <c r="X28" s="6" t="s">
        <v>135</v>
      </c>
      <c r="Y28" s="3">
        <f t="shared" si="18"/>
        <v>1438.3125</v>
      </c>
      <c r="Z28" s="3">
        <f t="shared" ref="Z28:Z30" si="21">(3/20)*U28/8</f>
        <v>404.08125000000001</v>
      </c>
      <c r="AA28" s="3" t="s">
        <v>123</v>
      </c>
      <c r="AB28" s="3" t="s">
        <v>123</v>
      </c>
      <c r="AC28" s="4">
        <f t="shared" si="12"/>
        <v>0.28094120714378829</v>
      </c>
      <c r="AD28" s="3" t="s">
        <v>123</v>
      </c>
      <c r="AE28" s="3" t="s">
        <v>123</v>
      </c>
      <c r="AF28" s="3" t="s">
        <v>123</v>
      </c>
      <c r="AG28" s="3" t="s">
        <v>123</v>
      </c>
      <c r="AH28" s="3" t="s">
        <v>123</v>
      </c>
      <c r="AI28" s="46" t="str">
        <f t="shared" si="1"/>
        <v>NC</v>
      </c>
    </row>
    <row r="29" spans="1:35" ht="16" customHeight="1" x14ac:dyDescent="0.2">
      <c r="A29" s="18">
        <v>28</v>
      </c>
      <c r="B29" s="13" t="s">
        <v>103</v>
      </c>
      <c r="C29" s="13" t="s">
        <v>106</v>
      </c>
      <c r="D29" s="10" t="s">
        <v>118</v>
      </c>
      <c r="E29" s="7" t="s">
        <v>86</v>
      </c>
      <c r="F29" s="7" t="s">
        <v>120</v>
      </c>
      <c r="G29" s="7" t="s">
        <v>489</v>
      </c>
      <c r="H29" s="9" t="s">
        <v>27</v>
      </c>
      <c r="I29" s="8">
        <v>4.5</v>
      </c>
      <c r="J29" s="8">
        <v>37</v>
      </c>
      <c r="K29" s="8">
        <v>6.67</v>
      </c>
      <c r="L29" s="5" t="s">
        <v>50</v>
      </c>
      <c r="M29" s="11" t="s">
        <v>519</v>
      </c>
      <c r="N29" s="6">
        <f>69160*(3/20)</f>
        <v>10374</v>
      </c>
      <c r="O29" s="6" t="s">
        <v>122</v>
      </c>
      <c r="P29" s="6" t="s">
        <v>122</v>
      </c>
      <c r="Q29" s="6" t="s">
        <v>122</v>
      </c>
      <c r="R29" s="6" t="s">
        <v>122</v>
      </c>
      <c r="S29" s="6" t="s">
        <v>122</v>
      </c>
      <c r="T29" s="6" t="s">
        <v>122</v>
      </c>
      <c r="U29" s="6">
        <v>25381</v>
      </c>
      <c r="V29" s="6" t="s">
        <v>135</v>
      </c>
      <c r="W29" s="6" t="s">
        <v>135</v>
      </c>
      <c r="X29" s="6" t="s">
        <v>135</v>
      </c>
      <c r="Y29" s="3">
        <f t="shared" si="18"/>
        <v>1296.75</v>
      </c>
      <c r="Z29" s="3">
        <f t="shared" si="21"/>
        <v>475.89374999999995</v>
      </c>
      <c r="AA29" s="3" t="s">
        <v>123</v>
      </c>
      <c r="AB29" s="3" t="s">
        <v>123</v>
      </c>
      <c r="AC29" s="4">
        <f t="shared" si="12"/>
        <v>0.36698958935801035</v>
      </c>
      <c r="AD29" s="3" t="s">
        <v>123</v>
      </c>
      <c r="AE29" s="3" t="s">
        <v>123</v>
      </c>
      <c r="AF29" s="3" t="s">
        <v>123</v>
      </c>
      <c r="AG29" s="3" t="s">
        <v>123</v>
      </c>
      <c r="AH29" s="3" t="s">
        <v>123</v>
      </c>
      <c r="AI29" s="46" t="str">
        <f t="shared" si="1"/>
        <v>NC</v>
      </c>
    </row>
    <row r="30" spans="1:35" ht="16" customHeight="1" x14ac:dyDescent="0.2">
      <c r="A30" s="18">
        <v>29</v>
      </c>
      <c r="B30" s="13" t="s">
        <v>103</v>
      </c>
      <c r="C30" s="13" t="s">
        <v>107</v>
      </c>
      <c r="D30" s="10" t="s">
        <v>118</v>
      </c>
      <c r="E30" s="7" t="s">
        <v>86</v>
      </c>
      <c r="F30" s="7" t="s">
        <v>120</v>
      </c>
      <c r="G30" s="7" t="s">
        <v>489</v>
      </c>
      <c r="H30" s="9" t="s">
        <v>28</v>
      </c>
      <c r="I30" s="8">
        <v>5.71</v>
      </c>
      <c r="J30" s="8">
        <v>37</v>
      </c>
      <c r="K30" s="8">
        <v>6.67</v>
      </c>
      <c r="L30" s="5" t="s">
        <v>50</v>
      </c>
      <c r="M30" s="11" t="s">
        <v>520</v>
      </c>
      <c r="N30" s="6">
        <f>61820*(3/20)</f>
        <v>9273</v>
      </c>
      <c r="O30" s="6" t="s">
        <v>122</v>
      </c>
      <c r="P30" s="6" t="s">
        <v>122</v>
      </c>
      <c r="Q30" s="6" t="s">
        <v>122</v>
      </c>
      <c r="R30" s="6" t="s">
        <v>122</v>
      </c>
      <c r="S30" s="6" t="s">
        <v>122</v>
      </c>
      <c r="T30" s="6" t="s">
        <v>122</v>
      </c>
      <c r="U30" s="6">
        <v>37421</v>
      </c>
      <c r="V30" s="6" t="s">
        <v>135</v>
      </c>
      <c r="W30" s="6" t="s">
        <v>135</v>
      </c>
      <c r="X30" s="6" t="s">
        <v>135</v>
      </c>
      <c r="Y30" s="3">
        <f t="shared" si="18"/>
        <v>1159.125</v>
      </c>
      <c r="Z30" s="3">
        <f t="shared" si="21"/>
        <v>701.64374999999995</v>
      </c>
      <c r="AA30" s="3" t="s">
        <v>123</v>
      </c>
      <c r="AB30" s="3" t="s">
        <v>123</v>
      </c>
      <c r="AC30" s="4">
        <f t="shared" si="12"/>
        <v>0.60532190229699123</v>
      </c>
      <c r="AD30" s="3" t="s">
        <v>123</v>
      </c>
      <c r="AE30" s="3" t="s">
        <v>123</v>
      </c>
      <c r="AF30" s="3" t="s">
        <v>123</v>
      </c>
      <c r="AG30" s="3" t="s">
        <v>123</v>
      </c>
      <c r="AH30" s="3" t="s">
        <v>123</v>
      </c>
      <c r="AI30" s="46" t="str">
        <f t="shared" si="1"/>
        <v>NC</v>
      </c>
    </row>
    <row r="31" spans="1:35" ht="18" customHeight="1" x14ac:dyDescent="0.2">
      <c r="A31" s="18">
        <v>30</v>
      </c>
      <c r="B31" s="13" t="s">
        <v>108</v>
      </c>
      <c r="C31" s="13" t="s">
        <v>109</v>
      </c>
      <c r="D31" s="10" t="s">
        <v>119</v>
      </c>
      <c r="E31" s="7" t="s">
        <v>86</v>
      </c>
      <c r="F31" s="7" t="s">
        <v>125</v>
      </c>
      <c r="G31" s="7" t="s">
        <v>489</v>
      </c>
      <c r="H31" s="9" t="s">
        <v>29</v>
      </c>
      <c r="I31" s="8">
        <v>6</v>
      </c>
      <c r="J31" s="8">
        <v>35</v>
      </c>
      <c r="K31" s="8">
        <v>9.3000000000000007</v>
      </c>
      <c r="L31" s="5" t="s">
        <v>50</v>
      </c>
      <c r="M31" s="11" t="s">
        <v>126</v>
      </c>
      <c r="N31" s="6" t="s">
        <v>135</v>
      </c>
      <c r="O31" s="6">
        <f>0.447*U31</f>
        <v>23355.75</v>
      </c>
      <c r="P31" s="6">
        <f>U31*0.3006</f>
        <v>15706.349999999999</v>
      </c>
      <c r="Q31" s="6">
        <f>U31*0.0989</f>
        <v>5167.5250000000005</v>
      </c>
      <c r="R31" s="6">
        <f>U31*0.0738</f>
        <v>3856.05</v>
      </c>
      <c r="S31" s="6">
        <f>U31*0.085</f>
        <v>4441.25</v>
      </c>
      <c r="T31" s="6" t="s">
        <v>135</v>
      </c>
      <c r="U31" s="6">
        <v>52250</v>
      </c>
      <c r="V31" s="6" t="s">
        <v>135</v>
      </c>
      <c r="W31" s="6">
        <v>0</v>
      </c>
      <c r="X31" s="6">
        <f>8*0.045*66.3</f>
        <v>23.867999999999999</v>
      </c>
      <c r="Y31" s="3" t="s">
        <v>123</v>
      </c>
      <c r="Z31" s="3">
        <f>5.6*1000/8</f>
        <v>700</v>
      </c>
      <c r="AA31" s="3">
        <f>X31*2/25.29+W31</f>
        <v>1.8875444839857651</v>
      </c>
      <c r="AB31" s="3">
        <f>SUM(Z31:AA31)</f>
        <v>701.88754448398572</v>
      </c>
      <c r="AC31" s="4" t="s">
        <v>123</v>
      </c>
      <c r="AD31" s="4" t="s">
        <v>123</v>
      </c>
      <c r="AE31" s="4">
        <f t="shared" si="14"/>
        <v>0.99731075939611746</v>
      </c>
      <c r="AF31" s="4" t="s">
        <v>123</v>
      </c>
      <c r="AG31" s="4" t="s">
        <v>123</v>
      </c>
      <c r="AH31" s="3" t="s">
        <v>123</v>
      </c>
      <c r="AI31" s="46" t="str">
        <f t="shared" si="1"/>
        <v>NC</v>
      </c>
    </row>
    <row r="32" spans="1:35" x14ac:dyDescent="0.2">
      <c r="A32" s="18">
        <v>31</v>
      </c>
      <c r="B32" s="13" t="s">
        <v>108</v>
      </c>
      <c r="C32" s="13" t="s">
        <v>110</v>
      </c>
      <c r="D32" s="10" t="s">
        <v>119</v>
      </c>
      <c r="E32" s="7" t="s">
        <v>86</v>
      </c>
      <c r="F32" s="7" t="s">
        <v>125</v>
      </c>
      <c r="G32" s="7" t="s">
        <v>489</v>
      </c>
      <c r="H32" s="9" t="s">
        <v>30</v>
      </c>
      <c r="I32" s="8">
        <v>6</v>
      </c>
      <c r="J32" s="8">
        <v>35</v>
      </c>
      <c r="K32" s="8">
        <v>7.2</v>
      </c>
      <c r="L32" s="5" t="s">
        <v>50</v>
      </c>
      <c r="M32" s="11" t="s">
        <v>127</v>
      </c>
      <c r="N32" s="6" t="s">
        <v>135</v>
      </c>
      <c r="O32" s="6">
        <f>U32*0.3818</f>
        <v>21651.877999999997</v>
      </c>
      <c r="P32" s="6">
        <f>U32*0.292</f>
        <v>16559.32</v>
      </c>
      <c r="Q32" s="6">
        <f>U32*0.1209</f>
        <v>6856.2389999999996</v>
      </c>
      <c r="R32" s="6">
        <f>U32*0.1058</f>
        <v>5999.9180000000006</v>
      </c>
      <c r="S32" s="6">
        <f>U32*0.0995</f>
        <v>5642.6450000000004</v>
      </c>
      <c r="T32" s="6" t="s">
        <v>135</v>
      </c>
      <c r="U32" s="6">
        <v>56710</v>
      </c>
      <c r="V32" s="6" t="s">
        <v>135</v>
      </c>
      <c r="W32" s="6">
        <v>0</v>
      </c>
      <c r="X32" s="6">
        <f>10*0.055*77.2</f>
        <v>42.460000000000008</v>
      </c>
      <c r="Y32" s="3" t="s">
        <v>123</v>
      </c>
      <c r="Z32" s="3">
        <f>7.9*1000/8</f>
        <v>987.5</v>
      </c>
      <c r="AA32" s="3">
        <f t="shared" ref="AA32:AA39" si="22">X32*2/25.29+W32</f>
        <v>3.3578489521550026</v>
      </c>
      <c r="AB32" s="3">
        <f t="shared" ref="AB32:AB39" si="23">SUM(Z32:AA32)</f>
        <v>990.857848952155</v>
      </c>
      <c r="AC32" s="4" t="s">
        <v>123</v>
      </c>
      <c r="AD32" s="4" t="s">
        <v>123</v>
      </c>
      <c r="AE32" s="4">
        <f t="shared" si="14"/>
        <v>0.99661116985074505</v>
      </c>
      <c r="AF32" s="4" t="s">
        <v>123</v>
      </c>
      <c r="AG32" s="4" t="s">
        <v>123</v>
      </c>
      <c r="AH32" s="3" t="s">
        <v>123</v>
      </c>
      <c r="AI32" s="46" t="str">
        <f t="shared" si="1"/>
        <v>NC</v>
      </c>
    </row>
    <row r="33" spans="1:35" x14ac:dyDescent="0.2">
      <c r="A33" s="18">
        <v>32</v>
      </c>
      <c r="B33" s="13" t="s">
        <v>108</v>
      </c>
      <c r="C33" s="13" t="s">
        <v>111</v>
      </c>
      <c r="D33" s="10" t="s">
        <v>119</v>
      </c>
      <c r="E33" s="7" t="s">
        <v>86</v>
      </c>
      <c r="F33" s="7" t="s">
        <v>125</v>
      </c>
      <c r="G33" s="7" t="s">
        <v>489</v>
      </c>
      <c r="H33" s="9" t="s">
        <v>31</v>
      </c>
      <c r="I33" s="8">
        <v>6</v>
      </c>
      <c r="J33" s="8">
        <v>35</v>
      </c>
      <c r="K33" s="8">
        <v>6.1</v>
      </c>
      <c r="L33" s="5" t="s">
        <v>50</v>
      </c>
      <c r="M33" s="11" t="s">
        <v>128</v>
      </c>
      <c r="N33" s="6" t="s">
        <v>135</v>
      </c>
      <c r="O33" s="6">
        <f>U33*0.3294</f>
        <v>19355.544000000002</v>
      </c>
      <c r="P33" s="6">
        <f>U33*0.2258</f>
        <v>13268.008</v>
      </c>
      <c r="Q33" s="6">
        <f>U33*0.2392</f>
        <v>14055.392</v>
      </c>
      <c r="R33" s="6">
        <f>U33*0.1224</f>
        <v>7192.2239999999993</v>
      </c>
      <c r="S33" s="6">
        <f>U33*0.0832</f>
        <v>4888.8319999999994</v>
      </c>
      <c r="T33" s="6" t="s">
        <v>135</v>
      </c>
      <c r="U33" s="6">
        <v>58760</v>
      </c>
      <c r="V33" s="6" t="s">
        <v>135</v>
      </c>
      <c r="W33" s="6">
        <v>0</v>
      </c>
      <c r="X33" s="6">
        <f>12*0.089*106.9</f>
        <v>114.16920000000002</v>
      </c>
      <c r="Y33" s="3" t="s">
        <v>123</v>
      </c>
      <c r="Z33" s="3">
        <f>9.57*1000/8</f>
        <v>1196.25</v>
      </c>
      <c r="AA33" s="3">
        <f t="shared" si="22"/>
        <v>9.0288018979833939</v>
      </c>
      <c r="AB33" s="3">
        <f t="shared" si="23"/>
        <v>1205.2788018979834</v>
      </c>
      <c r="AC33" s="4" t="s">
        <v>123</v>
      </c>
      <c r="AD33" s="4" t="s">
        <v>123</v>
      </c>
      <c r="AE33" s="4">
        <f t="shared" si="14"/>
        <v>0.99250895155231678</v>
      </c>
      <c r="AF33" s="4" t="s">
        <v>123</v>
      </c>
      <c r="AG33" s="4" t="s">
        <v>123</v>
      </c>
      <c r="AH33" s="3" t="s">
        <v>123</v>
      </c>
      <c r="AI33" s="46" t="str">
        <f t="shared" si="1"/>
        <v>NC</v>
      </c>
    </row>
    <row r="34" spans="1:35" x14ac:dyDescent="0.2">
      <c r="A34" s="18">
        <v>33</v>
      </c>
      <c r="B34" s="13" t="s">
        <v>108</v>
      </c>
      <c r="C34" s="13" t="s">
        <v>112</v>
      </c>
      <c r="D34" s="10" t="s">
        <v>119</v>
      </c>
      <c r="E34" s="7" t="s">
        <v>86</v>
      </c>
      <c r="F34" s="7" t="s">
        <v>125</v>
      </c>
      <c r="G34" s="7" t="s">
        <v>489</v>
      </c>
      <c r="H34" s="9" t="s">
        <v>32</v>
      </c>
      <c r="I34" s="8">
        <v>6</v>
      </c>
      <c r="J34" s="8">
        <v>35</v>
      </c>
      <c r="K34" s="8">
        <v>5.3</v>
      </c>
      <c r="L34" s="5" t="s">
        <v>50</v>
      </c>
      <c r="M34" s="11" t="s">
        <v>129</v>
      </c>
      <c r="N34" s="6" t="s">
        <v>135</v>
      </c>
      <c r="O34" s="6">
        <f>U34*0.3234</f>
        <v>20018.460000000003</v>
      </c>
      <c r="P34" s="6">
        <f>U34*0.1212</f>
        <v>7502.28</v>
      </c>
      <c r="Q34" s="6">
        <f>U34*0.356</f>
        <v>22036.399999999998</v>
      </c>
      <c r="R34" s="6">
        <f>U34*0.1417</f>
        <v>8771.23</v>
      </c>
      <c r="S34" s="6">
        <f>U34*0.0577</f>
        <v>3571.63</v>
      </c>
      <c r="T34" s="6" t="s">
        <v>135</v>
      </c>
      <c r="U34" s="6">
        <v>61900</v>
      </c>
      <c r="V34" s="6" t="s">
        <v>135</v>
      </c>
      <c r="W34" s="6">
        <v>0</v>
      </c>
      <c r="X34" s="6">
        <f>14*0.12*121.5</f>
        <v>204.12</v>
      </c>
      <c r="Y34" s="3" t="s">
        <v>123</v>
      </c>
      <c r="Z34" s="3">
        <f>11.61*1000/8</f>
        <v>1451.25</v>
      </c>
      <c r="AA34" s="3">
        <f t="shared" si="22"/>
        <v>16.142348754448399</v>
      </c>
      <c r="AB34" s="3">
        <f t="shared" si="23"/>
        <v>1467.3923487544484</v>
      </c>
      <c r="AC34" s="4" t="s">
        <v>123</v>
      </c>
      <c r="AD34" s="4" t="s">
        <v>123</v>
      </c>
      <c r="AE34" s="4">
        <f t="shared" si="14"/>
        <v>0.9889992960859102</v>
      </c>
      <c r="AF34" s="4" t="s">
        <v>123</v>
      </c>
      <c r="AG34" s="4" t="s">
        <v>123</v>
      </c>
      <c r="AH34" s="3" t="s">
        <v>123</v>
      </c>
      <c r="AI34" s="46" t="str">
        <f t="shared" si="1"/>
        <v>NC</v>
      </c>
    </row>
    <row r="35" spans="1:35" x14ac:dyDescent="0.2">
      <c r="A35" s="18">
        <v>34</v>
      </c>
      <c r="B35" s="13" t="s">
        <v>108</v>
      </c>
      <c r="C35" s="13" t="s">
        <v>113</v>
      </c>
      <c r="D35" s="10" t="s">
        <v>119</v>
      </c>
      <c r="E35" s="7" t="s">
        <v>86</v>
      </c>
      <c r="F35" s="7" t="s">
        <v>125</v>
      </c>
      <c r="G35" s="7" t="s">
        <v>489</v>
      </c>
      <c r="H35" s="9" t="s">
        <v>33</v>
      </c>
      <c r="I35" s="8">
        <v>6</v>
      </c>
      <c r="J35" s="8">
        <v>35</v>
      </c>
      <c r="K35" s="8">
        <v>4.7</v>
      </c>
      <c r="L35" s="5" t="s">
        <v>50</v>
      </c>
      <c r="M35" s="11" t="s">
        <v>130</v>
      </c>
      <c r="N35" s="6" t="s">
        <v>135</v>
      </c>
      <c r="O35" s="6">
        <f>U35*0.2853</f>
        <v>17055.234</v>
      </c>
      <c r="P35" s="6">
        <f>U35*0.0783</f>
        <v>4680.7739999999994</v>
      </c>
      <c r="Q35" s="6">
        <f>U35*0.4842</f>
        <v>28945.476000000002</v>
      </c>
      <c r="R35" s="6">
        <f>U35*0.1202</f>
        <v>7185.5560000000005</v>
      </c>
      <c r="S35" s="6">
        <f>U35*0.0321</f>
        <v>1918.9379999999999</v>
      </c>
      <c r="T35" s="6" t="s">
        <v>135</v>
      </c>
      <c r="U35" s="6">
        <v>59780</v>
      </c>
      <c r="V35" s="6" t="s">
        <v>135</v>
      </c>
      <c r="W35" s="6">
        <v>0</v>
      </c>
      <c r="X35" s="6">
        <f>16*0.115*139.2</f>
        <v>256.12799999999999</v>
      </c>
      <c r="Y35" s="3" t="s">
        <v>123</v>
      </c>
      <c r="Z35" s="3">
        <f>12.82*1000/8</f>
        <v>1602.5</v>
      </c>
      <c r="AA35" s="3">
        <f t="shared" si="22"/>
        <v>20.255278766310795</v>
      </c>
      <c r="AB35" s="3">
        <f t="shared" si="23"/>
        <v>1622.7552787663108</v>
      </c>
      <c r="AC35" s="4" t="s">
        <v>123</v>
      </c>
      <c r="AD35" s="4" t="s">
        <v>123</v>
      </c>
      <c r="AE35" s="4">
        <f t="shared" si="14"/>
        <v>0.98751797080474779</v>
      </c>
      <c r="AF35" s="4" t="s">
        <v>123</v>
      </c>
      <c r="AG35" s="4" t="s">
        <v>123</v>
      </c>
      <c r="AH35" s="3" t="s">
        <v>123</v>
      </c>
      <c r="AI35" s="46" t="str">
        <f t="shared" si="1"/>
        <v>NC</v>
      </c>
    </row>
    <row r="36" spans="1:35" x14ac:dyDescent="0.2">
      <c r="A36" s="18">
        <v>35</v>
      </c>
      <c r="B36" s="13" t="s">
        <v>108</v>
      </c>
      <c r="C36" s="13" t="s">
        <v>114</v>
      </c>
      <c r="D36" s="10" t="s">
        <v>119</v>
      </c>
      <c r="E36" s="7" t="s">
        <v>86</v>
      </c>
      <c r="F36" s="7" t="s">
        <v>125</v>
      </c>
      <c r="G36" s="7" t="s">
        <v>489</v>
      </c>
      <c r="H36" s="9" t="s">
        <v>34</v>
      </c>
      <c r="I36" s="8">
        <v>6</v>
      </c>
      <c r="J36" s="8">
        <v>35</v>
      </c>
      <c r="K36" s="8">
        <v>4.0999999999999996</v>
      </c>
      <c r="L36" s="5" t="s">
        <v>50</v>
      </c>
      <c r="M36" s="11" t="s">
        <v>131</v>
      </c>
      <c r="N36" s="6" t="s">
        <v>135</v>
      </c>
      <c r="O36" s="6">
        <f>U36*0.2522</f>
        <v>15490.123999999998</v>
      </c>
      <c r="P36" s="6">
        <f>U36*0.0665</f>
        <v>4084.4300000000003</v>
      </c>
      <c r="Q36" s="6">
        <f>U36*0.5713</f>
        <v>35089.245999999999</v>
      </c>
      <c r="R36" s="6">
        <f>U36*0.0878</f>
        <v>5392.6760000000004</v>
      </c>
      <c r="S36" s="6">
        <f>U36*0.0223</f>
        <v>1369.6659999999999</v>
      </c>
      <c r="T36" s="6" t="s">
        <v>135</v>
      </c>
      <c r="U36" s="6">
        <v>61420</v>
      </c>
      <c r="V36" s="6" t="s">
        <v>135</v>
      </c>
      <c r="W36" s="6">
        <v>0</v>
      </c>
      <c r="X36" s="6">
        <f>18*14.4*162/100</f>
        <v>419.904</v>
      </c>
      <c r="Y36" s="3" t="s">
        <v>123</v>
      </c>
      <c r="Z36" s="3">
        <f>14.82*1000/8</f>
        <v>1852.5</v>
      </c>
      <c r="AA36" s="3">
        <f t="shared" si="22"/>
        <v>33.207117437722424</v>
      </c>
      <c r="AB36" s="3">
        <f t="shared" si="23"/>
        <v>1885.7071174377224</v>
      </c>
      <c r="AC36" s="4" t="s">
        <v>123</v>
      </c>
      <c r="AD36" s="4" t="s">
        <v>123</v>
      </c>
      <c r="AE36" s="4">
        <f t="shared" si="14"/>
        <v>0.98239009805359179</v>
      </c>
      <c r="AF36" s="4" t="s">
        <v>123</v>
      </c>
      <c r="AG36" s="4" t="s">
        <v>123</v>
      </c>
      <c r="AH36" s="3" t="s">
        <v>123</v>
      </c>
      <c r="AI36" s="46" t="str">
        <f t="shared" si="1"/>
        <v>NC</v>
      </c>
    </row>
    <row r="37" spans="1:35" x14ac:dyDescent="0.2">
      <c r="A37" s="18">
        <v>36</v>
      </c>
      <c r="B37" s="13" t="s">
        <v>108</v>
      </c>
      <c r="C37" s="13" t="s">
        <v>115</v>
      </c>
      <c r="D37" s="10" t="s">
        <v>119</v>
      </c>
      <c r="E37" s="7" t="s">
        <v>86</v>
      </c>
      <c r="F37" s="7" t="s">
        <v>125</v>
      </c>
      <c r="G37" s="7" t="s">
        <v>489</v>
      </c>
      <c r="H37" s="9" t="s">
        <v>35</v>
      </c>
      <c r="I37" s="8">
        <v>6</v>
      </c>
      <c r="J37" s="8">
        <v>35</v>
      </c>
      <c r="K37" s="8">
        <v>3.7</v>
      </c>
      <c r="L37" s="5" t="s">
        <v>50</v>
      </c>
      <c r="M37" s="11" t="s">
        <v>132</v>
      </c>
      <c r="N37" s="6" t="s">
        <v>135</v>
      </c>
      <c r="O37" s="6">
        <f>U37*0.2218</f>
        <v>13418.9</v>
      </c>
      <c r="P37" s="6">
        <f>U37*0.0468</f>
        <v>2831.4</v>
      </c>
      <c r="Q37" s="6">
        <f>U37*0.6571</f>
        <v>39754.550000000003</v>
      </c>
      <c r="R37" s="6">
        <f>U37*0.0642</f>
        <v>3884.0999999999995</v>
      </c>
      <c r="S37" s="6">
        <f>U37*0.0101</f>
        <v>611.04999999999995</v>
      </c>
      <c r="T37" s="6" t="s">
        <v>135</v>
      </c>
      <c r="U37" s="6">
        <v>60500</v>
      </c>
      <c r="V37" s="6" t="s">
        <v>135</v>
      </c>
      <c r="W37" s="6">
        <v>0</v>
      </c>
      <c r="X37" s="6">
        <f>20*11.8*174.9/100</f>
        <v>412.76400000000001</v>
      </c>
      <c r="Y37" s="3" t="s">
        <v>123</v>
      </c>
      <c r="Z37" s="3">
        <f>16.22*1000/8</f>
        <v>2027.4999999999998</v>
      </c>
      <c r="AA37" s="3">
        <f t="shared" si="22"/>
        <v>32.642467378410444</v>
      </c>
      <c r="AB37" s="3">
        <f t="shared" si="23"/>
        <v>2060.1424673784104</v>
      </c>
      <c r="AC37" s="4" t="s">
        <v>123</v>
      </c>
      <c r="AD37" s="4" t="s">
        <v>123</v>
      </c>
      <c r="AE37" s="4">
        <f t="shared" si="14"/>
        <v>0.98415523785597747</v>
      </c>
      <c r="AF37" s="4" t="s">
        <v>123</v>
      </c>
      <c r="AG37" s="4" t="s">
        <v>123</v>
      </c>
      <c r="AH37" s="3" t="s">
        <v>123</v>
      </c>
      <c r="AI37" s="46" t="str">
        <f t="shared" si="1"/>
        <v>NC</v>
      </c>
    </row>
    <row r="38" spans="1:35" x14ac:dyDescent="0.2">
      <c r="A38" s="18">
        <v>37</v>
      </c>
      <c r="B38" s="13" t="s">
        <v>108</v>
      </c>
      <c r="C38" s="13" t="s">
        <v>116</v>
      </c>
      <c r="D38" s="10" t="s">
        <v>119</v>
      </c>
      <c r="E38" s="7" t="s">
        <v>86</v>
      </c>
      <c r="F38" s="7" t="s">
        <v>125</v>
      </c>
      <c r="G38" s="7" t="s">
        <v>489</v>
      </c>
      <c r="H38" s="9" t="s">
        <v>36</v>
      </c>
      <c r="I38" s="8">
        <v>6</v>
      </c>
      <c r="J38" s="8">
        <v>35</v>
      </c>
      <c r="K38" s="8">
        <v>3.4</v>
      </c>
      <c r="L38" s="5" t="s">
        <v>50</v>
      </c>
      <c r="M38" s="11" t="s">
        <v>133</v>
      </c>
      <c r="N38" s="6" t="s">
        <v>135</v>
      </c>
      <c r="O38" s="6">
        <f>U38*0.2216</f>
        <v>13012.351999999999</v>
      </c>
      <c r="P38" s="6">
        <f>U38*0.0376</f>
        <v>2207.8720000000003</v>
      </c>
      <c r="Q38" s="6">
        <f>U38*0.6755</f>
        <v>39665.360000000001</v>
      </c>
      <c r="R38" s="6">
        <f>U38*0.0609</f>
        <v>3576.0480000000002</v>
      </c>
      <c r="S38" s="6">
        <f>U38*0.0044</f>
        <v>258.36799999999999</v>
      </c>
      <c r="T38" s="6" t="s">
        <v>135</v>
      </c>
      <c r="U38" s="6">
        <v>58720</v>
      </c>
      <c r="V38" s="6" t="s">
        <v>135</v>
      </c>
      <c r="W38" s="6">
        <v>0</v>
      </c>
      <c r="X38" s="6">
        <f>22*11.6*177.4/100</f>
        <v>452.72479999999996</v>
      </c>
      <c r="Y38" s="3" t="s">
        <v>123</v>
      </c>
      <c r="Z38" s="3">
        <f>17.38*1000/8</f>
        <v>2172.5</v>
      </c>
      <c r="AA38" s="3">
        <f t="shared" si="22"/>
        <v>35.802672993277973</v>
      </c>
      <c r="AB38" s="3">
        <f t="shared" si="23"/>
        <v>2208.3026729932781</v>
      </c>
      <c r="AC38" s="4" t="s">
        <v>123</v>
      </c>
      <c r="AD38" s="4" t="s">
        <v>123</v>
      </c>
      <c r="AE38" s="4">
        <f t="shared" si="14"/>
        <v>0.98378724373649884</v>
      </c>
      <c r="AF38" s="4" t="s">
        <v>123</v>
      </c>
      <c r="AG38" s="4" t="s">
        <v>123</v>
      </c>
      <c r="AH38" s="3" t="s">
        <v>123</v>
      </c>
      <c r="AI38" s="46" t="str">
        <f t="shared" si="1"/>
        <v>NC</v>
      </c>
    </row>
    <row r="39" spans="1:35" x14ac:dyDescent="0.2">
      <c r="A39" s="18">
        <v>38</v>
      </c>
      <c r="B39" s="13" t="s">
        <v>108</v>
      </c>
      <c r="C39" s="13" t="s">
        <v>117</v>
      </c>
      <c r="D39" s="10" t="s">
        <v>119</v>
      </c>
      <c r="E39" s="7" t="s">
        <v>86</v>
      </c>
      <c r="F39" s="7" t="s">
        <v>125</v>
      </c>
      <c r="G39" s="7" t="s">
        <v>489</v>
      </c>
      <c r="H39" s="9" t="s">
        <v>37</v>
      </c>
      <c r="I39" s="8">
        <v>6</v>
      </c>
      <c r="J39" s="8">
        <v>35</v>
      </c>
      <c r="K39" s="8">
        <v>3.1</v>
      </c>
      <c r="L39" s="5" t="s">
        <v>50</v>
      </c>
      <c r="M39" s="11" t="s">
        <v>134</v>
      </c>
      <c r="N39" s="6" t="s">
        <v>135</v>
      </c>
      <c r="O39" s="6">
        <f>U39*0.2377</f>
        <v>13373.002</v>
      </c>
      <c r="P39" s="6">
        <f>U39*0.042</f>
        <v>2362.92</v>
      </c>
      <c r="Q39" s="6">
        <f>U39*0.6594</f>
        <v>37097.843999999997</v>
      </c>
      <c r="R39" s="6">
        <f>U39*0.0554</f>
        <v>3116.8040000000001</v>
      </c>
      <c r="S39" s="6">
        <f>U39*0.0054</f>
        <v>303.80400000000003</v>
      </c>
      <c r="T39" s="6" t="s">
        <v>135</v>
      </c>
      <c r="U39" s="6">
        <v>56260</v>
      </c>
      <c r="V39" s="6" t="s">
        <v>135</v>
      </c>
      <c r="W39" s="6">
        <v>0</v>
      </c>
      <c r="X39" s="6">
        <f>24*12.9*168.3/100</f>
        <v>521.05680000000007</v>
      </c>
      <c r="Y39" s="3" t="s">
        <v>123</v>
      </c>
      <c r="Z39" s="3">
        <f>18.1*1000/8</f>
        <v>2262.5</v>
      </c>
      <c r="AA39" s="3">
        <f t="shared" si="22"/>
        <v>41.206548042704632</v>
      </c>
      <c r="AB39" s="3">
        <f t="shared" si="23"/>
        <v>2303.7065480427045</v>
      </c>
      <c r="AC39" s="4" t="s">
        <v>123</v>
      </c>
      <c r="AD39" s="4" t="s">
        <v>123</v>
      </c>
      <c r="AE39" s="4">
        <f t="shared" si="14"/>
        <v>0.98211293531386856</v>
      </c>
      <c r="AF39" s="4" t="s">
        <v>123</v>
      </c>
      <c r="AG39" s="4" t="s">
        <v>123</v>
      </c>
      <c r="AH39" s="3" t="s">
        <v>123</v>
      </c>
      <c r="AI39" s="46" t="str">
        <f t="shared" si="1"/>
        <v>NC</v>
      </c>
    </row>
    <row r="40" spans="1:35" ht="17" thickBot="1" x14ac:dyDescent="0.25">
      <c r="A40"/>
    </row>
    <row r="41" spans="1:35" ht="16" customHeight="1" x14ac:dyDescent="0.2">
      <c r="A41" s="117" t="s">
        <v>121</v>
      </c>
      <c r="B41" s="118"/>
      <c r="C41" s="118"/>
      <c r="D41" s="119"/>
    </row>
    <row r="42" spans="1:35" x14ac:dyDescent="0.2">
      <c r="A42" s="120"/>
      <c r="B42" s="121"/>
      <c r="C42" s="121"/>
      <c r="D42" s="122"/>
    </row>
    <row r="43" spans="1:35" x14ac:dyDescent="0.2">
      <c r="A43" s="120"/>
      <c r="B43" s="121"/>
      <c r="C43" s="121"/>
      <c r="D43" s="122"/>
    </row>
    <row r="44" spans="1:35" ht="17" thickBot="1" x14ac:dyDescent="0.25">
      <c r="A44" s="123"/>
      <c r="B44" s="124"/>
      <c r="C44" s="124"/>
      <c r="D44" s="125"/>
    </row>
    <row r="45" spans="1:35" ht="17" thickBot="1" x14ac:dyDescent="0.25"/>
    <row r="46" spans="1:35" ht="16" customHeight="1" x14ac:dyDescent="0.2">
      <c r="A46" s="126" t="s">
        <v>488</v>
      </c>
      <c r="B46" s="127"/>
      <c r="C46" s="127"/>
      <c r="D46" s="127"/>
      <c r="E46" s="127"/>
      <c r="F46" s="128"/>
    </row>
    <row r="47" spans="1:35" x14ac:dyDescent="0.2">
      <c r="A47" s="129"/>
      <c r="B47" s="130"/>
      <c r="C47" s="130"/>
      <c r="D47" s="130"/>
      <c r="E47" s="130"/>
      <c r="F47" s="131"/>
    </row>
    <row r="48" spans="1:35" x14ac:dyDescent="0.2">
      <c r="A48" s="129"/>
      <c r="B48" s="130"/>
      <c r="C48" s="130"/>
      <c r="D48" s="130"/>
      <c r="E48" s="130"/>
      <c r="F48" s="131"/>
    </row>
    <row r="49" spans="1:6" x14ac:dyDescent="0.2">
      <c r="A49" s="129"/>
      <c r="B49" s="130"/>
      <c r="C49" s="130"/>
      <c r="D49" s="130"/>
      <c r="E49" s="130"/>
      <c r="F49" s="131"/>
    </row>
    <row r="50" spans="1:6" x14ac:dyDescent="0.2">
      <c r="A50" s="129"/>
      <c r="B50" s="130"/>
      <c r="C50" s="130"/>
      <c r="D50" s="130"/>
      <c r="E50" s="130"/>
      <c r="F50" s="131"/>
    </row>
    <row r="51" spans="1:6" x14ac:dyDescent="0.2">
      <c r="A51" s="129"/>
      <c r="B51" s="130"/>
      <c r="C51" s="130"/>
      <c r="D51" s="130"/>
      <c r="E51" s="130"/>
      <c r="F51" s="131"/>
    </row>
    <row r="52" spans="1:6" x14ac:dyDescent="0.2">
      <c r="A52" s="129"/>
      <c r="B52" s="130"/>
      <c r="C52" s="130"/>
      <c r="D52" s="130"/>
      <c r="E52" s="130"/>
      <c r="F52" s="131"/>
    </row>
    <row r="53" spans="1:6" ht="17" thickBot="1" x14ac:dyDescent="0.25">
      <c r="A53" s="132"/>
      <c r="B53" s="133"/>
      <c r="C53" s="133"/>
      <c r="D53" s="133"/>
      <c r="E53" s="133"/>
      <c r="F53" s="134"/>
    </row>
  </sheetData>
  <mergeCells count="2">
    <mergeCell ref="A41:D44"/>
    <mergeCell ref="A46:F53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88312-C37A-9448-91CE-5D0D27415BC8}">
  <dimension ref="A1:GN41"/>
  <sheetViews>
    <sheetView topLeftCell="AC1" workbookViewId="0">
      <selection activeCell="AH7" sqref="AH7"/>
    </sheetView>
  </sheetViews>
  <sheetFormatPr baseColWidth="10" defaultRowHeight="16" x14ac:dyDescent="0.2"/>
  <cols>
    <col min="1" max="1" width="4.1640625" style="1" customWidth="1"/>
    <col min="2" max="2" width="16.6640625" customWidth="1"/>
    <col min="3" max="3" width="16.83203125" customWidth="1"/>
    <col min="4" max="4" width="21.5" customWidth="1"/>
    <col min="5" max="5" width="10.1640625" customWidth="1"/>
    <col min="6" max="6" width="10.6640625" customWidth="1"/>
    <col min="7" max="7" width="13.1640625" customWidth="1"/>
    <col min="8" max="8" width="14.33203125" customWidth="1"/>
    <col min="9" max="9" width="12.1640625" customWidth="1"/>
    <col min="10" max="10" width="4.5" customWidth="1"/>
    <col min="11" max="11" width="9" customWidth="1"/>
    <col min="12" max="12" width="17.83203125" customWidth="1"/>
    <col min="13" max="13" width="10.1640625" customWidth="1"/>
    <col min="14" max="14" width="12.83203125" customWidth="1"/>
    <col min="25" max="25" width="17" customWidth="1"/>
    <col min="28" max="29" width="13" customWidth="1"/>
  </cols>
  <sheetData>
    <row r="1" spans="1:196" s="2" customFormat="1" ht="91" x14ac:dyDescent="0.2">
      <c r="A1" s="18" t="s">
        <v>77</v>
      </c>
      <c r="B1" s="17" t="s">
        <v>38</v>
      </c>
      <c r="C1" s="17" t="s">
        <v>0</v>
      </c>
      <c r="D1" s="12" t="s">
        <v>1</v>
      </c>
      <c r="E1" s="12" t="s">
        <v>3</v>
      </c>
      <c r="F1" s="12" t="s">
        <v>4</v>
      </c>
      <c r="G1" s="12" t="s">
        <v>487</v>
      </c>
      <c r="H1" s="12" t="s">
        <v>136</v>
      </c>
      <c r="I1" s="12" t="s">
        <v>5</v>
      </c>
      <c r="J1" s="12" t="s">
        <v>6</v>
      </c>
      <c r="K1" s="12" t="s">
        <v>7</v>
      </c>
      <c r="L1" s="12" t="s">
        <v>8</v>
      </c>
      <c r="M1" s="14" t="s">
        <v>49</v>
      </c>
      <c r="N1" s="14" t="s">
        <v>2</v>
      </c>
      <c r="O1" s="15" t="s">
        <v>137</v>
      </c>
      <c r="P1" s="15" t="s">
        <v>138</v>
      </c>
      <c r="Q1" s="15" t="s">
        <v>139</v>
      </c>
      <c r="R1" s="15" t="s">
        <v>140</v>
      </c>
      <c r="S1" s="15" t="s">
        <v>141</v>
      </c>
      <c r="T1" s="15" t="s">
        <v>142</v>
      </c>
      <c r="U1" s="15" t="s">
        <v>143</v>
      </c>
      <c r="V1" s="15" t="s">
        <v>144</v>
      </c>
      <c r="W1" s="15" t="s">
        <v>145</v>
      </c>
      <c r="X1" s="15" t="s">
        <v>146</v>
      </c>
      <c r="Y1" s="15" t="s">
        <v>147</v>
      </c>
      <c r="Z1" s="15" t="s">
        <v>148</v>
      </c>
      <c r="AA1" s="16" t="s">
        <v>149</v>
      </c>
      <c r="AB1" s="16" t="s">
        <v>150</v>
      </c>
      <c r="AC1" s="16" t="s">
        <v>151</v>
      </c>
      <c r="AD1" s="16" t="s">
        <v>152</v>
      </c>
      <c r="AE1" s="16" t="s">
        <v>17</v>
      </c>
      <c r="AF1" s="16" t="s">
        <v>18</v>
      </c>
      <c r="AG1" s="16" t="s">
        <v>19</v>
      </c>
      <c r="AH1" s="16" t="s">
        <v>20</v>
      </c>
      <c r="AI1" s="16" t="s">
        <v>153</v>
      </c>
      <c r="AJ1" s="16" t="s">
        <v>21</v>
      </c>
      <c r="AK1" s="45" t="s">
        <v>486</v>
      </c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</row>
    <row r="2" spans="1:196" ht="26" x14ac:dyDescent="0.2">
      <c r="A2" s="18">
        <v>1</v>
      </c>
      <c r="B2" s="13" t="s">
        <v>154</v>
      </c>
      <c r="C2" s="13" t="s">
        <v>155</v>
      </c>
      <c r="D2" s="10" t="s">
        <v>156</v>
      </c>
      <c r="E2" s="7" t="s">
        <v>157</v>
      </c>
      <c r="F2" s="7" t="s">
        <v>158</v>
      </c>
      <c r="G2" s="7" t="s">
        <v>515</v>
      </c>
      <c r="H2" s="7" t="s">
        <v>159</v>
      </c>
      <c r="I2" s="8" t="s">
        <v>160</v>
      </c>
      <c r="J2" s="8">
        <v>6.8</v>
      </c>
      <c r="K2" s="8">
        <v>30</v>
      </c>
      <c r="L2" s="8">
        <v>0.70799999999999996</v>
      </c>
      <c r="M2" s="5" t="s">
        <v>161</v>
      </c>
      <c r="N2" s="11" t="s">
        <v>162</v>
      </c>
      <c r="O2" s="19">
        <f>32.5*2.084*1000</f>
        <v>67730</v>
      </c>
      <c r="P2" s="6" t="s">
        <v>135</v>
      </c>
      <c r="Q2" s="19">
        <f>10.9*1.512*1000</f>
        <v>16480.800000000003</v>
      </c>
      <c r="R2" s="6" t="s">
        <v>135</v>
      </c>
      <c r="S2" s="6" t="s">
        <v>135</v>
      </c>
      <c r="T2" s="19">
        <f>10.8*2.204*1000</f>
        <v>23803.200000000004</v>
      </c>
      <c r="U2" s="19">
        <f>1.8*2.335*1000</f>
        <v>4203</v>
      </c>
      <c r="V2" s="19">
        <f>SUM(T2:U2)</f>
        <v>28006.200000000004</v>
      </c>
      <c r="W2" s="6" t="s">
        <v>135</v>
      </c>
      <c r="X2" s="6">
        <v>72.599999999999994</v>
      </c>
      <c r="Y2" s="6" t="s">
        <v>135</v>
      </c>
      <c r="Z2" s="6" t="s">
        <v>135</v>
      </c>
      <c r="AA2" s="3">
        <f>(O2+Q2)/8</f>
        <v>10526.35</v>
      </c>
      <c r="AB2" s="3">
        <f>V2/8</f>
        <v>3500.7750000000005</v>
      </c>
      <c r="AC2" s="3">
        <f>X2*8</f>
        <v>580.79999999999995</v>
      </c>
      <c r="AD2" s="3">
        <f>AB2+AC2</f>
        <v>4081.5750000000007</v>
      </c>
      <c r="AE2" s="3">
        <f>AB2/AA2</f>
        <v>0.3325725441392316</v>
      </c>
      <c r="AF2" s="3">
        <f>AC2/AA2</f>
        <v>5.5175820678582788E-2</v>
      </c>
      <c r="AG2" s="3">
        <f>AB2/AD2</f>
        <v>0.85770199004060932</v>
      </c>
      <c r="AH2" s="3">
        <f>AD2/AA2</f>
        <v>0.38774836481781438</v>
      </c>
      <c r="AI2" s="3">
        <f>AA2-SUM(AB2:AC2)</f>
        <v>6444.7749999999996</v>
      </c>
      <c r="AJ2" s="3">
        <f>AI2/AA2</f>
        <v>0.61225163518218562</v>
      </c>
      <c r="AK2" s="46" t="str">
        <f>IF(G2="","",IF(AH2="NC","NC",IF(OR(AH2&lt;0,AH2&gt;1),"Excluded",IF(OR(G2="Total COD",G2="Mixed"),"Lower bound",IF(OR(G2="Defined substrate",G2="Biodegradable COD"),"As calculated","CHECK")))))</f>
        <v>As calculated</v>
      </c>
    </row>
    <row r="3" spans="1:196" ht="26" x14ac:dyDescent="0.2">
      <c r="A3" s="18">
        <v>2</v>
      </c>
      <c r="B3" s="13" t="s">
        <v>154</v>
      </c>
      <c r="C3" s="13" t="s">
        <v>163</v>
      </c>
      <c r="D3" s="10" t="s">
        <v>156</v>
      </c>
      <c r="E3" s="7" t="s">
        <v>157</v>
      </c>
      <c r="F3" s="7" t="s">
        <v>158</v>
      </c>
      <c r="G3" s="7" t="s">
        <v>515</v>
      </c>
      <c r="H3" s="7" t="s">
        <v>159</v>
      </c>
      <c r="I3" s="8" t="s">
        <v>164</v>
      </c>
      <c r="J3" s="8">
        <v>6.8</v>
      </c>
      <c r="K3" s="8">
        <v>30</v>
      </c>
      <c r="L3" s="8">
        <v>0.70799999999999996</v>
      </c>
      <c r="M3" s="5" t="s">
        <v>161</v>
      </c>
      <c r="N3" s="11" t="s">
        <v>165</v>
      </c>
      <c r="O3" s="19">
        <f>16.3*2.084*1000</f>
        <v>33969.199999999997</v>
      </c>
      <c r="P3" s="6" t="s">
        <v>135</v>
      </c>
      <c r="Q3" s="19">
        <f t="shared" ref="Q3:Q6" si="0">10.9*1.512*1000</f>
        <v>16480.800000000003</v>
      </c>
      <c r="R3" s="6" t="s">
        <v>135</v>
      </c>
      <c r="S3" s="6" t="s">
        <v>135</v>
      </c>
      <c r="T3" s="19">
        <f>4.6*2.204*1000</f>
        <v>10138.400000000001</v>
      </c>
      <c r="U3" s="19">
        <f>1.7*2.335*1000</f>
        <v>3969.5</v>
      </c>
      <c r="V3" s="19">
        <f t="shared" ref="V3:V6" si="1">SUM(T3:U3)</f>
        <v>14107.900000000001</v>
      </c>
      <c r="W3" s="6" t="s">
        <v>135</v>
      </c>
      <c r="X3" s="6">
        <v>34.299999999999997</v>
      </c>
      <c r="Y3" s="6" t="s">
        <v>135</v>
      </c>
      <c r="Z3" s="6" t="s">
        <v>135</v>
      </c>
      <c r="AA3" s="3">
        <f t="shared" ref="AA3:AA6" si="2">(O3+Q3)/8</f>
        <v>6306.25</v>
      </c>
      <c r="AB3" s="3">
        <f t="shared" ref="AB3:AB6" si="3">V3/8</f>
        <v>1763.4875000000002</v>
      </c>
      <c r="AC3" s="3">
        <f t="shared" ref="AC3:AC6" si="4">X3*8</f>
        <v>274.39999999999998</v>
      </c>
      <c r="AD3" s="3">
        <f t="shared" ref="AD3:AD27" si="5">AB3+AC3</f>
        <v>2037.8875000000003</v>
      </c>
      <c r="AE3" s="3">
        <f t="shared" ref="AE3:AE27" si="6">AB3/AA3</f>
        <v>0.27964122893954413</v>
      </c>
      <c r="AF3" s="3">
        <f t="shared" ref="AF3:AF27" si="7">AC3/AA3</f>
        <v>4.351238850346878E-2</v>
      </c>
      <c r="AG3" s="3">
        <f t="shared" ref="AG3:AG27" si="8">AB3/AD3</f>
        <v>0.86535076151161427</v>
      </c>
      <c r="AH3" s="3">
        <f t="shared" ref="AH3:AH27" si="9">AD3/AA3</f>
        <v>0.32315361744301291</v>
      </c>
      <c r="AI3" s="3">
        <f t="shared" ref="AI3:AI13" si="10">AA3-SUM(AB3:AC3)</f>
        <v>4268.3624999999993</v>
      </c>
      <c r="AJ3" s="3">
        <f t="shared" ref="AJ3:AJ27" si="11">AI3/AA3</f>
        <v>0.67684638255698704</v>
      </c>
      <c r="AK3" s="46" t="str">
        <f t="shared" ref="AK3:AK27" si="12">IF(G3="","",IF(AH3="NC","NC",IF(OR(AH3&lt;0,AH3&gt;1),"Excluded",IF(OR(G3="Total COD",G3="Mixed"),"Lower bound",IF(OR(G3="Defined substrate",G3="Biodegradable COD"),"As calculated","CHECK")))))</f>
        <v>As calculated</v>
      </c>
    </row>
    <row r="4" spans="1:196" ht="26" x14ac:dyDescent="0.2">
      <c r="A4" s="18">
        <v>3</v>
      </c>
      <c r="B4" s="13" t="s">
        <v>154</v>
      </c>
      <c r="C4" s="13" t="s">
        <v>166</v>
      </c>
      <c r="D4" s="10" t="s">
        <v>156</v>
      </c>
      <c r="E4" s="7" t="s">
        <v>157</v>
      </c>
      <c r="F4" s="7" t="s">
        <v>158</v>
      </c>
      <c r="G4" s="7" t="s">
        <v>515</v>
      </c>
      <c r="H4" s="7" t="s">
        <v>159</v>
      </c>
      <c r="I4" s="8" t="s">
        <v>167</v>
      </c>
      <c r="J4" s="8">
        <v>6.8</v>
      </c>
      <c r="K4" s="8">
        <v>30</v>
      </c>
      <c r="L4" s="8">
        <v>0.70799999999999996</v>
      </c>
      <c r="M4" s="5" t="s">
        <v>161</v>
      </c>
      <c r="N4" s="11" t="s">
        <v>168</v>
      </c>
      <c r="O4" s="19">
        <f>16.3*2.084*1000</f>
        <v>33969.199999999997</v>
      </c>
      <c r="P4" s="6" t="s">
        <v>135</v>
      </c>
      <c r="Q4" s="19">
        <f t="shared" si="0"/>
        <v>16480.800000000003</v>
      </c>
      <c r="R4" s="6" t="s">
        <v>135</v>
      </c>
      <c r="S4" s="6" t="s">
        <v>135</v>
      </c>
      <c r="T4" s="19">
        <f>2.9*2.204*1000</f>
        <v>6391.6</v>
      </c>
      <c r="U4" s="19">
        <f>1.2*2.335*1000</f>
        <v>2802</v>
      </c>
      <c r="V4" s="19">
        <f t="shared" si="1"/>
        <v>9193.6</v>
      </c>
      <c r="W4" s="6" t="s">
        <v>135</v>
      </c>
      <c r="X4" s="6">
        <v>17.100000000000001</v>
      </c>
      <c r="Y4" s="6" t="s">
        <v>135</v>
      </c>
      <c r="Z4" s="6" t="s">
        <v>135</v>
      </c>
      <c r="AA4" s="3">
        <f t="shared" si="2"/>
        <v>6306.25</v>
      </c>
      <c r="AB4" s="3">
        <f t="shared" si="3"/>
        <v>1149.2</v>
      </c>
      <c r="AC4" s="3">
        <f t="shared" si="4"/>
        <v>136.80000000000001</v>
      </c>
      <c r="AD4" s="3">
        <f t="shared" si="5"/>
        <v>1286</v>
      </c>
      <c r="AE4" s="3">
        <f t="shared" si="6"/>
        <v>0.18223191278493558</v>
      </c>
      <c r="AF4" s="3">
        <f t="shared" si="7"/>
        <v>2.1692765113974232E-2</v>
      </c>
      <c r="AG4" s="3">
        <f t="shared" si="8"/>
        <v>0.89362363919129084</v>
      </c>
      <c r="AH4" s="3">
        <f t="shared" si="9"/>
        <v>0.20392467789890981</v>
      </c>
      <c r="AI4" s="3">
        <f t="shared" si="10"/>
        <v>5020.25</v>
      </c>
      <c r="AJ4" s="3">
        <f t="shared" si="11"/>
        <v>0.79607532210109022</v>
      </c>
      <c r="AK4" s="46" t="str">
        <f t="shared" si="12"/>
        <v>As calculated</v>
      </c>
    </row>
    <row r="5" spans="1:196" ht="26" x14ac:dyDescent="0.2">
      <c r="A5" s="18">
        <v>4</v>
      </c>
      <c r="B5" s="13" t="s">
        <v>154</v>
      </c>
      <c r="C5" s="13" t="s">
        <v>169</v>
      </c>
      <c r="D5" s="10" t="s">
        <v>156</v>
      </c>
      <c r="E5" s="7" t="s">
        <v>157</v>
      </c>
      <c r="F5" s="7" t="s">
        <v>158</v>
      </c>
      <c r="G5" s="7" t="s">
        <v>515</v>
      </c>
      <c r="H5" s="7" t="s">
        <v>159</v>
      </c>
      <c r="I5" s="8" t="s">
        <v>170</v>
      </c>
      <c r="J5" s="8">
        <v>6.8</v>
      </c>
      <c r="K5" s="8">
        <v>30</v>
      </c>
      <c r="L5" s="8">
        <v>0.70799999999999996</v>
      </c>
      <c r="M5" s="5" t="s">
        <v>161</v>
      </c>
      <c r="N5" s="11" t="s">
        <v>171</v>
      </c>
      <c r="O5" s="19">
        <f>16.3*2.084*1000</f>
        <v>33969.199999999997</v>
      </c>
      <c r="P5" s="6" t="s">
        <v>135</v>
      </c>
      <c r="Q5" s="19">
        <f t="shared" si="0"/>
        <v>16480.800000000003</v>
      </c>
      <c r="R5" s="6" t="s">
        <v>135</v>
      </c>
      <c r="S5" s="6" t="s">
        <v>135</v>
      </c>
      <c r="T5" s="19">
        <f>0.4*2.204*1000</f>
        <v>881.60000000000014</v>
      </c>
      <c r="U5" s="19">
        <f>0.2*2.335*1000</f>
        <v>467</v>
      </c>
      <c r="V5" s="19">
        <f t="shared" si="1"/>
        <v>1348.6000000000001</v>
      </c>
      <c r="W5" s="6" t="s">
        <v>135</v>
      </c>
      <c r="X5" s="6">
        <v>1.5</v>
      </c>
      <c r="Y5" s="6" t="s">
        <v>135</v>
      </c>
      <c r="Z5" s="6" t="s">
        <v>135</v>
      </c>
      <c r="AA5" s="3">
        <f t="shared" si="2"/>
        <v>6306.25</v>
      </c>
      <c r="AB5" s="3">
        <f t="shared" si="3"/>
        <v>168.57500000000002</v>
      </c>
      <c r="AC5" s="3">
        <f t="shared" si="4"/>
        <v>12</v>
      </c>
      <c r="AD5" s="3">
        <f t="shared" si="5"/>
        <v>180.57500000000002</v>
      </c>
      <c r="AE5" s="3">
        <f t="shared" si="6"/>
        <v>2.6731417244796832E-2</v>
      </c>
      <c r="AF5" s="3">
        <f t="shared" si="7"/>
        <v>1.9028741328047571E-3</v>
      </c>
      <c r="AG5" s="3">
        <f t="shared" si="8"/>
        <v>0.93354561816419768</v>
      </c>
      <c r="AH5" s="3">
        <f t="shared" si="9"/>
        <v>2.8634291377601588E-2</v>
      </c>
      <c r="AI5" s="3">
        <f t="shared" si="10"/>
        <v>6125.6750000000002</v>
      </c>
      <c r="AJ5" s="3">
        <f t="shared" si="11"/>
        <v>0.97136570862239846</v>
      </c>
      <c r="AK5" s="46" t="str">
        <f t="shared" si="12"/>
        <v>As calculated</v>
      </c>
    </row>
    <row r="6" spans="1:196" ht="26" x14ac:dyDescent="0.2">
      <c r="A6" s="18">
        <v>5</v>
      </c>
      <c r="B6" s="13" t="s">
        <v>154</v>
      </c>
      <c r="C6" s="13" t="s">
        <v>172</v>
      </c>
      <c r="D6" s="10" t="s">
        <v>156</v>
      </c>
      <c r="E6" s="7" t="s">
        <v>157</v>
      </c>
      <c r="F6" s="7" t="s">
        <v>158</v>
      </c>
      <c r="G6" s="7" t="s">
        <v>515</v>
      </c>
      <c r="H6" s="7" t="s">
        <v>159</v>
      </c>
      <c r="I6" s="8" t="s">
        <v>173</v>
      </c>
      <c r="J6" s="8">
        <v>6.8</v>
      </c>
      <c r="K6" s="8">
        <v>30</v>
      </c>
      <c r="L6" s="8">
        <v>0.70799999999999996</v>
      </c>
      <c r="M6" s="5" t="s">
        <v>161</v>
      </c>
      <c r="N6" s="11" t="s">
        <v>521</v>
      </c>
      <c r="O6" s="19">
        <f t="shared" ref="O6" si="13">16.3*2.087*1000</f>
        <v>34018.100000000006</v>
      </c>
      <c r="P6" s="6" t="s">
        <v>135</v>
      </c>
      <c r="Q6" s="19">
        <f t="shared" si="0"/>
        <v>16480.800000000003</v>
      </c>
      <c r="R6" s="6" t="s">
        <v>135</v>
      </c>
      <c r="S6" s="6" t="s">
        <v>135</v>
      </c>
      <c r="T6" s="19">
        <f>3.3*2.204*1000</f>
        <v>7273.2</v>
      </c>
      <c r="U6" s="19">
        <f>1.2*2.335*1000</f>
        <v>2802</v>
      </c>
      <c r="V6" s="19">
        <f t="shared" si="1"/>
        <v>10075.200000000001</v>
      </c>
      <c r="W6" s="6" t="s">
        <v>135</v>
      </c>
      <c r="X6" s="6">
        <v>29.6</v>
      </c>
      <c r="Y6" s="6" t="s">
        <v>135</v>
      </c>
      <c r="Z6" s="6" t="s">
        <v>135</v>
      </c>
      <c r="AA6" s="3">
        <f t="shared" si="2"/>
        <v>6312.3625000000011</v>
      </c>
      <c r="AB6" s="3">
        <f t="shared" si="3"/>
        <v>1259.4000000000001</v>
      </c>
      <c r="AC6" s="3">
        <f t="shared" si="4"/>
        <v>236.8</v>
      </c>
      <c r="AD6" s="3">
        <f t="shared" si="5"/>
        <v>1496.2</v>
      </c>
      <c r="AE6" s="3">
        <f t="shared" si="6"/>
        <v>0.19951325672440387</v>
      </c>
      <c r="AF6" s="3">
        <f t="shared" si="7"/>
        <v>3.7513688416975416E-2</v>
      </c>
      <c r="AG6" s="3">
        <f t="shared" si="8"/>
        <v>0.84173238871808587</v>
      </c>
      <c r="AH6" s="3">
        <f t="shared" si="9"/>
        <v>0.23702694514137929</v>
      </c>
      <c r="AI6" s="3">
        <f t="shared" si="10"/>
        <v>4816.1625000000013</v>
      </c>
      <c r="AJ6" s="3">
        <f t="shared" si="11"/>
        <v>0.76297305485862077</v>
      </c>
      <c r="AK6" s="46" t="str">
        <f t="shared" si="12"/>
        <v>As calculated</v>
      </c>
    </row>
    <row r="7" spans="1:196" ht="26" x14ac:dyDescent="0.2">
      <c r="A7" s="18">
        <v>6</v>
      </c>
      <c r="B7" s="13" t="s">
        <v>174</v>
      </c>
      <c r="C7" s="13" t="s">
        <v>175</v>
      </c>
      <c r="D7" s="10" t="s">
        <v>52</v>
      </c>
      <c r="E7" s="7" t="s">
        <v>22</v>
      </c>
      <c r="F7" s="7" t="s">
        <v>158</v>
      </c>
      <c r="G7" s="7" t="s">
        <v>515</v>
      </c>
      <c r="H7" s="7" t="s">
        <v>176</v>
      </c>
      <c r="I7" s="9" t="s">
        <v>177</v>
      </c>
      <c r="J7" s="8" t="s">
        <v>523</v>
      </c>
      <c r="K7" s="8">
        <v>35</v>
      </c>
      <c r="L7" s="8" t="s">
        <v>522</v>
      </c>
      <c r="M7" s="5" t="s">
        <v>161</v>
      </c>
      <c r="N7" s="11" t="s">
        <v>178</v>
      </c>
      <c r="O7" s="19">
        <f>20*2.084*1000</f>
        <v>41680</v>
      </c>
      <c r="P7" s="19">
        <f>3000*1.067</f>
        <v>3201</v>
      </c>
      <c r="Q7" s="19">
        <v>0</v>
      </c>
      <c r="R7" s="19">
        <f>16.7*1000*1.816</f>
        <v>30327.200000000001</v>
      </c>
      <c r="S7" s="6" t="s">
        <v>135</v>
      </c>
      <c r="T7" s="19">
        <f>6.4*2.204*1000</f>
        <v>14105.600000000002</v>
      </c>
      <c r="U7" s="6" t="s">
        <v>135</v>
      </c>
      <c r="V7" s="19">
        <f>SUM(T7,W7)</f>
        <v>14154.420000000002</v>
      </c>
      <c r="W7" s="19">
        <f>(0.12-0.1)*1000*2.441</f>
        <v>48.819999999999972</v>
      </c>
      <c r="X7" s="6">
        <v>0</v>
      </c>
      <c r="Y7" s="20">
        <f>1.2*1000/17.3/(22.414*(273.15+35)/273.15)</f>
        <v>2.7431831730143381</v>
      </c>
      <c r="Z7" s="20">
        <f>(3.1-2.7)*1000/74.12</f>
        <v>5.3966540744738243</v>
      </c>
      <c r="AA7" s="3">
        <f>(SUM(O7:R7))/8</f>
        <v>9401.0249999999996</v>
      </c>
      <c r="AB7" s="3">
        <f>V7/8</f>
        <v>1769.3025000000002</v>
      </c>
      <c r="AC7" s="3">
        <f>SUM(X7*8+Y7*2+Z7*24)</f>
        <v>135.00606413340049</v>
      </c>
      <c r="AD7" s="3">
        <f>AB7+AC7</f>
        <v>1904.3085641334008</v>
      </c>
      <c r="AE7" s="3">
        <f t="shared" si="6"/>
        <v>0.18820314806098273</v>
      </c>
      <c r="AF7" s="3">
        <f t="shared" si="7"/>
        <v>1.4360781311974012E-2</v>
      </c>
      <c r="AG7" s="3">
        <f t="shared" si="8"/>
        <v>0.92910494303488145</v>
      </c>
      <c r="AH7" s="3">
        <f t="shared" si="9"/>
        <v>0.20256392937295675</v>
      </c>
      <c r="AI7" s="3">
        <f t="shared" si="10"/>
        <v>7496.7164358665987</v>
      </c>
      <c r="AJ7" s="3">
        <f t="shared" si="11"/>
        <v>0.79743607062704325</v>
      </c>
      <c r="AK7" s="46" t="str">
        <f t="shared" si="12"/>
        <v>As calculated</v>
      </c>
    </row>
    <row r="8" spans="1:196" ht="26" x14ac:dyDescent="0.2">
      <c r="A8" s="18">
        <v>7</v>
      </c>
      <c r="B8" s="13" t="s">
        <v>174</v>
      </c>
      <c r="C8" s="13" t="s">
        <v>179</v>
      </c>
      <c r="D8" s="10" t="s">
        <v>52</v>
      </c>
      <c r="E8" s="7" t="s">
        <v>22</v>
      </c>
      <c r="F8" s="7" t="s">
        <v>158</v>
      </c>
      <c r="G8" s="7" t="s">
        <v>515</v>
      </c>
      <c r="H8" s="7" t="s">
        <v>176</v>
      </c>
      <c r="I8" s="9" t="s">
        <v>180</v>
      </c>
      <c r="J8" s="8" t="s">
        <v>523</v>
      </c>
      <c r="K8" s="8">
        <v>35</v>
      </c>
      <c r="L8" s="8" t="s">
        <v>522</v>
      </c>
      <c r="M8" s="5" t="s">
        <v>161</v>
      </c>
      <c r="N8" s="11" t="s">
        <v>178</v>
      </c>
      <c r="O8" s="19">
        <f>20*2.084*1000</f>
        <v>41680</v>
      </c>
      <c r="P8" s="19">
        <f>2.5*1000*1.067</f>
        <v>2667.5</v>
      </c>
      <c r="Q8" s="19">
        <v>0</v>
      </c>
      <c r="R8" s="19">
        <f>25.3*1000*1.816</f>
        <v>45944.800000000003</v>
      </c>
      <c r="S8" s="6" t="s">
        <v>135</v>
      </c>
      <c r="T8" s="19">
        <f>(21.1-13.8)*2.204*1000</f>
        <v>16089.200000000003</v>
      </c>
      <c r="U8" s="6" t="s">
        <v>135</v>
      </c>
      <c r="V8" s="19">
        <f>SUM(T8,W8)</f>
        <v>16284.480000000003</v>
      </c>
      <c r="W8" s="19">
        <f>(0.21-0.13)*1000*2.441</f>
        <v>195.27999999999994</v>
      </c>
      <c r="X8" s="6">
        <v>0</v>
      </c>
      <c r="Y8" s="20">
        <f>1.1*1000/18.2/(22.414*(273.15+35)/273.15)</f>
        <v>2.3902369863765047</v>
      </c>
      <c r="Z8" s="20">
        <f>(2-1)*1000/74.12</f>
        <v>13.491635186184565</v>
      </c>
      <c r="AA8" s="3">
        <f>(SUM(O8:R8))/8</f>
        <v>11286.5375</v>
      </c>
      <c r="AB8" s="3">
        <f>V8/8</f>
        <v>2035.5600000000004</v>
      </c>
      <c r="AC8" s="3">
        <f>SUM(X8*8+Y8*2+Z8*24)</f>
        <v>328.57971844118254</v>
      </c>
      <c r="AD8" s="3">
        <f t="shared" si="5"/>
        <v>2364.139718441183</v>
      </c>
      <c r="AE8" s="3">
        <f t="shared" si="6"/>
        <v>0.18035292045944121</v>
      </c>
      <c r="AF8" s="3">
        <f t="shared" si="7"/>
        <v>2.9112535039305238E-2</v>
      </c>
      <c r="AG8" s="3">
        <f t="shared" si="8"/>
        <v>0.86101510165489092</v>
      </c>
      <c r="AH8" s="3">
        <f t="shared" si="9"/>
        <v>0.20946545549874646</v>
      </c>
      <c r="AI8" s="3">
        <f t="shared" si="10"/>
        <v>8922.3977815588169</v>
      </c>
      <c r="AJ8" s="3">
        <f t="shared" si="11"/>
        <v>0.79053454450125349</v>
      </c>
      <c r="AK8" s="46" t="str">
        <f t="shared" si="12"/>
        <v>As calculated</v>
      </c>
    </row>
    <row r="9" spans="1:196" ht="52" x14ac:dyDescent="0.2">
      <c r="A9" s="18">
        <v>8</v>
      </c>
      <c r="B9" s="13" t="s">
        <v>181</v>
      </c>
      <c r="C9" s="13" t="s">
        <v>182</v>
      </c>
      <c r="D9" s="10" t="s">
        <v>183</v>
      </c>
      <c r="E9" s="7" t="s">
        <v>22</v>
      </c>
      <c r="F9" s="7" t="s">
        <v>158</v>
      </c>
      <c r="G9" s="7" t="s">
        <v>515</v>
      </c>
      <c r="H9" s="7" t="s">
        <v>184</v>
      </c>
      <c r="I9" s="9" t="s">
        <v>185</v>
      </c>
      <c r="J9" s="8">
        <v>5.32</v>
      </c>
      <c r="K9" s="8">
        <v>35</v>
      </c>
      <c r="L9" s="8" t="s">
        <v>524</v>
      </c>
      <c r="M9" s="5" t="s">
        <v>161</v>
      </c>
      <c r="N9" s="11" t="s">
        <v>525</v>
      </c>
      <c r="O9" s="19">
        <f>200*12*8</f>
        <v>19200</v>
      </c>
      <c r="P9" s="19">
        <f>50*8*8</f>
        <v>3200</v>
      </c>
      <c r="Q9" s="6" t="s">
        <v>124</v>
      </c>
      <c r="R9" s="6" t="s">
        <v>124</v>
      </c>
      <c r="S9" s="6" t="s">
        <v>135</v>
      </c>
      <c r="T9" s="19">
        <f>(16-2)*256</f>
        <v>3584</v>
      </c>
      <c r="U9" s="6" t="s">
        <v>135</v>
      </c>
      <c r="V9" s="6">
        <f>SUM(T9:U9)</f>
        <v>3584</v>
      </c>
      <c r="W9" s="6" t="s">
        <v>135</v>
      </c>
      <c r="X9" s="6">
        <v>0</v>
      </c>
      <c r="Y9" s="20">
        <v>10</v>
      </c>
      <c r="Z9" s="20">
        <v>2.2999999999999998</v>
      </c>
      <c r="AA9" s="3">
        <f>(O9+P9)/8+0+9.4*20</f>
        <v>2988</v>
      </c>
      <c r="AB9" s="3">
        <f>V9/8</f>
        <v>448</v>
      </c>
      <c r="AC9" s="3">
        <f>Y9*2+Z9*24</f>
        <v>75.199999999999989</v>
      </c>
      <c r="AD9" s="3">
        <f t="shared" si="5"/>
        <v>523.20000000000005</v>
      </c>
      <c r="AE9" s="3">
        <f t="shared" si="6"/>
        <v>0.1499330655957162</v>
      </c>
      <c r="AF9" s="3">
        <f t="shared" si="7"/>
        <v>2.5167336010709501E-2</v>
      </c>
      <c r="AG9" s="3">
        <f t="shared" si="8"/>
        <v>0.85626911314984699</v>
      </c>
      <c r="AH9" s="3">
        <f t="shared" si="9"/>
        <v>0.17510040160642573</v>
      </c>
      <c r="AI9" s="3">
        <f t="shared" si="10"/>
        <v>2464.8000000000002</v>
      </c>
      <c r="AJ9" s="3">
        <f t="shared" si="11"/>
        <v>0.82489959839357441</v>
      </c>
      <c r="AK9" s="46" t="str">
        <f t="shared" si="12"/>
        <v>As calculated</v>
      </c>
    </row>
    <row r="10" spans="1:196" ht="52" x14ac:dyDescent="0.2">
      <c r="A10" s="18">
        <v>9</v>
      </c>
      <c r="B10" s="13" t="s">
        <v>181</v>
      </c>
      <c r="C10" s="13" t="s">
        <v>186</v>
      </c>
      <c r="D10" s="10" t="s">
        <v>183</v>
      </c>
      <c r="E10" s="7" t="s">
        <v>22</v>
      </c>
      <c r="F10" s="7" t="s">
        <v>158</v>
      </c>
      <c r="G10" s="7" t="s">
        <v>515</v>
      </c>
      <c r="H10" s="7" t="s">
        <v>184</v>
      </c>
      <c r="I10" s="9" t="s">
        <v>187</v>
      </c>
      <c r="J10" s="8">
        <v>5.7</v>
      </c>
      <c r="K10" s="8">
        <v>35</v>
      </c>
      <c r="L10" s="8" t="s">
        <v>524</v>
      </c>
      <c r="M10" s="5" t="s">
        <v>161</v>
      </c>
      <c r="N10" s="11" t="s">
        <v>525</v>
      </c>
      <c r="O10" s="19">
        <f>200*12*8</f>
        <v>19200</v>
      </c>
      <c r="P10" s="19">
        <f t="shared" ref="P10:P14" si="14">50*8*8</f>
        <v>3200</v>
      </c>
      <c r="Q10" s="6" t="s">
        <v>124</v>
      </c>
      <c r="R10" s="6" t="s">
        <v>124</v>
      </c>
      <c r="S10" s="6" t="s">
        <v>135</v>
      </c>
      <c r="T10" s="19">
        <f>(21.9-2)*256</f>
        <v>5094.3999999999996</v>
      </c>
      <c r="U10" s="6" t="s">
        <v>135</v>
      </c>
      <c r="V10" s="6">
        <f t="shared" ref="V10:V14" si="15">SUM(T10:U10)</f>
        <v>5094.3999999999996</v>
      </c>
      <c r="W10" s="6" t="s">
        <v>135</v>
      </c>
      <c r="X10" s="6">
        <v>0</v>
      </c>
      <c r="Y10" s="20">
        <v>7.5</v>
      </c>
      <c r="Z10" s="20">
        <v>1</v>
      </c>
      <c r="AA10" s="3">
        <f>(O10+P10)/8+75+9.4*20</f>
        <v>3063</v>
      </c>
      <c r="AB10" s="3">
        <f t="shared" ref="AB10:AB14" si="16">V10/8</f>
        <v>636.79999999999995</v>
      </c>
      <c r="AC10" s="3">
        <f t="shared" ref="AC10:AC14" si="17">Y10*2+Z10*24</f>
        <v>39</v>
      </c>
      <c r="AD10" s="3">
        <f t="shared" si="5"/>
        <v>675.8</v>
      </c>
      <c r="AE10" s="3">
        <f t="shared" si="6"/>
        <v>0.2079007508978126</v>
      </c>
      <c r="AF10" s="3">
        <f t="shared" si="7"/>
        <v>1.2732615083251714E-2</v>
      </c>
      <c r="AG10" s="3">
        <f t="shared" si="8"/>
        <v>0.94229061852619123</v>
      </c>
      <c r="AH10" s="3">
        <f t="shared" si="9"/>
        <v>0.22063336598106431</v>
      </c>
      <c r="AI10" s="3">
        <f t="shared" si="10"/>
        <v>2387.1999999999998</v>
      </c>
      <c r="AJ10" s="3">
        <f t="shared" si="11"/>
        <v>0.77936663401893558</v>
      </c>
      <c r="AK10" s="46" t="str">
        <f t="shared" si="12"/>
        <v>As calculated</v>
      </c>
    </row>
    <row r="11" spans="1:196" ht="52" x14ac:dyDescent="0.2">
      <c r="A11" s="18">
        <v>10</v>
      </c>
      <c r="B11" s="13" t="s">
        <v>181</v>
      </c>
      <c r="C11" s="13" t="s">
        <v>188</v>
      </c>
      <c r="D11" s="10" t="s">
        <v>183</v>
      </c>
      <c r="E11" s="7" t="s">
        <v>22</v>
      </c>
      <c r="F11" s="7" t="s">
        <v>158</v>
      </c>
      <c r="G11" s="7" t="s">
        <v>515</v>
      </c>
      <c r="H11" s="7" t="s">
        <v>184</v>
      </c>
      <c r="I11" s="9" t="s">
        <v>189</v>
      </c>
      <c r="J11" s="8">
        <v>5.3</v>
      </c>
      <c r="K11" s="8">
        <v>35</v>
      </c>
      <c r="L11" s="8" t="s">
        <v>524</v>
      </c>
      <c r="M11" s="5" t="s">
        <v>161</v>
      </c>
      <c r="N11" s="11" t="s">
        <v>525</v>
      </c>
      <c r="O11" s="19">
        <f>300*12*8</f>
        <v>28800</v>
      </c>
      <c r="P11" s="19">
        <f t="shared" si="14"/>
        <v>3200</v>
      </c>
      <c r="Q11" s="6" t="s">
        <v>124</v>
      </c>
      <c r="R11" s="6" t="s">
        <v>124</v>
      </c>
      <c r="S11" s="6" t="s">
        <v>135</v>
      </c>
      <c r="T11" s="19">
        <f>(13.6-2)*256</f>
        <v>2969.6</v>
      </c>
      <c r="U11" s="6" t="s">
        <v>135</v>
      </c>
      <c r="V11" s="6">
        <f t="shared" si="15"/>
        <v>2969.6</v>
      </c>
      <c r="W11" s="6" t="s">
        <v>135</v>
      </c>
      <c r="X11" s="6">
        <v>0</v>
      </c>
      <c r="Y11" s="20">
        <v>12.5</v>
      </c>
      <c r="Z11" s="20">
        <v>9.1999999999999993</v>
      </c>
      <c r="AA11" s="3">
        <f>(O11+P11)/8+9.4*20</f>
        <v>4188</v>
      </c>
      <c r="AB11" s="3">
        <f t="shared" si="16"/>
        <v>371.2</v>
      </c>
      <c r="AC11" s="3">
        <f t="shared" si="17"/>
        <v>245.79999999999998</v>
      </c>
      <c r="AD11" s="3">
        <f t="shared" si="5"/>
        <v>617</v>
      </c>
      <c r="AE11" s="3">
        <f t="shared" si="6"/>
        <v>8.8634192932187203E-2</v>
      </c>
      <c r="AF11" s="3">
        <f t="shared" si="7"/>
        <v>5.8691499522445074E-2</v>
      </c>
      <c r="AG11" s="3">
        <f t="shared" si="8"/>
        <v>0.60162074554294975</v>
      </c>
      <c r="AH11" s="3">
        <f t="shared" si="9"/>
        <v>0.14732569245463228</v>
      </c>
      <c r="AI11" s="3">
        <f t="shared" si="10"/>
        <v>3571</v>
      </c>
      <c r="AJ11" s="3">
        <f t="shared" si="11"/>
        <v>0.85267430754536777</v>
      </c>
      <c r="AK11" s="46" t="str">
        <f t="shared" si="12"/>
        <v>As calculated</v>
      </c>
    </row>
    <row r="12" spans="1:196" ht="52" x14ac:dyDescent="0.2">
      <c r="A12" s="18">
        <v>11</v>
      </c>
      <c r="B12" s="13" t="s">
        <v>181</v>
      </c>
      <c r="C12" s="13" t="s">
        <v>190</v>
      </c>
      <c r="D12" s="10" t="s">
        <v>183</v>
      </c>
      <c r="E12" s="7" t="s">
        <v>22</v>
      </c>
      <c r="F12" s="7" t="s">
        <v>158</v>
      </c>
      <c r="G12" s="7" t="s">
        <v>515</v>
      </c>
      <c r="H12" s="7" t="s">
        <v>184</v>
      </c>
      <c r="I12" s="9" t="s">
        <v>191</v>
      </c>
      <c r="J12" s="8">
        <v>5.52</v>
      </c>
      <c r="K12" s="8">
        <v>35</v>
      </c>
      <c r="L12" s="8" t="s">
        <v>524</v>
      </c>
      <c r="M12" s="5" t="s">
        <v>161</v>
      </c>
      <c r="N12" s="11" t="s">
        <v>525</v>
      </c>
      <c r="O12" s="19">
        <f>300*12*8</f>
        <v>28800</v>
      </c>
      <c r="P12" s="19">
        <f t="shared" si="14"/>
        <v>3200</v>
      </c>
      <c r="Q12" s="6" t="s">
        <v>124</v>
      </c>
      <c r="R12" s="6" t="s">
        <v>124</v>
      </c>
      <c r="S12" s="6" t="s">
        <v>135</v>
      </c>
      <c r="T12" s="19">
        <f>(27.2-2)*256</f>
        <v>6451.2</v>
      </c>
      <c r="U12" s="6" t="s">
        <v>135</v>
      </c>
      <c r="V12" s="6">
        <f t="shared" si="15"/>
        <v>6451.2</v>
      </c>
      <c r="W12" s="6" t="s">
        <v>135</v>
      </c>
      <c r="X12" s="6">
        <v>0</v>
      </c>
      <c r="Y12" s="20">
        <v>10</v>
      </c>
      <c r="Z12" s="20">
        <v>5.2</v>
      </c>
      <c r="AA12" s="3">
        <f>(O12+P12)/8+(0.265*218.5)+9.4*20</f>
        <v>4245.9025000000001</v>
      </c>
      <c r="AB12" s="3">
        <f t="shared" si="16"/>
        <v>806.4</v>
      </c>
      <c r="AC12" s="3">
        <f t="shared" si="17"/>
        <v>144.80000000000001</v>
      </c>
      <c r="AD12" s="3">
        <f t="shared" si="5"/>
        <v>951.2</v>
      </c>
      <c r="AE12" s="3">
        <f t="shared" si="6"/>
        <v>0.18992428582615828</v>
      </c>
      <c r="AF12" s="3">
        <f t="shared" si="7"/>
        <v>3.4103467990609773E-2</v>
      </c>
      <c r="AG12" s="3">
        <f t="shared" si="8"/>
        <v>0.84777123633305296</v>
      </c>
      <c r="AH12" s="3">
        <f t="shared" si="9"/>
        <v>0.22402775381676804</v>
      </c>
      <c r="AI12" s="3">
        <f t="shared" si="10"/>
        <v>3294.7025000000003</v>
      </c>
      <c r="AJ12" s="3">
        <f t="shared" si="11"/>
        <v>0.77597224618323202</v>
      </c>
      <c r="AK12" s="46" t="str">
        <f t="shared" si="12"/>
        <v>As calculated</v>
      </c>
    </row>
    <row r="13" spans="1:196" ht="52" x14ac:dyDescent="0.2">
      <c r="A13" s="18">
        <v>12</v>
      </c>
      <c r="B13" s="13" t="s">
        <v>181</v>
      </c>
      <c r="C13" s="13" t="s">
        <v>192</v>
      </c>
      <c r="D13" s="10" t="s">
        <v>183</v>
      </c>
      <c r="E13" s="7" t="s">
        <v>22</v>
      </c>
      <c r="F13" s="7" t="s">
        <v>158</v>
      </c>
      <c r="G13" s="7" t="s">
        <v>515</v>
      </c>
      <c r="H13" s="7" t="s">
        <v>184</v>
      </c>
      <c r="I13" s="9" t="s">
        <v>193</v>
      </c>
      <c r="J13" s="8">
        <v>5.17</v>
      </c>
      <c r="K13" s="8">
        <v>35</v>
      </c>
      <c r="L13" s="8" t="s">
        <v>524</v>
      </c>
      <c r="M13" s="5" t="s">
        <v>161</v>
      </c>
      <c r="N13" s="11" t="s">
        <v>525</v>
      </c>
      <c r="O13" s="19">
        <f>400*12*8</f>
        <v>38400</v>
      </c>
      <c r="P13" s="19">
        <f t="shared" si="14"/>
        <v>3200</v>
      </c>
      <c r="Q13" s="6" t="s">
        <v>124</v>
      </c>
      <c r="R13" s="6" t="s">
        <v>124</v>
      </c>
      <c r="S13" s="6" t="s">
        <v>135</v>
      </c>
      <c r="T13" s="19">
        <f>(15.2-2)*256</f>
        <v>3379.2</v>
      </c>
      <c r="U13" s="6" t="s">
        <v>135</v>
      </c>
      <c r="V13" s="6">
        <f t="shared" si="15"/>
        <v>3379.2</v>
      </c>
      <c r="W13" s="6" t="s">
        <v>135</v>
      </c>
      <c r="X13" s="6">
        <v>0</v>
      </c>
      <c r="Y13" s="20">
        <v>12.5</v>
      </c>
      <c r="Z13" s="20">
        <v>12.9</v>
      </c>
      <c r="AA13" s="3">
        <f>(O13+P13)/8+9.4*20</f>
        <v>5388</v>
      </c>
      <c r="AB13" s="3">
        <f t="shared" si="16"/>
        <v>422.4</v>
      </c>
      <c r="AC13" s="3">
        <f t="shared" si="17"/>
        <v>334.6</v>
      </c>
      <c r="AD13" s="3">
        <f t="shared" si="5"/>
        <v>757</v>
      </c>
      <c r="AE13" s="3">
        <f t="shared" si="6"/>
        <v>7.839643652561247E-2</v>
      </c>
      <c r="AF13" s="3">
        <f t="shared" si="7"/>
        <v>6.2100965107646629E-2</v>
      </c>
      <c r="AG13" s="3">
        <f t="shared" si="8"/>
        <v>0.55799207397622186</v>
      </c>
      <c r="AH13" s="3">
        <f t="shared" si="9"/>
        <v>0.14049740163325911</v>
      </c>
      <c r="AI13" s="3">
        <f t="shared" si="10"/>
        <v>4631</v>
      </c>
      <c r="AJ13" s="3">
        <f t="shared" si="11"/>
        <v>0.85950259836674092</v>
      </c>
      <c r="AK13" s="46" t="str">
        <f t="shared" si="12"/>
        <v>As calculated</v>
      </c>
    </row>
    <row r="14" spans="1:196" ht="52" x14ac:dyDescent="0.2">
      <c r="A14" s="18">
        <v>13</v>
      </c>
      <c r="B14" s="13" t="s">
        <v>181</v>
      </c>
      <c r="C14" s="13" t="s">
        <v>194</v>
      </c>
      <c r="D14" s="10" t="s">
        <v>183</v>
      </c>
      <c r="E14" s="7" t="s">
        <v>22</v>
      </c>
      <c r="F14" s="7" t="s">
        <v>158</v>
      </c>
      <c r="G14" s="7" t="s">
        <v>515</v>
      </c>
      <c r="H14" s="7" t="s">
        <v>184</v>
      </c>
      <c r="I14" s="9" t="s">
        <v>195</v>
      </c>
      <c r="J14" s="8">
        <v>5.4</v>
      </c>
      <c r="K14" s="8">
        <v>35</v>
      </c>
      <c r="L14" s="8" t="s">
        <v>524</v>
      </c>
      <c r="M14" s="5" t="s">
        <v>161</v>
      </c>
      <c r="N14" s="11" t="s">
        <v>525</v>
      </c>
      <c r="O14" s="19">
        <f>400*12*8</f>
        <v>38400</v>
      </c>
      <c r="P14" s="19">
        <f t="shared" si="14"/>
        <v>3200</v>
      </c>
      <c r="Q14" s="6" t="s">
        <v>124</v>
      </c>
      <c r="R14" s="6" t="s">
        <v>124</v>
      </c>
      <c r="S14" s="6" t="s">
        <v>135</v>
      </c>
      <c r="T14" s="19">
        <f>(22.4-2)*256</f>
        <v>5222.3999999999996</v>
      </c>
      <c r="U14" s="6" t="s">
        <v>135</v>
      </c>
      <c r="V14" s="6">
        <f t="shared" si="15"/>
        <v>5222.3999999999996</v>
      </c>
      <c r="W14" s="6" t="s">
        <v>135</v>
      </c>
      <c r="X14" s="6">
        <v>0</v>
      </c>
      <c r="Y14" s="20">
        <v>10</v>
      </c>
      <c r="Z14" s="20">
        <v>10.8</v>
      </c>
      <c r="AA14" s="3">
        <f>(O14+P14)/8+9.4*20+50</f>
        <v>5438</v>
      </c>
      <c r="AB14" s="3">
        <f t="shared" si="16"/>
        <v>652.79999999999995</v>
      </c>
      <c r="AC14" s="3">
        <f t="shared" si="17"/>
        <v>279.20000000000005</v>
      </c>
      <c r="AD14" s="3">
        <f t="shared" si="5"/>
        <v>932</v>
      </c>
      <c r="AE14" s="3">
        <f t="shared" si="6"/>
        <v>0.12004413387274733</v>
      </c>
      <c r="AF14" s="3">
        <f t="shared" si="7"/>
        <v>5.1342405296064736E-2</v>
      </c>
      <c r="AG14" s="3">
        <f t="shared" si="8"/>
        <v>0.70042918454935621</v>
      </c>
      <c r="AH14" s="3">
        <f t="shared" si="9"/>
        <v>0.17138653916881205</v>
      </c>
      <c r="AI14" s="3">
        <f>AA14-SUM(AB14:AC14)</f>
        <v>4506</v>
      </c>
      <c r="AJ14" s="3">
        <f t="shared" si="11"/>
        <v>0.82861346083118792</v>
      </c>
      <c r="AK14" s="46" t="str">
        <f t="shared" si="12"/>
        <v>As calculated</v>
      </c>
    </row>
    <row r="15" spans="1:196" ht="26" x14ac:dyDescent="0.2">
      <c r="A15" s="18">
        <v>14</v>
      </c>
      <c r="B15" s="13" t="s">
        <v>196</v>
      </c>
      <c r="C15" s="13" t="s">
        <v>197</v>
      </c>
      <c r="D15" s="10" t="s">
        <v>198</v>
      </c>
      <c r="E15" s="7" t="s">
        <v>157</v>
      </c>
      <c r="F15" s="7" t="s">
        <v>199</v>
      </c>
      <c r="G15" s="7" t="s">
        <v>515</v>
      </c>
      <c r="H15" s="7" t="s">
        <v>200</v>
      </c>
      <c r="I15" s="9" t="s">
        <v>201</v>
      </c>
      <c r="J15" s="8">
        <v>5</v>
      </c>
      <c r="K15" s="8">
        <v>34</v>
      </c>
      <c r="L15" s="8">
        <v>1.9</v>
      </c>
      <c r="M15" s="5" t="s">
        <v>161</v>
      </c>
      <c r="N15" s="11" t="s">
        <v>526</v>
      </c>
      <c r="O15" s="19">
        <v>9100</v>
      </c>
      <c r="P15" s="19" t="s">
        <v>124</v>
      </c>
      <c r="Q15" s="19">
        <f>3.6*1000/112</f>
        <v>32.142857142857146</v>
      </c>
      <c r="R15" s="6">
        <f>17.7*1000-9100-1.1*1000</f>
        <v>7500</v>
      </c>
      <c r="S15" s="6" t="s">
        <v>135</v>
      </c>
      <c r="T15" s="19">
        <v>6900</v>
      </c>
      <c r="U15" s="6" t="s">
        <v>135</v>
      </c>
      <c r="V15" s="6">
        <f>T15</f>
        <v>6900</v>
      </c>
      <c r="W15" s="6" t="s">
        <v>135</v>
      </c>
      <c r="X15" s="6">
        <v>2.5999999999999999E-2</v>
      </c>
      <c r="Y15" s="20">
        <v>0</v>
      </c>
      <c r="Z15" s="20">
        <f>3.6/112*1000</f>
        <v>32.142857142857146</v>
      </c>
      <c r="AA15" s="3">
        <f>SUM(O15,R15)/8</f>
        <v>2075</v>
      </c>
      <c r="AB15" s="3">
        <f>V15/8</f>
        <v>862.5</v>
      </c>
      <c r="AC15" s="3">
        <f>Z15*14+X15*8</f>
        <v>450.20800000000008</v>
      </c>
      <c r="AD15" s="3">
        <f t="shared" si="5"/>
        <v>1312.7080000000001</v>
      </c>
      <c r="AE15" s="3">
        <f t="shared" si="6"/>
        <v>0.41566265060240964</v>
      </c>
      <c r="AF15" s="3">
        <f t="shared" si="7"/>
        <v>0.21696771084337355</v>
      </c>
      <c r="AG15" s="3">
        <f t="shared" si="8"/>
        <v>0.65703873214759101</v>
      </c>
      <c r="AH15" s="3">
        <f t="shared" si="9"/>
        <v>0.63263036144578322</v>
      </c>
      <c r="AI15" s="3">
        <f t="shared" ref="AI15:AI27" si="18">AA15-SUM(AB15:AC15)</f>
        <v>762.29199999999992</v>
      </c>
      <c r="AJ15" s="3">
        <f t="shared" si="11"/>
        <v>0.36736963855421684</v>
      </c>
      <c r="AK15" s="46" t="str">
        <f t="shared" si="12"/>
        <v>As calculated</v>
      </c>
    </row>
    <row r="16" spans="1:196" ht="27" thickBot="1" x14ac:dyDescent="0.25">
      <c r="A16" s="48">
        <v>15</v>
      </c>
      <c r="B16" s="49" t="s">
        <v>196</v>
      </c>
      <c r="C16" s="49" t="s">
        <v>202</v>
      </c>
      <c r="D16" s="50" t="s">
        <v>198</v>
      </c>
      <c r="E16" s="51" t="s">
        <v>157</v>
      </c>
      <c r="F16" s="51" t="s">
        <v>199</v>
      </c>
      <c r="G16" s="51" t="s">
        <v>515</v>
      </c>
      <c r="H16" s="51" t="s">
        <v>200</v>
      </c>
      <c r="I16" s="52" t="s">
        <v>203</v>
      </c>
      <c r="J16" s="53">
        <v>5</v>
      </c>
      <c r="K16" s="53">
        <v>34</v>
      </c>
      <c r="L16" s="53">
        <v>1.3</v>
      </c>
      <c r="M16" s="54" t="s">
        <v>161</v>
      </c>
      <c r="N16" s="55" t="s">
        <v>204</v>
      </c>
      <c r="O16" s="56">
        <v>16200</v>
      </c>
      <c r="P16" s="56" t="s">
        <v>124</v>
      </c>
      <c r="Q16" s="56">
        <f>5.5*1000/112</f>
        <v>49.107142857142854</v>
      </c>
      <c r="R16" s="57">
        <f>30.8*1000-16200-1.1*1000</f>
        <v>13500</v>
      </c>
      <c r="S16" s="57" t="s">
        <v>135</v>
      </c>
      <c r="T16" s="56">
        <v>3000</v>
      </c>
      <c r="U16" s="57" t="s">
        <v>135</v>
      </c>
      <c r="V16" s="57">
        <f>T16</f>
        <v>3000</v>
      </c>
      <c r="W16" s="57" t="s">
        <v>135</v>
      </c>
      <c r="X16" s="57">
        <v>2.5999999999999999E-2</v>
      </c>
      <c r="Y16" s="58">
        <v>0</v>
      </c>
      <c r="Z16" s="58">
        <f>5.5/112*1000</f>
        <v>49.107142857142854</v>
      </c>
      <c r="AA16" s="59">
        <f>SUM(O16,R16)/8</f>
        <v>3712.5</v>
      </c>
      <c r="AB16" s="59">
        <f>V16/8</f>
        <v>375</v>
      </c>
      <c r="AC16" s="59">
        <f>Z16*14+X16*8</f>
        <v>687.70799999999997</v>
      </c>
      <c r="AD16" s="59">
        <f t="shared" si="5"/>
        <v>1062.7080000000001</v>
      </c>
      <c r="AE16" s="59">
        <f t="shared" si="6"/>
        <v>0.10101010101010101</v>
      </c>
      <c r="AF16" s="59">
        <f t="shared" si="7"/>
        <v>0.18524121212121211</v>
      </c>
      <c r="AG16" s="59">
        <f t="shared" si="8"/>
        <v>0.35287209656838942</v>
      </c>
      <c r="AH16" s="59">
        <f t="shared" si="9"/>
        <v>0.28625131313131313</v>
      </c>
      <c r="AI16" s="59">
        <f t="shared" si="18"/>
        <v>2649.7919999999999</v>
      </c>
      <c r="AJ16" s="59">
        <f t="shared" si="11"/>
        <v>0.71374868686868687</v>
      </c>
      <c r="AK16" s="76" t="str">
        <f t="shared" si="12"/>
        <v>As calculated</v>
      </c>
    </row>
    <row r="17" spans="1:37" s="72" customFormat="1" ht="26" x14ac:dyDescent="0.2">
      <c r="A17" s="18">
        <v>16</v>
      </c>
      <c r="B17" s="13" t="s">
        <v>205</v>
      </c>
      <c r="C17" s="13" t="s">
        <v>206</v>
      </c>
      <c r="D17" s="10" t="s">
        <v>207</v>
      </c>
      <c r="E17" s="7" t="s">
        <v>157</v>
      </c>
      <c r="F17" s="42" t="s">
        <v>527</v>
      </c>
      <c r="G17" s="7" t="s">
        <v>489</v>
      </c>
      <c r="H17" s="7" t="s">
        <v>124</v>
      </c>
      <c r="I17" s="9" t="s">
        <v>208</v>
      </c>
      <c r="J17" s="8">
        <v>5</v>
      </c>
      <c r="K17" s="8">
        <v>30</v>
      </c>
      <c r="L17" s="8">
        <v>2.09</v>
      </c>
      <c r="M17" s="5" t="s">
        <v>161</v>
      </c>
      <c r="N17" s="11" t="s">
        <v>209</v>
      </c>
      <c r="O17" s="19">
        <f>10.9*1000</f>
        <v>10900</v>
      </c>
      <c r="P17" s="19" t="s">
        <v>124</v>
      </c>
      <c r="Q17" s="19" t="s">
        <v>124</v>
      </c>
      <c r="R17" s="19" t="s">
        <v>124</v>
      </c>
      <c r="S17" s="6" t="s">
        <v>135</v>
      </c>
      <c r="T17" s="19">
        <f>72.2/6*0.256*1000</f>
        <v>3080.5333333333333</v>
      </c>
      <c r="U17" s="19">
        <f>(11/7)*0.304*1000</f>
        <v>477.71428571428572</v>
      </c>
      <c r="V17" s="19">
        <f>SUM(T17:U17,W17)</f>
        <v>4466.425396825397</v>
      </c>
      <c r="W17" s="19">
        <f>((19.6/8)*0.352+(1.03/9)*0.4)*1000</f>
        <v>908.17777777777781</v>
      </c>
      <c r="X17" s="6">
        <v>2.1</v>
      </c>
      <c r="Y17" s="20" t="s">
        <v>135</v>
      </c>
      <c r="Z17" s="20" t="s">
        <v>135</v>
      </c>
      <c r="AA17" s="3">
        <f>O17/8</f>
        <v>1362.5</v>
      </c>
      <c r="AB17" s="3">
        <f>V17/8</f>
        <v>558.30317460317463</v>
      </c>
      <c r="AC17" s="3">
        <f>X17*8</f>
        <v>16.8</v>
      </c>
      <c r="AD17" s="3">
        <f t="shared" si="5"/>
        <v>575.10317460317458</v>
      </c>
      <c r="AE17" s="3">
        <f t="shared" si="6"/>
        <v>0.40976379787388961</v>
      </c>
      <c r="AF17" s="3">
        <f t="shared" si="7"/>
        <v>1.2330275229357798E-2</v>
      </c>
      <c r="AG17" s="3">
        <f t="shared" si="8"/>
        <v>0.97078785035121384</v>
      </c>
      <c r="AH17" s="3">
        <f t="shared" si="9"/>
        <v>0.42209407310324742</v>
      </c>
      <c r="AI17" s="3">
        <f t="shared" si="18"/>
        <v>787.39682539682542</v>
      </c>
      <c r="AJ17" s="3">
        <f t="shared" si="11"/>
        <v>0.57790592689675258</v>
      </c>
      <c r="AK17" s="46" t="str">
        <f t="shared" si="12"/>
        <v>Lower bound</v>
      </c>
    </row>
    <row r="18" spans="1:37" ht="26" x14ac:dyDescent="0.2">
      <c r="A18" s="18">
        <v>17</v>
      </c>
      <c r="B18" s="13" t="s">
        <v>205</v>
      </c>
      <c r="C18" s="13" t="s">
        <v>210</v>
      </c>
      <c r="D18" s="10" t="s">
        <v>207</v>
      </c>
      <c r="E18" s="7" t="s">
        <v>157</v>
      </c>
      <c r="F18" s="42" t="s">
        <v>527</v>
      </c>
      <c r="G18" s="7" t="s">
        <v>489</v>
      </c>
      <c r="H18" s="7" t="s">
        <v>124</v>
      </c>
      <c r="I18" s="9" t="s">
        <v>211</v>
      </c>
      <c r="J18" s="8">
        <v>5</v>
      </c>
      <c r="K18" s="8">
        <v>30</v>
      </c>
      <c r="L18" s="8">
        <v>1.76</v>
      </c>
      <c r="M18" s="5" t="s">
        <v>161</v>
      </c>
      <c r="N18" s="11" t="s">
        <v>212</v>
      </c>
      <c r="O18" s="19">
        <f>6.91*1000</f>
        <v>6910</v>
      </c>
      <c r="P18" s="19" t="s">
        <v>124</v>
      </c>
      <c r="Q18" s="19" t="s">
        <v>124</v>
      </c>
      <c r="R18" s="19" t="s">
        <v>124</v>
      </c>
      <c r="S18" s="6" t="s">
        <v>135</v>
      </c>
      <c r="T18" s="19">
        <f>(65.5/6)*0.256*1000</f>
        <v>2794.6666666666665</v>
      </c>
      <c r="U18" s="19">
        <f>(10.3/7)*0.304*1000</f>
        <v>447.31428571428575</v>
      </c>
      <c r="V18" s="19">
        <f>SUM(T18:U18,W18)</f>
        <v>4154.1142857142859</v>
      </c>
      <c r="W18" s="19">
        <f>((19.7/8)*0.352+(1.02/9)*0.4)*1000</f>
        <v>912.13333333333321</v>
      </c>
      <c r="X18" s="6">
        <v>1.07</v>
      </c>
      <c r="Y18" s="20" t="s">
        <v>135</v>
      </c>
      <c r="Z18" s="20" t="s">
        <v>135</v>
      </c>
      <c r="AA18" s="3">
        <f t="shared" ref="AA18" si="19">O18/8</f>
        <v>863.75</v>
      </c>
      <c r="AB18" s="3">
        <f t="shared" ref="AB18:AB19" si="20">V18/8</f>
        <v>519.26428571428573</v>
      </c>
      <c r="AC18" s="3">
        <f t="shared" ref="AC18:AC19" si="21">X18*8</f>
        <v>8.56</v>
      </c>
      <c r="AD18" s="3">
        <f t="shared" si="5"/>
        <v>527.82428571428568</v>
      </c>
      <c r="AE18" s="3">
        <f t="shared" si="6"/>
        <v>0.60117428157949149</v>
      </c>
      <c r="AF18" s="3">
        <f t="shared" si="7"/>
        <v>9.9102749638205513E-3</v>
      </c>
      <c r="AG18" s="3">
        <f t="shared" si="8"/>
        <v>0.98378248172416694</v>
      </c>
      <c r="AH18" s="3">
        <f t="shared" si="9"/>
        <v>0.61108455654331195</v>
      </c>
      <c r="AI18" s="3">
        <f t="shared" si="18"/>
        <v>335.92571428571432</v>
      </c>
      <c r="AJ18" s="3">
        <f t="shared" si="11"/>
        <v>0.38891544345668805</v>
      </c>
      <c r="AK18" s="46" t="str">
        <f t="shared" si="12"/>
        <v>Lower bound</v>
      </c>
    </row>
    <row r="19" spans="1:37" s="73" customFormat="1" ht="27" thickBot="1" x14ac:dyDescent="0.25">
      <c r="A19" s="18">
        <v>18</v>
      </c>
      <c r="B19" s="13" t="s">
        <v>205</v>
      </c>
      <c r="C19" s="13" t="s">
        <v>213</v>
      </c>
      <c r="D19" s="10" t="s">
        <v>207</v>
      </c>
      <c r="E19" s="7" t="s">
        <v>157</v>
      </c>
      <c r="F19" s="42" t="s">
        <v>527</v>
      </c>
      <c r="G19" s="7" t="s">
        <v>489</v>
      </c>
      <c r="H19" s="7" t="s">
        <v>124</v>
      </c>
      <c r="I19" s="9" t="s">
        <v>214</v>
      </c>
      <c r="J19" s="8">
        <v>5</v>
      </c>
      <c r="K19" s="8">
        <v>30</v>
      </c>
      <c r="L19" s="8">
        <v>3.55</v>
      </c>
      <c r="M19" s="5" t="s">
        <v>161</v>
      </c>
      <c r="N19" s="11" t="s">
        <v>215</v>
      </c>
      <c r="O19" s="19">
        <f>7.77*1000</f>
        <v>7770</v>
      </c>
      <c r="P19" s="19" t="s">
        <v>124</v>
      </c>
      <c r="Q19" s="19" t="s">
        <v>124</v>
      </c>
      <c r="R19" s="19" t="s">
        <v>124</v>
      </c>
      <c r="S19" s="6" t="s">
        <v>135</v>
      </c>
      <c r="T19" s="19">
        <f>(81.2/6)*0.256*1000</f>
        <v>3464.5333333333333</v>
      </c>
      <c r="U19" s="19">
        <f>(14.3/7)*0.304*1000</f>
        <v>621.02857142857147</v>
      </c>
      <c r="V19" s="19">
        <f t="shared" ref="V19" si="22">SUM(T19:U19,W19)</f>
        <v>4763.3396825396831</v>
      </c>
      <c r="W19" s="19">
        <f>((14/8)*0.352+(1.39/9)*0.4)*1000</f>
        <v>677.77777777777783</v>
      </c>
      <c r="X19" s="6">
        <v>0.71</v>
      </c>
      <c r="Y19" s="20" t="s">
        <v>135</v>
      </c>
      <c r="Z19" s="20" t="s">
        <v>135</v>
      </c>
      <c r="AA19" s="3">
        <f>O19/8</f>
        <v>971.25</v>
      </c>
      <c r="AB19" s="3">
        <f t="shared" si="20"/>
        <v>595.41746031746038</v>
      </c>
      <c r="AC19" s="3">
        <f t="shared" si="21"/>
        <v>5.68</v>
      </c>
      <c r="AD19" s="3">
        <f t="shared" si="5"/>
        <v>601.09746031746033</v>
      </c>
      <c r="AE19" s="3">
        <f t="shared" si="6"/>
        <v>0.61304243018528737</v>
      </c>
      <c r="AF19" s="3">
        <f t="shared" si="7"/>
        <v>5.848133848133848E-3</v>
      </c>
      <c r="AG19" s="3">
        <f t="shared" si="8"/>
        <v>0.99055061720440452</v>
      </c>
      <c r="AH19" s="3">
        <f t="shared" si="9"/>
        <v>0.61889056403342124</v>
      </c>
      <c r="AI19" s="3">
        <f t="shared" si="18"/>
        <v>370.15253968253967</v>
      </c>
      <c r="AJ19" s="3">
        <f t="shared" si="11"/>
        <v>0.38110943596657881</v>
      </c>
      <c r="AK19" s="46" t="str">
        <f t="shared" si="12"/>
        <v>Lower bound</v>
      </c>
    </row>
    <row r="20" spans="1:37" ht="52" x14ac:dyDescent="0.2">
      <c r="A20" s="60">
        <v>19</v>
      </c>
      <c r="B20" s="61" t="s">
        <v>216</v>
      </c>
      <c r="C20" s="61" t="s">
        <v>217</v>
      </c>
      <c r="D20" s="62" t="s">
        <v>218</v>
      </c>
      <c r="E20" s="63" t="s">
        <v>22</v>
      </c>
      <c r="F20" s="63" t="s">
        <v>529</v>
      </c>
      <c r="G20" s="63" t="s">
        <v>515</v>
      </c>
      <c r="H20" s="63" t="s">
        <v>219</v>
      </c>
      <c r="I20" s="64" t="s">
        <v>220</v>
      </c>
      <c r="J20" s="65">
        <v>6.5</v>
      </c>
      <c r="K20" s="65">
        <v>35</v>
      </c>
      <c r="L20" s="65" t="s">
        <v>528</v>
      </c>
      <c r="M20" s="66" t="s">
        <v>161</v>
      </c>
      <c r="N20" s="67" t="s">
        <v>221</v>
      </c>
      <c r="O20" s="68">
        <f>7502.95+4892.04+670.32</f>
        <v>13065.31</v>
      </c>
      <c r="P20" s="68">
        <v>2205.5300000000002</v>
      </c>
      <c r="Q20" s="69">
        <v>118.5</v>
      </c>
      <c r="R20" s="69">
        <v>2189.08</v>
      </c>
      <c r="S20" s="69">
        <f>116.34+766.59</f>
        <v>882.93000000000006</v>
      </c>
      <c r="T20" s="68">
        <f>12331.1-766.59</f>
        <v>11564.51</v>
      </c>
      <c r="U20" s="68">
        <v>1889.59</v>
      </c>
      <c r="V20" s="68">
        <f>SUM(T20:U20,W20)</f>
        <v>16286.16</v>
      </c>
      <c r="W20" s="68">
        <v>2832.06</v>
      </c>
      <c r="X20" s="69">
        <v>0</v>
      </c>
      <c r="Y20" s="70" t="s">
        <v>135</v>
      </c>
      <c r="Z20" s="70">
        <v>0</v>
      </c>
      <c r="AA20" s="71">
        <f>SUM(O20:S20)/8</f>
        <v>2307.6687499999998</v>
      </c>
      <c r="AB20" s="71">
        <f>V20/8</f>
        <v>2035.77</v>
      </c>
      <c r="AC20" s="71">
        <f>X20*8</f>
        <v>0</v>
      </c>
      <c r="AD20" s="71">
        <f t="shared" si="5"/>
        <v>2035.77</v>
      </c>
      <c r="AE20" s="71">
        <f t="shared" si="6"/>
        <v>0.88217600554672337</v>
      </c>
      <c r="AF20" s="71">
        <f t="shared" si="7"/>
        <v>0</v>
      </c>
      <c r="AG20" s="71">
        <f t="shared" si="8"/>
        <v>1</v>
      </c>
      <c r="AH20" s="71">
        <f t="shared" si="9"/>
        <v>0.88217600554672337</v>
      </c>
      <c r="AI20" s="71">
        <f t="shared" si="18"/>
        <v>271.89874999999984</v>
      </c>
      <c r="AJ20" s="71">
        <f t="shared" si="11"/>
        <v>0.11782399445327665</v>
      </c>
      <c r="AK20" s="77" t="str">
        <f t="shared" si="12"/>
        <v>As calculated</v>
      </c>
    </row>
    <row r="21" spans="1:37" ht="39" x14ac:dyDescent="0.2">
      <c r="A21" s="18">
        <v>20</v>
      </c>
      <c r="B21" s="13" t="s">
        <v>532</v>
      </c>
      <c r="C21" s="13" t="s">
        <v>222</v>
      </c>
      <c r="D21" s="10" t="s">
        <v>223</v>
      </c>
      <c r="E21" s="7" t="s">
        <v>157</v>
      </c>
      <c r="F21" s="7" t="s">
        <v>158</v>
      </c>
      <c r="G21" s="63" t="s">
        <v>515</v>
      </c>
      <c r="H21" s="7" t="s">
        <v>184</v>
      </c>
      <c r="I21" s="9" t="s">
        <v>224</v>
      </c>
      <c r="J21" s="8" t="s">
        <v>530</v>
      </c>
      <c r="K21" s="8">
        <v>30</v>
      </c>
      <c r="L21" s="21">
        <f>17/24</f>
        <v>0.70833333333333337</v>
      </c>
      <c r="M21" s="5" t="s">
        <v>161</v>
      </c>
      <c r="N21" s="11" t="s">
        <v>225</v>
      </c>
      <c r="O21" s="19">
        <f>13*2.084*1000</f>
        <v>27092.000000000004</v>
      </c>
      <c r="P21" s="19">
        <f>8.5*1.066*1000</f>
        <v>9061</v>
      </c>
      <c r="Q21" s="6" t="s">
        <v>124</v>
      </c>
      <c r="R21" s="6" t="s">
        <v>124</v>
      </c>
      <c r="S21" s="6" t="s">
        <v>124</v>
      </c>
      <c r="T21" s="19">
        <f>11.3*2.204*1000</f>
        <v>24905.200000000004</v>
      </c>
      <c r="U21" s="19" t="s">
        <v>135</v>
      </c>
      <c r="V21" s="19">
        <f>SUM(T21:U21,W21)</f>
        <v>25939.03529411765</v>
      </c>
      <c r="W21" s="19">
        <f>(0.3/(17/24))*2.441*1000</f>
        <v>1033.8352941176468</v>
      </c>
      <c r="X21" s="6">
        <v>0</v>
      </c>
      <c r="Y21" s="20" t="s">
        <v>135</v>
      </c>
      <c r="Z21" s="20" t="s">
        <v>135</v>
      </c>
      <c r="AA21" s="3">
        <f t="shared" ref="AA21:AA23" si="23">SUM(O21:S21)/8</f>
        <v>4519.125</v>
      </c>
      <c r="AB21" s="3">
        <f>V21/8</f>
        <v>3242.3794117647062</v>
      </c>
      <c r="AC21" s="3">
        <f t="shared" ref="AC21:AC27" si="24">X21*8</f>
        <v>0</v>
      </c>
      <c r="AD21" s="3">
        <f t="shared" si="5"/>
        <v>3242.3794117647062</v>
      </c>
      <c r="AE21" s="3">
        <f t="shared" si="6"/>
        <v>0.71747947042064697</v>
      </c>
      <c r="AF21" s="3">
        <f t="shared" si="7"/>
        <v>0</v>
      </c>
      <c r="AG21" s="3">
        <f t="shared" si="8"/>
        <v>1</v>
      </c>
      <c r="AH21" s="3">
        <f t="shared" si="9"/>
        <v>0.71747947042064697</v>
      </c>
      <c r="AI21" s="3">
        <f t="shared" si="18"/>
        <v>1276.7455882352938</v>
      </c>
      <c r="AJ21" s="3">
        <f t="shared" si="11"/>
        <v>0.28252052957935303</v>
      </c>
      <c r="AK21" s="46" t="str">
        <f t="shared" si="12"/>
        <v>As calculated</v>
      </c>
    </row>
    <row r="22" spans="1:37" ht="39" x14ac:dyDescent="0.2">
      <c r="A22" s="18">
        <v>21</v>
      </c>
      <c r="B22" s="13" t="s">
        <v>532</v>
      </c>
      <c r="C22" s="13" t="s">
        <v>226</v>
      </c>
      <c r="D22" s="10" t="s">
        <v>223</v>
      </c>
      <c r="E22" s="7" t="s">
        <v>157</v>
      </c>
      <c r="F22" s="7" t="s">
        <v>158</v>
      </c>
      <c r="G22" s="63" t="s">
        <v>515</v>
      </c>
      <c r="H22" s="7" t="s">
        <v>184</v>
      </c>
      <c r="I22" s="9" t="s">
        <v>227</v>
      </c>
      <c r="J22" s="8" t="s">
        <v>530</v>
      </c>
      <c r="K22" s="8">
        <v>30</v>
      </c>
      <c r="L22" s="21">
        <f t="shared" ref="L22:L23" si="25">17/24</f>
        <v>0.70833333333333337</v>
      </c>
      <c r="M22" s="5" t="s">
        <v>161</v>
      </c>
      <c r="N22" s="11" t="s">
        <v>228</v>
      </c>
      <c r="O22" s="19">
        <f>19.5*2.084*1000</f>
        <v>40638</v>
      </c>
      <c r="P22" s="19">
        <f t="shared" ref="P22:P23" si="26">8.5*1.066*1000</f>
        <v>9061</v>
      </c>
      <c r="Q22" s="6" t="s">
        <v>124</v>
      </c>
      <c r="R22" s="6" t="s">
        <v>124</v>
      </c>
      <c r="S22" s="6" t="s">
        <v>124</v>
      </c>
      <c r="T22" s="19">
        <f>15.1*2.204*1000</f>
        <v>33280.400000000001</v>
      </c>
      <c r="U22" s="19" t="s">
        <v>135</v>
      </c>
      <c r="V22" s="19">
        <f t="shared" ref="V22:V23" si="27">SUM(T22:U22,W22)</f>
        <v>35003.458823529414</v>
      </c>
      <c r="W22" s="19">
        <f>(0.5/(17/24))*2.441*1000</f>
        <v>1723.0588235294115</v>
      </c>
      <c r="X22" s="6">
        <v>0</v>
      </c>
      <c r="Y22" s="20" t="s">
        <v>135</v>
      </c>
      <c r="Z22" s="20" t="s">
        <v>135</v>
      </c>
      <c r="AA22" s="3">
        <f t="shared" si="23"/>
        <v>6212.375</v>
      </c>
      <c r="AB22" s="3">
        <f t="shared" ref="AB22:AB27" si="28">V22/8</f>
        <v>4375.4323529411768</v>
      </c>
      <c r="AC22" s="3">
        <f t="shared" si="24"/>
        <v>0</v>
      </c>
      <c r="AD22" s="3">
        <f t="shared" si="5"/>
        <v>4375.4323529411768</v>
      </c>
      <c r="AE22" s="3">
        <f t="shared" si="6"/>
        <v>0.70430911735707791</v>
      </c>
      <c r="AF22" s="3">
        <f t="shared" si="7"/>
        <v>0</v>
      </c>
      <c r="AG22" s="3">
        <f t="shared" si="8"/>
        <v>1</v>
      </c>
      <c r="AH22" s="3">
        <f t="shared" si="9"/>
        <v>0.70430911735707791</v>
      </c>
      <c r="AI22" s="3">
        <f t="shared" si="18"/>
        <v>1836.9426470588232</v>
      </c>
      <c r="AJ22" s="3">
        <f t="shared" si="11"/>
        <v>0.29569088264292209</v>
      </c>
      <c r="AK22" s="46" t="str">
        <f t="shared" si="12"/>
        <v>As calculated</v>
      </c>
    </row>
    <row r="23" spans="1:37" ht="39" x14ac:dyDescent="0.2">
      <c r="A23" s="18">
        <v>22</v>
      </c>
      <c r="B23" s="13" t="s">
        <v>532</v>
      </c>
      <c r="C23" s="13" t="s">
        <v>229</v>
      </c>
      <c r="D23" s="10" t="s">
        <v>223</v>
      </c>
      <c r="E23" s="7" t="s">
        <v>157</v>
      </c>
      <c r="F23" s="7" t="s">
        <v>158</v>
      </c>
      <c r="G23" s="63" t="s">
        <v>515</v>
      </c>
      <c r="H23" s="7" t="s">
        <v>184</v>
      </c>
      <c r="I23" s="9" t="s">
        <v>230</v>
      </c>
      <c r="J23" s="8" t="s">
        <v>530</v>
      </c>
      <c r="K23" s="8">
        <v>30</v>
      </c>
      <c r="L23" s="21">
        <f t="shared" si="25"/>
        <v>0.70833333333333337</v>
      </c>
      <c r="M23" s="5" t="s">
        <v>161</v>
      </c>
      <c r="N23" s="11" t="s">
        <v>231</v>
      </c>
      <c r="O23" s="19">
        <f>26*2.084*1000</f>
        <v>54184.000000000007</v>
      </c>
      <c r="P23" s="19">
        <f t="shared" si="26"/>
        <v>9061</v>
      </c>
      <c r="Q23" s="6" t="s">
        <v>124</v>
      </c>
      <c r="R23" s="6" t="s">
        <v>124</v>
      </c>
      <c r="S23" s="6" t="s">
        <v>124</v>
      </c>
      <c r="T23" s="19">
        <f>15.7*2.204*1000</f>
        <v>34602.800000000003</v>
      </c>
      <c r="U23" s="19" t="s">
        <v>135</v>
      </c>
      <c r="V23" s="19">
        <f t="shared" si="27"/>
        <v>36670.470588235294</v>
      </c>
      <c r="W23" s="19">
        <f>(0.6/(17/24))*2.441*1000</f>
        <v>2067.6705882352935</v>
      </c>
      <c r="X23" s="6">
        <v>0</v>
      </c>
      <c r="Y23" s="20" t="s">
        <v>135</v>
      </c>
      <c r="Z23" s="20" t="s">
        <v>135</v>
      </c>
      <c r="AA23" s="3">
        <f t="shared" si="23"/>
        <v>7905.6250000000009</v>
      </c>
      <c r="AB23" s="3">
        <f t="shared" si="28"/>
        <v>4583.8088235294117</v>
      </c>
      <c r="AC23" s="3">
        <f t="shared" si="24"/>
        <v>0</v>
      </c>
      <c r="AD23" s="3">
        <f t="shared" si="5"/>
        <v>4583.8088235294117</v>
      </c>
      <c r="AE23" s="3">
        <f t="shared" si="6"/>
        <v>0.57981612124650628</v>
      </c>
      <c r="AF23" s="3">
        <f t="shared" si="7"/>
        <v>0</v>
      </c>
      <c r="AG23" s="3">
        <f t="shared" si="8"/>
        <v>1</v>
      </c>
      <c r="AH23" s="3">
        <f t="shared" si="9"/>
        <v>0.57981612124650628</v>
      </c>
      <c r="AI23" s="3">
        <f t="shared" si="18"/>
        <v>3321.8161764705892</v>
      </c>
      <c r="AJ23" s="3">
        <f t="shared" si="11"/>
        <v>0.42018387875349372</v>
      </c>
      <c r="AK23" s="46" t="str">
        <f t="shared" si="12"/>
        <v>As calculated</v>
      </c>
    </row>
    <row r="24" spans="1:37" ht="26" x14ac:dyDescent="0.2">
      <c r="A24" s="18">
        <v>23</v>
      </c>
      <c r="B24" s="13" t="s">
        <v>533</v>
      </c>
      <c r="C24" s="13" t="s">
        <v>232</v>
      </c>
      <c r="D24" s="10" t="s">
        <v>233</v>
      </c>
      <c r="E24" s="7" t="s">
        <v>157</v>
      </c>
      <c r="F24" s="7" t="s">
        <v>234</v>
      </c>
      <c r="G24" s="63" t="s">
        <v>515</v>
      </c>
      <c r="H24" s="7" t="s">
        <v>184</v>
      </c>
      <c r="I24" s="9" t="s">
        <v>235</v>
      </c>
      <c r="J24" s="8" t="s">
        <v>531</v>
      </c>
      <c r="K24" s="8">
        <v>30</v>
      </c>
      <c r="L24" s="8">
        <v>0.66700000000000004</v>
      </c>
      <c r="M24" s="5" t="s">
        <v>161</v>
      </c>
      <c r="N24" s="11" t="s">
        <v>236</v>
      </c>
      <c r="O24" s="19">
        <f>20.7*2.084*1000+1.5*1.498*1000</f>
        <v>45385.8</v>
      </c>
      <c r="P24" s="6">
        <f>9*1.066*1000</f>
        <v>9594.0000000000018</v>
      </c>
      <c r="Q24" s="6" t="s">
        <v>124</v>
      </c>
      <c r="R24" s="6" t="s">
        <v>124</v>
      </c>
      <c r="S24" s="6" t="s">
        <v>124</v>
      </c>
      <c r="T24" s="19">
        <f>12/(16/24)*2.204*1000</f>
        <v>39672.000000000007</v>
      </c>
      <c r="U24" s="19" t="s">
        <v>124</v>
      </c>
      <c r="V24" s="19">
        <f>SUM(T24,W24)</f>
        <v>42967.350000000006</v>
      </c>
      <c r="W24" s="19">
        <f>0.9/(16/24)*2.441*1000</f>
        <v>3295.35</v>
      </c>
      <c r="X24" s="6">
        <v>0</v>
      </c>
      <c r="Y24" s="20" t="s">
        <v>135</v>
      </c>
      <c r="Z24" s="20" t="s">
        <v>135</v>
      </c>
      <c r="AA24" s="3">
        <f>SUM(O24:P24)/8</f>
        <v>6872.4750000000004</v>
      </c>
      <c r="AB24" s="3">
        <f t="shared" si="28"/>
        <v>5370.9187500000007</v>
      </c>
      <c r="AC24" s="3">
        <f t="shared" si="24"/>
        <v>0</v>
      </c>
      <c r="AD24" s="3">
        <f t="shared" si="5"/>
        <v>5370.9187500000007</v>
      </c>
      <c r="AE24" s="4">
        <f t="shared" si="6"/>
        <v>0.7815115733414818</v>
      </c>
      <c r="AF24" s="4">
        <f t="shared" si="7"/>
        <v>0</v>
      </c>
      <c r="AG24" s="4">
        <f t="shared" si="8"/>
        <v>1</v>
      </c>
      <c r="AH24" s="4">
        <f t="shared" si="9"/>
        <v>0.7815115733414818</v>
      </c>
      <c r="AI24" s="4">
        <f t="shared" si="18"/>
        <v>1501.5562499999996</v>
      </c>
      <c r="AJ24" s="4">
        <f t="shared" si="11"/>
        <v>0.21848842665851814</v>
      </c>
      <c r="AK24" s="46" t="str">
        <f t="shared" si="12"/>
        <v>As calculated</v>
      </c>
    </row>
    <row r="25" spans="1:37" ht="26" x14ac:dyDescent="0.2">
      <c r="A25" s="18">
        <v>24</v>
      </c>
      <c r="B25" s="13" t="s">
        <v>533</v>
      </c>
      <c r="C25" s="13" t="s">
        <v>237</v>
      </c>
      <c r="D25" s="10" t="s">
        <v>233</v>
      </c>
      <c r="E25" s="7" t="s">
        <v>157</v>
      </c>
      <c r="F25" s="7" t="s">
        <v>234</v>
      </c>
      <c r="G25" s="63" t="s">
        <v>515</v>
      </c>
      <c r="H25" s="7" t="s">
        <v>184</v>
      </c>
      <c r="I25" s="9" t="s">
        <v>238</v>
      </c>
      <c r="J25" s="8" t="s">
        <v>531</v>
      </c>
      <c r="K25" s="8">
        <v>30</v>
      </c>
      <c r="L25" s="8">
        <v>0.33300000000000002</v>
      </c>
      <c r="M25" s="5" t="s">
        <v>161</v>
      </c>
      <c r="N25" s="11" t="s">
        <v>535</v>
      </c>
      <c r="O25" s="19">
        <f>41.4*2.084*1000+3*1.498*1000</f>
        <v>90771.6</v>
      </c>
      <c r="P25" s="6">
        <f>18*1.066*1000</f>
        <v>19188.000000000004</v>
      </c>
      <c r="Q25" s="6" t="s">
        <v>124</v>
      </c>
      <c r="R25" s="6" t="s">
        <v>124</v>
      </c>
      <c r="S25" s="6" t="s">
        <v>124</v>
      </c>
      <c r="T25" s="19">
        <f>8.7/(8/24)*2.204*1000</f>
        <v>57524.4</v>
      </c>
      <c r="U25" s="19" t="s">
        <v>124</v>
      </c>
      <c r="V25" s="19">
        <f t="shared" ref="V25:V27" si="29">SUM(T25,W25)</f>
        <v>60453.599999999999</v>
      </c>
      <c r="W25" s="19">
        <f>0.4/(8/24)*2.441*1000</f>
        <v>2929.2000000000003</v>
      </c>
      <c r="X25" s="6">
        <v>0</v>
      </c>
      <c r="Y25" s="20" t="s">
        <v>135</v>
      </c>
      <c r="Z25" s="20" t="s">
        <v>135</v>
      </c>
      <c r="AA25" s="3">
        <f t="shared" ref="AA25:AA27" si="30">SUM(O25:P25)/8</f>
        <v>13744.95</v>
      </c>
      <c r="AB25" s="3">
        <f t="shared" si="28"/>
        <v>7556.7</v>
      </c>
      <c r="AC25" s="3">
        <f t="shared" si="24"/>
        <v>0</v>
      </c>
      <c r="AD25" s="3">
        <f t="shared" si="5"/>
        <v>7556.7</v>
      </c>
      <c r="AE25" s="4">
        <f t="shared" si="6"/>
        <v>0.54978010105529662</v>
      </c>
      <c r="AF25" s="4">
        <f t="shared" si="7"/>
        <v>0</v>
      </c>
      <c r="AG25" s="4">
        <f t="shared" si="8"/>
        <v>1</v>
      </c>
      <c r="AH25" s="4">
        <f t="shared" si="9"/>
        <v>0.54978010105529662</v>
      </c>
      <c r="AI25" s="4">
        <f t="shared" si="18"/>
        <v>6188.2500000000009</v>
      </c>
      <c r="AJ25" s="4">
        <f t="shared" si="11"/>
        <v>0.45021989894470338</v>
      </c>
      <c r="AK25" s="46" t="str">
        <f t="shared" si="12"/>
        <v>As calculated</v>
      </c>
    </row>
    <row r="26" spans="1:37" ht="26" x14ac:dyDescent="0.2">
      <c r="A26" s="18">
        <v>25</v>
      </c>
      <c r="B26" s="13" t="s">
        <v>533</v>
      </c>
      <c r="C26" s="13" t="s">
        <v>239</v>
      </c>
      <c r="D26" s="10" t="s">
        <v>233</v>
      </c>
      <c r="E26" s="7" t="s">
        <v>157</v>
      </c>
      <c r="F26" s="7" t="s">
        <v>234</v>
      </c>
      <c r="G26" s="63" t="s">
        <v>515</v>
      </c>
      <c r="H26" s="7" t="s">
        <v>184</v>
      </c>
      <c r="I26" s="9" t="s">
        <v>240</v>
      </c>
      <c r="J26" s="8" t="s">
        <v>531</v>
      </c>
      <c r="K26" s="8">
        <v>30</v>
      </c>
      <c r="L26" s="8">
        <v>0.33300000000000002</v>
      </c>
      <c r="M26" s="5" t="s">
        <v>161</v>
      </c>
      <c r="N26" s="11" t="s">
        <v>534</v>
      </c>
      <c r="O26" s="19">
        <f>41.4*2.084*1000+6*1.498*1000</f>
        <v>95265.600000000006</v>
      </c>
      <c r="P26" s="6">
        <f>18*1.066*1000</f>
        <v>19188.000000000004</v>
      </c>
      <c r="Q26" s="6" t="s">
        <v>124</v>
      </c>
      <c r="R26" s="6" t="s">
        <v>124</v>
      </c>
      <c r="S26" s="6" t="s">
        <v>124</v>
      </c>
      <c r="T26" s="19">
        <f>11.3/(8/24)*2.204*1000</f>
        <v>74715.60000000002</v>
      </c>
      <c r="U26" s="19" t="s">
        <v>124</v>
      </c>
      <c r="V26" s="19">
        <f t="shared" si="29"/>
        <v>79109.400000000023</v>
      </c>
      <c r="W26" s="19">
        <f>0.6/(8/24)*2.441*1000</f>
        <v>4393.7999999999993</v>
      </c>
      <c r="X26" s="6">
        <v>0</v>
      </c>
      <c r="Y26" s="20" t="s">
        <v>135</v>
      </c>
      <c r="Z26" s="20" t="s">
        <v>135</v>
      </c>
      <c r="AA26" s="3">
        <f t="shared" si="30"/>
        <v>14306.7</v>
      </c>
      <c r="AB26" s="3">
        <f t="shared" si="28"/>
        <v>9888.6750000000029</v>
      </c>
      <c r="AC26" s="3">
        <f t="shared" si="24"/>
        <v>0</v>
      </c>
      <c r="AD26" s="3">
        <f t="shared" si="5"/>
        <v>9888.6750000000029</v>
      </c>
      <c r="AE26" s="4">
        <f t="shared" si="6"/>
        <v>0.69119188911489038</v>
      </c>
      <c r="AF26" s="4">
        <f t="shared" si="7"/>
        <v>0</v>
      </c>
      <c r="AG26" s="4">
        <f t="shared" si="8"/>
        <v>1</v>
      </c>
      <c r="AH26" s="4">
        <f t="shared" si="9"/>
        <v>0.69119188911489038</v>
      </c>
      <c r="AI26" s="4">
        <f t="shared" si="18"/>
        <v>4418.0249999999978</v>
      </c>
      <c r="AJ26" s="4">
        <f t="shared" si="11"/>
        <v>0.30880811088510962</v>
      </c>
      <c r="AK26" s="46" t="str">
        <f t="shared" si="12"/>
        <v>As calculated</v>
      </c>
    </row>
    <row r="27" spans="1:37" ht="26" x14ac:dyDescent="0.2">
      <c r="A27" s="18">
        <v>26</v>
      </c>
      <c r="B27" s="13" t="s">
        <v>533</v>
      </c>
      <c r="C27" s="13" t="s">
        <v>241</v>
      </c>
      <c r="D27" s="10" t="s">
        <v>233</v>
      </c>
      <c r="E27" s="7" t="s">
        <v>157</v>
      </c>
      <c r="F27" s="7" t="s">
        <v>234</v>
      </c>
      <c r="G27" s="63" t="s">
        <v>515</v>
      </c>
      <c r="H27" s="7" t="s">
        <v>184</v>
      </c>
      <c r="I27" s="9" t="s">
        <v>242</v>
      </c>
      <c r="J27" s="8" t="s">
        <v>531</v>
      </c>
      <c r="K27" s="8">
        <v>30</v>
      </c>
      <c r="L27" s="8">
        <v>0.16700000000000001</v>
      </c>
      <c r="M27" s="5" t="s">
        <v>161</v>
      </c>
      <c r="N27" s="11" t="s">
        <v>536</v>
      </c>
      <c r="O27" s="19">
        <f>82.8*2.084*1000+12*1.498*1000</f>
        <v>190531.20000000001</v>
      </c>
      <c r="P27" s="6">
        <f>36*1.066*1000</f>
        <v>38376.000000000007</v>
      </c>
      <c r="Q27" s="6" t="s">
        <v>124</v>
      </c>
      <c r="R27" s="6" t="s">
        <v>124</v>
      </c>
      <c r="S27" s="6" t="s">
        <v>124</v>
      </c>
      <c r="T27" s="19">
        <f>8.7/(4/24)*2.204*1000</f>
        <v>115048.8</v>
      </c>
      <c r="U27" s="19" t="s">
        <v>124</v>
      </c>
      <c r="V27" s="19">
        <f t="shared" si="29"/>
        <v>119442.6</v>
      </c>
      <c r="W27" s="19">
        <f>0.3/(4/24)*2.441*1000</f>
        <v>4393.7999999999993</v>
      </c>
      <c r="X27" s="6">
        <v>0</v>
      </c>
      <c r="Y27" s="20" t="s">
        <v>135</v>
      </c>
      <c r="Z27" s="20" t="s">
        <v>135</v>
      </c>
      <c r="AA27" s="3">
        <f t="shared" si="30"/>
        <v>28613.4</v>
      </c>
      <c r="AB27" s="3">
        <f t="shared" si="28"/>
        <v>14930.325000000001</v>
      </c>
      <c r="AC27" s="3">
        <f t="shared" si="24"/>
        <v>0</v>
      </c>
      <c r="AD27" s="3">
        <f t="shared" si="5"/>
        <v>14930.325000000001</v>
      </c>
      <c r="AE27" s="4">
        <f t="shared" si="6"/>
        <v>0.52179485835307937</v>
      </c>
      <c r="AF27" s="4">
        <f t="shared" si="7"/>
        <v>0</v>
      </c>
      <c r="AG27" s="4">
        <f t="shared" si="8"/>
        <v>1</v>
      </c>
      <c r="AH27" s="4">
        <f t="shared" si="9"/>
        <v>0.52179485835307937</v>
      </c>
      <c r="AI27" s="4">
        <f t="shared" si="18"/>
        <v>13683.075000000001</v>
      </c>
      <c r="AJ27" s="4">
        <f t="shared" si="11"/>
        <v>0.47820514164692068</v>
      </c>
      <c r="AK27" s="46" t="str">
        <f t="shared" si="12"/>
        <v>As calculated</v>
      </c>
    </row>
    <row r="28" spans="1:37" ht="17" thickBot="1" x14ac:dyDescent="0.25">
      <c r="A28"/>
    </row>
    <row r="29" spans="1:37" ht="16" customHeight="1" x14ac:dyDescent="0.2">
      <c r="A29" s="135" t="s">
        <v>243</v>
      </c>
      <c r="B29" s="136"/>
      <c r="C29" s="136"/>
      <c r="D29" s="137"/>
    </row>
    <row r="30" spans="1:37" x14ac:dyDescent="0.2">
      <c r="A30" s="138"/>
      <c r="B30" s="139"/>
      <c r="C30" s="139"/>
      <c r="D30" s="140"/>
    </row>
    <row r="31" spans="1:37" x14ac:dyDescent="0.2">
      <c r="A31" s="138"/>
      <c r="B31" s="139"/>
      <c r="C31" s="139"/>
      <c r="D31" s="140"/>
    </row>
    <row r="32" spans="1:37" ht="17" thickBot="1" x14ac:dyDescent="0.25">
      <c r="A32" s="141"/>
      <c r="B32" s="142"/>
      <c r="C32" s="142"/>
      <c r="D32" s="143"/>
    </row>
    <row r="33" spans="1:6" ht="17" thickBot="1" x14ac:dyDescent="0.25"/>
    <row r="34" spans="1:6" x14ac:dyDescent="0.2">
      <c r="A34" s="126" t="s">
        <v>488</v>
      </c>
      <c r="B34" s="127"/>
      <c r="C34" s="127"/>
      <c r="D34" s="127"/>
      <c r="E34" s="127"/>
      <c r="F34" s="128"/>
    </row>
    <row r="35" spans="1:6" x14ac:dyDescent="0.2">
      <c r="A35" s="129"/>
      <c r="B35" s="130"/>
      <c r="C35" s="130"/>
      <c r="D35" s="130"/>
      <c r="E35" s="130"/>
      <c r="F35" s="131"/>
    </row>
    <row r="36" spans="1:6" x14ac:dyDescent="0.2">
      <c r="A36" s="129"/>
      <c r="B36" s="130"/>
      <c r="C36" s="130"/>
      <c r="D36" s="130"/>
      <c r="E36" s="130"/>
      <c r="F36" s="131"/>
    </row>
    <row r="37" spans="1:6" x14ac:dyDescent="0.2">
      <c r="A37" s="129"/>
      <c r="B37" s="130"/>
      <c r="C37" s="130"/>
      <c r="D37" s="130"/>
      <c r="E37" s="130"/>
      <c r="F37" s="131"/>
    </row>
    <row r="38" spans="1:6" x14ac:dyDescent="0.2">
      <c r="A38" s="129"/>
      <c r="B38" s="130"/>
      <c r="C38" s="130"/>
      <c r="D38" s="130"/>
      <c r="E38" s="130"/>
      <c r="F38" s="131"/>
    </row>
    <row r="39" spans="1:6" x14ac:dyDescent="0.2">
      <c r="A39" s="129"/>
      <c r="B39" s="130"/>
      <c r="C39" s="130"/>
      <c r="D39" s="130"/>
      <c r="E39" s="130"/>
      <c r="F39" s="131"/>
    </row>
    <row r="40" spans="1:6" x14ac:dyDescent="0.2">
      <c r="A40" s="129"/>
      <c r="B40" s="130"/>
      <c r="C40" s="130"/>
      <c r="D40" s="130"/>
      <c r="E40" s="130"/>
      <c r="F40" s="131"/>
    </row>
    <row r="41" spans="1:6" ht="17" thickBot="1" x14ac:dyDescent="0.25">
      <c r="A41" s="132"/>
      <c r="B41" s="133"/>
      <c r="C41" s="133"/>
      <c r="D41" s="133"/>
      <c r="E41" s="133"/>
      <c r="F41" s="134"/>
    </row>
  </sheetData>
  <mergeCells count="2">
    <mergeCell ref="A29:D32"/>
    <mergeCell ref="A34:F4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3809F-F548-D949-8A20-9B0BE483EEDB}">
  <dimension ref="A1:GS37"/>
  <sheetViews>
    <sheetView topLeftCell="AE1" workbookViewId="0">
      <selection activeCell="K7" sqref="K7"/>
    </sheetView>
  </sheetViews>
  <sheetFormatPr baseColWidth="10" defaultRowHeight="16" x14ac:dyDescent="0.2"/>
  <cols>
    <col min="8" max="8" width="13.1640625" customWidth="1"/>
    <col min="42" max="42" width="18.83203125" style="1" customWidth="1"/>
  </cols>
  <sheetData>
    <row r="1" spans="1:201" ht="65" x14ac:dyDescent="0.2">
      <c r="A1" s="22" t="s">
        <v>77</v>
      </c>
      <c r="B1" s="23" t="s">
        <v>38</v>
      </c>
      <c r="C1" s="23" t="s">
        <v>0</v>
      </c>
      <c r="D1" s="24" t="s">
        <v>1</v>
      </c>
      <c r="E1" s="24" t="s">
        <v>3</v>
      </c>
      <c r="F1" s="24" t="s">
        <v>244</v>
      </c>
      <c r="G1" s="24" t="s">
        <v>245</v>
      </c>
      <c r="H1" s="12" t="s">
        <v>487</v>
      </c>
      <c r="I1" s="24" t="s">
        <v>246</v>
      </c>
      <c r="J1" s="24" t="s">
        <v>5</v>
      </c>
      <c r="K1" s="24" t="s">
        <v>6</v>
      </c>
      <c r="L1" s="24" t="s">
        <v>7</v>
      </c>
      <c r="M1" s="24" t="s">
        <v>247</v>
      </c>
      <c r="N1" s="25" t="s">
        <v>49</v>
      </c>
      <c r="O1" s="25" t="s">
        <v>2</v>
      </c>
      <c r="P1" s="26" t="s">
        <v>248</v>
      </c>
      <c r="Q1" s="26" t="s">
        <v>249</v>
      </c>
      <c r="R1" s="26" t="s">
        <v>250</v>
      </c>
      <c r="S1" s="26" t="s">
        <v>251</v>
      </c>
      <c r="T1" s="26" t="s">
        <v>252</v>
      </c>
      <c r="U1" s="26" t="s">
        <v>253</v>
      </c>
      <c r="V1" s="26" t="s">
        <v>254</v>
      </c>
      <c r="W1" s="26" t="s">
        <v>255</v>
      </c>
      <c r="X1" s="26" t="s">
        <v>256</v>
      </c>
      <c r="Y1" s="26" t="s">
        <v>257</v>
      </c>
      <c r="Z1" s="26" t="s">
        <v>258</v>
      </c>
      <c r="AA1" s="26" t="s">
        <v>259</v>
      </c>
      <c r="AB1" s="26" t="s">
        <v>260</v>
      </c>
      <c r="AC1" s="26" t="s">
        <v>261</v>
      </c>
      <c r="AD1" s="26" t="s">
        <v>262</v>
      </c>
      <c r="AE1" s="26" t="s">
        <v>263</v>
      </c>
      <c r="AF1" s="27" t="s">
        <v>264</v>
      </c>
      <c r="AG1" s="27" t="s">
        <v>265</v>
      </c>
      <c r="AH1" s="27" t="s">
        <v>266</v>
      </c>
      <c r="AI1" s="27" t="s">
        <v>267</v>
      </c>
      <c r="AJ1" s="27" t="s">
        <v>17</v>
      </c>
      <c r="AK1" s="27" t="s">
        <v>18</v>
      </c>
      <c r="AL1" s="27" t="s">
        <v>19</v>
      </c>
      <c r="AM1" s="27" t="s">
        <v>20</v>
      </c>
      <c r="AN1" s="27" t="s">
        <v>58</v>
      </c>
      <c r="AO1" s="27" t="s">
        <v>21</v>
      </c>
      <c r="AP1" s="74" t="s">
        <v>486</v>
      </c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</row>
    <row r="2" spans="1:201" ht="39" x14ac:dyDescent="0.2">
      <c r="A2" s="29">
        <v>1</v>
      </c>
      <c r="B2" s="30" t="s">
        <v>268</v>
      </c>
      <c r="C2" s="30" t="s">
        <v>269</v>
      </c>
      <c r="D2" s="31" t="s">
        <v>270</v>
      </c>
      <c r="E2" s="31" t="s">
        <v>157</v>
      </c>
      <c r="F2" s="32" t="s">
        <v>271</v>
      </c>
      <c r="G2" s="32" t="s">
        <v>272</v>
      </c>
      <c r="H2" s="7" t="s">
        <v>515</v>
      </c>
      <c r="I2" s="32" t="s">
        <v>273</v>
      </c>
      <c r="J2" s="33" t="s">
        <v>274</v>
      </c>
      <c r="K2" s="33">
        <v>7.61</v>
      </c>
      <c r="L2" s="33">
        <v>55</v>
      </c>
      <c r="M2" s="33">
        <v>15</v>
      </c>
      <c r="N2" s="34" t="s">
        <v>275</v>
      </c>
      <c r="O2" s="35" t="s">
        <v>537</v>
      </c>
      <c r="P2" s="6">
        <v>930</v>
      </c>
      <c r="Q2" s="6" t="s">
        <v>124</v>
      </c>
      <c r="R2" s="6">
        <v>22.414000000000001</v>
      </c>
      <c r="S2" s="20">
        <f>P2/R2</f>
        <v>41.491924689925938</v>
      </c>
      <c r="T2" s="20">
        <v>847</v>
      </c>
      <c r="U2" s="20">
        <v>54.2</v>
      </c>
      <c r="V2" s="20">
        <v>868</v>
      </c>
      <c r="W2" s="20">
        <v>78.5</v>
      </c>
      <c r="X2" s="20">
        <f>T2*U2/100</f>
        <v>459.07400000000001</v>
      </c>
      <c r="Y2" s="6">
        <f>V2*W2/100</f>
        <v>681.38</v>
      </c>
      <c r="Z2" s="20">
        <f>Y2-X2</f>
        <v>222.30599999999998</v>
      </c>
      <c r="AA2" s="20">
        <f>Z2/22.414</f>
        <v>9.9181761399125534</v>
      </c>
      <c r="AB2" s="20">
        <v>1.2</v>
      </c>
      <c r="AC2" s="20">
        <v>3.5</v>
      </c>
      <c r="AD2" s="20">
        <f>AC2-AB2</f>
        <v>2.2999999999999998</v>
      </c>
      <c r="AE2" s="20">
        <f>AD2/15</f>
        <v>0.15333333333333332</v>
      </c>
      <c r="AF2" s="3">
        <f>S2*2</f>
        <v>82.983849379851875</v>
      </c>
      <c r="AG2" s="3">
        <f>AA2*8</f>
        <v>79.345409119300427</v>
      </c>
      <c r="AH2" s="3">
        <f>AE2*8</f>
        <v>1.2266666666666666</v>
      </c>
      <c r="AI2" s="3">
        <f>SUM(AG2:AH2)</f>
        <v>80.572075785967087</v>
      </c>
      <c r="AJ2" s="3">
        <f>AG2/AF2</f>
        <v>0.95615483870967732</v>
      </c>
      <c r="AK2" s="3">
        <f>AH2/AF2</f>
        <v>1.4781992831541219E-2</v>
      </c>
      <c r="AL2" s="3">
        <f>AG2/AI2</f>
        <v>0.98477553600672774</v>
      </c>
      <c r="AM2" s="3">
        <f>AI2/AF2</f>
        <v>0.97093683154121846</v>
      </c>
      <c r="AN2" s="3">
        <f>AF2-SUM(AG2,AH2)</f>
        <v>2.4117735938847886</v>
      </c>
      <c r="AO2" s="3">
        <f>AN2/AF2</f>
        <v>2.9063168458781534E-2</v>
      </c>
      <c r="AP2" s="78" t="str">
        <f>IF(H2="","",IF(AM2="NC","NC",IF(OR(AM2&lt;0,AM2&gt;1),"Excluded",IF(OR(H2="Total COD",H2="Mixed"),"Lower bound",IF(OR(H2="Defined substrate",H2="Biodegradable COD"),"As calculated","CHECK")))))</f>
        <v>As calculated</v>
      </c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</row>
    <row r="3" spans="1:201" ht="39" x14ac:dyDescent="0.2">
      <c r="A3" s="29">
        <v>2</v>
      </c>
      <c r="B3" s="30" t="s">
        <v>268</v>
      </c>
      <c r="C3" s="30" t="s">
        <v>276</v>
      </c>
      <c r="D3" s="31" t="s">
        <v>270</v>
      </c>
      <c r="E3" s="31" t="s">
        <v>157</v>
      </c>
      <c r="F3" s="32" t="s">
        <v>271</v>
      </c>
      <c r="G3" s="32" t="s">
        <v>272</v>
      </c>
      <c r="H3" s="7" t="s">
        <v>515</v>
      </c>
      <c r="I3" s="32" t="s">
        <v>273</v>
      </c>
      <c r="J3" s="33" t="s">
        <v>277</v>
      </c>
      <c r="K3" s="33">
        <v>7.9</v>
      </c>
      <c r="L3" s="33">
        <v>55</v>
      </c>
      <c r="M3" s="33">
        <v>15</v>
      </c>
      <c r="N3" s="34" t="s">
        <v>275</v>
      </c>
      <c r="O3" s="35" t="s">
        <v>538</v>
      </c>
      <c r="P3" s="6">
        <v>1440</v>
      </c>
      <c r="Q3" s="6" t="s">
        <v>124</v>
      </c>
      <c r="R3" s="6">
        <v>22.414000000000001</v>
      </c>
      <c r="S3" s="20">
        <f t="shared" ref="S3:S17" si="0">P3/R3</f>
        <v>64.245560810207905</v>
      </c>
      <c r="T3" s="20">
        <v>853</v>
      </c>
      <c r="U3" s="20">
        <v>53.1</v>
      </c>
      <c r="V3" s="20">
        <v>885</v>
      </c>
      <c r="W3" s="20">
        <v>90.2</v>
      </c>
      <c r="X3" s="20">
        <f t="shared" ref="X3:X17" si="1">T3*U3/100</f>
        <v>452.94300000000004</v>
      </c>
      <c r="Y3" s="6">
        <f t="shared" ref="Y3:Y4" si="2">V3*W3/100</f>
        <v>798.27</v>
      </c>
      <c r="Z3" s="20">
        <f>Y3-X3</f>
        <v>345.32699999999994</v>
      </c>
      <c r="AA3" s="20">
        <f t="shared" ref="AA3:AA4" si="3">Z3/22.414</f>
        <v>15.406754706879624</v>
      </c>
      <c r="AB3" s="20">
        <v>1.4</v>
      </c>
      <c r="AC3" s="20">
        <v>10.199999999999999</v>
      </c>
      <c r="AD3" s="20">
        <f>AC3-AB3</f>
        <v>8.7999999999999989</v>
      </c>
      <c r="AE3" s="20">
        <f t="shared" ref="AE3:AE4" si="4">AD3/15</f>
        <v>0.58666666666666656</v>
      </c>
      <c r="AF3" s="3">
        <f>S3*2</f>
        <v>128.49112162041581</v>
      </c>
      <c r="AG3" s="3">
        <f t="shared" ref="AG3:AG12" si="5">AA3*8</f>
        <v>123.254037655037</v>
      </c>
      <c r="AH3" s="3">
        <f t="shared" ref="AH3:AH16" si="6">AE3*8</f>
        <v>4.6933333333333325</v>
      </c>
      <c r="AI3" s="3">
        <f t="shared" ref="AI3:AI21" si="7">SUM(AG3:AH3)</f>
        <v>127.94737098837032</v>
      </c>
      <c r="AJ3" s="3">
        <f t="shared" ref="AJ3:AJ23" si="8">AG3/AF3</f>
        <v>0.95924166666666644</v>
      </c>
      <c r="AK3" s="3">
        <f t="shared" ref="AK3:AK18" si="9">AH3/AF3</f>
        <v>3.6526518518518514E-2</v>
      </c>
      <c r="AL3" s="3">
        <f t="shared" ref="AL3:AL18" si="10">AG3/AI3</f>
        <v>0.96331825111310865</v>
      </c>
      <c r="AM3" s="3">
        <f t="shared" ref="AM3:AM18" si="11">AI3/AF3</f>
        <v>0.99576818518518484</v>
      </c>
      <c r="AN3" s="3">
        <f t="shared" ref="AN3:AN18" si="12">AF3-SUM(AG3,AH3)</f>
        <v>0.54375063204548724</v>
      </c>
      <c r="AO3" s="3">
        <f t="shared" ref="AO3:AO18" si="13">AN3/AF3</f>
        <v>4.231814814815122E-3</v>
      </c>
      <c r="AP3" s="78" t="str">
        <f t="shared" ref="AP3:AP23" si="14">IF(H3="","",IF(AM3="NC","NC",IF(OR(AM3&lt;0,AM3&gt;1),"Excluded",IF(OR(H3="Total COD",H3="Mixed"),"Lower bound",IF(OR(H3="Defined substrate",H3="Biodegradable COD"),"As calculated","CHECK")))))</f>
        <v>As calculated</v>
      </c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</row>
    <row r="4" spans="1:201" ht="39" x14ac:dyDescent="0.2">
      <c r="A4" s="29">
        <v>3</v>
      </c>
      <c r="B4" s="30" t="s">
        <v>268</v>
      </c>
      <c r="C4" s="30" t="s">
        <v>278</v>
      </c>
      <c r="D4" s="31" t="s">
        <v>270</v>
      </c>
      <c r="E4" s="31" t="s">
        <v>157</v>
      </c>
      <c r="F4" s="32" t="s">
        <v>271</v>
      </c>
      <c r="G4" s="32" t="s">
        <v>272</v>
      </c>
      <c r="H4" s="7" t="s">
        <v>515</v>
      </c>
      <c r="I4" s="32" t="s">
        <v>273</v>
      </c>
      <c r="J4" s="33" t="s">
        <v>279</v>
      </c>
      <c r="K4" s="33">
        <v>8.31</v>
      </c>
      <c r="L4" s="33">
        <v>55</v>
      </c>
      <c r="M4" s="33">
        <v>15</v>
      </c>
      <c r="N4" s="34" t="s">
        <v>275</v>
      </c>
      <c r="O4" s="35" t="s">
        <v>539</v>
      </c>
      <c r="P4" s="6">
        <v>1760</v>
      </c>
      <c r="Q4" s="6" t="s">
        <v>124</v>
      </c>
      <c r="R4" s="6">
        <v>22.414000000000001</v>
      </c>
      <c r="S4" s="20">
        <f t="shared" si="0"/>
        <v>78.522352101365215</v>
      </c>
      <c r="T4" s="20">
        <v>865</v>
      </c>
      <c r="U4" s="20">
        <v>55.4</v>
      </c>
      <c r="V4" s="20">
        <v>895</v>
      </c>
      <c r="W4" s="20">
        <v>96.1</v>
      </c>
      <c r="X4" s="20">
        <f t="shared" si="1"/>
        <v>479.21</v>
      </c>
      <c r="Y4" s="6">
        <f t="shared" si="2"/>
        <v>860.09500000000003</v>
      </c>
      <c r="Z4" s="20">
        <f>Y4-X4</f>
        <v>380.88500000000005</v>
      </c>
      <c r="AA4" s="20">
        <f t="shared" si="3"/>
        <v>16.993173909163918</v>
      </c>
      <c r="AB4" s="20">
        <v>1.5</v>
      </c>
      <c r="AC4" s="20">
        <v>36</v>
      </c>
      <c r="AD4" s="20">
        <f>AC4-AB4</f>
        <v>34.5</v>
      </c>
      <c r="AE4" s="20">
        <f t="shared" si="4"/>
        <v>2.2999999999999998</v>
      </c>
      <c r="AF4" s="3">
        <f>S4*2</f>
        <v>157.04470420273043</v>
      </c>
      <c r="AG4" s="3">
        <f t="shared" si="5"/>
        <v>135.94539127331134</v>
      </c>
      <c r="AH4" s="3">
        <f t="shared" si="6"/>
        <v>18.399999999999999</v>
      </c>
      <c r="AI4" s="3">
        <f t="shared" si="7"/>
        <v>154.34539127331135</v>
      </c>
      <c r="AJ4" s="3">
        <f t="shared" si="8"/>
        <v>0.86564772727272743</v>
      </c>
      <c r="AK4" s="3">
        <f t="shared" si="9"/>
        <v>0.11716409090909091</v>
      </c>
      <c r="AL4" s="3">
        <f t="shared" si="10"/>
        <v>0.88078685182495864</v>
      </c>
      <c r="AM4" s="3">
        <f t="shared" si="11"/>
        <v>0.9828118181818184</v>
      </c>
      <c r="AN4" s="3">
        <f t="shared" si="12"/>
        <v>2.6993129294190794</v>
      </c>
      <c r="AO4" s="3">
        <f t="shared" si="13"/>
        <v>1.7188181818181606E-2</v>
      </c>
      <c r="AP4" s="78" t="str">
        <f t="shared" si="14"/>
        <v>As calculated</v>
      </c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</row>
    <row r="5" spans="1:201" ht="26" x14ac:dyDescent="0.2">
      <c r="A5" s="29">
        <v>4</v>
      </c>
      <c r="B5" s="30" t="s">
        <v>280</v>
      </c>
      <c r="C5" s="30" t="s">
        <v>281</v>
      </c>
      <c r="D5" s="31" t="s">
        <v>282</v>
      </c>
      <c r="E5" s="31" t="s">
        <v>157</v>
      </c>
      <c r="F5" s="32" t="s">
        <v>271</v>
      </c>
      <c r="G5" s="32" t="s">
        <v>283</v>
      </c>
      <c r="H5" s="7" t="s">
        <v>515</v>
      </c>
      <c r="I5" s="32" t="s">
        <v>284</v>
      </c>
      <c r="J5" s="33" t="s">
        <v>285</v>
      </c>
      <c r="K5" s="33">
        <v>7.92</v>
      </c>
      <c r="L5" s="33">
        <v>55</v>
      </c>
      <c r="M5" s="33">
        <v>5</v>
      </c>
      <c r="N5" s="34" t="s">
        <v>275</v>
      </c>
      <c r="O5" s="35" t="s">
        <v>540</v>
      </c>
      <c r="P5" s="6">
        <v>3477</v>
      </c>
      <c r="Q5" s="6" t="s">
        <v>124</v>
      </c>
      <c r="R5" s="6">
        <v>22.4</v>
      </c>
      <c r="S5" s="20">
        <f t="shared" si="0"/>
        <v>155.22321428571431</v>
      </c>
      <c r="T5" s="20">
        <v>2229</v>
      </c>
      <c r="U5" s="20">
        <v>60.6</v>
      </c>
      <c r="V5" s="20">
        <v>2093</v>
      </c>
      <c r="W5" s="20">
        <v>40.4</v>
      </c>
      <c r="X5" s="20">
        <f t="shared" si="1"/>
        <v>1350.7739999999999</v>
      </c>
      <c r="Y5" s="6">
        <v>1528</v>
      </c>
      <c r="Z5" s="20">
        <f>Y5-X5</f>
        <v>177.22600000000011</v>
      </c>
      <c r="AA5" s="20">
        <f>Z5/22.4</f>
        <v>7.9118750000000055</v>
      </c>
      <c r="AB5" s="20">
        <f>1.41*0.515/60.05*1000</f>
        <v>12.092422980849292</v>
      </c>
      <c r="AC5" s="20">
        <f>3.4*0.553/60.05*1000</f>
        <v>31.310574521232308</v>
      </c>
      <c r="AD5" s="20">
        <f>AC5-AB5</f>
        <v>19.218151540383015</v>
      </c>
      <c r="AE5" s="20">
        <f>AD5/5</f>
        <v>3.843630308076603</v>
      </c>
      <c r="AF5" s="3">
        <f t="shared" ref="AF5:AF23" si="15">S5*2</f>
        <v>310.44642857142861</v>
      </c>
      <c r="AG5" s="3">
        <f>AA5*8</f>
        <v>63.295000000000044</v>
      </c>
      <c r="AH5" s="3">
        <f t="shared" si="6"/>
        <v>30.749042464612824</v>
      </c>
      <c r="AI5" s="3">
        <f t="shared" si="7"/>
        <v>94.044042464612872</v>
      </c>
      <c r="AJ5" s="3">
        <f t="shared" si="8"/>
        <v>0.20388380788035673</v>
      </c>
      <c r="AK5" s="3">
        <f t="shared" si="9"/>
        <v>9.9047821571372902E-2</v>
      </c>
      <c r="AL5" s="3">
        <f t="shared" si="10"/>
        <v>0.67303572178765969</v>
      </c>
      <c r="AM5" s="3">
        <f t="shared" si="11"/>
        <v>0.30293162945172963</v>
      </c>
      <c r="AN5" s="3">
        <f t="shared" si="12"/>
        <v>216.40238610681575</v>
      </c>
      <c r="AO5" s="3">
        <f t="shared" si="13"/>
        <v>0.69706837054827042</v>
      </c>
      <c r="AP5" s="78" t="str">
        <f t="shared" si="14"/>
        <v>As calculated</v>
      </c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</row>
    <row r="6" spans="1:201" ht="26" x14ac:dyDescent="0.2">
      <c r="A6" s="29">
        <v>5</v>
      </c>
      <c r="B6" s="30" t="s">
        <v>280</v>
      </c>
      <c r="C6" s="30" t="s">
        <v>286</v>
      </c>
      <c r="D6" s="31" t="s">
        <v>282</v>
      </c>
      <c r="E6" s="31" t="s">
        <v>157</v>
      </c>
      <c r="F6" s="32" t="s">
        <v>271</v>
      </c>
      <c r="G6" s="32" t="s">
        <v>283</v>
      </c>
      <c r="H6" s="7" t="s">
        <v>515</v>
      </c>
      <c r="I6" s="32" t="s">
        <v>284</v>
      </c>
      <c r="J6" s="33" t="s">
        <v>287</v>
      </c>
      <c r="K6" s="33">
        <v>7.9</v>
      </c>
      <c r="L6" s="33">
        <v>55</v>
      </c>
      <c r="M6" s="33">
        <v>5</v>
      </c>
      <c r="N6" s="34" t="s">
        <v>275</v>
      </c>
      <c r="O6" s="35" t="s">
        <v>541</v>
      </c>
      <c r="P6" s="6">
        <v>2636</v>
      </c>
      <c r="Q6" s="6" t="s">
        <v>124</v>
      </c>
      <c r="R6" s="6">
        <v>22.4</v>
      </c>
      <c r="S6" s="20">
        <f t="shared" si="0"/>
        <v>117.67857142857143</v>
      </c>
      <c r="T6" s="20">
        <v>2015</v>
      </c>
      <c r="U6" s="20">
        <v>60.9</v>
      </c>
      <c r="V6" s="20">
        <v>2072</v>
      </c>
      <c r="W6" s="20">
        <v>44.9</v>
      </c>
      <c r="X6" s="20">
        <f t="shared" si="1"/>
        <v>1227.135</v>
      </c>
      <c r="Y6" s="6">
        <v>1497</v>
      </c>
      <c r="Z6" s="20">
        <f t="shared" ref="Z6:Z11" si="16">Y6-X6</f>
        <v>269.86500000000001</v>
      </c>
      <c r="AA6" s="20">
        <f t="shared" ref="AA6:AA15" si="17">Z6/22.4</f>
        <v>12.047544642857144</v>
      </c>
      <c r="AB6" s="20">
        <f>2.26*0.473/60.05*1000</f>
        <v>17.801498751040796</v>
      </c>
      <c r="AC6" s="20">
        <f>3.6*0.518/60.05*1000</f>
        <v>31.054121565362198</v>
      </c>
      <c r="AD6" s="20">
        <f t="shared" ref="AD6:AD11" si="18">AC6-AB6</f>
        <v>13.252622814321402</v>
      </c>
      <c r="AE6" s="20">
        <f t="shared" ref="AE6:AE11" si="19">AD6/5</f>
        <v>2.6505245628642804</v>
      </c>
      <c r="AF6" s="3">
        <f t="shared" si="15"/>
        <v>235.35714285714286</v>
      </c>
      <c r="AG6" s="3">
        <f t="shared" si="5"/>
        <v>96.38035714285715</v>
      </c>
      <c r="AH6" s="3">
        <f t="shared" si="6"/>
        <v>21.204196502914243</v>
      </c>
      <c r="AI6" s="3">
        <f t="shared" si="7"/>
        <v>117.58455364577139</v>
      </c>
      <c r="AJ6" s="3">
        <f t="shared" si="8"/>
        <v>0.40950682852807285</v>
      </c>
      <c r="AK6" s="3">
        <f t="shared" si="9"/>
        <v>9.0093702895538516E-2</v>
      </c>
      <c r="AL6" s="3">
        <f t="shared" si="10"/>
        <v>0.81966852069028717</v>
      </c>
      <c r="AM6" s="3">
        <f t="shared" si="11"/>
        <v>0.49960053142361138</v>
      </c>
      <c r="AN6" s="3">
        <f t="shared" si="12"/>
        <v>117.77258921137147</v>
      </c>
      <c r="AO6" s="3">
        <f t="shared" si="13"/>
        <v>0.50039946857638862</v>
      </c>
      <c r="AP6" s="78" t="str">
        <f t="shared" si="14"/>
        <v>As calculated</v>
      </c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</row>
    <row r="7" spans="1:201" ht="26" x14ac:dyDescent="0.2">
      <c r="A7" s="29">
        <v>6</v>
      </c>
      <c r="B7" s="30" t="s">
        <v>280</v>
      </c>
      <c r="C7" s="30" t="s">
        <v>288</v>
      </c>
      <c r="D7" s="31" t="s">
        <v>282</v>
      </c>
      <c r="E7" s="31" t="s">
        <v>157</v>
      </c>
      <c r="F7" s="32" t="s">
        <v>271</v>
      </c>
      <c r="G7" s="32" t="s">
        <v>283</v>
      </c>
      <c r="H7" s="7" t="s">
        <v>515</v>
      </c>
      <c r="I7" s="32" t="s">
        <v>289</v>
      </c>
      <c r="J7" s="37" t="s">
        <v>290</v>
      </c>
      <c r="K7" s="33">
        <v>7.93</v>
      </c>
      <c r="L7" s="33">
        <v>55</v>
      </c>
      <c r="M7" s="33">
        <v>5</v>
      </c>
      <c r="N7" s="34" t="s">
        <v>275</v>
      </c>
      <c r="O7" s="35" t="s">
        <v>542</v>
      </c>
      <c r="P7" s="6">
        <v>2629</v>
      </c>
      <c r="Q7" s="6" t="s">
        <v>124</v>
      </c>
      <c r="R7" s="6">
        <v>22.4</v>
      </c>
      <c r="S7" s="20">
        <f t="shared" si="0"/>
        <v>117.36607142857143</v>
      </c>
      <c r="T7" s="20">
        <v>1787</v>
      </c>
      <c r="U7" s="20">
        <v>62.5</v>
      </c>
      <c r="V7" s="20">
        <v>1953</v>
      </c>
      <c r="W7" s="20">
        <v>52</v>
      </c>
      <c r="X7" s="20">
        <f t="shared" si="1"/>
        <v>1116.875</v>
      </c>
      <c r="Y7" s="6">
        <v>1471</v>
      </c>
      <c r="Z7" s="20">
        <f t="shared" si="16"/>
        <v>354.125</v>
      </c>
      <c r="AA7" s="20">
        <f t="shared" si="17"/>
        <v>15.809151785714286</v>
      </c>
      <c r="AB7" s="20">
        <f>2.37*0.472/60.05*1000</f>
        <v>18.628476269775188</v>
      </c>
      <c r="AC7" s="20">
        <f>2.81*0.497/60.05*1000</f>
        <v>23.256786011656956</v>
      </c>
      <c r="AD7" s="20">
        <f t="shared" si="18"/>
        <v>4.6283097418817682</v>
      </c>
      <c r="AE7" s="20">
        <f t="shared" si="19"/>
        <v>0.92566194837635363</v>
      </c>
      <c r="AF7" s="3">
        <f t="shared" si="15"/>
        <v>234.73214285714286</v>
      </c>
      <c r="AG7" s="3">
        <f t="shared" si="5"/>
        <v>126.47321428571429</v>
      </c>
      <c r="AH7" s="3">
        <f t="shared" si="6"/>
        <v>7.405295587010829</v>
      </c>
      <c r="AI7" s="3">
        <f t="shared" si="7"/>
        <v>133.87850987272512</v>
      </c>
      <c r="AJ7" s="3">
        <f t="shared" si="8"/>
        <v>0.53879802206162042</v>
      </c>
      <c r="AK7" s="3">
        <f t="shared" si="9"/>
        <v>3.1547854916135903E-2</v>
      </c>
      <c r="AL7" s="3">
        <f t="shared" si="10"/>
        <v>0.94468645046878064</v>
      </c>
      <c r="AM7" s="3">
        <f t="shared" si="11"/>
        <v>0.57034587697775629</v>
      </c>
      <c r="AN7" s="3">
        <f t="shared" si="12"/>
        <v>100.85363298441774</v>
      </c>
      <c r="AO7" s="3">
        <f t="shared" si="13"/>
        <v>0.42965412302224371</v>
      </c>
      <c r="AP7" s="78" t="str">
        <f t="shared" si="14"/>
        <v>As calculated</v>
      </c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</row>
    <row r="8" spans="1:201" ht="26" x14ac:dyDescent="0.2">
      <c r="A8" s="29">
        <v>7</v>
      </c>
      <c r="B8" s="30" t="s">
        <v>280</v>
      </c>
      <c r="C8" s="30" t="s">
        <v>291</v>
      </c>
      <c r="D8" s="31" t="s">
        <v>282</v>
      </c>
      <c r="E8" s="31" t="s">
        <v>157</v>
      </c>
      <c r="F8" s="32" t="s">
        <v>271</v>
      </c>
      <c r="G8" s="32" t="s">
        <v>283</v>
      </c>
      <c r="H8" s="7" t="s">
        <v>515</v>
      </c>
      <c r="I8" s="32" t="s">
        <v>289</v>
      </c>
      <c r="J8" s="37" t="s">
        <v>292</v>
      </c>
      <c r="K8" s="33">
        <v>7.83</v>
      </c>
      <c r="L8" s="33">
        <v>55</v>
      </c>
      <c r="M8" s="33">
        <v>5</v>
      </c>
      <c r="N8" s="34" t="s">
        <v>275</v>
      </c>
      <c r="O8" s="35" t="s">
        <v>543</v>
      </c>
      <c r="P8" s="6">
        <v>2144</v>
      </c>
      <c r="Q8" s="6" t="s">
        <v>124</v>
      </c>
      <c r="R8" s="6">
        <v>22.4</v>
      </c>
      <c r="S8" s="20">
        <f t="shared" si="0"/>
        <v>95.714285714285722</v>
      </c>
      <c r="T8" s="20">
        <v>1900</v>
      </c>
      <c r="U8" s="20">
        <v>61.1</v>
      </c>
      <c r="V8" s="20">
        <v>1786</v>
      </c>
      <c r="W8" s="20">
        <v>66.400000000000006</v>
      </c>
      <c r="X8" s="20">
        <f t="shared" si="1"/>
        <v>1160.9000000000001</v>
      </c>
      <c r="Y8" s="6">
        <v>1365</v>
      </c>
      <c r="Z8" s="20">
        <f t="shared" si="16"/>
        <v>204.09999999999991</v>
      </c>
      <c r="AA8" s="20">
        <f t="shared" si="17"/>
        <v>9.1116071428571388</v>
      </c>
      <c r="AB8" s="20">
        <f>3.24*0.46/60.05*1000</f>
        <v>24.819317235636973</v>
      </c>
      <c r="AC8" s="20">
        <f>5.11*0.646/60.05*1000</f>
        <v>54.971856786011656</v>
      </c>
      <c r="AD8" s="20">
        <f t="shared" si="18"/>
        <v>30.152539550374684</v>
      </c>
      <c r="AE8" s="20">
        <f t="shared" si="19"/>
        <v>6.0305079100749364</v>
      </c>
      <c r="AF8" s="3">
        <f t="shared" si="15"/>
        <v>191.42857142857144</v>
      </c>
      <c r="AG8" s="3">
        <f t="shared" si="5"/>
        <v>72.89285714285711</v>
      </c>
      <c r="AH8" s="3">
        <f t="shared" si="6"/>
        <v>48.244063280599491</v>
      </c>
      <c r="AI8" s="3">
        <f t="shared" si="7"/>
        <v>121.1369204234566</v>
      </c>
      <c r="AJ8" s="3">
        <f t="shared" si="8"/>
        <v>0.38078358208955204</v>
      </c>
      <c r="AK8" s="3">
        <f t="shared" si="9"/>
        <v>0.2520212260926839</v>
      </c>
      <c r="AL8" s="3">
        <f t="shared" si="10"/>
        <v>0.60173939446410385</v>
      </c>
      <c r="AM8" s="3">
        <f t="shared" si="11"/>
        <v>0.63280480818223594</v>
      </c>
      <c r="AN8" s="3">
        <f t="shared" si="12"/>
        <v>70.291651005114844</v>
      </c>
      <c r="AO8" s="3">
        <f t="shared" si="13"/>
        <v>0.36719519181776406</v>
      </c>
      <c r="AP8" s="78" t="str">
        <f t="shared" si="14"/>
        <v>As calculated</v>
      </c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</row>
    <row r="9" spans="1:201" ht="26" x14ac:dyDescent="0.2">
      <c r="A9" s="29">
        <v>8</v>
      </c>
      <c r="B9" s="30" t="s">
        <v>280</v>
      </c>
      <c r="C9" s="30" t="s">
        <v>293</v>
      </c>
      <c r="D9" s="31" t="s">
        <v>282</v>
      </c>
      <c r="E9" s="31" t="s">
        <v>157</v>
      </c>
      <c r="F9" s="32" t="s">
        <v>271</v>
      </c>
      <c r="G9" s="32" t="s">
        <v>283</v>
      </c>
      <c r="H9" s="7" t="s">
        <v>515</v>
      </c>
      <c r="I9" s="32" t="s">
        <v>289</v>
      </c>
      <c r="J9" s="37" t="s">
        <v>294</v>
      </c>
      <c r="K9" s="33">
        <v>8.24</v>
      </c>
      <c r="L9" s="33">
        <v>55</v>
      </c>
      <c r="M9" s="33">
        <v>5</v>
      </c>
      <c r="N9" s="34" t="s">
        <v>275</v>
      </c>
      <c r="O9" s="35" t="s">
        <v>544</v>
      </c>
      <c r="P9" s="6">
        <v>1834</v>
      </c>
      <c r="Q9" s="6" t="s">
        <v>124</v>
      </c>
      <c r="R9" s="6">
        <v>22.4</v>
      </c>
      <c r="S9" s="20">
        <f t="shared" si="0"/>
        <v>81.875</v>
      </c>
      <c r="T9" s="20">
        <v>2018</v>
      </c>
      <c r="U9" s="20">
        <v>65</v>
      </c>
      <c r="V9" s="20">
        <v>1521</v>
      </c>
      <c r="W9" s="20">
        <v>66</v>
      </c>
      <c r="X9" s="20">
        <f t="shared" si="1"/>
        <v>1311.7</v>
      </c>
      <c r="Y9" s="6">
        <v>1188</v>
      </c>
      <c r="Z9" s="20">
        <f t="shared" si="16"/>
        <v>-123.70000000000005</v>
      </c>
      <c r="AA9" s="20">
        <f t="shared" si="17"/>
        <v>-5.5223214285714306</v>
      </c>
      <c r="AB9" s="20">
        <f>2.37*0.394/60.05*1000</f>
        <v>15.550041631973357</v>
      </c>
      <c r="AC9" s="20">
        <f>3.66*0.399/60.05*1000</f>
        <v>24.318734388009997</v>
      </c>
      <c r="AD9" s="20">
        <f t="shared" si="18"/>
        <v>8.7686927560366392</v>
      </c>
      <c r="AE9" s="20">
        <f t="shared" si="19"/>
        <v>1.7537385512073278</v>
      </c>
      <c r="AF9" s="3">
        <f t="shared" si="15"/>
        <v>163.75</v>
      </c>
      <c r="AG9" s="3">
        <f t="shared" si="5"/>
        <v>-44.178571428571445</v>
      </c>
      <c r="AH9" s="3">
        <f t="shared" si="6"/>
        <v>14.029908409658622</v>
      </c>
      <c r="AI9" s="3">
        <f t="shared" si="7"/>
        <v>-30.148663018912821</v>
      </c>
      <c r="AJ9" s="3">
        <f t="shared" si="8"/>
        <v>-0.26979280261723021</v>
      </c>
      <c r="AK9" s="3">
        <f t="shared" si="9"/>
        <v>8.5678829982648072E-2</v>
      </c>
      <c r="AL9" s="3">
        <f t="shared" si="10"/>
        <v>1.4653575649725297</v>
      </c>
      <c r="AM9" s="3">
        <f t="shared" si="11"/>
        <v>-0.18411397263458212</v>
      </c>
      <c r="AN9" s="3">
        <f t="shared" si="12"/>
        <v>193.89866301891283</v>
      </c>
      <c r="AO9" s="3">
        <f t="shared" si="13"/>
        <v>1.1841139726345822</v>
      </c>
      <c r="AP9" s="78" t="str">
        <f t="shared" si="14"/>
        <v>Excluded</v>
      </c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</row>
    <row r="10" spans="1:201" ht="26" x14ac:dyDescent="0.2">
      <c r="A10" s="29">
        <v>9</v>
      </c>
      <c r="B10" s="30" t="s">
        <v>280</v>
      </c>
      <c r="C10" s="30" t="s">
        <v>295</v>
      </c>
      <c r="D10" s="31" t="s">
        <v>282</v>
      </c>
      <c r="E10" s="31" t="s">
        <v>157</v>
      </c>
      <c r="F10" s="32" t="s">
        <v>271</v>
      </c>
      <c r="G10" s="32" t="s">
        <v>283</v>
      </c>
      <c r="H10" s="7" t="s">
        <v>515</v>
      </c>
      <c r="I10" s="32" t="s">
        <v>296</v>
      </c>
      <c r="J10" s="37" t="s">
        <v>296</v>
      </c>
      <c r="K10" s="33">
        <v>8.18</v>
      </c>
      <c r="L10" s="33">
        <v>55</v>
      </c>
      <c r="M10" s="33">
        <v>5</v>
      </c>
      <c r="N10" s="34" t="s">
        <v>275</v>
      </c>
      <c r="O10" s="35" t="s">
        <v>545</v>
      </c>
      <c r="P10" s="6">
        <v>1768</v>
      </c>
      <c r="Q10" s="6" t="s">
        <v>124</v>
      </c>
      <c r="R10" s="6">
        <v>22.4</v>
      </c>
      <c r="S10" s="20">
        <f t="shared" si="0"/>
        <v>78.928571428571431</v>
      </c>
      <c r="T10" s="20">
        <v>1175</v>
      </c>
      <c r="U10" s="20">
        <v>65</v>
      </c>
      <c r="V10" s="20">
        <v>1337</v>
      </c>
      <c r="W10" s="20">
        <v>67.599999999999994</v>
      </c>
      <c r="X10" s="20">
        <f t="shared" si="1"/>
        <v>763.75</v>
      </c>
      <c r="Y10" s="19">
        <v>1046</v>
      </c>
      <c r="Z10" s="20">
        <f t="shared" si="16"/>
        <v>282.25</v>
      </c>
      <c r="AA10" s="20">
        <f t="shared" si="17"/>
        <v>12.600446428571429</v>
      </c>
      <c r="AB10" s="20">
        <f>3.21*0.365/60.05*1000</f>
        <v>19.511240632805993</v>
      </c>
      <c r="AC10" s="20">
        <f>4.34*0.37/60.05*1000</f>
        <v>26.741049125728559</v>
      </c>
      <c r="AD10" s="20">
        <f t="shared" si="18"/>
        <v>7.2298084929225652</v>
      </c>
      <c r="AE10" s="20">
        <f t="shared" si="19"/>
        <v>1.445961698584513</v>
      </c>
      <c r="AF10" s="3">
        <f t="shared" si="15"/>
        <v>157.85714285714286</v>
      </c>
      <c r="AG10" s="3">
        <f t="shared" si="5"/>
        <v>100.80357142857143</v>
      </c>
      <c r="AH10" s="3">
        <f t="shared" si="6"/>
        <v>11.567693588676104</v>
      </c>
      <c r="AI10" s="3">
        <f t="shared" si="7"/>
        <v>112.37126501724754</v>
      </c>
      <c r="AJ10" s="3">
        <f t="shared" si="8"/>
        <v>0.63857466063348411</v>
      </c>
      <c r="AK10" s="3">
        <f t="shared" si="9"/>
        <v>7.3279506896590699E-2</v>
      </c>
      <c r="AL10" s="3">
        <f t="shared" si="10"/>
        <v>0.8970582596280231</v>
      </c>
      <c r="AM10" s="3">
        <f t="shared" si="11"/>
        <v>0.71185416753007491</v>
      </c>
      <c r="AN10" s="3">
        <f t="shared" si="12"/>
        <v>45.485877839895323</v>
      </c>
      <c r="AO10" s="3">
        <f t="shared" si="13"/>
        <v>0.28814583246992514</v>
      </c>
      <c r="AP10" s="78" t="str">
        <f t="shared" si="14"/>
        <v>As calculated</v>
      </c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</row>
    <row r="11" spans="1:201" ht="26" x14ac:dyDescent="0.2">
      <c r="A11" s="80">
        <v>10</v>
      </c>
      <c r="B11" s="81" t="s">
        <v>280</v>
      </c>
      <c r="C11" s="81" t="s">
        <v>297</v>
      </c>
      <c r="D11" s="82" t="s">
        <v>282</v>
      </c>
      <c r="E11" s="82" t="s">
        <v>157</v>
      </c>
      <c r="F11" s="83" t="s">
        <v>271</v>
      </c>
      <c r="G11" s="83" t="s">
        <v>283</v>
      </c>
      <c r="H11" s="51" t="s">
        <v>515</v>
      </c>
      <c r="I11" s="83" t="s">
        <v>298</v>
      </c>
      <c r="J11" s="84" t="s">
        <v>298</v>
      </c>
      <c r="K11" s="85">
        <v>8.3800000000000008</v>
      </c>
      <c r="L11" s="85">
        <v>55</v>
      </c>
      <c r="M11" s="85">
        <v>5</v>
      </c>
      <c r="N11" s="86" t="s">
        <v>275</v>
      </c>
      <c r="O11" s="87" t="s">
        <v>546</v>
      </c>
      <c r="P11" s="57">
        <v>1828</v>
      </c>
      <c r="Q11" s="57" t="s">
        <v>124</v>
      </c>
      <c r="R11" s="57">
        <v>22.4</v>
      </c>
      <c r="S11" s="58">
        <f t="shared" si="0"/>
        <v>81.607142857142861</v>
      </c>
      <c r="T11" s="58">
        <v>1558</v>
      </c>
      <c r="U11" s="58">
        <v>66.7</v>
      </c>
      <c r="V11" s="58">
        <v>1261</v>
      </c>
      <c r="W11" s="58">
        <v>81.3</v>
      </c>
      <c r="X11" s="58">
        <f t="shared" si="1"/>
        <v>1039.1860000000001</v>
      </c>
      <c r="Y11" s="56">
        <v>1145</v>
      </c>
      <c r="Z11" s="58">
        <f t="shared" si="16"/>
        <v>105.81399999999985</v>
      </c>
      <c r="AA11" s="58">
        <f t="shared" si="17"/>
        <v>4.7238392857142797</v>
      </c>
      <c r="AB11" s="58">
        <f>2.36*0.345/60.05*1000</f>
        <v>13.558701082431305</v>
      </c>
      <c r="AC11" s="58">
        <f>3.87*0.303/60.05*1000</f>
        <v>19.527227310574521</v>
      </c>
      <c r="AD11" s="58">
        <f t="shared" si="18"/>
        <v>5.9685262281432152</v>
      </c>
      <c r="AE11" s="58">
        <f t="shared" si="19"/>
        <v>1.193705245628643</v>
      </c>
      <c r="AF11" s="59">
        <f t="shared" si="15"/>
        <v>163.21428571428572</v>
      </c>
      <c r="AG11" s="59">
        <f t="shared" si="5"/>
        <v>37.790714285714238</v>
      </c>
      <c r="AH11" s="59">
        <f t="shared" si="6"/>
        <v>9.549641965029144</v>
      </c>
      <c r="AI11" s="59">
        <f t="shared" si="7"/>
        <v>47.340356250743383</v>
      </c>
      <c r="AJ11" s="59">
        <f t="shared" si="8"/>
        <v>0.23154048140043734</v>
      </c>
      <c r="AK11" s="59">
        <f t="shared" si="9"/>
        <v>5.8509841361228887E-2</v>
      </c>
      <c r="AL11" s="59">
        <f t="shared" si="10"/>
        <v>0.79827693069210504</v>
      </c>
      <c r="AM11" s="59">
        <f t="shared" si="11"/>
        <v>0.2900503227616662</v>
      </c>
      <c r="AN11" s="59">
        <f t="shared" si="12"/>
        <v>115.87392946354234</v>
      </c>
      <c r="AO11" s="59">
        <f t="shared" si="13"/>
        <v>0.7099496772383338</v>
      </c>
      <c r="AP11" s="88" t="str">
        <f t="shared" si="14"/>
        <v>As calculated</v>
      </c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</row>
    <row r="12" spans="1:201" ht="26" x14ac:dyDescent="0.2">
      <c r="A12" s="22">
        <v>11</v>
      </c>
      <c r="B12" s="91" t="s">
        <v>299</v>
      </c>
      <c r="C12" s="91" t="s">
        <v>300</v>
      </c>
      <c r="D12" s="92" t="s">
        <v>301</v>
      </c>
      <c r="E12" s="92" t="s">
        <v>157</v>
      </c>
      <c r="F12" s="93" t="s">
        <v>302</v>
      </c>
      <c r="G12" s="93" t="s">
        <v>303</v>
      </c>
      <c r="H12" s="7" t="s">
        <v>515</v>
      </c>
      <c r="I12" s="93" t="s">
        <v>304</v>
      </c>
      <c r="J12" s="94" t="s">
        <v>305</v>
      </c>
      <c r="K12" s="95" t="s">
        <v>135</v>
      </c>
      <c r="L12" s="95">
        <v>52</v>
      </c>
      <c r="M12" s="95">
        <v>35</v>
      </c>
      <c r="N12" s="96" t="s">
        <v>275</v>
      </c>
      <c r="O12" s="97" t="s">
        <v>306</v>
      </c>
      <c r="P12" s="6">
        <f>1.29*0.62*1000</f>
        <v>799.80000000000007</v>
      </c>
      <c r="Q12" s="6">
        <v>62</v>
      </c>
      <c r="R12" s="6">
        <v>22.414000000000001</v>
      </c>
      <c r="S12" s="20">
        <f t="shared" si="0"/>
        <v>35.683055233336312</v>
      </c>
      <c r="T12" s="20">
        <v>1290</v>
      </c>
      <c r="U12" s="20">
        <v>23</v>
      </c>
      <c r="V12" s="20">
        <f>P12*(1-0.75)/0.28</f>
        <v>714.10714285714289</v>
      </c>
      <c r="W12" s="20">
        <v>66</v>
      </c>
      <c r="X12" s="20">
        <f t="shared" si="1"/>
        <v>296.7</v>
      </c>
      <c r="Y12" s="19">
        <f>V12*W12/100</f>
        <v>471.31071428571425</v>
      </c>
      <c r="Z12" s="20">
        <f>Y12-(X12+(80*2.5)/2.8)</f>
        <v>103.18214285714282</v>
      </c>
      <c r="AA12" s="20">
        <f t="shared" si="17"/>
        <v>4.606345663265305</v>
      </c>
      <c r="AB12" s="20">
        <f>0.293*1000/60.05</f>
        <v>4.8792672772689425</v>
      </c>
      <c r="AC12" s="20">
        <f>3.6/60.05*1000</f>
        <v>59.950041631973356</v>
      </c>
      <c r="AD12" s="20">
        <f>AC12-AB12</f>
        <v>55.070774354704412</v>
      </c>
      <c r="AE12" s="20">
        <f>AD12/35</f>
        <v>1.5734506958486976</v>
      </c>
      <c r="AF12" s="3">
        <f t="shared" si="15"/>
        <v>71.366110466672623</v>
      </c>
      <c r="AG12" s="3">
        <f t="shared" si="5"/>
        <v>36.85076530612244</v>
      </c>
      <c r="AH12" s="3">
        <f t="shared" si="6"/>
        <v>12.587605566789581</v>
      </c>
      <c r="AI12" s="3">
        <f t="shared" si="7"/>
        <v>49.438370872912017</v>
      </c>
      <c r="AJ12" s="3">
        <f t="shared" si="8"/>
        <v>0.51636224904440375</v>
      </c>
      <c r="AK12" s="3">
        <f t="shared" si="9"/>
        <v>0.17638071466242913</v>
      </c>
      <c r="AL12" s="3">
        <f t="shared" si="10"/>
        <v>0.7453879376578223</v>
      </c>
      <c r="AM12" s="3">
        <f t="shared" si="11"/>
        <v>0.69274296370683286</v>
      </c>
      <c r="AN12" s="3">
        <f t="shared" si="12"/>
        <v>21.927739593760606</v>
      </c>
      <c r="AO12" s="3">
        <f t="shared" si="13"/>
        <v>0.30725703629316714</v>
      </c>
      <c r="AP12" s="78" t="str">
        <f t="shared" si="14"/>
        <v>As calculated</v>
      </c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</row>
    <row r="13" spans="1:201" ht="26" x14ac:dyDescent="0.2">
      <c r="A13" s="22">
        <v>12</v>
      </c>
      <c r="B13" s="91" t="s">
        <v>299</v>
      </c>
      <c r="C13" s="91" t="s">
        <v>307</v>
      </c>
      <c r="D13" s="92" t="s">
        <v>301</v>
      </c>
      <c r="E13" s="92" t="s">
        <v>157</v>
      </c>
      <c r="F13" s="93" t="s">
        <v>302</v>
      </c>
      <c r="G13" s="93" t="s">
        <v>303</v>
      </c>
      <c r="H13" s="7" t="s">
        <v>515</v>
      </c>
      <c r="I13" s="93" t="s">
        <v>304</v>
      </c>
      <c r="J13" s="94" t="s">
        <v>308</v>
      </c>
      <c r="K13" s="95" t="s">
        <v>135</v>
      </c>
      <c r="L13" s="95">
        <v>52</v>
      </c>
      <c r="M13" s="95">
        <v>35</v>
      </c>
      <c r="N13" s="96" t="s">
        <v>275</v>
      </c>
      <c r="O13" s="97" t="s">
        <v>309</v>
      </c>
      <c r="P13" s="6">
        <f>1.29*0.62*1000</f>
        <v>799.80000000000007</v>
      </c>
      <c r="Q13" s="6">
        <v>62</v>
      </c>
      <c r="R13" s="6">
        <v>22.414000000000001</v>
      </c>
      <c r="S13" s="20">
        <f t="shared" si="0"/>
        <v>35.683055233336312</v>
      </c>
      <c r="T13" s="20">
        <v>1290</v>
      </c>
      <c r="U13" s="20">
        <v>23</v>
      </c>
      <c r="V13" s="20" t="s">
        <v>123</v>
      </c>
      <c r="W13" s="20">
        <v>90</v>
      </c>
      <c r="X13" s="20">
        <f t="shared" si="1"/>
        <v>296.7</v>
      </c>
      <c r="Y13" s="19" t="s">
        <v>123</v>
      </c>
      <c r="Z13" s="20" t="s">
        <v>123</v>
      </c>
      <c r="AA13" s="20" t="s">
        <v>123</v>
      </c>
      <c r="AB13" s="20">
        <f t="shared" ref="AB13:AB17" si="20">0.293*1000/60.05</f>
        <v>4.8792672772689425</v>
      </c>
      <c r="AC13" s="20">
        <f>5.6/60.05*1000</f>
        <v>93.255620316402997</v>
      </c>
      <c r="AD13" s="20">
        <f t="shared" ref="AD13:AD17" si="21">AC13-AB13</f>
        <v>88.376353039134059</v>
      </c>
      <c r="AE13" s="20">
        <f>AD13/35</f>
        <v>2.5250386582609732</v>
      </c>
      <c r="AF13" s="3">
        <f t="shared" si="15"/>
        <v>71.366110466672623</v>
      </c>
      <c r="AG13" s="3" t="s">
        <v>123</v>
      </c>
      <c r="AH13" s="3" t="s">
        <v>123</v>
      </c>
      <c r="AI13" s="3" t="s">
        <v>123</v>
      </c>
      <c r="AJ13" s="3" t="s">
        <v>123</v>
      </c>
      <c r="AK13" s="3" t="s">
        <v>123</v>
      </c>
      <c r="AL13" s="3" t="s">
        <v>123</v>
      </c>
      <c r="AM13" s="3" t="s">
        <v>123</v>
      </c>
      <c r="AN13" s="3" t="s">
        <v>123</v>
      </c>
      <c r="AO13" s="3" t="s">
        <v>123</v>
      </c>
      <c r="AP13" s="78" t="str">
        <f>IF(H13="","",IF(AM13="NC","NC",IF(OR(AM13&lt;0,AM13&gt;1),"Excluded",IF(OR(H13="Total COD",H13="Mixed"),"Lower bound",IF(OR(H13="Defined substrate",H13="Biodegradable COD"),"As calculated","CHECK")))))</f>
        <v>NC</v>
      </c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</row>
    <row r="14" spans="1:201" ht="26" x14ac:dyDescent="0.2">
      <c r="A14" s="22">
        <v>13</v>
      </c>
      <c r="B14" s="91" t="s">
        <v>299</v>
      </c>
      <c r="C14" s="91" t="s">
        <v>310</v>
      </c>
      <c r="D14" s="92" t="s">
        <v>301</v>
      </c>
      <c r="E14" s="92" t="s">
        <v>157</v>
      </c>
      <c r="F14" s="93" t="s">
        <v>302</v>
      </c>
      <c r="G14" s="93" t="s">
        <v>303</v>
      </c>
      <c r="H14" s="7" t="s">
        <v>515</v>
      </c>
      <c r="I14" s="93" t="s">
        <v>547</v>
      </c>
      <c r="J14" s="94" t="s">
        <v>311</v>
      </c>
      <c r="K14" s="95" t="s">
        <v>135</v>
      </c>
      <c r="L14" s="95">
        <v>52</v>
      </c>
      <c r="M14" s="95">
        <v>15</v>
      </c>
      <c r="N14" s="96" t="s">
        <v>275</v>
      </c>
      <c r="O14" s="97" t="s">
        <v>306</v>
      </c>
      <c r="P14" s="6">
        <f>3*0.62*1000</f>
        <v>1859.9999999999998</v>
      </c>
      <c r="Q14" s="6">
        <v>62</v>
      </c>
      <c r="R14" s="6">
        <v>22.414000000000001</v>
      </c>
      <c r="S14" s="20">
        <f t="shared" si="0"/>
        <v>82.983849379851861</v>
      </c>
      <c r="T14" s="20">
        <v>3000</v>
      </c>
      <c r="U14" s="20">
        <v>23</v>
      </c>
      <c r="V14" s="20">
        <f>P14*(1-0.58)/0.38</f>
        <v>2055.7894736842104</v>
      </c>
      <c r="W14" s="20">
        <v>54</v>
      </c>
      <c r="X14" s="20">
        <f t="shared" si="1"/>
        <v>690</v>
      </c>
      <c r="Y14" s="19">
        <f t="shared" ref="Y14:Y15" si="22">V14*W14/100</f>
        <v>1110.1263157894737</v>
      </c>
      <c r="Z14" s="20">
        <f>Y14-(X14+(80*2.5)/1.2)</f>
        <v>253.45964912280692</v>
      </c>
      <c r="AA14" s="20">
        <f t="shared" si="17"/>
        <v>11.315162907268167</v>
      </c>
      <c r="AB14" s="20">
        <f t="shared" si="20"/>
        <v>4.8792672772689425</v>
      </c>
      <c r="AC14" s="20">
        <f>0.9/60.05*1000</f>
        <v>14.987510407993339</v>
      </c>
      <c r="AD14" s="20">
        <f t="shared" si="21"/>
        <v>10.108243130724397</v>
      </c>
      <c r="AE14" s="20">
        <f>AD14/15</f>
        <v>0.67388287538162639</v>
      </c>
      <c r="AF14" s="3">
        <f t="shared" si="15"/>
        <v>165.96769875970372</v>
      </c>
      <c r="AG14" s="3">
        <f t="shared" ref="AG14:AG16" si="23">AA14*8</f>
        <v>90.521303258145338</v>
      </c>
      <c r="AH14" s="3">
        <f t="shared" si="6"/>
        <v>5.3910630030530111</v>
      </c>
      <c r="AI14" s="3">
        <f t="shared" si="7"/>
        <v>95.912366261198343</v>
      </c>
      <c r="AJ14" s="3">
        <f t="shared" si="8"/>
        <v>0.54541518581399728</v>
      </c>
      <c r="AK14" s="3">
        <f t="shared" si="9"/>
        <v>3.2482603803879087E-2</v>
      </c>
      <c r="AL14" s="3">
        <f t="shared" si="10"/>
        <v>0.94379178396692343</v>
      </c>
      <c r="AM14" s="3">
        <f t="shared" si="11"/>
        <v>0.57789778961787641</v>
      </c>
      <c r="AN14" s="3">
        <f t="shared" si="12"/>
        <v>70.055332498505379</v>
      </c>
      <c r="AO14" s="3">
        <f t="shared" si="13"/>
        <v>0.42210221038212364</v>
      </c>
      <c r="AP14" s="78" t="str">
        <f t="shared" si="14"/>
        <v>As calculated</v>
      </c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</row>
    <row r="15" spans="1:201" ht="26" x14ac:dyDescent="0.2">
      <c r="A15" s="22">
        <v>14</v>
      </c>
      <c r="B15" s="91" t="s">
        <v>299</v>
      </c>
      <c r="C15" s="91" t="s">
        <v>312</v>
      </c>
      <c r="D15" s="92" t="s">
        <v>301</v>
      </c>
      <c r="E15" s="92" t="s">
        <v>157</v>
      </c>
      <c r="F15" s="93" t="s">
        <v>302</v>
      </c>
      <c r="G15" s="93" t="s">
        <v>303</v>
      </c>
      <c r="H15" s="7" t="s">
        <v>515</v>
      </c>
      <c r="I15" s="93" t="s">
        <v>547</v>
      </c>
      <c r="J15" s="94" t="s">
        <v>313</v>
      </c>
      <c r="K15" s="95" t="s">
        <v>135</v>
      </c>
      <c r="L15" s="95">
        <v>52</v>
      </c>
      <c r="M15" s="95">
        <v>15</v>
      </c>
      <c r="N15" s="96" t="s">
        <v>275</v>
      </c>
      <c r="O15" s="97" t="s">
        <v>309</v>
      </c>
      <c r="P15" s="6">
        <f t="shared" ref="P15:P17" si="24">3*0.62*1000</f>
        <v>1859.9999999999998</v>
      </c>
      <c r="Q15" s="6">
        <v>62</v>
      </c>
      <c r="R15" s="6">
        <v>22.414000000000001</v>
      </c>
      <c r="S15" s="20">
        <f t="shared" si="0"/>
        <v>82.983849379851861</v>
      </c>
      <c r="T15" s="20">
        <v>3000</v>
      </c>
      <c r="U15" s="20">
        <v>23</v>
      </c>
      <c r="V15" s="20">
        <f>P15*(1-0.63)/0.35</f>
        <v>1966.2857142857142</v>
      </c>
      <c r="W15" s="20">
        <v>56</v>
      </c>
      <c r="X15" s="20">
        <f t="shared" si="1"/>
        <v>690</v>
      </c>
      <c r="Y15" s="19">
        <f t="shared" si="22"/>
        <v>1101.1199999999999</v>
      </c>
      <c r="Z15" s="20">
        <f>Y15-(X15+(80*2.5)/1.2)</f>
        <v>244.45333333333315</v>
      </c>
      <c r="AA15" s="20">
        <f t="shared" si="17"/>
        <v>10.913095238095231</v>
      </c>
      <c r="AB15" s="20">
        <f t="shared" si="20"/>
        <v>4.8792672772689425</v>
      </c>
      <c r="AC15" s="20">
        <f>4.2/60.05*1000</f>
        <v>69.941715237302247</v>
      </c>
      <c r="AD15" s="20">
        <f t="shared" si="21"/>
        <v>65.06244796003331</v>
      </c>
      <c r="AE15" s="20">
        <f t="shared" ref="AE15:AE17" si="25">AD15/15</f>
        <v>4.3374965306688873</v>
      </c>
      <c r="AF15" s="3">
        <f t="shared" si="15"/>
        <v>165.96769875970372</v>
      </c>
      <c r="AG15" s="3">
        <f t="shared" si="23"/>
        <v>87.304761904761847</v>
      </c>
      <c r="AH15" s="3">
        <f t="shared" si="6"/>
        <v>34.699972245351098</v>
      </c>
      <c r="AI15" s="3">
        <f t="shared" si="7"/>
        <v>122.00473415011294</v>
      </c>
      <c r="AJ15" s="3">
        <f t="shared" si="8"/>
        <v>0.5260346594982076</v>
      </c>
      <c r="AK15" s="3">
        <f t="shared" si="9"/>
        <v>0.20907666072776873</v>
      </c>
      <c r="AL15" s="3">
        <f t="shared" si="10"/>
        <v>0.71558503457204603</v>
      </c>
      <c r="AM15" s="3">
        <f t="shared" si="11"/>
        <v>0.73511132022597636</v>
      </c>
      <c r="AN15" s="3">
        <f t="shared" si="12"/>
        <v>43.962964609590784</v>
      </c>
      <c r="AO15" s="3">
        <f t="shared" si="13"/>
        <v>0.26488867977402369</v>
      </c>
      <c r="AP15" s="78" t="str">
        <f t="shared" si="14"/>
        <v>As calculated</v>
      </c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</row>
    <row r="16" spans="1:201" ht="26" x14ac:dyDescent="0.2">
      <c r="A16" s="22">
        <v>15</v>
      </c>
      <c r="B16" s="91" t="s">
        <v>299</v>
      </c>
      <c r="C16" s="91" t="s">
        <v>314</v>
      </c>
      <c r="D16" s="92" t="s">
        <v>301</v>
      </c>
      <c r="E16" s="92" t="s">
        <v>157</v>
      </c>
      <c r="F16" s="93" t="s">
        <v>302</v>
      </c>
      <c r="G16" s="93" t="s">
        <v>303</v>
      </c>
      <c r="H16" s="7" t="s">
        <v>515</v>
      </c>
      <c r="I16" s="93" t="s">
        <v>548</v>
      </c>
      <c r="J16" s="94" t="s">
        <v>315</v>
      </c>
      <c r="K16" s="95" t="s">
        <v>135</v>
      </c>
      <c r="L16" s="95">
        <v>52</v>
      </c>
      <c r="M16" s="95">
        <v>15</v>
      </c>
      <c r="N16" s="96" t="s">
        <v>275</v>
      </c>
      <c r="O16" s="97" t="s">
        <v>306</v>
      </c>
      <c r="P16" s="6">
        <f t="shared" si="24"/>
        <v>1859.9999999999998</v>
      </c>
      <c r="Q16" s="6">
        <v>62</v>
      </c>
      <c r="R16" s="6">
        <v>22.414000000000001</v>
      </c>
      <c r="S16" s="20">
        <f t="shared" si="0"/>
        <v>82.983849379851861</v>
      </c>
      <c r="T16" s="20">
        <v>3000</v>
      </c>
      <c r="U16" s="20">
        <v>23</v>
      </c>
      <c r="V16" s="20">
        <f>P16*(1-0.82)/0.22</f>
        <v>1521.8181818181822</v>
      </c>
      <c r="W16" s="20">
        <v>72</v>
      </c>
      <c r="X16" s="20">
        <f t="shared" si="1"/>
        <v>690</v>
      </c>
      <c r="Y16" s="19">
        <f>V16*W16/100</f>
        <v>1095.7090909090912</v>
      </c>
      <c r="Z16" s="20">
        <f>Y16-(X16+(80*2.5)/1.2)</f>
        <v>239.04242424242443</v>
      </c>
      <c r="AA16" s="20">
        <f>Z16/22.4</f>
        <v>10.671536796536806</v>
      </c>
      <c r="AB16" s="20">
        <f t="shared" si="20"/>
        <v>4.8792672772689425</v>
      </c>
      <c r="AC16" s="20">
        <f>0.8/60.05*1000</f>
        <v>13.322231473771859</v>
      </c>
      <c r="AD16" s="20">
        <f t="shared" si="21"/>
        <v>8.442964196502917</v>
      </c>
      <c r="AE16" s="20">
        <f t="shared" si="25"/>
        <v>0.56286427976686115</v>
      </c>
      <c r="AF16" s="3">
        <f t="shared" si="15"/>
        <v>165.96769875970372</v>
      </c>
      <c r="AG16" s="3">
        <f t="shared" si="23"/>
        <v>85.372294372294448</v>
      </c>
      <c r="AH16" s="3">
        <f t="shared" si="6"/>
        <v>4.5029142381348892</v>
      </c>
      <c r="AI16" s="3">
        <f t="shared" si="7"/>
        <v>89.87520861042934</v>
      </c>
      <c r="AJ16" s="3">
        <f t="shared" si="8"/>
        <v>0.51439102313457208</v>
      </c>
      <c r="AK16" s="3">
        <f t="shared" si="9"/>
        <v>2.7131268745579418E-2</v>
      </c>
      <c r="AL16" s="3">
        <f t="shared" si="10"/>
        <v>0.9498981498039899</v>
      </c>
      <c r="AM16" s="3">
        <f t="shared" si="11"/>
        <v>0.54152229188015155</v>
      </c>
      <c r="AN16" s="3">
        <f t="shared" si="12"/>
        <v>76.092490149274383</v>
      </c>
      <c r="AO16" s="3">
        <f t="shared" si="13"/>
        <v>0.4584777081198485</v>
      </c>
      <c r="AP16" s="78" t="str">
        <f t="shared" si="14"/>
        <v>As calculated</v>
      </c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</row>
    <row r="17" spans="1:201" ht="26" x14ac:dyDescent="0.2">
      <c r="A17" s="22">
        <v>16</v>
      </c>
      <c r="B17" s="91" t="s">
        <v>299</v>
      </c>
      <c r="C17" s="91" t="s">
        <v>316</v>
      </c>
      <c r="D17" s="92" t="s">
        <v>301</v>
      </c>
      <c r="E17" s="92" t="s">
        <v>157</v>
      </c>
      <c r="F17" s="93" t="s">
        <v>302</v>
      </c>
      <c r="G17" s="93" t="s">
        <v>303</v>
      </c>
      <c r="H17" s="7" t="s">
        <v>515</v>
      </c>
      <c r="I17" s="93" t="s">
        <v>548</v>
      </c>
      <c r="J17" s="94" t="s">
        <v>317</v>
      </c>
      <c r="K17" s="95" t="s">
        <v>135</v>
      </c>
      <c r="L17" s="95">
        <v>52</v>
      </c>
      <c r="M17" s="95">
        <v>15</v>
      </c>
      <c r="N17" s="96" t="s">
        <v>275</v>
      </c>
      <c r="O17" s="97" t="s">
        <v>309</v>
      </c>
      <c r="P17" s="6">
        <f t="shared" si="24"/>
        <v>1859.9999999999998</v>
      </c>
      <c r="Q17" s="6">
        <v>62</v>
      </c>
      <c r="R17" s="6">
        <v>22.414000000000001</v>
      </c>
      <c r="S17" s="20">
        <f t="shared" si="0"/>
        <v>82.983849379851861</v>
      </c>
      <c r="T17" s="20">
        <v>3000</v>
      </c>
      <c r="U17" s="20">
        <v>23</v>
      </c>
      <c r="V17" s="20" t="s">
        <v>123</v>
      </c>
      <c r="W17" s="20">
        <v>97</v>
      </c>
      <c r="X17" s="20">
        <f t="shared" si="1"/>
        <v>690</v>
      </c>
      <c r="Y17" s="19" t="s">
        <v>123</v>
      </c>
      <c r="Z17" s="20" t="s">
        <v>123</v>
      </c>
      <c r="AA17" s="20" t="s">
        <v>123</v>
      </c>
      <c r="AB17" s="20">
        <f t="shared" si="20"/>
        <v>4.8792672772689425</v>
      </c>
      <c r="AC17" s="20">
        <f>5.3/60.05*1000</f>
        <v>88.25978351373854</v>
      </c>
      <c r="AD17" s="20">
        <f t="shared" si="21"/>
        <v>83.380516236469603</v>
      </c>
      <c r="AE17" s="20">
        <f t="shared" si="25"/>
        <v>5.5587010824313072</v>
      </c>
      <c r="AF17" s="3">
        <f t="shared" si="15"/>
        <v>165.96769875970372</v>
      </c>
      <c r="AG17" s="3" t="s">
        <v>123</v>
      </c>
      <c r="AH17" s="3" t="s">
        <v>123</v>
      </c>
      <c r="AI17" s="3" t="s">
        <v>123</v>
      </c>
      <c r="AJ17" s="3" t="s">
        <v>123</v>
      </c>
      <c r="AK17" s="3" t="s">
        <v>123</v>
      </c>
      <c r="AL17" s="3" t="s">
        <v>123</v>
      </c>
      <c r="AM17" s="3" t="s">
        <v>123</v>
      </c>
      <c r="AN17" s="3" t="s">
        <v>123</v>
      </c>
      <c r="AO17" s="3" t="s">
        <v>123</v>
      </c>
      <c r="AP17" s="78" t="str">
        <f t="shared" si="14"/>
        <v>NC</v>
      </c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</row>
    <row r="18" spans="1:201" ht="26" x14ac:dyDescent="0.2">
      <c r="A18" s="29">
        <v>17</v>
      </c>
      <c r="B18" s="30" t="s">
        <v>318</v>
      </c>
      <c r="C18" s="30" t="s">
        <v>549</v>
      </c>
      <c r="D18" s="31" t="s">
        <v>320</v>
      </c>
      <c r="E18" s="31" t="s">
        <v>22</v>
      </c>
      <c r="F18" s="32" t="s">
        <v>302</v>
      </c>
      <c r="G18" s="32" t="s">
        <v>321</v>
      </c>
      <c r="H18" s="7" t="s">
        <v>515</v>
      </c>
      <c r="I18" s="32" t="s">
        <v>322</v>
      </c>
      <c r="J18" s="37" t="s">
        <v>323</v>
      </c>
      <c r="K18" s="33">
        <v>6</v>
      </c>
      <c r="L18" s="33">
        <v>37</v>
      </c>
      <c r="M18" s="33" t="s">
        <v>497</v>
      </c>
      <c r="N18" s="38" t="s">
        <v>324</v>
      </c>
      <c r="O18" s="39" t="s">
        <v>325</v>
      </c>
      <c r="P18" s="68">
        <f>S18*R18</f>
        <v>57.239752500000016</v>
      </c>
      <c r="Q18" s="68">
        <f>1/(1+1+1.5)*100</f>
        <v>28.571428571428569</v>
      </c>
      <c r="R18" s="69">
        <v>22.414000000000001</v>
      </c>
      <c r="S18" s="70">
        <f>408.6/16*0.1</f>
        <v>2.5537500000000004</v>
      </c>
      <c r="T18" s="70" t="s">
        <v>124</v>
      </c>
      <c r="U18" s="70" t="s">
        <v>124</v>
      </c>
      <c r="V18" s="70" t="s">
        <v>124</v>
      </c>
      <c r="W18" s="70" t="s">
        <v>124</v>
      </c>
      <c r="X18" s="70" t="s">
        <v>124</v>
      </c>
      <c r="Y18" s="70" t="s">
        <v>124</v>
      </c>
      <c r="Z18" s="70" t="s">
        <v>124</v>
      </c>
      <c r="AA18" s="70" t="s">
        <v>124</v>
      </c>
      <c r="AB18" s="70">
        <f>2.4/64</f>
        <v>3.7499999999999999E-2</v>
      </c>
      <c r="AC18" s="70">
        <f>168.3/64</f>
        <v>2.6296875000000002</v>
      </c>
      <c r="AD18" s="70">
        <f>AC18-AB18</f>
        <v>2.5921875000000001</v>
      </c>
      <c r="AE18" s="70">
        <f>AD18*0.1</f>
        <v>0.25921875</v>
      </c>
      <c r="AF18" s="71">
        <f t="shared" si="15"/>
        <v>5.1075000000000008</v>
      </c>
      <c r="AG18" s="71">
        <f>AE18*8</f>
        <v>2.07375</v>
      </c>
      <c r="AH18" s="71">
        <v>0</v>
      </c>
      <c r="AI18" s="71">
        <f t="shared" si="7"/>
        <v>2.07375</v>
      </c>
      <c r="AJ18" s="89">
        <f t="shared" si="8"/>
        <v>0.40602055800293679</v>
      </c>
      <c r="AK18" s="89">
        <f t="shared" si="9"/>
        <v>0</v>
      </c>
      <c r="AL18" s="89">
        <f t="shared" si="10"/>
        <v>1</v>
      </c>
      <c r="AM18" s="89">
        <f t="shared" si="11"/>
        <v>0.40602055800293679</v>
      </c>
      <c r="AN18" s="89">
        <f t="shared" si="12"/>
        <v>3.0337500000000008</v>
      </c>
      <c r="AO18" s="89">
        <f t="shared" si="13"/>
        <v>0.59397944199706321</v>
      </c>
      <c r="AP18" s="90" t="str">
        <f t="shared" si="14"/>
        <v>As calculated</v>
      </c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</row>
    <row r="19" spans="1:201" ht="26" x14ac:dyDescent="0.2">
      <c r="A19" s="29">
        <v>18</v>
      </c>
      <c r="B19" s="30" t="s">
        <v>318</v>
      </c>
      <c r="C19" s="30" t="s">
        <v>326</v>
      </c>
      <c r="D19" s="31" t="s">
        <v>320</v>
      </c>
      <c r="E19" s="31" t="s">
        <v>22</v>
      </c>
      <c r="F19" s="32" t="s">
        <v>302</v>
      </c>
      <c r="G19" s="32" t="s">
        <v>321</v>
      </c>
      <c r="H19" s="7" t="s">
        <v>515</v>
      </c>
      <c r="I19" s="32" t="s">
        <v>322</v>
      </c>
      <c r="J19" s="37" t="s">
        <v>327</v>
      </c>
      <c r="K19" s="33">
        <v>6</v>
      </c>
      <c r="L19" s="33">
        <v>37</v>
      </c>
      <c r="M19" s="33" t="s">
        <v>497</v>
      </c>
      <c r="N19" s="38" t="s">
        <v>324</v>
      </c>
      <c r="O19" s="39" t="s">
        <v>325</v>
      </c>
      <c r="P19" s="19">
        <f t="shared" ref="P19:P21" si="26">S19*R19</f>
        <v>110.38895000000002</v>
      </c>
      <c r="Q19" s="19">
        <f>2/(2+1+1.5)*100</f>
        <v>44.444444444444443</v>
      </c>
      <c r="R19" s="6">
        <v>22.414000000000001</v>
      </c>
      <c r="S19" s="20">
        <f>788/16*0.1</f>
        <v>4.9250000000000007</v>
      </c>
      <c r="T19" s="20" t="s">
        <v>124</v>
      </c>
      <c r="U19" s="20" t="s">
        <v>124</v>
      </c>
      <c r="V19" s="20" t="s">
        <v>124</v>
      </c>
      <c r="W19" s="20" t="s">
        <v>124</v>
      </c>
      <c r="X19" s="20" t="s">
        <v>124</v>
      </c>
      <c r="Y19" s="20" t="s">
        <v>124</v>
      </c>
      <c r="Z19" s="20" t="s">
        <v>124</v>
      </c>
      <c r="AA19" s="20" t="s">
        <v>124</v>
      </c>
      <c r="AB19" s="20">
        <f>2.7/64</f>
        <v>4.2187500000000003E-2</v>
      </c>
      <c r="AC19" s="20">
        <f>269.2/64</f>
        <v>4.2062499999999998</v>
      </c>
      <c r="AD19" s="20">
        <f t="shared" ref="AD19:AD21" si="27">AC19-AB19</f>
        <v>4.1640625</v>
      </c>
      <c r="AE19" s="20">
        <f t="shared" ref="AE19:AE21" si="28">AD19*0.1</f>
        <v>0.41640625000000003</v>
      </c>
      <c r="AF19" s="3">
        <f t="shared" si="15"/>
        <v>9.8500000000000014</v>
      </c>
      <c r="AG19" s="3">
        <f t="shared" ref="AG19:AG21" si="29">AE19*8</f>
        <v>3.3312500000000003</v>
      </c>
      <c r="AH19" s="3">
        <v>0</v>
      </c>
      <c r="AI19" s="71">
        <f t="shared" si="7"/>
        <v>3.3312500000000003</v>
      </c>
      <c r="AJ19" s="4">
        <f t="shared" si="8"/>
        <v>0.33819796954314718</v>
      </c>
      <c r="AK19" s="89">
        <f t="shared" ref="AK19:AK21" si="30">AH19/AF19</f>
        <v>0</v>
      </c>
      <c r="AL19" s="89">
        <f t="shared" ref="AL19:AL21" si="31">AG19/AI19</f>
        <v>1</v>
      </c>
      <c r="AM19" s="89">
        <f t="shared" ref="AM19:AM21" si="32">AI19/AF19</f>
        <v>0.33819796954314718</v>
      </c>
      <c r="AN19" s="89">
        <f t="shared" ref="AN19:AN21" si="33">AF19-SUM(AG19,AH19)</f>
        <v>6.5187500000000007</v>
      </c>
      <c r="AO19" s="89">
        <f t="shared" ref="AO19:AO21" si="34">AN19/AF19</f>
        <v>0.66180203045685282</v>
      </c>
      <c r="AP19" s="78" t="str">
        <f t="shared" si="14"/>
        <v>As calculated</v>
      </c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</row>
    <row r="20" spans="1:201" ht="26" x14ac:dyDescent="0.2">
      <c r="A20" s="29">
        <v>19</v>
      </c>
      <c r="B20" s="30" t="s">
        <v>318</v>
      </c>
      <c r="C20" s="30" t="s">
        <v>328</v>
      </c>
      <c r="D20" s="31" t="s">
        <v>320</v>
      </c>
      <c r="E20" s="31" t="s">
        <v>22</v>
      </c>
      <c r="F20" s="32" t="s">
        <v>302</v>
      </c>
      <c r="G20" s="32" t="s">
        <v>321</v>
      </c>
      <c r="H20" s="7" t="s">
        <v>515</v>
      </c>
      <c r="I20" s="32" t="s">
        <v>322</v>
      </c>
      <c r="J20" s="37" t="s">
        <v>329</v>
      </c>
      <c r="K20" s="33">
        <v>6</v>
      </c>
      <c r="L20" s="33">
        <v>37</v>
      </c>
      <c r="M20" s="33" t="s">
        <v>497</v>
      </c>
      <c r="N20" s="38" t="s">
        <v>324</v>
      </c>
      <c r="O20" s="39" t="s">
        <v>325</v>
      </c>
      <c r="P20" s="19">
        <f t="shared" si="26"/>
        <v>167.6287025</v>
      </c>
      <c r="Q20" s="19">
        <f>3/(3+1+1.5)*100</f>
        <v>54.54545454545454</v>
      </c>
      <c r="R20" s="6">
        <v>22.414000000000001</v>
      </c>
      <c r="S20" s="20">
        <f>1196.6/16*0.1</f>
        <v>7.4787499999999998</v>
      </c>
      <c r="T20" s="20" t="s">
        <v>124</v>
      </c>
      <c r="U20" s="20" t="s">
        <v>124</v>
      </c>
      <c r="V20" s="20" t="s">
        <v>124</v>
      </c>
      <c r="W20" s="20" t="s">
        <v>124</v>
      </c>
      <c r="X20" s="20" t="s">
        <v>124</v>
      </c>
      <c r="Y20" s="20" t="s">
        <v>124</v>
      </c>
      <c r="Z20" s="20" t="s">
        <v>124</v>
      </c>
      <c r="AA20" s="20" t="s">
        <v>124</v>
      </c>
      <c r="AB20" s="20">
        <f>3/64</f>
        <v>4.6875E-2</v>
      </c>
      <c r="AC20" s="20">
        <f>277.8/64</f>
        <v>4.3406250000000002</v>
      </c>
      <c r="AD20" s="20">
        <f t="shared" si="27"/>
        <v>4.2937500000000002</v>
      </c>
      <c r="AE20" s="20">
        <f t="shared" si="28"/>
        <v>0.42937500000000006</v>
      </c>
      <c r="AF20" s="3">
        <f t="shared" si="15"/>
        <v>14.9575</v>
      </c>
      <c r="AG20" s="3">
        <f t="shared" si="29"/>
        <v>3.4350000000000005</v>
      </c>
      <c r="AH20" s="3">
        <v>0</v>
      </c>
      <c r="AI20" s="71">
        <f t="shared" si="7"/>
        <v>3.4350000000000005</v>
      </c>
      <c r="AJ20" s="4">
        <f t="shared" si="8"/>
        <v>0.2296506769179342</v>
      </c>
      <c r="AK20" s="89">
        <f t="shared" si="30"/>
        <v>0</v>
      </c>
      <c r="AL20" s="89">
        <f t="shared" si="31"/>
        <v>1</v>
      </c>
      <c r="AM20" s="89">
        <f t="shared" si="32"/>
        <v>0.2296506769179342</v>
      </c>
      <c r="AN20" s="89">
        <f t="shared" si="33"/>
        <v>11.522499999999999</v>
      </c>
      <c r="AO20" s="89">
        <f t="shared" si="34"/>
        <v>0.77034932308206583</v>
      </c>
      <c r="AP20" s="78" t="str">
        <f t="shared" si="14"/>
        <v>As calculated</v>
      </c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</row>
    <row r="21" spans="1:201" ht="26" x14ac:dyDescent="0.2">
      <c r="A21" s="29">
        <v>20</v>
      </c>
      <c r="B21" s="30" t="s">
        <v>318</v>
      </c>
      <c r="C21" s="30" t="s">
        <v>330</v>
      </c>
      <c r="D21" s="31" t="s">
        <v>320</v>
      </c>
      <c r="E21" s="31" t="s">
        <v>22</v>
      </c>
      <c r="F21" s="32" t="s">
        <v>302</v>
      </c>
      <c r="G21" s="32" t="s">
        <v>321</v>
      </c>
      <c r="H21" s="7" t="s">
        <v>515</v>
      </c>
      <c r="I21" s="32" t="s">
        <v>322</v>
      </c>
      <c r="J21" s="37" t="s">
        <v>331</v>
      </c>
      <c r="K21" s="33">
        <v>6</v>
      </c>
      <c r="L21" s="33">
        <v>37</v>
      </c>
      <c r="M21" s="33" t="s">
        <v>497</v>
      </c>
      <c r="N21" s="38" t="s">
        <v>324</v>
      </c>
      <c r="O21" s="39" t="s">
        <v>325</v>
      </c>
      <c r="P21" s="19">
        <f t="shared" si="26"/>
        <v>224.86845500000004</v>
      </c>
      <c r="Q21" s="19">
        <f>4/(4+1+1.5)*100</f>
        <v>61.53846153846154</v>
      </c>
      <c r="R21" s="6">
        <v>22.414000000000001</v>
      </c>
      <c r="S21" s="20">
        <f>1605.2/16*0.1</f>
        <v>10.032500000000001</v>
      </c>
      <c r="T21" s="20" t="s">
        <v>124</v>
      </c>
      <c r="U21" s="20" t="s">
        <v>124</v>
      </c>
      <c r="V21" s="20" t="s">
        <v>124</v>
      </c>
      <c r="W21" s="20" t="s">
        <v>124</v>
      </c>
      <c r="X21" s="20" t="s">
        <v>124</v>
      </c>
      <c r="Y21" s="20" t="s">
        <v>124</v>
      </c>
      <c r="Z21" s="20" t="s">
        <v>124</v>
      </c>
      <c r="AA21" s="20" t="s">
        <v>124</v>
      </c>
      <c r="AB21" s="20">
        <f>2.5/64</f>
        <v>3.90625E-2</v>
      </c>
      <c r="AC21" s="20">
        <f>298/64</f>
        <v>4.65625</v>
      </c>
      <c r="AD21" s="20">
        <f t="shared" si="27"/>
        <v>4.6171875</v>
      </c>
      <c r="AE21" s="20">
        <f t="shared" si="28"/>
        <v>0.46171875000000001</v>
      </c>
      <c r="AF21" s="3">
        <f t="shared" si="15"/>
        <v>20.065000000000001</v>
      </c>
      <c r="AG21" s="3">
        <f t="shared" si="29"/>
        <v>3.6937500000000001</v>
      </c>
      <c r="AH21" s="3">
        <v>0</v>
      </c>
      <c r="AI21" s="71">
        <f t="shared" si="7"/>
        <v>3.6937500000000001</v>
      </c>
      <c r="AJ21" s="4">
        <f t="shared" si="8"/>
        <v>0.18408921006728132</v>
      </c>
      <c r="AK21" s="89">
        <f t="shared" si="30"/>
        <v>0</v>
      </c>
      <c r="AL21" s="89">
        <f t="shared" si="31"/>
        <v>1</v>
      </c>
      <c r="AM21" s="89">
        <f t="shared" si="32"/>
        <v>0.18408921006728132</v>
      </c>
      <c r="AN21" s="89">
        <f t="shared" si="33"/>
        <v>16.37125</v>
      </c>
      <c r="AO21" s="89">
        <f t="shared" si="34"/>
        <v>0.81591078993271859</v>
      </c>
      <c r="AP21" s="78" t="str">
        <f t="shared" si="14"/>
        <v>As calculated</v>
      </c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</row>
    <row r="22" spans="1:201" ht="26" x14ac:dyDescent="0.2">
      <c r="A22" s="29">
        <v>21</v>
      </c>
      <c r="B22" s="30" t="s">
        <v>332</v>
      </c>
      <c r="C22" s="30" t="s">
        <v>333</v>
      </c>
      <c r="D22" s="31" t="s">
        <v>334</v>
      </c>
      <c r="E22" s="31" t="s">
        <v>22</v>
      </c>
      <c r="F22" s="32" t="s">
        <v>271</v>
      </c>
      <c r="G22" s="32" t="s">
        <v>335</v>
      </c>
      <c r="H22" s="7" t="s">
        <v>515</v>
      </c>
      <c r="I22" s="32" t="s">
        <v>336</v>
      </c>
      <c r="J22" s="37" t="s">
        <v>337</v>
      </c>
      <c r="K22" s="33" t="s">
        <v>550</v>
      </c>
      <c r="L22" s="33">
        <v>52</v>
      </c>
      <c r="M22" s="33" t="s">
        <v>551</v>
      </c>
      <c r="N22" s="34" t="s">
        <v>275</v>
      </c>
      <c r="O22" s="35" t="s">
        <v>338</v>
      </c>
      <c r="P22" s="6">
        <v>507</v>
      </c>
      <c r="Q22" s="6">
        <v>100</v>
      </c>
      <c r="R22" s="6">
        <v>22.465</v>
      </c>
      <c r="S22" s="20">
        <f>P22/R22</f>
        <v>22.568439795237037</v>
      </c>
      <c r="T22" s="20">
        <f>224*100/U22</f>
        <v>343.55828220858893</v>
      </c>
      <c r="U22" s="20">
        <v>65.2</v>
      </c>
      <c r="V22" s="20">
        <f>267*100/W22</f>
        <v>298.65771812080533</v>
      </c>
      <c r="W22" s="20">
        <v>89.4</v>
      </c>
      <c r="X22" s="20">
        <v>224</v>
      </c>
      <c r="Y22" s="6">
        <v>267</v>
      </c>
      <c r="Z22" s="20">
        <f>Y22-X22</f>
        <v>43</v>
      </c>
      <c r="AA22" s="20">
        <f>Z22/24.465</f>
        <v>1.7576129164111998</v>
      </c>
      <c r="AB22" s="20" t="s">
        <v>135</v>
      </c>
      <c r="AC22" s="20" t="s">
        <v>135</v>
      </c>
      <c r="AD22" s="20" t="s">
        <v>135</v>
      </c>
      <c r="AE22" s="20" t="s">
        <v>135</v>
      </c>
      <c r="AF22" s="3">
        <f>S22*2</f>
        <v>45.136879590474074</v>
      </c>
      <c r="AG22" s="3">
        <f t="shared" ref="AG22:AG23" si="35">AA22*8</f>
        <v>14.060903331289598</v>
      </c>
      <c r="AH22" s="3" t="s">
        <v>123</v>
      </c>
      <c r="AI22" s="3" t="s">
        <v>123</v>
      </c>
      <c r="AJ22" s="4">
        <f t="shared" si="8"/>
        <v>0.31151695595406392</v>
      </c>
      <c r="AK22" s="4" t="s">
        <v>123</v>
      </c>
      <c r="AL22" s="4" t="s">
        <v>123</v>
      </c>
      <c r="AM22" s="4" t="s">
        <v>123</v>
      </c>
      <c r="AN22" s="4" t="s">
        <v>123</v>
      </c>
      <c r="AO22" s="4" t="s">
        <v>123</v>
      </c>
      <c r="AP22" s="78" t="str">
        <f t="shared" si="14"/>
        <v>NC</v>
      </c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</row>
    <row r="23" spans="1:201" ht="26" x14ac:dyDescent="0.2">
      <c r="A23" s="29">
        <v>22</v>
      </c>
      <c r="B23" s="30" t="s">
        <v>332</v>
      </c>
      <c r="C23" s="30" t="s">
        <v>339</v>
      </c>
      <c r="D23" s="31" t="s">
        <v>334</v>
      </c>
      <c r="E23" s="31" t="s">
        <v>22</v>
      </c>
      <c r="F23" s="32" t="s">
        <v>271</v>
      </c>
      <c r="G23" s="32" t="s">
        <v>340</v>
      </c>
      <c r="H23" s="7" t="s">
        <v>515</v>
      </c>
      <c r="I23" s="32" t="s">
        <v>336</v>
      </c>
      <c r="J23" s="37" t="s">
        <v>341</v>
      </c>
      <c r="K23" s="33" t="s">
        <v>550</v>
      </c>
      <c r="L23" s="33">
        <v>52</v>
      </c>
      <c r="M23" s="33" t="s">
        <v>551</v>
      </c>
      <c r="N23" s="34" t="s">
        <v>275</v>
      </c>
      <c r="O23" s="35" t="s">
        <v>338</v>
      </c>
      <c r="P23" s="6">
        <v>507</v>
      </c>
      <c r="Q23" s="6">
        <v>100</v>
      </c>
      <c r="R23" s="6">
        <v>22.465</v>
      </c>
      <c r="S23" s="20">
        <f>P23/R23</f>
        <v>22.568439795237037</v>
      </c>
      <c r="T23" s="20">
        <f>224*100/U23</f>
        <v>347.82608695652169</v>
      </c>
      <c r="U23" s="20">
        <v>64.400000000000006</v>
      </c>
      <c r="V23" s="20">
        <f>272*100/W23</f>
        <v>309.44254835039817</v>
      </c>
      <c r="W23" s="20">
        <v>87.9</v>
      </c>
      <c r="X23" s="20">
        <v>224</v>
      </c>
      <c r="Y23" s="6">
        <v>272</v>
      </c>
      <c r="Z23" s="20">
        <f>Y23-X23</f>
        <v>48</v>
      </c>
      <c r="AA23" s="20">
        <f>Z23/24.465</f>
        <v>1.9619865113427346</v>
      </c>
      <c r="AB23" s="20" t="s">
        <v>135</v>
      </c>
      <c r="AC23" s="20" t="s">
        <v>135</v>
      </c>
      <c r="AD23" s="20" t="s">
        <v>135</v>
      </c>
      <c r="AE23" s="20" t="s">
        <v>135</v>
      </c>
      <c r="AF23" s="3">
        <f t="shared" si="15"/>
        <v>45.136879590474074</v>
      </c>
      <c r="AG23" s="3">
        <f t="shared" si="35"/>
        <v>15.695892090741877</v>
      </c>
      <c r="AH23" s="3" t="s">
        <v>123</v>
      </c>
      <c r="AI23" s="3" t="s">
        <v>123</v>
      </c>
      <c r="AJ23" s="4">
        <f t="shared" si="8"/>
        <v>0.34773985780918759</v>
      </c>
      <c r="AK23" s="4" t="s">
        <v>123</v>
      </c>
      <c r="AL23" s="4" t="s">
        <v>123</v>
      </c>
      <c r="AM23" s="4" t="s">
        <v>123</v>
      </c>
      <c r="AN23" s="4" t="s">
        <v>123</v>
      </c>
      <c r="AO23" s="4" t="s">
        <v>123</v>
      </c>
      <c r="AP23" s="78" t="str">
        <f t="shared" si="14"/>
        <v>NC</v>
      </c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</row>
    <row r="24" spans="1:201" ht="17" thickBot="1" x14ac:dyDescent="0.25">
      <c r="A24" s="28"/>
      <c r="B24" s="28"/>
      <c r="C24" s="28"/>
      <c r="D24" s="28"/>
      <c r="E24" s="28"/>
      <c r="F24" s="28"/>
      <c r="G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79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</row>
    <row r="25" spans="1:201" x14ac:dyDescent="0.2">
      <c r="A25" s="99" t="s">
        <v>342</v>
      </c>
      <c r="B25" s="100"/>
      <c r="C25" s="100"/>
      <c r="D25" s="101"/>
      <c r="E25" s="28"/>
      <c r="F25" s="28"/>
      <c r="G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79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</row>
    <row r="26" spans="1:201" x14ac:dyDescent="0.2">
      <c r="A26" s="102"/>
      <c r="B26" s="103"/>
      <c r="C26" s="103"/>
      <c r="D26" s="104"/>
      <c r="E26" s="28"/>
      <c r="F26" s="28"/>
      <c r="G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79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</row>
    <row r="27" spans="1:201" x14ac:dyDescent="0.2">
      <c r="A27" s="102"/>
      <c r="B27" s="103"/>
      <c r="C27" s="103"/>
      <c r="D27" s="104"/>
      <c r="E27" s="28"/>
      <c r="F27" s="28"/>
      <c r="G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79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</row>
    <row r="28" spans="1:201" ht="17" thickBot="1" x14ac:dyDescent="0.25">
      <c r="A28" s="105"/>
      <c r="B28" s="106"/>
      <c r="C28" s="106"/>
      <c r="D28" s="107"/>
      <c r="E28" s="28"/>
      <c r="F28" s="28"/>
      <c r="G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79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</row>
    <row r="29" spans="1:201" ht="17" thickBot="1" x14ac:dyDescent="0.25"/>
    <row r="30" spans="1:201" x14ac:dyDescent="0.2">
      <c r="A30" s="126" t="s">
        <v>488</v>
      </c>
      <c r="B30" s="127"/>
      <c r="C30" s="127"/>
      <c r="D30" s="127"/>
      <c r="E30" s="127"/>
      <c r="F30" s="128"/>
    </row>
    <row r="31" spans="1:201" x14ac:dyDescent="0.2">
      <c r="A31" s="129"/>
      <c r="B31" s="130"/>
      <c r="C31" s="130"/>
      <c r="D31" s="130"/>
      <c r="E31" s="130"/>
      <c r="F31" s="131"/>
    </row>
    <row r="32" spans="1:201" x14ac:dyDescent="0.2">
      <c r="A32" s="129"/>
      <c r="B32" s="130"/>
      <c r="C32" s="130"/>
      <c r="D32" s="130"/>
      <c r="E32" s="130"/>
      <c r="F32" s="131"/>
    </row>
    <row r="33" spans="1:6" x14ac:dyDescent="0.2">
      <c r="A33" s="129"/>
      <c r="B33" s="130"/>
      <c r="C33" s="130"/>
      <c r="D33" s="130"/>
      <c r="E33" s="130"/>
      <c r="F33" s="131"/>
    </row>
    <row r="34" spans="1:6" x14ac:dyDescent="0.2">
      <c r="A34" s="129"/>
      <c r="B34" s="130"/>
      <c r="C34" s="130"/>
      <c r="D34" s="130"/>
      <c r="E34" s="130"/>
      <c r="F34" s="131"/>
    </row>
    <row r="35" spans="1:6" x14ac:dyDescent="0.2">
      <c r="A35" s="129"/>
      <c r="B35" s="130"/>
      <c r="C35" s="130"/>
      <c r="D35" s="130"/>
      <c r="E35" s="130"/>
      <c r="F35" s="131"/>
    </row>
    <row r="36" spans="1:6" x14ac:dyDescent="0.2">
      <c r="A36" s="129"/>
      <c r="B36" s="130"/>
      <c r="C36" s="130"/>
      <c r="D36" s="130"/>
      <c r="E36" s="130"/>
      <c r="F36" s="131"/>
    </row>
    <row r="37" spans="1:6" ht="17" thickBot="1" x14ac:dyDescent="0.25">
      <c r="A37" s="132"/>
      <c r="B37" s="133"/>
      <c r="C37" s="133"/>
      <c r="D37" s="133"/>
      <c r="E37" s="133"/>
      <c r="F37" s="134"/>
    </row>
  </sheetData>
  <mergeCells count="2">
    <mergeCell ref="A25:D28"/>
    <mergeCell ref="A30:F37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978AF-8FEC-8A44-B483-6CAB664BCEDE}">
  <dimension ref="A1:GI35"/>
  <sheetViews>
    <sheetView topLeftCell="W1" zoomScale="125" workbookViewId="0">
      <selection activeCell="S3" sqref="S3"/>
    </sheetView>
  </sheetViews>
  <sheetFormatPr baseColWidth="10" defaultRowHeight="16" x14ac:dyDescent="0.2"/>
  <cols>
    <col min="1" max="1" width="4.1640625" style="1" customWidth="1"/>
    <col min="2" max="2" width="14.5" customWidth="1"/>
    <col min="3" max="3" width="13.1640625" customWidth="1"/>
    <col min="4" max="4" width="13.6640625" customWidth="1"/>
    <col min="5" max="6" width="13" customWidth="1"/>
    <col min="7" max="7" width="14.33203125" customWidth="1"/>
    <col min="8" max="8" width="9" customWidth="1"/>
    <col min="9" max="9" width="14" customWidth="1"/>
    <col min="10" max="10" width="29.83203125" customWidth="1"/>
    <col min="11" max="11" width="3.83203125" customWidth="1"/>
    <col min="12" max="12" width="4.5" customWidth="1"/>
    <col min="13" max="13" width="19.33203125" customWidth="1"/>
    <col min="14" max="14" width="12.83203125" customWidth="1"/>
    <col min="15" max="15" width="9.5" customWidth="1"/>
    <col min="24" max="25" width="13" customWidth="1"/>
  </cols>
  <sheetData>
    <row r="1" spans="1:191" s="2" customFormat="1" ht="39" x14ac:dyDescent="0.2">
      <c r="A1" s="18" t="s">
        <v>77</v>
      </c>
      <c r="B1" s="17" t="s">
        <v>38</v>
      </c>
      <c r="C1" s="17" t="s">
        <v>0</v>
      </c>
      <c r="D1" s="12" t="s">
        <v>1</v>
      </c>
      <c r="E1" s="12" t="s">
        <v>3</v>
      </c>
      <c r="F1" s="12" t="s">
        <v>343</v>
      </c>
      <c r="G1" s="12" t="s">
        <v>344</v>
      </c>
      <c r="H1" s="12" t="s">
        <v>4</v>
      </c>
      <c r="I1" s="12" t="s">
        <v>487</v>
      </c>
      <c r="J1" s="12" t="s">
        <v>5</v>
      </c>
      <c r="K1" s="12" t="s">
        <v>6</v>
      </c>
      <c r="L1" s="12" t="s">
        <v>7</v>
      </c>
      <c r="M1" s="12" t="s">
        <v>8</v>
      </c>
      <c r="N1" s="14" t="s">
        <v>49</v>
      </c>
      <c r="O1" s="14" t="s">
        <v>2</v>
      </c>
      <c r="P1" s="15" t="s">
        <v>9</v>
      </c>
      <c r="Q1" s="15" t="s">
        <v>345</v>
      </c>
      <c r="R1" s="15" t="s">
        <v>346</v>
      </c>
      <c r="S1" s="15" t="s">
        <v>347</v>
      </c>
      <c r="T1" s="15" t="s">
        <v>348</v>
      </c>
      <c r="U1" s="15" t="s">
        <v>349</v>
      </c>
      <c r="V1" s="16" t="s">
        <v>16</v>
      </c>
      <c r="W1" s="16" t="s">
        <v>55</v>
      </c>
      <c r="X1" s="16" t="s">
        <v>56</v>
      </c>
      <c r="Y1" s="16" t="s">
        <v>57</v>
      </c>
      <c r="Z1" s="16" t="s">
        <v>17</v>
      </c>
      <c r="AA1" s="16" t="s">
        <v>18</v>
      </c>
      <c r="AB1" s="16" t="s">
        <v>19</v>
      </c>
      <c r="AC1" s="16" t="s">
        <v>20</v>
      </c>
      <c r="AD1" s="16" t="s">
        <v>58</v>
      </c>
      <c r="AE1" s="16" t="s">
        <v>21</v>
      </c>
      <c r="AF1" s="74" t="s">
        <v>486</v>
      </c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</row>
    <row r="2" spans="1:191" ht="26" x14ac:dyDescent="0.2">
      <c r="A2" s="18">
        <v>1</v>
      </c>
      <c r="B2" s="13" t="s">
        <v>350</v>
      </c>
      <c r="C2" s="13" t="s">
        <v>351</v>
      </c>
      <c r="D2" s="10" t="s">
        <v>352</v>
      </c>
      <c r="E2" s="7" t="s">
        <v>22</v>
      </c>
      <c r="F2" s="7" t="s">
        <v>353</v>
      </c>
      <c r="G2" s="40">
        <v>600</v>
      </c>
      <c r="H2" s="7" t="s">
        <v>24</v>
      </c>
      <c r="I2" s="7" t="s">
        <v>515</v>
      </c>
      <c r="J2" s="8" t="s">
        <v>354</v>
      </c>
      <c r="K2" s="8">
        <v>7.3</v>
      </c>
      <c r="L2" s="8">
        <v>38</v>
      </c>
      <c r="M2" s="8" t="s">
        <v>552</v>
      </c>
      <c r="N2" s="5" t="s">
        <v>355</v>
      </c>
      <c r="O2" s="11" t="s">
        <v>356</v>
      </c>
      <c r="P2" s="6">
        <v>1000</v>
      </c>
      <c r="Q2" s="6">
        <v>0.37</v>
      </c>
      <c r="R2" s="6">
        <f t="shared" ref="R2:R21" si="0">Q2*G2</f>
        <v>222</v>
      </c>
      <c r="S2" s="41">
        <f>R2/350.32*64</f>
        <v>40.55720484128797</v>
      </c>
      <c r="T2" s="6" t="s">
        <v>124</v>
      </c>
      <c r="U2" s="6">
        <v>713</v>
      </c>
      <c r="V2" s="3">
        <f>P2/8</f>
        <v>125</v>
      </c>
      <c r="W2" s="3">
        <f>S2/8</f>
        <v>5.0696506051609962</v>
      </c>
      <c r="X2" s="3">
        <f>U2/8</f>
        <v>89.125</v>
      </c>
      <c r="Y2" s="3">
        <f>W2+X2</f>
        <v>94.194650605161002</v>
      </c>
      <c r="Z2" s="3">
        <f>W2/V2</f>
        <v>4.0557204841287969E-2</v>
      </c>
      <c r="AA2" s="3">
        <f>X2/V2</f>
        <v>0.71299999999999997</v>
      </c>
      <c r="AB2" s="3">
        <f>W2/Y2</f>
        <v>5.3821003343508617E-2</v>
      </c>
      <c r="AC2" s="3">
        <f>Y2/V2</f>
        <v>0.75355720484128796</v>
      </c>
      <c r="AD2" s="3">
        <f>V2-W2-X2</f>
        <v>30.805349394838998</v>
      </c>
      <c r="AE2" s="3">
        <f>AD2/V2</f>
        <v>0.24644279515871198</v>
      </c>
      <c r="AF2" s="75" t="str">
        <f>IF(I2="","",IF(AC2="NC","NC",IF(OR(AC2&lt;0,AC2&gt;1),"Excluded",IF(OR(I2="Total COD",I2="Mixed"),"Lower bound",IF(OR(I2="Defined substrate",I2="Biodegradable COD"),"As calculated","CHECK")))))</f>
        <v>As calculated</v>
      </c>
    </row>
    <row r="3" spans="1:191" x14ac:dyDescent="0.2">
      <c r="A3" s="18">
        <v>2</v>
      </c>
      <c r="B3" s="13" t="s">
        <v>350</v>
      </c>
      <c r="C3" s="13" t="s">
        <v>357</v>
      </c>
      <c r="D3" s="10" t="s">
        <v>352</v>
      </c>
      <c r="E3" s="7" t="s">
        <v>22</v>
      </c>
      <c r="F3" s="7" t="s">
        <v>353</v>
      </c>
      <c r="G3" s="40">
        <v>600</v>
      </c>
      <c r="H3" s="7" t="s">
        <v>24</v>
      </c>
      <c r="I3" s="7" t="s">
        <v>515</v>
      </c>
      <c r="J3" s="8" t="s">
        <v>553</v>
      </c>
      <c r="K3" s="8">
        <v>7.3</v>
      </c>
      <c r="L3" s="8">
        <v>38</v>
      </c>
      <c r="M3" s="8" t="s">
        <v>552</v>
      </c>
      <c r="N3" s="5" t="s">
        <v>355</v>
      </c>
      <c r="O3" s="11" t="s">
        <v>356</v>
      </c>
      <c r="P3" s="6">
        <v>1000</v>
      </c>
      <c r="Q3" s="6">
        <v>0.96</v>
      </c>
      <c r="R3" s="6">
        <f t="shared" si="0"/>
        <v>576</v>
      </c>
      <c r="S3" s="41">
        <f>R3/350.32*64</f>
        <v>105.22950445307148</v>
      </c>
      <c r="T3" s="6" t="s">
        <v>124</v>
      </c>
      <c r="U3" s="6">
        <v>899</v>
      </c>
      <c r="V3" s="3">
        <f t="shared" ref="V3:V21" si="1">P3/8</f>
        <v>125</v>
      </c>
      <c r="W3" s="3">
        <f t="shared" ref="W3:W21" si="2">S3/8</f>
        <v>13.153688056633936</v>
      </c>
      <c r="X3" s="3">
        <f t="shared" ref="X3:X21" si="3">U3/8</f>
        <v>112.375</v>
      </c>
      <c r="Y3" s="3">
        <f t="shared" ref="Y3:Y21" si="4">W3+X3</f>
        <v>125.52868805663394</v>
      </c>
      <c r="Z3" s="3">
        <f t="shared" ref="Z3:Z21" si="5">W3/V3</f>
        <v>0.10522950445307148</v>
      </c>
      <c r="AA3" s="3">
        <f t="shared" ref="AA3:AA21" si="6">X3/V3</f>
        <v>0.89900000000000002</v>
      </c>
      <c r="AB3" s="3">
        <f t="shared" ref="AB3:AB21" si="7">W3/Y3</f>
        <v>0.1047863102870913</v>
      </c>
      <c r="AC3" s="3">
        <f t="shared" ref="AC3:AC21" si="8">Y3/V3</f>
        <v>1.0042295044530716</v>
      </c>
      <c r="AD3" s="3">
        <f t="shared" ref="AD3:AD21" si="9">V3-W3-X3</f>
        <v>-0.52868805663393914</v>
      </c>
      <c r="AE3" s="3">
        <f t="shared" ref="AE3:AE21" si="10">AD3/V3</f>
        <v>-4.2295044530715128E-3</v>
      </c>
      <c r="AF3" s="75" t="str">
        <f t="shared" ref="AF3:AF21" si="11">IF(I3="","",IF(AC3="NC","NC",IF(OR(AC3&lt;0,AC3&gt;1),"Excluded",IF(OR(I3="Total COD",I3="Mixed"),"Lower bound",IF(OR(I3="Defined substrate",I3="Biodegradable COD"),"As calculated","CHECK")))))</f>
        <v>Excluded</v>
      </c>
    </row>
    <row r="4" spans="1:191" x14ac:dyDescent="0.2">
      <c r="A4" s="18">
        <v>3</v>
      </c>
      <c r="B4" s="13" t="s">
        <v>350</v>
      </c>
      <c r="C4" s="13" t="s">
        <v>358</v>
      </c>
      <c r="D4" s="10" t="s">
        <v>352</v>
      </c>
      <c r="E4" s="7" t="s">
        <v>22</v>
      </c>
      <c r="F4" s="7" t="s">
        <v>353</v>
      </c>
      <c r="G4" s="40">
        <v>600</v>
      </c>
      <c r="H4" s="7" t="s">
        <v>24</v>
      </c>
      <c r="I4" s="7" t="s">
        <v>515</v>
      </c>
      <c r="J4" s="8" t="s">
        <v>554</v>
      </c>
      <c r="K4" s="8">
        <v>7.3</v>
      </c>
      <c r="L4" s="8">
        <v>38</v>
      </c>
      <c r="M4" s="8" t="s">
        <v>552</v>
      </c>
      <c r="N4" s="5" t="s">
        <v>355</v>
      </c>
      <c r="O4" s="11" t="s">
        <v>356</v>
      </c>
      <c r="P4" s="6">
        <v>250</v>
      </c>
      <c r="Q4" s="6">
        <v>0.26900000000000002</v>
      </c>
      <c r="R4" s="6">
        <f t="shared" si="0"/>
        <v>161.4</v>
      </c>
      <c r="S4" s="41">
        <f>R4/350.32*64</f>
        <v>29.486184060287737</v>
      </c>
      <c r="T4" s="6">
        <v>0.50700000000000001</v>
      </c>
      <c r="U4" s="6">
        <f>T4*P4</f>
        <v>126.75</v>
      </c>
      <c r="V4" s="3">
        <f t="shared" si="1"/>
        <v>31.25</v>
      </c>
      <c r="W4" s="3">
        <f t="shared" si="2"/>
        <v>3.6857730075359671</v>
      </c>
      <c r="X4" s="3">
        <f t="shared" si="3"/>
        <v>15.84375</v>
      </c>
      <c r="Y4" s="3">
        <f t="shared" si="4"/>
        <v>19.529523007535968</v>
      </c>
      <c r="Z4" s="3">
        <f t="shared" si="5"/>
        <v>0.11794473624115095</v>
      </c>
      <c r="AA4" s="3">
        <f t="shared" si="6"/>
        <v>0.50700000000000001</v>
      </c>
      <c r="AB4" s="3">
        <f t="shared" si="7"/>
        <v>0.18872826571922505</v>
      </c>
      <c r="AC4" s="3">
        <f t="shared" si="8"/>
        <v>0.62494473624115099</v>
      </c>
      <c r="AD4" s="3">
        <f t="shared" si="9"/>
        <v>11.720476992464032</v>
      </c>
      <c r="AE4" s="3">
        <f t="shared" si="10"/>
        <v>0.37505526375884901</v>
      </c>
      <c r="AF4" s="75" t="str">
        <f t="shared" si="11"/>
        <v>As calculated</v>
      </c>
    </row>
    <row r="5" spans="1:191" x14ac:dyDescent="0.2">
      <c r="A5" s="18">
        <v>4</v>
      </c>
      <c r="B5" s="13" t="s">
        <v>350</v>
      </c>
      <c r="C5" s="13" t="s">
        <v>359</v>
      </c>
      <c r="D5" s="10" t="s">
        <v>352</v>
      </c>
      <c r="E5" s="7" t="s">
        <v>22</v>
      </c>
      <c r="F5" s="7" t="s">
        <v>353</v>
      </c>
      <c r="G5" s="40">
        <v>600</v>
      </c>
      <c r="H5" s="7" t="s">
        <v>24</v>
      </c>
      <c r="I5" s="7" t="s">
        <v>515</v>
      </c>
      <c r="J5" s="8" t="s">
        <v>555</v>
      </c>
      <c r="K5" s="8">
        <v>7.3</v>
      </c>
      <c r="L5" s="8">
        <v>38</v>
      </c>
      <c r="M5" s="8" t="s">
        <v>552</v>
      </c>
      <c r="N5" s="5" t="s">
        <v>355</v>
      </c>
      <c r="O5" s="11" t="s">
        <v>356</v>
      </c>
      <c r="P5" s="6">
        <v>2000</v>
      </c>
      <c r="Q5" s="6">
        <v>0.82</v>
      </c>
      <c r="R5" s="6">
        <f t="shared" si="0"/>
        <v>491.99999999999994</v>
      </c>
      <c r="S5" s="41">
        <f t="shared" ref="S5:S21" si="12">R5/350.32*64</f>
        <v>89.883535053665213</v>
      </c>
      <c r="T5" s="6">
        <v>0.80400000000000005</v>
      </c>
      <c r="U5" s="6">
        <f t="shared" ref="U5:U21" si="13">T5*P5</f>
        <v>1608</v>
      </c>
      <c r="V5" s="3">
        <f t="shared" si="1"/>
        <v>250</v>
      </c>
      <c r="W5" s="3">
        <f t="shared" si="2"/>
        <v>11.235441881708152</v>
      </c>
      <c r="X5" s="3">
        <f t="shared" si="3"/>
        <v>201</v>
      </c>
      <c r="Y5" s="3">
        <f t="shared" si="4"/>
        <v>212.23544188170814</v>
      </c>
      <c r="Z5" s="3">
        <f t="shared" si="5"/>
        <v>4.4941767526832606E-2</v>
      </c>
      <c r="AA5" s="3">
        <f t="shared" si="6"/>
        <v>0.80400000000000005</v>
      </c>
      <c r="AB5" s="3">
        <f t="shared" si="7"/>
        <v>5.2938575113059362E-2</v>
      </c>
      <c r="AC5" s="3">
        <f t="shared" si="8"/>
        <v>0.84894176752683259</v>
      </c>
      <c r="AD5" s="3">
        <f t="shared" si="9"/>
        <v>37.764558118291859</v>
      </c>
      <c r="AE5" s="3">
        <f t="shared" si="10"/>
        <v>0.15105823247316744</v>
      </c>
      <c r="AF5" s="75" t="str">
        <f t="shared" si="11"/>
        <v>As calculated</v>
      </c>
    </row>
    <row r="6" spans="1:191" x14ac:dyDescent="0.2">
      <c r="A6" s="18">
        <v>5</v>
      </c>
      <c r="B6" s="13" t="s">
        <v>350</v>
      </c>
      <c r="C6" s="13" t="s">
        <v>360</v>
      </c>
      <c r="D6" s="10" t="s">
        <v>352</v>
      </c>
      <c r="E6" s="7" t="s">
        <v>22</v>
      </c>
      <c r="F6" s="7" t="s">
        <v>353</v>
      </c>
      <c r="G6" s="40">
        <v>600</v>
      </c>
      <c r="H6" s="7" t="s">
        <v>24</v>
      </c>
      <c r="I6" s="7" t="s">
        <v>515</v>
      </c>
      <c r="J6" s="8" t="s">
        <v>556</v>
      </c>
      <c r="K6" s="8">
        <v>7.3</v>
      </c>
      <c r="L6" s="8">
        <v>38</v>
      </c>
      <c r="M6" s="8" t="s">
        <v>552</v>
      </c>
      <c r="N6" s="5" t="s">
        <v>355</v>
      </c>
      <c r="O6" s="11" t="s">
        <v>356</v>
      </c>
      <c r="P6" s="6">
        <v>250</v>
      </c>
      <c r="Q6" s="6">
        <v>0.38500000000000001</v>
      </c>
      <c r="R6" s="6">
        <f t="shared" si="0"/>
        <v>231</v>
      </c>
      <c r="S6" s="41">
        <f t="shared" si="12"/>
        <v>42.201415848367205</v>
      </c>
      <c r="T6" s="6">
        <v>0.68600000000000005</v>
      </c>
      <c r="U6" s="6">
        <f t="shared" si="13"/>
        <v>171.5</v>
      </c>
      <c r="V6" s="3">
        <f t="shared" si="1"/>
        <v>31.25</v>
      </c>
      <c r="W6" s="3">
        <f t="shared" si="2"/>
        <v>5.2751769810459006</v>
      </c>
      <c r="X6" s="3">
        <f t="shared" si="3"/>
        <v>21.4375</v>
      </c>
      <c r="Y6" s="3">
        <f t="shared" si="4"/>
        <v>26.712676981045902</v>
      </c>
      <c r="Z6" s="3">
        <f t="shared" si="5"/>
        <v>0.16880566339346881</v>
      </c>
      <c r="AA6" s="3">
        <f t="shared" si="6"/>
        <v>0.68600000000000005</v>
      </c>
      <c r="AB6" s="3">
        <f t="shared" si="7"/>
        <v>0.19747841014919343</v>
      </c>
      <c r="AC6" s="3">
        <f t="shared" si="8"/>
        <v>0.85480566339346886</v>
      </c>
      <c r="AD6" s="3">
        <f t="shared" si="9"/>
        <v>4.5373230189540976</v>
      </c>
      <c r="AE6" s="3">
        <f t="shared" si="10"/>
        <v>0.14519433660653111</v>
      </c>
      <c r="AF6" s="75" t="str">
        <f t="shared" si="11"/>
        <v>As calculated</v>
      </c>
    </row>
    <row r="7" spans="1:191" x14ac:dyDescent="0.2">
      <c r="A7" s="18">
        <v>6</v>
      </c>
      <c r="B7" s="13" t="s">
        <v>350</v>
      </c>
      <c r="C7" s="13" t="s">
        <v>361</v>
      </c>
      <c r="D7" s="10" t="s">
        <v>352</v>
      </c>
      <c r="E7" s="7" t="s">
        <v>22</v>
      </c>
      <c r="F7" s="7" t="s">
        <v>353</v>
      </c>
      <c r="G7" s="40">
        <v>600</v>
      </c>
      <c r="H7" s="7" t="s">
        <v>24</v>
      </c>
      <c r="I7" s="7" t="s">
        <v>515</v>
      </c>
      <c r="J7" s="9" t="s">
        <v>557</v>
      </c>
      <c r="K7" s="8">
        <v>7.3</v>
      </c>
      <c r="L7" s="8">
        <v>38</v>
      </c>
      <c r="M7" s="8" t="s">
        <v>552</v>
      </c>
      <c r="N7" s="5" t="s">
        <v>355</v>
      </c>
      <c r="O7" s="11" t="s">
        <v>356</v>
      </c>
      <c r="P7" s="6">
        <v>2000</v>
      </c>
      <c r="Q7" s="6">
        <v>0.91300000000000003</v>
      </c>
      <c r="R7" s="6">
        <f t="shared" si="0"/>
        <v>547.80000000000007</v>
      </c>
      <c r="S7" s="41">
        <f t="shared" si="12"/>
        <v>100.07764329755653</v>
      </c>
      <c r="T7" s="6">
        <v>0.90800000000000003</v>
      </c>
      <c r="U7" s="6">
        <f t="shared" si="13"/>
        <v>1816</v>
      </c>
      <c r="V7" s="3">
        <f t="shared" si="1"/>
        <v>250</v>
      </c>
      <c r="W7" s="3">
        <f t="shared" si="2"/>
        <v>12.509705412194567</v>
      </c>
      <c r="X7" s="3">
        <f t="shared" si="3"/>
        <v>227</v>
      </c>
      <c r="Y7" s="3">
        <f t="shared" si="4"/>
        <v>239.50970541219456</v>
      </c>
      <c r="Z7" s="3">
        <f t="shared" si="5"/>
        <v>5.0038821648778264E-2</v>
      </c>
      <c r="AA7" s="3">
        <f t="shared" si="6"/>
        <v>0.90800000000000003</v>
      </c>
      <c r="AB7" s="3">
        <f t="shared" si="7"/>
        <v>5.2230473878565588E-2</v>
      </c>
      <c r="AC7" s="3">
        <f t="shared" si="8"/>
        <v>0.95803882164877829</v>
      </c>
      <c r="AD7" s="3">
        <f t="shared" si="9"/>
        <v>10.490294587805437</v>
      </c>
      <c r="AE7" s="3">
        <f t="shared" si="10"/>
        <v>4.1961178351221748E-2</v>
      </c>
      <c r="AF7" s="75" t="str">
        <f t="shared" si="11"/>
        <v>As calculated</v>
      </c>
    </row>
    <row r="8" spans="1:191" ht="26" x14ac:dyDescent="0.2">
      <c r="A8" s="18">
        <v>7</v>
      </c>
      <c r="B8" s="13" t="s">
        <v>350</v>
      </c>
      <c r="C8" s="13" t="s">
        <v>362</v>
      </c>
      <c r="D8" s="10" t="s">
        <v>352</v>
      </c>
      <c r="E8" s="7" t="s">
        <v>22</v>
      </c>
      <c r="F8" s="7" t="s">
        <v>353</v>
      </c>
      <c r="G8" s="40">
        <v>200</v>
      </c>
      <c r="H8" s="7" t="s">
        <v>24</v>
      </c>
      <c r="I8" s="7" t="s">
        <v>515</v>
      </c>
      <c r="J8" s="9" t="s">
        <v>558</v>
      </c>
      <c r="K8" s="8">
        <v>7.3</v>
      </c>
      <c r="L8" s="8">
        <v>38</v>
      </c>
      <c r="M8" s="8" t="s">
        <v>552</v>
      </c>
      <c r="N8" s="5" t="s">
        <v>355</v>
      </c>
      <c r="O8" s="11" t="s">
        <v>356</v>
      </c>
      <c r="P8" s="6">
        <v>250</v>
      </c>
      <c r="Q8" s="6">
        <v>0.85199999999999998</v>
      </c>
      <c r="R8" s="6">
        <f t="shared" si="0"/>
        <v>170.4</v>
      </c>
      <c r="S8" s="41">
        <f t="shared" si="12"/>
        <v>31.13039506736698</v>
      </c>
      <c r="T8" s="6">
        <v>0.76</v>
      </c>
      <c r="U8" s="6">
        <f t="shared" si="13"/>
        <v>190</v>
      </c>
      <c r="V8" s="3">
        <f t="shared" si="1"/>
        <v>31.25</v>
      </c>
      <c r="W8" s="3">
        <f t="shared" si="2"/>
        <v>3.8912993834208724</v>
      </c>
      <c r="X8" s="3">
        <f t="shared" si="3"/>
        <v>23.75</v>
      </c>
      <c r="Y8" s="3">
        <f t="shared" si="4"/>
        <v>27.641299383420872</v>
      </c>
      <c r="Z8" s="3">
        <f t="shared" si="5"/>
        <v>0.12452158026946791</v>
      </c>
      <c r="AA8" s="3">
        <f t="shared" si="6"/>
        <v>0.76</v>
      </c>
      <c r="AB8" s="3">
        <f t="shared" si="7"/>
        <v>0.14077845362634639</v>
      </c>
      <c r="AC8" s="3">
        <f t="shared" si="8"/>
        <v>0.88452158026946792</v>
      </c>
      <c r="AD8" s="3">
        <f t="shared" si="9"/>
        <v>3.608700616579128</v>
      </c>
      <c r="AE8" s="3">
        <f t="shared" si="10"/>
        <v>0.11547841973053209</v>
      </c>
      <c r="AF8" s="75" t="str">
        <f t="shared" si="11"/>
        <v>As calculated</v>
      </c>
    </row>
    <row r="9" spans="1:191" ht="26" x14ac:dyDescent="0.2">
      <c r="A9" s="18">
        <v>8</v>
      </c>
      <c r="B9" s="13" t="s">
        <v>350</v>
      </c>
      <c r="C9" s="13" t="s">
        <v>363</v>
      </c>
      <c r="D9" s="10" t="s">
        <v>352</v>
      </c>
      <c r="E9" s="7" t="s">
        <v>22</v>
      </c>
      <c r="F9" s="7" t="s">
        <v>353</v>
      </c>
      <c r="G9" s="40">
        <v>200</v>
      </c>
      <c r="H9" s="7" t="s">
        <v>24</v>
      </c>
      <c r="I9" s="7" t="s">
        <v>515</v>
      </c>
      <c r="J9" s="9" t="s">
        <v>559</v>
      </c>
      <c r="K9" s="8">
        <v>7.3</v>
      </c>
      <c r="L9" s="8">
        <v>38</v>
      </c>
      <c r="M9" s="8" t="s">
        <v>552</v>
      </c>
      <c r="N9" s="5" t="s">
        <v>355</v>
      </c>
      <c r="O9" s="11" t="s">
        <v>356</v>
      </c>
      <c r="P9" s="6">
        <v>2000</v>
      </c>
      <c r="Q9" s="6">
        <v>0.91</v>
      </c>
      <c r="R9" s="6">
        <f t="shared" si="0"/>
        <v>182</v>
      </c>
      <c r="S9" s="41">
        <f t="shared" si="12"/>
        <v>33.249600365380225</v>
      </c>
      <c r="T9" s="6">
        <v>0.95699999999999996</v>
      </c>
      <c r="U9" s="6">
        <f t="shared" si="13"/>
        <v>1914</v>
      </c>
      <c r="V9" s="3">
        <f t="shared" si="1"/>
        <v>250</v>
      </c>
      <c r="W9" s="3">
        <f t="shared" si="2"/>
        <v>4.1562000456725281</v>
      </c>
      <c r="X9" s="3">
        <f t="shared" si="3"/>
        <v>239.25</v>
      </c>
      <c r="Y9" s="3">
        <f t="shared" si="4"/>
        <v>243.40620004567253</v>
      </c>
      <c r="Z9" s="3">
        <f t="shared" si="5"/>
        <v>1.6624800182690112E-2</v>
      </c>
      <c r="AA9" s="3">
        <f t="shared" si="6"/>
        <v>0.95699999999999996</v>
      </c>
      <c r="AB9" s="3">
        <f t="shared" si="7"/>
        <v>1.7075160965056201E-2</v>
      </c>
      <c r="AC9" s="3">
        <f t="shared" si="8"/>
        <v>0.97362480018269015</v>
      </c>
      <c r="AD9" s="3">
        <f t="shared" si="9"/>
        <v>6.5937999543274657</v>
      </c>
      <c r="AE9" s="3">
        <f t="shared" si="10"/>
        <v>2.6375199817309864E-2</v>
      </c>
      <c r="AF9" s="75" t="str">
        <f t="shared" si="11"/>
        <v>As calculated</v>
      </c>
    </row>
    <row r="10" spans="1:191" ht="26" x14ac:dyDescent="0.2">
      <c r="A10" s="18">
        <v>9</v>
      </c>
      <c r="B10" s="13" t="s">
        <v>350</v>
      </c>
      <c r="C10" s="13" t="s">
        <v>364</v>
      </c>
      <c r="D10" s="10" t="s">
        <v>352</v>
      </c>
      <c r="E10" s="7" t="s">
        <v>22</v>
      </c>
      <c r="F10" s="7" t="s">
        <v>353</v>
      </c>
      <c r="G10" s="40">
        <v>1000</v>
      </c>
      <c r="H10" s="7" t="s">
        <v>24</v>
      </c>
      <c r="I10" s="7" t="s">
        <v>515</v>
      </c>
      <c r="J10" s="9" t="s">
        <v>560</v>
      </c>
      <c r="K10" s="8">
        <v>7.3</v>
      </c>
      <c r="L10" s="8">
        <v>38</v>
      </c>
      <c r="M10" s="8" t="s">
        <v>552</v>
      </c>
      <c r="N10" s="5" t="s">
        <v>355</v>
      </c>
      <c r="O10" s="11" t="s">
        <v>356</v>
      </c>
      <c r="P10" s="6">
        <v>250</v>
      </c>
      <c r="Q10" s="6">
        <v>0.27800000000000002</v>
      </c>
      <c r="R10" s="6">
        <f t="shared" si="0"/>
        <v>278</v>
      </c>
      <c r="S10" s="41">
        <f t="shared" si="12"/>
        <v>50.787851107558801</v>
      </c>
      <c r="T10" s="6">
        <v>0.46800000000000003</v>
      </c>
      <c r="U10" s="6">
        <f t="shared" si="13"/>
        <v>117</v>
      </c>
      <c r="V10" s="3">
        <f t="shared" si="1"/>
        <v>31.25</v>
      </c>
      <c r="W10" s="3">
        <f t="shared" si="2"/>
        <v>6.3484813884448501</v>
      </c>
      <c r="X10" s="3">
        <f t="shared" si="3"/>
        <v>14.625</v>
      </c>
      <c r="Y10" s="3">
        <f t="shared" si="4"/>
        <v>20.973481388444849</v>
      </c>
      <c r="Z10" s="3">
        <f t="shared" si="5"/>
        <v>0.20315140443023522</v>
      </c>
      <c r="AA10" s="3">
        <f t="shared" si="6"/>
        <v>0.46800000000000003</v>
      </c>
      <c r="AB10" s="3">
        <f t="shared" si="7"/>
        <v>0.30269087286302832</v>
      </c>
      <c r="AC10" s="3">
        <f t="shared" si="8"/>
        <v>0.67115140443023513</v>
      </c>
      <c r="AD10" s="3">
        <f t="shared" si="9"/>
        <v>10.276518611555151</v>
      </c>
      <c r="AE10" s="3">
        <f t="shared" si="10"/>
        <v>0.32884859556976481</v>
      </c>
      <c r="AF10" s="75" t="str">
        <f t="shared" si="11"/>
        <v>As calculated</v>
      </c>
    </row>
    <row r="11" spans="1:191" ht="26" x14ac:dyDescent="0.2">
      <c r="A11" s="18">
        <v>10</v>
      </c>
      <c r="B11" s="13" t="s">
        <v>350</v>
      </c>
      <c r="C11" s="13" t="s">
        <v>365</v>
      </c>
      <c r="D11" s="10" t="s">
        <v>352</v>
      </c>
      <c r="E11" s="7" t="s">
        <v>22</v>
      </c>
      <c r="F11" s="7" t="s">
        <v>353</v>
      </c>
      <c r="G11" s="40">
        <v>1000</v>
      </c>
      <c r="H11" s="7" t="s">
        <v>24</v>
      </c>
      <c r="I11" s="7" t="s">
        <v>515</v>
      </c>
      <c r="J11" s="9" t="s">
        <v>561</v>
      </c>
      <c r="K11" s="8">
        <v>7.3</v>
      </c>
      <c r="L11" s="8">
        <v>38</v>
      </c>
      <c r="M11" s="8" t="s">
        <v>552</v>
      </c>
      <c r="N11" s="5" t="s">
        <v>355</v>
      </c>
      <c r="O11" s="11" t="s">
        <v>356</v>
      </c>
      <c r="P11" s="6">
        <v>2000</v>
      </c>
      <c r="Q11" s="6">
        <v>0.80600000000000005</v>
      </c>
      <c r="R11" s="6">
        <f t="shared" si="0"/>
        <v>806</v>
      </c>
      <c r="S11" s="41">
        <f t="shared" si="12"/>
        <v>147.248230189541</v>
      </c>
      <c r="T11" s="6">
        <v>0.73099999999999998</v>
      </c>
      <c r="U11" s="6">
        <f t="shared" si="13"/>
        <v>1462</v>
      </c>
      <c r="V11" s="3">
        <f t="shared" si="1"/>
        <v>250</v>
      </c>
      <c r="W11" s="3">
        <f t="shared" si="2"/>
        <v>18.406028773692626</v>
      </c>
      <c r="X11" s="3">
        <f t="shared" si="3"/>
        <v>182.75</v>
      </c>
      <c r="Y11" s="3">
        <f t="shared" si="4"/>
        <v>201.15602877369264</v>
      </c>
      <c r="Z11" s="3">
        <f t="shared" si="5"/>
        <v>7.3624115094770501E-2</v>
      </c>
      <c r="AA11" s="3">
        <f t="shared" si="6"/>
        <v>0.73099999999999998</v>
      </c>
      <c r="AB11" s="3">
        <f t="shared" si="7"/>
        <v>9.1501253459323528E-2</v>
      </c>
      <c r="AC11" s="3">
        <f t="shared" si="8"/>
        <v>0.80462411509477061</v>
      </c>
      <c r="AD11" s="3">
        <f t="shared" si="9"/>
        <v>48.84397122630736</v>
      </c>
      <c r="AE11" s="3">
        <f t="shared" si="10"/>
        <v>0.19537588490522945</v>
      </c>
      <c r="AF11" s="75" t="str">
        <f t="shared" si="11"/>
        <v>As calculated</v>
      </c>
    </row>
    <row r="12" spans="1:191" x14ac:dyDescent="0.2">
      <c r="A12" s="18">
        <v>11</v>
      </c>
      <c r="B12" s="13" t="s">
        <v>350</v>
      </c>
      <c r="C12" s="13" t="s">
        <v>366</v>
      </c>
      <c r="D12" s="10" t="s">
        <v>352</v>
      </c>
      <c r="E12" s="7" t="s">
        <v>22</v>
      </c>
      <c r="F12" s="7" t="s">
        <v>353</v>
      </c>
      <c r="G12" s="40">
        <v>200</v>
      </c>
      <c r="H12" s="7" t="s">
        <v>24</v>
      </c>
      <c r="I12" s="7" t="s">
        <v>515</v>
      </c>
      <c r="J12" s="9" t="s">
        <v>562</v>
      </c>
      <c r="K12" s="8">
        <v>7.3</v>
      </c>
      <c r="L12" s="8">
        <v>38</v>
      </c>
      <c r="M12" s="8" t="s">
        <v>552</v>
      </c>
      <c r="N12" s="5" t="s">
        <v>355</v>
      </c>
      <c r="O12" s="11" t="s">
        <v>356</v>
      </c>
      <c r="P12" s="6">
        <v>1125</v>
      </c>
      <c r="Q12" s="6">
        <v>0.91100000000000003</v>
      </c>
      <c r="R12" s="6">
        <f t="shared" si="0"/>
        <v>182.20000000000002</v>
      </c>
      <c r="S12" s="41">
        <f t="shared" si="12"/>
        <v>33.286138387759763</v>
      </c>
      <c r="T12" s="6">
        <v>0.95</v>
      </c>
      <c r="U12" s="6">
        <f t="shared" si="13"/>
        <v>1068.75</v>
      </c>
      <c r="V12" s="3">
        <f t="shared" si="1"/>
        <v>140.625</v>
      </c>
      <c r="W12" s="3">
        <f t="shared" si="2"/>
        <v>4.1607672984699704</v>
      </c>
      <c r="X12" s="3">
        <f t="shared" si="3"/>
        <v>133.59375</v>
      </c>
      <c r="Y12" s="3">
        <f t="shared" si="4"/>
        <v>137.75451729846998</v>
      </c>
      <c r="Z12" s="3">
        <f t="shared" si="5"/>
        <v>2.9587678566897566E-2</v>
      </c>
      <c r="AA12" s="3">
        <f t="shared" si="6"/>
        <v>0.95</v>
      </c>
      <c r="AB12" s="3">
        <f t="shared" si="7"/>
        <v>3.0204216747788521E-2</v>
      </c>
      <c r="AC12" s="3">
        <f t="shared" si="8"/>
        <v>0.97958767856689766</v>
      </c>
      <c r="AD12" s="3">
        <f t="shared" si="9"/>
        <v>2.8704827015300225</v>
      </c>
      <c r="AE12" s="3">
        <f t="shared" si="10"/>
        <v>2.0412321433102381E-2</v>
      </c>
      <c r="AF12" s="75" t="str">
        <f t="shared" si="11"/>
        <v>As calculated</v>
      </c>
    </row>
    <row r="13" spans="1:191" x14ac:dyDescent="0.2">
      <c r="A13" s="18">
        <v>12</v>
      </c>
      <c r="B13" s="13" t="s">
        <v>350</v>
      </c>
      <c r="C13" s="13" t="s">
        <v>367</v>
      </c>
      <c r="D13" s="10" t="s">
        <v>352</v>
      </c>
      <c r="E13" s="7" t="s">
        <v>22</v>
      </c>
      <c r="F13" s="7" t="s">
        <v>353</v>
      </c>
      <c r="G13" s="40">
        <v>200</v>
      </c>
      <c r="H13" s="7" t="s">
        <v>24</v>
      </c>
      <c r="I13" s="7" t="s">
        <v>515</v>
      </c>
      <c r="J13" s="9" t="s">
        <v>563</v>
      </c>
      <c r="K13" s="8">
        <v>7.3</v>
      </c>
      <c r="L13" s="8">
        <v>38</v>
      </c>
      <c r="M13" s="8" t="s">
        <v>552</v>
      </c>
      <c r="N13" s="5" t="s">
        <v>355</v>
      </c>
      <c r="O13" s="11" t="s">
        <v>356</v>
      </c>
      <c r="P13" s="6">
        <v>1125</v>
      </c>
      <c r="Q13" s="6">
        <v>0.94299999999999995</v>
      </c>
      <c r="R13" s="6">
        <f t="shared" si="0"/>
        <v>188.6</v>
      </c>
      <c r="S13" s="41">
        <f t="shared" si="12"/>
        <v>34.455355103904999</v>
      </c>
      <c r="T13" s="6">
        <v>0.94399999999999995</v>
      </c>
      <c r="U13" s="6">
        <f t="shared" si="13"/>
        <v>1062</v>
      </c>
      <c r="V13" s="3">
        <f t="shared" si="1"/>
        <v>140.625</v>
      </c>
      <c r="W13" s="3">
        <f t="shared" si="2"/>
        <v>4.3069193879881249</v>
      </c>
      <c r="X13" s="3">
        <f t="shared" si="3"/>
        <v>132.75</v>
      </c>
      <c r="Y13" s="3">
        <f t="shared" si="4"/>
        <v>137.05691938798813</v>
      </c>
      <c r="Z13" s="3">
        <f t="shared" si="5"/>
        <v>3.0626982314582222E-2</v>
      </c>
      <c r="AA13" s="3">
        <f t="shared" si="6"/>
        <v>0.94399999999999995</v>
      </c>
      <c r="AB13" s="3">
        <f t="shared" si="7"/>
        <v>3.1424311937114716E-2</v>
      </c>
      <c r="AC13" s="3">
        <f t="shared" si="8"/>
        <v>0.97462698231458222</v>
      </c>
      <c r="AD13" s="3">
        <f t="shared" si="9"/>
        <v>3.5680806120118689</v>
      </c>
      <c r="AE13" s="3">
        <f t="shared" si="10"/>
        <v>2.5373017685417734E-2</v>
      </c>
      <c r="AF13" s="75" t="str">
        <f t="shared" si="11"/>
        <v>As calculated</v>
      </c>
    </row>
    <row r="14" spans="1:191" x14ac:dyDescent="0.2">
      <c r="A14" s="18">
        <v>13</v>
      </c>
      <c r="B14" s="13" t="s">
        <v>350</v>
      </c>
      <c r="C14" s="13" t="s">
        <v>368</v>
      </c>
      <c r="D14" s="10" t="s">
        <v>352</v>
      </c>
      <c r="E14" s="7" t="s">
        <v>22</v>
      </c>
      <c r="F14" s="7" t="s">
        <v>353</v>
      </c>
      <c r="G14" s="40">
        <v>1000</v>
      </c>
      <c r="H14" s="7" t="s">
        <v>24</v>
      </c>
      <c r="I14" s="7" t="s">
        <v>515</v>
      </c>
      <c r="J14" s="9" t="s">
        <v>564</v>
      </c>
      <c r="K14" s="8">
        <v>7.3</v>
      </c>
      <c r="L14" s="8">
        <v>38</v>
      </c>
      <c r="M14" s="8" t="s">
        <v>552</v>
      </c>
      <c r="N14" s="5" t="s">
        <v>355</v>
      </c>
      <c r="O14" s="11" t="s">
        <v>356</v>
      </c>
      <c r="P14" s="6">
        <v>1125</v>
      </c>
      <c r="Q14" s="6">
        <v>0.46700000000000003</v>
      </c>
      <c r="R14" s="6">
        <f t="shared" si="0"/>
        <v>467</v>
      </c>
      <c r="S14" s="41">
        <f t="shared" si="12"/>
        <v>85.316282256222877</v>
      </c>
      <c r="T14" s="6">
        <v>0.442</v>
      </c>
      <c r="U14" s="6">
        <f t="shared" si="13"/>
        <v>497.25</v>
      </c>
      <c r="V14" s="3">
        <f t="shared" si="1"/>
        <v>140.625</v>
      </c>
      <c r="W14" s="3">
        <f t="shared" si="2"/>
        <v>10.66453528202786</v>
      </c>
      <c r="X14" s="3">
        <f t="shared" si="3"/>
        <v>62.15625</v>
      </c>
      <c r="Y14" s="3">
        <f t="shared" si="4"/>
        <v>72.820785282027856</v>
      </c>
      <c r="Z14" s="3">
        <f t="shared" si="5"/>
        <v>7.5836695338864779E-2</v>
      </c>
      <c r="AA14" s="3">
        <f t="shared" si="6"/>
        <v>0.442</v>
      </c>
      <c r="AB14" s="3">
        <f t="shared" si="7"/>
        <v>0.14644905627871418</v>
      </c>
      <c r="AC14" s="3">
        <f t="shared" si="8"/>
        <v>0.51783669533886478</v>
      </c>
      <c r="AD14" s="3">
        <f t="shared" si="9"/>
        <v>67.804214717972144</v>
      </c>
      <c r="AE14" s="3">
        <f t="shared" si="10"/>
        <v>0.48216330466113527</v>
      </c>
      <c r="AF14" s="75" t="str">
        <f t="shared" si="11"/>
        <v>As calculated</v>
      </c>
    </row>
    <row r="15" spans="1:191" ht="26" x14ac:dyDescent="0.2">
      <c r="A15" s="18">
        <v>14</v>
      </c>
      <c r="B15" s="13" t="s">
        <v>350</v>
      </c>
      <c r="C15" s="13" t="s">
        <v>369</v>
      </c>
      <c r="D15" s="10" t="s">
        <v>352</v>
      </c>
      <c r="E15" s="7" t="s">
        <v>22</v>
      </c>
      <c r="F15" s="7" t="s">
        <v>353</v>
      </c>
      <c r="G15" s="40">
        <v>1000</v>
      </c>
      <c r="H15" s="7" t="s">
        <v>24</v>
      </c>
      <c r="I15" s="7" t="s">
        <v>515</v>
      </c>
      <c r="J15" s="9" t="s">
        <v>565</v>
      </c>
      <c r="K15" s="8">
        <v>7.3</v>
      </c>
      <c r="L15" s="8">
        <v>38</v>
      </c>
      <c r="M15" s="8" t="s">
        <v>552</v>
      </c>
      <c r="N15" s="5" t="s">
        <v>355</v>
      </c>
      <c r="O15" s="11" t="s">
        <v>356</v>
      </c>
      <c r="P15" s="6">
        <v>1125</v>
      </c>
      <c r="Q15" s="6">
        <v>0.8</v>
      </c>
      <c r="R15" s="6">
        <f t="shared" si="0"/>
        <v>800</v>
      </c>
      <c r="S15" s="41">
        <f t="shared" si="12"/>
        <v>146.15208951815484</v>
      </c>
      <c r="T15" s="6">
        <v>0.81399999999999995</v>
      </c>
      <c r="U15" s="6">
        <f t="shared" si="13"/>
        <v>915.74999999999989</v>
      </c>
      <c r="V15" s="3">
        <f t="shared" si="1"/>
        <v>140.625</v>
      </c>
      <c r="W15" s="3">
        <f t="shared" si="2"/>
        <v>18.269011189769355</v>
      </c>
      <c r="X15" s="3">
        <f t="shared" si="3"/>
        <v>114.46874999999999</v>
      </c>
      <c r="Y15" s="3">
        <f t="shared" si="4"/>
        <v>132.73776118976934</v>
      </c>
      <c r="Z15" s="3">
        <f t="shared" si="5"/>
        <v>0.12991296846058209</v>
      </c>
      <c r="AA15" s="3">
        <f t="shared" si="6"/>
        <v>0.81399999999999995</v>
      </c>
      <c r="AB15" s="3">
        <f t="shared" si="7"/>
        <v>0.13763235891594519</v>
      </c>
      <c r="AC15" s="3">
        <f t="shared" si="8"/>
        <v>0.94391296846058204</v>
      </c>
      <c r="AD15" s="3">
        <f t="shared" si="9"/>
        <v>7.8872388102306559</v>
      </c>
      <c r="AE15" s="3">
        <f t="shared" si="10"/>
        <v>5.6087031539417999E-2</v>
      </c>
      <c r="AF15" s="75" t="str">
        <f t="shared" si="11"/>
        <v>As calculated</v>
      </c>
    </row>
    <row r="16" spans="1:191" ht="26" x14ac:dyDescent="0.2">
      <c r="A16" s="18">
        <v>15</v>
      </c>
      <c r="B16" s="13" t="s">
        <v>350</v>
      </c>
      <c r="C16" s="13" t="s">
        <v>370</v>
      </c>
      <c r="D16" s="10" t="s">
        <v>352</v>
      </c>
      <c r="E16" s="7" t="s">
        <v>22</v>
      </c>
      <c r="F16" s="7" t="s">
        <v>353</v>
      </c>
      <c r="G16" s="40">
        <v>600</v>
      </c>
      <c r="H16" s="7" t="s">
        <v>24</v>
      </c>
      <c r="I16" s="7" t="s">
        <v>515</v>
      </c>
      <c r="J16" s="9" t="s">
        <v>566</v>
      </c>
      <c r="K16" s="8">
        <v>7.3</v>
      </c>
      <c r="L16" s="8">
        <v>38</v>
      </c>
      <c r="M16" s="8" t="s">
        <v>552</v>
      </c>
      <c r="N16" s="5" t="s">
        <v>355</v>
      </c>
      <c r="O16" s="11" t="s">
        <v>356</v>
      </c>
      <c r="P16" s="6">
        <v>1125</v>
      </c>
      <c r="Q16" s="6">
        <v>0.94599999999999995</v>
      </c>
      <c r="R16" s="6">
        <f t="shared" si="0"/>
        <v>567.6</v>
      </c>
      <c r="S16" s="41">
        <f t="shared" si="12"/>
        <v>103.69490751313086</v>
      </c>
      <c r="T16" s="6">
        <v>0.88800000000000001</v>
      </c>
      <c r="U16" s="6">
        <f t="shared" si="13"/>
        <v>999</v>
      </c>
      <c r="V16" s="3">
        <f t="shared" si="1"/>
        <v>140.625</v>
      </c>
      <c r="W16" s="3">
        <f t="shared" si="2"/>
        <v>12.961863439141357</v>
      </c>
      <c r="X16" s="3">
        <f t="shared" si="3"/>
        <v>124.875</v>
      </c>
      <c r="Y16" s="3">
        <f t="shared" si="4"/>
        <v>137.83686343914135</v>
      </c>
      <c r="Z16" s="3">
        <f t="shared" si="5"/>
        <v>9.217325112278299E-2</v>
      </c>
      <c r="AA16" s="3">
        <f t="shared" si="6"/>
        <v>0.88800000000000001</v>
      </c>
      <c r="AB16" s="3">
        <f t="shared" si="7"/>
        <v>9.4037713248345686E-2</v>
      </c>
      <c r="AC16" s="3">
        <f t="shared" si="8"/>
        <v>0.98017325112278297</v>
      </c>
      <c r="AD16" s="3">
        <f t="shared" si="9"/>
        <v>2.7881365608586464</v>
      </c>
      <c r="AE16" s="3">
        <f t="shared" si="10"/>
        <v>1.982674887721704E-2</v>
      </c>
      <c r="AF16" s="75" t="str">
        <f t="shared" si="11"/>
        <v>As calculated</v>
      </c>
    </row>
    <row r="17" spans="1:32" ht="26" x14ac:dyDescent="0.2">
      <c r="A17" s="18">
        <v>16</v>
      </c>
      <c r="B17" s="13" t="s">
        <v>350</v>
      </c>
      <c r="C17" s="13" t="s">
        <v>371</v>
      </c>
      <c r="D17" s="10" t="s">
        <v>352</v>
      </c>
      <c r="E17" s="7" t="s">
        <v>22</v>
      </c>
      <c r="F17" s="7" t="s">
        <v>353</v>
      </c>
      <c r="G17" s="40">
        <v>600</v>
      </c>
      <c r="H17" s="7" t="s">
        <v>24</v>
      </c>
      <c r="I17" s="7" t="s">
        <v>515</v>
      </c>
      <c r="J17" s="9" t="s">
        <v>566</v>
      </c>
      <c r="K17" s="8">
        <v>7.3</v>
      </c>
      <c r="L17" s="8">
        <v>38</v>
      </c>
      <c r="M17" s="8" t="s">
        <v>552</v>
      </c>
      <c r="N17" s="5" t="s">
        <v>355</v>
      </c>
      <c r="O17" s="11" t="s">
        <v>356</v>
      </c>
      <c r="P17" s="6">
        <v>1125</v>
      </c>
      <c r="Q17" s="6">
        <v>0.94799999999999995</v>
      </c>
      <c r="R17" s="6">
        <f t="shared" si="0"/>
        <v>568.79999999999995</v>
      </c>
      <c r="S17" s="41">
        <f t="shared" si="12"/>
        <v>103.91413564740807</v>
      </c>
      <c r="T17" s="6">
        <v>0.89200000000000002</v>
      </c>
      <c r="U17" s="6">
        <f t="shared" si="13"/>
        <v>1003.5</v>
      </c>
      <c r="V17" s="3">
        <f t="shared" si="1"/>
        <v>140.625</v>
      </c>
      <c r="W17" s="3">
        <f t="shared" si="2"/>
        <v>12.989266955926009</v>
      </c>
      <c r="X17" s="3">
        <f t="shared" si="3"/>
        <v>125.4375</v>
      </c>
      <c r="Y17" s="3">
        <f t="shared" si="4"/>
        <v>138.42676695592601</v>
      </c>
      <c r="Z17" s="3">
        <f t="shared" si="5"/>
        <v>9.2368120575473847E-2</v>
      </c>
      <c r="AA17" s="3">
        <f t="shared" si="6"/>
        <v>0.89200000000000002</v>
      </c>
      <c r="AB17" s="3">
        <f t="shared" si="7"/>
        <v>9.3834936996409726E-2</v>
      </c>
      <c r="AC17" s="3">
        <f t="shared" si="8"/>
        <v>0.98436812057547385</v>
      </c>
      <c r="AD17" s="3">
        <f t="shared" si="9"/>
        <v>2.1982330440739872</v>
      </c>
      <c r="AE17" s="3">
        <f t="shared" si="10"/>
        <v>1.5631879424526131E-2</v>
      </c>
      <c r="AF17" s="75" t="str">
        <f t="shared" si="11"/>
        <v>As calculated</v>
      </c>
    </row>
    <row r="18" spans="1:32" ht="26" x14ac:dyDescent="0.2">
      <c r="A18" s="18">
        <v>17</v>
      </c>
      <c r="B18" s="13" t="s">
        <v>350</v>
      </c>
      <c r="C18" s="13" t="s">
        <v>372</v>
      </c>
      <c r="D18" s="10" t="s">
        <v>352</v>
      </c>
      <c r="E18" s="7" t="s">
        <v>22</v>
      </c>
      <c r="F18" s="7" t="s">
        <v>353</v>
      </c>
      <c r="G18" s="40">
        <v>600</v>
      </c>
      <c r="H18" s="7" t="s">
        <v>24</v>
      </c>
      <c r="I18" s="7" t="s">
        <v>515</v>
      </c>
      <c r="J18" s="9" t="s">
        <v>566</v>
      </c>
      <c r="K18" s="8">
        <v>7.3</v>
      </c>
      <c r="L18" s="8">
        <v>38</v>
      </c>
      <c r="M18" s="8" t="s">
        <v>552</v>
      </c>
      <c r="N18" s="5" t="s">
        <v>355</v>
      </c>
      <c r="O18" s="11" t="s">
        <v>356</v>
      </c>
      <c r="P18" s="6">
        <v>1125</v>
      </c>
      <c r="Q18" s="6">
        <v>0.94199999999999995</v>
      </c>
      <c r="R18" s="6">
        <f t="shared" si="0"/>
        <v>565.19999999999993</v>
      </c>
      <c r="S18" s="41">
        <f t="shared" si="12"/>
        <v>103.25645124457638</v>
      </c>
      <c r="T18" s="6">
        <v>0.88400000000000001</v>
      </c>
      <c r="U18" s="6">
        <f t="shared" si="13"/>
        <v>994.5</v>
      </c>
      <c r="V18" s="3">
        <f t="shared" si="1"/>
        <v>140.625</v>
      </c>
      <c r="W18" s="3">
        <f t="shared" si="2"/>
        <v>12.907056405572048</v>
      </c>
      <c r="X18" s="3">
        <f t="shared" si="3"/>
        <v>124.3125</v>
      </c>
      <c r="Y18" s="3">
        <f t="shared" si="4"/>
        <v>137.21955640557204</v>
      </c>
      <c r="Z18" s="3">
        <f t="shared" si="5"/>
        <v>9.1783512217401234E-2</v>
      </c>
      <c r="AA18" s="3">
        <f t="shared" si="6"/>
        <v>0.88400000000000001</v>
      </c>
      <c r="AB18" s="3">
        <f t="shared" si="7"/>
        <v>9.4061347694663844E-2</v>
      </c>
      <c r="AC18" s="3">
        <f t="shared" si="8"/>
        <v>0.97578351221740112</v>
      </c>
      <c r="AD18" s="3">
        <f t="shared" si="9"/>
        <v>3.4054435944279504</v>
      </c>
      <c r="AE18" s="3">
        <f t="shared" si="10"/>
        <v>2.4216487782598758E-2</v>
      </c>
      <c r="AF18" s="75" t="str">
        <f t="shared" si="11"/>
        <v>As calculated</v>
      </c>
    </row>
    <row r="19" spans="1:32" x14ac:dyDescent="0.2">
      <c r="A19" s="18">
        <v>18</v>
      </c>
      <c r="B19" s="13" t="s">
        <v>350</v>
      </c>
      <c r="C19" s="13" t="s">
        <v>373</v>
      </c>
      <c r="D19" s="10" t="s">
        <v>352</v>
      </c>
      <c r="E19" s="7" t="s">
        <v>22</v>
      </c>
      <c r="F19" s="7" t="s">
        <v>353</v>
      </c>
      <c r="G19" s="40">
        <v>500</v>
      </c>
      <c r="H19" s="7" t="s">
        <v>24</v>
      </c>
      <c r="I19" s="7" t="s">
        <v>515</v>
      </c>
      <c r="J19" s="9" t="s">
        <v>567</v>
      </c>
      <c r="K19" s="8">
        <v>7.3</v>
      </c>
      <c r="L19" s="8">
        <v>38</v>
      </c>
      <c r="M19" s="8" t="s">
        <v>552</v>
      </c>
      <c r="N19" s="5" t="s">
        <v>355</v>
      </c>
      <c r="O19" s="11" t="s">
        <v>356</v>
      </c>
      <c r="P19" s="6">
        <v>1000</v>
      </c>
      <c r="Q19" s="6">
        <v>0.80200000000000005</v>
      </c>
      <c r="R19" s="6">
        <f t="shared" si="0"/>
        <v>401</v>
      </c>
      <c r="S19" s="41">
        <f t="shared" si="12"/>
        <v>73.258734870975104</v>
      </c>
      <c r="T19" s="6">
        <v>0.82899999999999996</v>
      </c>
      <c r="U19" s="6">
        <f t="shared" si="13"/>
        <v>829</v>
      </c>
      <c r="V19" s="3">
        <f t="shared" si="1"/>
        <v>125</v>
      </c>
      <c r="W19" s="3">
        <f t="shared" si="2"/>
        <v>9.157341858871888</v>
      </c>
      <c r="X19" s="3">
        <f t="shared" si="3"/>
        <v>103.625</v>
      </c>
      <c r="Y19" s="3">
        <f t="shared" si="4"/>
        <v>112.78234185887189</v>
      </c>
      <c r="Z19" s="3">
        <f t="shared" si="5"/>
        <v>7.3258734870975104E-2</v>
      </c>
      <c r="AA19" s="3">
        <f t="shared" si="6"/>
        <v>0.82899999999999996</v>
      </c>
      <c r="AB19" s="3">
        <f t="shared" si="7"/>
        <v>8.119481922383523E-2</v>
      </c>
      <c r="AC19" s="3">
        <f t="shared" si="8"/>
        <v>0.90225873487097508</v>
      </c>
      <c r="AD19" s="3">
        <f t="shared" si="9"/>
        <v>12.217658141128112</v>
      </c>
      <c r="AE19" s="3">
        <f t="shared" si="10"/>
        <v>9.7741265129024896E-2</v>
      </c>
      <c r="AF19" s="75" t="str">
        <f t="shared" si="11"/>
        <v>As calculated</v>
      </c>
    </row>
    <row r="20" spans="1:32" x14ac:dyDescent="0.2">
      <c r="A20" s="18">
        <v>19</v>
      </c>
      <c r="B20" s="13" t="s">
        <v>350</v>
      </c>
      <c r="C20" s="13" t="s">
        <v>374</v>
      </c>
      <c r="D20" s="10" t="s">
        <v>352</v>
      </c>
      <c r="E20" s="7" t="s">
        <v>22</v>
      </c>
      <c r="F20" s="7" t="s">
        <v>353</v>
      </c>
      <c r="G20" s="40">
        <v>900</v>
      </c>
      <c r="H20" s="7" t="s">
        <v>24</v>
      </c>
      <c r="I20" s="7" t="s">
        <v>515</v>
      </c>
      <c r="J20" s="9" t="s">
        <v>568</v>
      </c>
      <c r="K20" s="8">
        <v>7.3</v>
      </c>
      <c r="L20" s="8">
        <v>38</v>
      </c>
      <c r="M20" s="8" t="s">
        <v>552</v>
      </c>
      <c r="N20" s="5" t="s">
        <v>355</v>
      </c>
      <c r="O20" s="11" t="s">
        <v>356</v>
      </c>
      <c r="P20" s="6">
        <v>1500</v>
      </c>
      <c r="Q20" s="6">
        <v>0.93300000000000005</v>
      </c>
      <c r="R20" s="6">
        <f t="shared" si="0"/>
        <v>839.7</v>
      </c>
      <c r="S20" s="41">
        <f t="shared" si="12"/>
        <v>153.40488696049329</v>
      </c>
      <c r="T20" s="6">
        <v>0.91</v>
      </c>
      <c r="U20" s="6">
        <f t="shared" si="13"/>
        <v>1365</v>
      </c>
      <c r="V20" s="3">
        <f t="shared" si="1"/>
        <v>187.5</v>
      </c>
      <c r="W20" s="3">
        <f t="shared" si="2"/>
        <v>19.175610870061661</v>
      </c>
      <c r="X20" s="3">
        <f t="shared" si="3"/>
        <v>170.625</v>
      </c>
      <c r="Y20" s="3">
        <f t="shared" si="4"/>
        <v>189.80061087006166</v>
      </c>
      <c r="Z20" s="3">
        <f t="shared" si="5"/>
        <v>0.10226992464032886</v>
      </c>
      <c r="AA20" s="3">
        <f t="shared" si="6"/>
        <v>0.91</v>
      </c>
      <c r="AB20" s="3">
        <f t="shared" si="7"/>
        <v>0.10103029058841843</v>
      </c>
      <c r="AC20" s="3">
        <f t="shared" si="8"/>
        <v>1.0122699246403288</v>
      </c>
      <c r="AD20" s="3">
        <f t="shared" si="9"/>
        <v>-2.3006108700616608</v>
      </c>
      <c r="AE20" s="3">
        <f t="shared" si="10"/>
        <v>-1.2269924640328857E-2</v>
      </c>
      <c r="AF20" s="75" t="str">
        <f t="shared" si="11"/>
        <v>Excluded</v>
      </c>
    </row>
    <row r="21" spans="1:32" x14ac:dyDescent="0.2">
      <c r="A21" s="18">
        <v>20</v>
      </c>
      <c r="B21" s="13" t="s">
        <v>350</v>
      </c>
      <c r="C21" s="13" t="s">
        <v>375</v>
      </c>
      <c r="D21" s="10" t="s">
        <v>352</v>
      </c>
      <c r="E21" s="7" t="s">
        <v>22</v>
      </c>
      <c r="F21" s="7" t="s">
        <v>353</v>
      </c>
      <c r="G21" s="40">
        <v>300</v>
      </c>
      <c r="H21" s="7" t="s">
        <v>24</v>
      </c>
      <c r="I21" s="7" t="s">
        <v>515</v>
      </c>
      <c r="J21" s="9" t="s">
        <v>569</v>
      </c>
      <c r="K21" s="8">
        <v>7.3</v>
      </c>
      <c r="L21" s="8">
        <v>38</v>
      </c>
      <c r="M21" s="8" t="s">
        <v>552</v>
      </c>
      <c r="N21" s="5" t="s">
        <v>355</v>
      </c>
      <c r="O21" s="11" t="s">
        <v>356</v>
      </c>
      <c r="P21" s="6">
        <v>500</v>
      </c>
      <c r="Q21" s="6">
        <v>0.79500000000000004</v>
      </c>
      <c r="R21" s="6">
        <f t="shared" si="0"/>
        <v>238.5</v>
      </c>
      <c r="S21" s="41">
        <f t="shared" si="12"/>
        <v>43.571591687599913</v>
      </c>
      <c r="T21" s="6">
        <v>0.79500000000000004</v>
      </c>
      <c r="U21" s="6">
        <f t="shared" si="13"/>
        <v>397.5</v>
      </c>
      <c r="V21" s="3">
        <f t="shared" si="1"/>
        <v>62.5</v>
      </c>
      <c r="W21" s="3">
        <f t="shared" si="2"/>
        <v>5.4464489609499891</v>
      </c>
      <c r="X21" s="3">
        <f t="shared" si="3"/>
        <v>49.6875</v>
      </c>
      <c r="Y21" s="3">
        <f t="shared" si="4"/>
        <v>55.133948960949986</v>
      </c>
      <c r="Z21" s="3">
        <f t="shared" si="5"/>
        <v>8.7143183375199829E-2</v>
      </c>
      <c r="AA21" s="3">
        <f t="shared" si="6"/>
        <v>0.79500000000000004</v>
      </c>
      <c r="AB21" s="3">
        <f t="shared" si="7"/>
        <v>9.8785758386499292E-2</v>
      </c>
      <c r="AC21" s="3">
        <f t="shared" si="8"/>
        <v>0.88214318337519981</v>
      </c>
      <c r="AD21" s="3">
        <f t="shared" si="9"/>
        <v>7.3660510390500136</v>
      </c>
      <c r="AE21" s="3">
        <f t="shared" si="10"/>
        <v>0.11785681662480021</v>
      </c>
      <c r="AF21" s="75" t="str">
        <f t="shared" si="11"/>
        <v>As calculated</v>
      </c>
    </row>
    <row r="22" spans="1:32" ht="17" thickBot="1" x14ac:dyDescent="0.25"/>
    <row r="23" spans="1:32" x14ac:dyDescent="0.2">
      <c r="B23" s="99" t="s">
        <v>342</v>
      </c>
      <c r="C23" s="100"/>
      <c r="D23" s="100"/>
      <c r="E23" s="101"/>
      <c r="F23" s="28"/>
      <c r="G23" s="28"/>
    </row>
    <row r="24" spans="1:32" x14ac:dyDescent="0.2">
      <c r="B24" s="102"/>
      <c r="C24" s="103"/>
      <c r="D24" s="103"/>
      <c r="E24" s="104"/>
      <c r="F24" s="28"/>
      <c r="G24" s="28"/>
    </row>
    <row r="25" spans="1:32" x14ac:dyDescent="0.2">
      <c r="B25" s="102"/>
      <c r="C25" s="103"/>
      <c r="D25" s="103"/>
      <c r="E25" s="104"/>
      <c r="F25" s="28"/>
      <c r="G25" s="28"/>
    </row>
    <row r="26" spans="1:32" ht="17" thickBot="1" x14ac:dyDescent="0.25">
      <c r="B26" s="105"/>
      <c r="C26" s="106"/>
      <c r="D26" s="106"/>
      <c r="E26" s="107"/>
      <c r="F26" s="28"/>
      <c r="G26" s="28"/>
    </row>
    <row r="27" spans="1:32" ht="17" thickBot="1" x14ac:dyDescent="0.25"/>
    <row r="28" spans="1:32" x14ac:dyDescent="0.2">
      <c r="B28" s="126" t="s">
        <v>488</v>
      </c>
      <c r="C28" s="127"/>
      <c r="D28" s="127"/>
      <c r="E28" s="127"/>
      <c r="F28" s="127"/>
      <c r="G28" s="128"/>
    </row>
    <row r="29" spans="1:32" x14ac:dyDescent="0.2">
      <c r="B29" s="129"/>
      <c r="C29" s="130"/>
      <c r="D29" s="130"/>
      <c r="E29" s="130"/>
      <c r="F29" s="130"/>
      <c r="G29" s="131"/>
    </row>
    <row r="30" spans="1:32" x14ac:dyDescent="0.2">
      <c r="B30" s="129"/>
      <c r="C30" s="130"/>
      <c r="D30" s="130"/>
      <c r="E30" s="130"/>
      <c r="F30" s="130"/>
      <c r="G30" s="131"/>
    </row>
    <row r="31" spans="1:32" x14ac:dyDescent="0.2">
      <c r="B31" s="129"/>
      <c r="C31" s="130"/>
      <c r="D31" s="130"/>
      <c r="E31" s="130"/>
      <c r="F31" s="130"/>
      <c r="G31" s="131"/>
    </row>
    <row r="32" spans="1:32" x14ac:dyDescent="0.2">
      <c r="B32" s="129"/>
      <c r="C32" s="130"/>
      <c r="D32" s="130"/>
      <c r="E32" s="130"/>
      <c r="F32" s="130"/>
      <c r="G32" s="131"/>
    </row>
    <row r="33" spans="2:7" x14ac:dyDescent="0.2">
      <c r="B33" s="129"/>
      <c r="C33" s="130"/>
      <c r="D33" s="130"/>
      <c r="E33" s="130"/>
      <c r="F33" s="130"/>
      <c r="G33" s="131"/>
    </row>
    <row r="34" spans="2:7" x14ac:dyDescent="0.2">
      <c r="B34" s="129"/>
      <c r="C34" s="130"/>
      <c r="D34" s="130"/>
      <c r="E34" s="130"/>
      <c r="F34" s="130"/>
      <c r="G34" s="131"/>
    </row>
    <row r="35" spans="2:7" ht="17" thickBot="1" x14ac:dyDescent="0.25">
      <c r="B35" s="132"/>
      <c r="C35" s="133"/>
      <c r="D35" s="133"/>
      <c r="E35" s="133"/>
      <c r="F35" s="133"/>
      <c r="G35" s="134"/>
    </row>
  </sheetData>
  <mergeCells count="2">
    <mergeCell ref="B23:E26"/>
    <mergeCell ref="B28:G35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BC0B-4D2A-AB43-9DD8-CC2E81C7793D}">
  <dimension ref="A1:GJ28"/>
  <sheetViews>
    <sheetView topLeftCell="AA1" zoomScale="190" workbookViewId="0">
      <selection activeCell="AG11" sqref="AG11"/>
    </sheetView>
  </sheetViews>
  <sheetFormatPr baseColWidth="10" defaultRowHeight="16" x14ac:dyDescent="0.2"/>
  <cols>
    <col min="1" max="1" width="4.1640625" style="1" customWidth="1"/>
    <col min="2" max="2" width="14.5" customWidth="1"/>
    <col min="3" max="3" width="13.1640625" customWidth="1"/>
    <col min="4" max="4" width="13.6640625" customWidth="1"/>
    <col min="5" max="5" width="13" customWidth="1"/>
    <col min="6" max="6" width="6.6640625" customWidth="1"/>
    <col min="7" max="8" width="16.83203125" customWidth="1"/>
    <col min="9" max="9" width="13.83203125" customWidth="1"/>
    <col min="10" max="10" width="12.83203125" customWidth="1"/>
    <col min="11" max="11" width="4.5" customWidth="1"/>
    <col min="12" max="12" width="15.33203125" customWidth="1"/>
    <col min="13" max="13" width="12.1640625" customWidth="1"/>
    <col min="14" max="14" width="26.6640625" customWidth="1"/>
    <col min="15" max="15" width="13.6640625" customWidth="1"/>
    <col min="17" max="17" width="13" customWidth="1"/>
    <col min="20" max="20" width="12" customWidth="1"/>
    <col min="21" max="21" width="12.6640625" customWidth="1"/>
    <col min="25" max="26" width="13" customWidth="1"/>
  </cols>
  <sheetData>
    <row r="1" spans="1:192" s="2" customFormat="1" ht="52" x14ac:dyDescent="0.2">
      <c r="A1" s="18" t="s">
        <v>77</v>
      </c>
      <c r="B1" s="17" t="s">
        <v>38</v>
      </c>
      <c r="C1" s="17" t="s">
        <v>0</v>
      </c>
      <c r="D1" s="12" t="s">
        <v>1</v>
      </c>
      <c r="E1" s="12" t="s">
        <v>3</v>
      </c>
      <c r="F1" s="12" t="s">
        <v>376</v>
      </c>
      <c r="G1" s="12" t="s">
        <v>4</v>
      </c>
      <c r="H1" s="12" t="s">
        <v>487</v>
      </c>
      <c r="I1" s="12" t="s">
        <v>5</v>
      </c>
      <c r="J1" s="12" t="s">
        <v>6</v>
      </c>
      <c r="K1" s="12" t="s">
        <v>7</v>
      </c>
      <c r="L1" s="12" t="s">
        <v>247</v>
      </c>
      <c r="M1" s="14" t="s">
        <v>49</v>
      </c>
      <c r="N1" s="14" t="s">
        <v>2</v>
      </c>
      <c r="O1" s="15" t="s">
        <v>377</v>
      </c>
      <c r="P1" s="15" t="s">
        <v>378</v>
      </c>
      <c r="Q1" s="15" t="s">
        <v>379</v>
      </c>
      <c r="R1" s="15" t="s">
        <v>380</v>
      </c>
      <c r="S1" s="15" t="s">
        <v>381</v>
      </c>
      <c r="T1" s="15" t="s">
        <v>382</v>
      </c>
      <c r="U1" s="15" t="s">
        <v>383</v>
      </c>
      <c r="V1" s="15" t="s">
        <v>384</v>
      </c>
      <c r="W1" s="16" t="s">
        <v>385</v>
      </c>
      <c r="X1" s="16" t="s">
        <v>386</v>
      </c>
      <c r="Y1" s="16" t="s">
        <v>387</v>
      </c>
      <c r="Z1" s="16" t="s">
        <v>388</v>
      </c>
      <c r="AA1" s="16" t="s">
        <v>17</v>
      </c>
      <c r="AB1" s="16" t="s">
        <v>18</v>
      </c>
      <c r="AC1" s="16" t="s">
        <v>19</v>
      </c>
      <c r="AD1" s="16" t="s">
        <v>20</v>
      </c>
      <c r="AE1" s="16" t="s">
        <v>58</v>
      </c>
      <c r="AF1" s="16" t="s">
        <v>21</v>
      </c>
      <c r="AG1" s="74" t="s">
        <v>486</v>
      </c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</row>
    <row r="2" spans="1:192" x14ac:dyDescent="0.2">
      <c r="A2" s="18">
        <v>1</v>
      </c>
      <c r="B2" s="13" t="s">
        <v>389</v>
      </c>
      <c r="C2" s="13" t="s">
        <v>570</v>
      </c>
      <c r="D2" s="10" t="s">
        <v>391</v>
      </c>
      <c r="E2" s="7" t="s">
        <v>157</v>
      </c>
      <c r="F2" s="40">
        <v>50</v>
      </c>
      <c r="G2" s="42" t="s">
        <v>392</v>
      </c>
      <c r="H2" s="42" t="s">
        <v>515</v>
      </c>
      <c r="I2" s="8" t="s">
        <v>393</v>
      </c>
      <c r="J2" s="8" t="s">
        <v>571</v>
      </c>
      <c r="K2" s="8">
        <v>30</v>
      </c>
      <c r="L2" s="8">
        <v>1</v>
      </c>
      <c r="M2" s="5" t="s">
        <v>394</v>
      </c>
      <c r="N2" s="11" t="s">
        <v>395</v>
      </c>
      <c r="O2" s="6">
        <v>2.0550000000000002</v>
      </c>
      <c r="P2" s="6">
        <f>O2*1000</f>
        <v>2055</v>
      </c>
      <c r="Q2" s="20">
        <f>0.0375*1000</f>
        <v>37.5</v>
      </c>
      <c r="R2" s="6">
        <v>2.8570000000000002</v>
      </c>
      <c r="S2" s="20">
        <f>Q2*R2</f>
        <v>107.1375</v>
      </c>
      <c r="T2" s="6">
        <v>1.7524999999999999</v>
      </c>
      <c r="U2" s="6">
        <v>0.23</v>
      </c>
      <c r="V2" s="20">
        <f>T2*U2*64000/22.4</f>
        <v>1151.6428571428571</v>
      </c>
      <c r="W2" s="3">
        <f>P2/8</f>
        <v>256.875</v>
      </c>
      <c r="X2" s="3">
        <f>S2/8</f>
        <v>13.3921875</v>
      </c>
      <c r="Y2" s="3">
        <f>V2/8</f>
        <v>143.95535714285714</v>
      </c>
      <c r="Z2" s="3">
        <f>X2+Y2</f>
        <v>157.34754464285714</v>
      </c>
      <c r="AA2" s="3">
        <f>X2/W2</f>
        <v>5.2135036496350366E-2</v>
      </c>
      <c r="AB2" s="3">
        <f>Y2/W2</f>
        <v>0.56041014946124434</v>
      </c>
      <c r="AC2" s="3">
        <f>X2/Z2</f>
        <v>8.5112147955007475E-2</v>
      </c>
      <c r="AD2" s="3">
        <f>Z2/W2</f>
        <v>0.61254518595759477</v>
      </c>
      <c r="AE2" s="3">
        <f>W2-X2-Y2</f>
        <v>99.527455357142856</v>
      </c>
      <c r="AF2" s="3">
        <f>AE2/W2</f>
        <v>0.38745481404240528</v>
      </c>
      <c r="AG2" s="75" t="str">
        <f>IF(H2="","",IF(AD2="NC","NC",IF(OR(AD2&lt;0,AD2&gt;1),"Excluded",IF(OR(H2="Total COD",H2="Mixed"),"Lower bound",IF(OR(H2="Defined substrate",H2="Biodegradable COD"),"As calculated","CHECK")))))</f>
        <v>As calculated</v>
      </c>
    </row>
    <row r="3" spans="1:192" x14ac:dyDescent="0.2">
      <c r="A3" s="18">
        <v>2</v>
      </c>
      <c r="B3" s="13" t="s">
        <v>389</v>
      </c>
      <c r="C3" s="13" t="s">
        <v>396</v>
      </c>
      <c r="D3" s="10" t="s">
        <v>391</v>
      </c>
      <c r="E3" s="7" t="s">
        <v>157</v>
      </c>
      <c r="F3" s="40">
        <v>200</v>
      </c>
      <c r="G3" s="42" t="s">
        <v>392</v>
      </c>
      <c r="H3" s="42" t="s">
        <v>515</v>
      </c>
      <c r="I3" s="8" t="s">
        <v>397</v>
      </c>
      <c r="J3" s="8" t="s">
        <v>571</v>
      </c>
      <c r="K3" s="8">
        <v>30</v>
      </c>
      <c r="L3" s="8">
        <v>1</v>
      </c>
      <c r="M3" s="5" t="s">
        <v>394</v>
      </c>
      <c r="N3" s="11" t="s">
        <v>398</v>
      </c>
      <c r="O3" s="6">
        <v>2.0972</v>
      </c>
      <c r="P3" s="6">
        <f t="shared" ref="P3:P4" si="0">O3*1000</f>
        <v>2097.1999999999998</v>
      </c>
      <c r="Q3" s="20">
        <f>0.1115*1000</f>
        <v>111.5</v>
      </c>
      <c r="R3" s="6">
        <v>2.8570000000000002</v>
      </c>
      <c r="S3" s="20">
        <f t="shared" ref="S3:S14" si="1">Q3*R3</f>
        <v>318.55549999999999</v>
      </c>
      <c r="T3" s="6">
        <v>1.5673999999999999</v>
      </c>
      <c r="U3" s="6">
        <v>0.18</v>
      </c>
      <c r="V3" s="20">
        <f t="shared" ref="V3" si="2">T3*U3*64000/22.4</f>
        <v>806.09142857142865</v>
      </c>
      <c r="W3" s="3">
        <f t="shared" ref="W3:W14" si="3">P3/8</f>
        <v>262.14999999999998</v>
      </c>
      <c r="X3" s="3">
        <f t="shared" ref="X3:X14" si="4">S3/8</f>
        <v>39.819437499999999</v>
      </c>
      <c r="Y3" s="3">
        <f t="shared" ref="Y3:Y14" si="5">V3/8</f>
        <v>100.76142857142858</v>
      </c>
      <c r="Z3" s="3">
        <f t="shared" ref="Z3:Z14" si="6">X3+Y3</f>
        <v>140.58086607142857</v>
      </c>
      <c r="AA3" s="3">
        <f t="shared" ref="AA3:AA14" si="7">X3/W3</f>
        <v>0.15189562273507534</v>
      </c>
      <c r="AB3" s="3">
        <f t="shared" ref="AB3:AB14" si="8">Y3/W3</f>
        <v>0.38436554862265343</v>
      </c>
      <c r="AC3" s="3">
        <f t="shared" ref="AC3:AC14" si="9">X3/Z3</f>
        <v>0.28324933977692174</v>
      </c>
      <c r="AD3" s="3">
        <f t="shared" ref="AD3:AD14" si="10">Z3/W3</f>
        <v>0.53626117135772877</v>
      </c>
      <c r="AE3" s="3">
        <f t="shared" ref="AE3:AE14" si="11">W3-X3-Y3</f>
        <v>121.5691339285714</v>
      </c>
      <c r="AF3" s="3">
        <f t="shared" ref="AF3:AF14" si="12">AE3/W3</f>
        <v>0.46373882864227128</v>
      </c>
      <c r="AG3" s="75" t="str">
        <f t="shared" ref="AG3:AG14" si="13">IF(H3="","",IF(AD3="NC","NC",IF(OR(AD3&lt;0,AD3&gt;1),"Excluded",IF(OR(H3="Total COD",H3="Mixed"),"Lower bound",IF(OR(H3="Defined substrate",H3="Biodegradable COD"),"As calculated","CHECK")))))</f>
        <v>As calculated</v>
      </c>
    </row>
    <row r="4" spans="1:192" x14ac:dyDescent="0.2">
      <c r="A4" s="18">
        <v>3</v>
      </c>
      <c r="B4" s="13" t="s">
        <v>389</v>
      </c>
      <c r="C4" s="13" t="s">
        <v>399</v>
      </c>
      <c r="D4" s="10" t="s">
        <v>391</v>
      </c>
      <c r="E4" s="7" t="s">
        <v>157</v>
      </c>
      <c r="F4" s="40">
        <v>400</v>
      </c>
      <c r="G4" s="42" t="s">
        <v>392</v>
      </c>
      <c r="H4" s="42" t="s">
        <v>515</v>
      </c>
      <c r="I4" s="8" t="s">
        <v>400</v>
      </c>
      <c r="J4" s="8" t="s">
        <v>571</v>
      </c>
      <c r="K4" s="8">
        <v>30</v>
      </c>
      <c r="L4" s="8">
        <v>1</v>
      </c>
      <c r="M4" s="5" t="s">
        <v>394</v>
      </c>
      <c r="N4" s="11" t="s">
        <v>401</v>
      </c>
      <c r="O4" s="6">
        <v>2.1415999999999999</v>
      </c>
      <c r="P4" s="6">
        <f t="shared" si="0"/>
        <v>2141.6</v>
      </c>
      <c r="Q4" s="20">
        <f>0.2398*1000</f>
        <v>239.8</v>
      </c>
      <c r="R4" s="6">
        <v>2.8570000000000002</v>
      </c>
      <c r="S4" s="20">
        <f t="shared" si="1"/>
        <v>685.10860000000014</v>
      </c>
      <c r="T4" s="6">
        <v>1.7986</v>
      </c>
      <c r="U4" s="6">
        <v>0.12</v>
      </c>
      <c r="V4" s="20">
        <f>T4*U4*64000/22.4</f>
        <v>616.66285714285721</v>
      </c>
      <c r="W4" s="3">
        <f t="shared" si="3"/>
        <v>267.7</v>
      </c>
      <c r="X4" s="3">
        <f t="shared" si="4"/>
        <v>85.638575000000017</v>
      </c>
      <c r="Y4" s="3">
        <f t="shared" si="5"/>
        <v>77.082857142857151</v>
      </c>
      <c r="Z4" s="3">
        <f t="shared" si="6"/>
        <v>162.72143214285717</v>
      </c>
      <c r="AA4" s="3">
        <f t="shared" si="7"/>
        <v>0.31990502428091155</v>
      </c>
      <c r="AB4" s="3">
        <f t="shared" si="8"/>
        <v>0.28794492769091207</v>
      </c>
      <c r="AC4" s="3">
        <f t="shared" si="9"/>
        <v>0.52628946213314909</v>
      </c>
      <c r="AD4" s="3">
        <f t="shared" si="10"/>
        <v>0.60784995197182357</v>
      </c>
      <c r="AE4" s="3">
        <f t="shared" si="11"/>
        <v>104.97856785714283</v>
      </c>
      <c r="AF4" s="3">
        <f t="shared" si="12"/>
        <v>0.39215004802817649</v>
      </c>
      <c r="AG4" s="75" t="str">
        <f t="shared" si="13"/>
        <v>As calculated</v>
      </c>
    </row>
    <row r="5" spans="1:192" ht="17" customHeight="1" x14ac:dyDescent="0.2">
      <c r="A5" s="18">
        <v>4</v>
      </c>
      <c r="B5" s="13" t="s">
        <v>402</v>
      </c>
      <c r="C5" s="13" t="s">
        <v>403</v>
      </c>
      <c r="D5" s="10" t="s">
        <v>404</v>
      </c>
      <c r="E5" s="7" t="s">
        <v>22</v>
      </c>
      <c r="F5" s="40" t="s">
        <v>135</v>
      </c>
      <c r="G5" s="42" t="s">
        <v>405</v>
      </c>
      <c r="H5" s="42" t="s">
        <v>489</v>
      </c>
      <c r="I5" s="8" t="s">
        <v>406</v>
      </c>
      <c r="J5" s="8">
        <v>7.8</v>
      </c>
      <c r="K5" s="8">
        <v>35</v>
      </c>
      <c r="L5" s="8" t="s">
        <v>552</v>
      </c>
      <c r="M5" s="5" t="s">
        <v>394</v>
      </c>
      <c r="N5" s="11" t="s">
        <v>407</v>
      </c>
      <c r="O5" s="6" t="s">
        <v>124</v>
      </c>
      <c r="P5" s="6">
        <v>3800</v>
      </c>
      <c r="Q5" s="20">
        <f>1266.67*0.261</f>
        <v>330.60087000000004</v>
      </c>
      <c r="R5" s="6">
        <v>2.8570000000000002</v>
      </c>
      <c r="S5" s="20">
        <f t="shared" si="1"/>
        <v>944.52668559000017</v>
      </c>
      <c r="T5" s="6" t="s">
        <v>124</v>
      </c>
      <c r="U5" s="6">
        <f>0/0.4</f>
        <v>0</v>
      </c>
      <c r="V5" s="20">
        <f>U5/22.414*64</f>
        <v>0</v>
      </c>
      <c r="W5" s="3">
        <f t="shared" si="3"/>
        <v>475</v>
      </c>
      <c r="X5" s="3">
        <f t="shared" si="4"/>
        <v>118.06583569875002</v>
      </c>
      <c r="Y5" s="3">
        <f t="shared" si="5"/>
        <v>0</v>
      </c>
      <c r="Z5" s="3">
        <f t="shared" si="6"/>
        <v>118.06583569875002</v>
      </c>
      <c r="AA5" s="3">
        <f t="shared" si="7"/>
        <v>0.24855965410263162</v>
      </c>
      <c r="AB5" s="3">
        <f t="shared" si="8"/>
        <v>0</v>
      </c>
      <c r="AC5" s="3">
        <f t="shared" si="9"/>
        <v>1</v>
      </c>
      <c r="AD5" s="3">
        <f t="shared" si="10"/>
        <v>0.24855965410263162</v>
      </c>
      <c r="AE5" s="3">
        <f t="shared" si="11"/>
        <v>356.93416430125001</v>
      </c>
      <c r="AF5" s="3">
        <f t="shared" si="12"/>
        <v>0.75144034589736841</v>
      </c>
      <c r="AG5" s="75" t="str">
        <f t="shared" si="13"/>
        <v>Lower bound</v>
      </c>
    </row>
    <row r="6" spans="1:192" x14ac:dyDescent="0.2">
      <c r="A6" s="18">
        <v>5</v>
      </c>
      <c r="B6" s="13" t="s">
        <v>402</v>
      </c>
      <c r="C6" s="13" t="s">
        <v>408</v>
      </c>
      <c r="D6" s="10" t="s">
        <v>404</v>
      </c>
      <c r="E6" s="7" t="s">
        <v>22</v>
      </c>
      <c r="F6" s="40" t="s">
        <v>135</v>
      </c>
      <c r="G6" s="42" t="s">
        <v>405</v>
      </c>
      <c r="H6" s="42" t="s">
        <v>489</v>
      </c>
      <c r="I6" s="8" t="s">
        <v>409</v>
      </c>
      <c r="J6" s="8">
        <v>7.8</v>
      </c>
      <c r="K6" s="8">
        <v>35</v>
      </c>
      <c r="L6" s="8" t="s">
        <v>552</v>
      </c>
      <c r="M6" s="5" t="s">
        <v>394</v>
      </c>
      <c r="N6" s="11" t="s">
        <v>407</v>
      </c>
      <c r="O6" s="6" t="s">
        <v>124</v>
      </c>
      <c r="P6" s="6">
        <v>3800</v>
      </c>
      <c r="Q6" s="20">
        <f>760*0.377</f>
        <v>286.52</v>
      </c>
      <c r="R6" s="6">
        <v>2.8570000000000002</v>
      </c>
      <c r="S6" s="20">
        <f t="shared" si="1"/>
        <v>818.58763999999996</v>
      </c>
      <c r="T6" s="6" t="s">
        <v>124</v>
      </c>
      <c r="U6" s="6">
        <f t="shared" ref="U6:U9" si="14">0/0.4</f>
        <v>0</v>
      </c>
      <c r="V6" s="20">
        <f t="shared" ref="V6:V14" si="15">U6/22.414*64</f>
        <v>0</v>
      </c>
      <c r="W6" s="3">
        <f t="shared" si="3"/>
        <v>475</v>
      </c>
      <c r="X6" s="3">
        <f t="shared" si="4"/>
        <v>102.323455</v>
      </c>
      <c r="Y6" s="3">
        <f t="shared" si="5"/>
        <v>0</v>
      </c>
      <c r="Z6" s="3">
        <f t="shared" si="6"/>
        <v>102.323455</v>
      </c>
      <c r="AA6" s="3">
        <f t="shared" si="7"/>
        <v>0.21541779999999999</v>
      </c>
      <c r="AB6" s="3">
        <f t="shared" si="8"/>
        <v>0</v>
      </c>
      <c r="AC6" s="3">
        <f t="shared" si="9"/>
        <v>1</v>
      </c>
      <c r="AD6" s="3">
        <f t="shared" si="10"/>
        <v>0.21541779999999999</v>
      </c>
      <c r="AE6" s="3">
        <f t="shared" si="11"/>
        <v>372.67654500000003</v>
      </c>
      <c r="AF6" s="3">
        <f t="shared" si="12"/>
        <v>0.78458220000000012</v>
      </c>
      <c r="AG6" s="75" t="str">
        <f t="shared" si="13"/>
        <v>Lower bound</v>
      </c>
    </row>
    <row r="7" spans="1:192" x14ac:dyDescent="0.2">
      <c r="A7" s="18">
        <v>6</v>
      </c>
      <c r="B7" s="13" t="s">
        <v>402</v>
      </c>
      <c r="C7" s="13" t="s">
        <v>410</v>
      </c>
      <c r="D7" s="10" t="s">
        <v>404</v>
      </c>
      <c r="E7" s="7" t="s">
        <v>22</v>
      </c>
      <c r="F7" s="40" t="s">
        <v>135</v>
      </c>
      <c r="G7" s="42" t="s">
        <v>405</v>
      </c>
      <c r="H7" s="42" t="s">
        <v>489</v>
      </c>
      <c r="I7" s="8" t="s">
        <v>411</v>
      </c>
      <c r="J7" s="8">
        <v>7.8</v>
      </c>
      <c r="K7" s="8">
        <v>35</v>
      </c>
      <c r="L7" s="8" t="s">
        <v>552</v>
      </c>
      <c r="M7" s="5" t="s">
        <v>394</v>
      </c>
      <c r="N7" s="11" t="s">
        <v>407</v>
      </c>
      <c r="O7" s="6" t="s">
        <v>124</v>
      </c>
      <c r="P7" s="6">
        <v>3800</v>
      </c>
      <c r="Q7" s="20">
        <f>475*0.645</f>
        <v>306.375</v>
      </c>
      <c r="R7" s="6">
        <v>2.8570000000000002</v>
      </c>
      <c r="S7" s="20">
        <f t="shared" si="1"/>
        <v>875.31337500000006</v>
      </c>
      <c r="T7" s="6" t="s">
        <v>124</v>
      </c>
      <c r="U7" s="6">
        <f t="shared" si="14"/>
        <v>0</v>
      </c>
      <c r="V7" s="20">
        <f t="shared" si="15"/>
        <v>0</v>
      </c>
      <c r="W7" s="3">
        <f t="shared" si="3"/>
        <v>475</v>
      </c>
      <c r="X7" s="3">
        <f t="shared" si="4"/>
        <v>109.41417187500001</v>
      </c>
      <c r="Y7" s="3">
        <f t="shared" si="5"/>
        <v>0</v>
      </c>
      <c r="Z7" s="3">
        <f t="shared" si="6"/>
        <v>109.41417187500001</v>
      </c>
      <c r="AA7" s="3">
        <f t="shared" si="7"/>
        <v>0.23034562500000003</v>
      </c>
      <c r="AB7" s="3">
        <f t="shared" si="8"/>
        <v>0</v>
      </c>
      <c r="AC7" s="3">
        <f t="shared" si="9"/>
        <v>1</v>
      </c>
      <c r="AD7" s="3">
        <f t="shared" si="10"/>
        <v>0.23034562500000003</v>
      </c>
      <c r="AE7" s="3">
        <f t="shared" si="11"/>
        <v>365.58582812499998</v>
      </c>
      <c r="AF7" s="3">
        <f t="shared" si="12"/>
        <v>0.769654375</v>
      </c>
      <c r="AG7" s="75" t="str">
        <f t="shared" si="13"/>
        <v>Lower bound</v>
      </c>
    </row>
    <row r="8" spans="1:192" x14ac:dyDescent="0.2">
      <c r="A8" s="18">
        <v>7</v>
      </c>
      <c r="B8" s="13" t="s">
        <v>402</v>
      </c>
      <c r="C8" s="13" t="s">
        <v>412</v>
      </c>
      <c r="D8" s="10" t="s">
        <v>404</v>
      </c>
      <c r="E8" s="7" t="s">
        <v>22</v>
      </c>
      <c r="F8" s="40" t="s">
        <v>135</v>
      </c>
      <c r="G8" s="42" t="s">
        <v>405</v>
      </c>
      <c r="H8" s="42" t="s">
        <v>489</v>
      </c>
      <c r="I8" s="8" t="s">
        <v>413</v>
      </c>
      <c r="J8" s="8">
        <v>7.8</v>
      </c>
      <c r="K8" s="8">
        <v>35</v>
      </c>
      <c r="L8" s="8" t="s">
        <v>552</v>
      </c>
      <c r="M8" s="5" t="s">
        <v>394</v>
      </c>
      <c r="N8" s="11" t="s">
        <v>407</v>
      </c>
      <c r="O8" s="6" t="s">
        <v>124</v>
      </c>
      <c r="P8" s="6">
        <v>3800</v>
      </c>
      <c r="Q8" s="20">
        <f>200*0.945</f>
        <v>189</v>
      </c>
      <c r="R8" s="6">
        <v>2.8570000000000002</v>
      </c>
      <c r="S8" s="20">
        <f t="shared" si="1"/>
        <v>539.97300000000007</v>
      </c>
      <c r="T8" s="6" t="s">
        <v>124</v>
      </c>
      <c r="U8" s="6">
        <f t="shared" si="14"/>
        <v>0</v>
      </c>
      <c r="V8" s="20">
        <f t="shared" si="15"/>
        <v>0</v>
      </c>
      <c r="W8" s="3">
        <f t="shared" si="3"/>
        <v>475</v>
      </c>
      <c r="X8" s="3">
        <f t="shared" si="4"/>
        <v>67.496625000000009</v>
      </c>
      <c r="Y8" s="3">
        <f t="shared" si="5"/>
        <v>0</v>
      </c>
      <c r="Z8" s="3">
        <f t="shared" si="6"/>
        <v>67.496625000000009</v>
      </c>
      <c r="AA8" s="3">
        <f t="shared" si="7"/>
        <v>0.14209815789473687</v>
      </c>
      <c r="AB8" s="3">
        <f t="shared" si="8"/>
        <v>0</v>
      </c>
      <c r="AC8" s="3">
        <f t="shared" si="9"/>
        <v>1</v>
      </c>
      <c r="AD8" s="3">
        <f t="shared" si="10"/>
        <v>0.14209815789473687</v>
      </c>
      <c r="AE8" s="3">
        <f t="shared" si="11"/>
        <v>407.50337500000001</v>
      </c>
      <c r="AF8" s="3">
        <f t="shared" si="12"/>
        <v>0.85790184210526321</v>
      </c>
      <c r="AG8" s="75" t="str">
        <f t="shared" si="13"/>
        <v>Lower bound</v>
      </c>
    </row>
    <row r="9" spans="1:192" x14ac:dyDescent="0.2">
      <c r="A9" s="18">
        <v>8</v>
      </c>
      <c r="B9" s="13" t="s">
        <v>402</v>
      </c>
      <c r="C9" s="13" t="s">
        <v>414</v>
      </c>
      <c r="D9" s="10" t="s">
        <v>404</v>
      </c>
      <c r="E9" s="7" t="s">
        <v>22</v>
      </c>
      <c r="F9" s="40" t="s">
        <v>135</v>
      </c>
      <c r="G9" s="42" t="s">
        <v>405</v>
      </c>
      <c r="H9" s="42" t="s">
        <v>489</v>
      </c>
      <c r="I9" s="8" t="s">
        <v>415</v>
      </c>
      <c r="J9" s="8">
        <v>7.8</v>
      </c>
      <c r="K9" s="8">
        <v>35</v>
      </c>
      <c r="L9" s="8" t="s">
        <v>552</v>
      </c>
      <c r="M9" s="5" t="s">
        <v>394</v>
      </c>
      <c r="N9" s="11" t="s">
        <v>407</v>
      </c>
      <c r="O9" s="6" t="s">
        <v>124</v>
      </c>
      <c r="P9" s="6">
        <v>3800</v>
      </c>
      <c r="Q9" s="20">
        <f>69.09*0.953</f>
        <v>65.842770000000002</v>
      </c>
      <c r="R9" s="6">
        <v>2.8570000000000002</v>
      </c>
      <c r="S9" s="20">
        <f t="shared" si="1"/>
        <v>188.11279389000001</v>
      </c>
      <c r="T9" s="6" t="s">
        <v>124</v>
      </c>
      <c r="U9" s="6">
        <f t="shared" si="14"/>
        <v>0</v>
      </c>
      <c r="V9" s="20">
        <f t="shared" si="15"/>
        <v>0</v>
      </c>
      <c r="W9" s="3">
        <f t="shared" si="3"/>
        <v>475</v>
      </c>
      <c r="X9" s="3">
        <f t="shared" si="4"/>
        <v>23.514099236250001</v>
      </c>
      <c r="Y9" s="3">
        <f t="shared" si="5"/>
        <v>0</v>
      </c>
      <c r="Z9" s="3">
        <f t="shared" si="6"/>
        <v>23.514099236250001</v>
      </c>
      <c r="AA9" s="3">
        <f t="shared" si="7"/>
        <v>4.9503366813157895E-2</v>
      </c>
      <c r="AB9" s="3">
        <f t="shared" si="8"/>
        <v>0</v>
      </c>
      <c r="AC9" s="3">
        <f t="shared" si="9"/>
        <v>1</v>
      </c>
      <c r="AD9" s="3">
        <f t="shared" si="10"/>
        <v>4.9503366813157895E-2</v>
      </c>
      <c r="AE9" s="3">
        <f t="shared" si="11"/>
        <v>451.48590076375001</v>
      </c>
      <c r="AF9" s="3">
        <f t="shared" si="12"/>
        <v>0.95049663318684208</v>
      </c>
      <c r="AG9" s="75" t="str">
        <f t="shared" si="13"/>
        <v>Lower bound</v>
      </c>
    </row>
    <row r="10" spans="1:192" x14ac:dyDescent="0.2">
      <c r="A10" s="18">
        <v>9</v>
      </c>
      <c r="B10" s="13" t="s">
        <v>402</v>
      </c>
      <c r="C10" s="13" t="s">
        <v>416</v>
      </c>
      <c r="D10" s="10" t="s">
        <v>404</v>
      </c>
      <c r="E10" s="7" t="s">
        <v>22</v>
      </c>
      <c r="F10" s="40" t="s">
        <v>135</v>
      </c>
      <c r="G10" s="42" t="s">
        <v>24</v>
      </c>
      <c r="H10" s="42" t="s">
        <v>515</v>
      </c>
      <c r="I10" s="8" t="s">
        <v>406</v>
      </c>
      <c r="J10" s="8">
        <v>7.8</v>
      </c>
      <c r="K10" s="8">
        <v>35</v>
      </c>
      <c r="L10" s="8" t="s">
        <v>552</v>
      </c>
      <c r="M10" s="5" t="s">
        <v>394</v>
      </c>
      <c r="N10" s="11" t="s">
        <v>407</v>
      </c>
      <c r="O10" s="6" t="s">
        <v>124</v>
      </c>
      <c r="P10" s="6">
        <v>3800</v>
      </c>
      <c r="Q10" s="20">
        <f>1266.67*0.459</f>
        <v>581.40153000000009</v>
      </c>
      <c r="R10" s="6">
        <v>2.8570000000000002</v>
      </c>
      <c r="S10" s="20">
        <f t="shared" si="1"/>
        <v>1661.0641712100005</v>
      </c>
      <c r="T10" s="6" t="s">
        <v>124</v>
      </c>
      <c r="U10" s="6">
        <f>0/0.4</f>
        <v>0</v>
      </c>
      <c r="V10" s="20">
        <f t="shared" si="15"/>
        <v>0</v>
      </c>
      <c r="W10" s="3">
        <f t="shared" si="3"/>
        <v>475</v>
      </c>
      <c r="X10" s="3">
        <f t="shared" si="4"/>
        <v>207.63302140125006</v>
      </c>
      <c r="Y10" s="3">
        <f t="shared" si="5"/>
        <v>0</v>
      </c>
      <c r="Z10" s="3">
        <f t="shared" si="6"/>
        <v>207.63302140125006</v>
      </c>
      <c r="AA10" s="3">
        <f t="shared" si="7"/>
        <v>0.43712215031842117</v>
      </c>
      <c r="AB10" s="3">
        <f t="shared" si="8"/>
        <v>0</v>
      </c>
      <c r="AC10" s="3">
        <f t="shared" si="9"/>
        <v>1</v>
      </c>
      <c r="AD10" s="3">
        <f t="shared" si="10"/>
        <v>0.43712215031842117</v>
      </c>
      <c r="AE10" s="3">
        <f t="shared" si="11"/>
        <v>267.36697859874994</v>
      </c>
      <c r="AF10" s="3">
        <f t="shared" si="12"/>
        <v>0.56287784968157883</v>
      </c>
      <c r="AG10" s="75" t="str">
        <f t="shared" si="13"/>
        <v>As calculated</v>
      </c>
    </row>
    <row r="11" spans="1:192" x14ac:dyDescent="0.2">
      <c r="A11" s="18">
        <v>10</v>
      </c>
      <c r="B11" s="13" t="s">
        <v>402</v>
      </c>
      <c r="C11" s="13" t="s">
        <v>417</v>
      </c>
      <c r="D11" s="10" t="s">
        <v>404</v>
      </c>
      <c r="E11" s="7" t="s">
        <v>22</v>
      </c>
      <c r="F11" s="40" t="s">
        <v>135</v>
      </c>
      <c r="G11" s="42" t="s">
        <v>24</v>
      </c>
      <c r="H11" s="42" t="s">
        <v>515</v>
      </c>
      <c r="I11" s="8" t="s">
        <v>409</v>
      </c>
      <c r="J11" s="8">
        <v>7.8</v>
      </c>
      <c r="K11" s="8">
        <v>35</v>
      </c>
      <c r="L11" s="8" t="s">
        <v>552</v>
      </c>
      <c r="M11" s="5" t="s">
        <v>394</v>
      </c>
      <c r="N11" s="11" t="s">
        <v>407</v>
      </c>
      <c r="O11" s="6" t="s">
        <v>124</v>
      </c>
      <c r="P11" s="6">
        <v>3800</v>
      </c>
      <c r="Q11" s="20">
        <f>760*0.783</f>
        <v>595.08000000000004</v>
      </c>
      <c r="R11" s="6">
        <v>2.8570000000000002</v>
      </c>
      <c r="S11" s="20">
        <f t="shared" si="1"/>
        <v>1700.1435600000002</v>
      </c>
      <c r="T11" s="6" t="s">
        <v>124</v>
      </c>
      <c r="U11" s="6">
        <f>0/0.4</f>
        <v>0</v>
      </c>
      <c r="V11" s="20">
        <f t="shared" si="15"/>
        <v>0</v>
      </c>
      <c r="W11" s="3">
        <f t="shared" si="3"/>
        <v>475</v>
      </c>
      <c r="X11" s="3">
        <f t="shared" si="4"/>
        <v>212.51794500000003</v>
      </c>
      <c r="Y11" s="3">
        <f t="shared" si="5"/>
        <v>0</v>
      </c>
      <c r="Z11" s="3">
        <f t="shared" si="6"/>
        <v>212.51794500000003</v>
      </c>
      <c r="AA11" s="3">
        <f t="shared" si="7"/>
        <v>0.44740620000000003</v>
      </c>
      <c r="AB11" s="3">
        <f t="shared" si="8"/>
        <v>0</v>
      </c>
      <c r="AC11" s="3">
        <f t="shared" si="9"/>
        <v>1</v>
      </c>
      <c r="AD11" s="3">
        <f t="shared" si="10"/>
        <v>0.44740620000000003</v>
      </c>
      <c r="AE11" s="3">
        <f t="shared" si="11"/>
        <v>262.48205499999995</v>
      </c>
      <c r="AF11" s="3">
        <f t="shared" si="12"/>
        <v>0.55259379999999991</v>
      </c>
      <c r="AG11" s="75" t="str">
        <f t="shared" si="13"/>
        <v>As calculated</v>
      </c>
    </row>
    <row r="12" spans="1:192" x14ac:dyDescent="0.2">
      <c r="A12" s="18">
        <v>11</v>
      </c>
      <c r="B12" s="13" t="s">
        <v>402</v>
      </c>
      <c r="C12" s="13" t="s">
        <v>418</v>
      </c>
      <c r="D12" s="10" t="s">
        <v>404</v>
      </c>
      <c r="E12" s="7" t="s">
        <v>22</v>
      </c>
      <c r="F12" s="40" t="s">
        <v>135</v>
      </c>
      <c r="G12" s="42" t="s">
        <v>24</v>
      </c>
      <c r="H12" s="42" t="s">
        <v>515</v>
      </c>
      <c r="I12" s="8" t="s">
        <v>419</v>
      </c>
      <c r="J12" s="8">
        <v>7.8</v>
      </c>
      <c r="K12" s="8">
        <v>35</v>
      </c>
      <c r="L12" s="8" t="s">
        <v>552</v>
      </c>
      <c r="M12" s="5" t="s">
        <v>394</v>
      </c>
      <c r="N12" s="11" t="s">
        <v>407</v>
      </c>
      <c r="O12" s="6" t="s">
        <v>124</v>
      </c>
      <c r="P12" s="6">
        <v>3800</v>
      </c>
      <c r="Q12" s="20">
        <f>542.86*99.3/100</f>
        <v>539.05998</v>
      </c>
      <c r="R12" s="6">
        <v>2.8570000000000002</v>
      </c>
      <c r="S12" s="20">
        <f t="shared" si="1"/>
        <v>1540.09436286</v>
      </c>
      <c r="T12" s="6" t="s">
        <v>124</v>
      </c>
      <c r="U12" s="6">
        <f>0.8/0.4</f>
        <v>2</v>
      </c>
      <c r="V12" s="20">
        <f t="shared" si="15"/>
        <v>5.7107165164629246</v>
      </c>
      <c r="W12" s="3">
        <f t="shared" si="3"/>
        <v>475</v>
      </c>
      <c r="X12" s="3">
        <f t="shared" si="4"/>
        <v>192.51179535750001</v>
      </c>
      <c r="Y12" s="3">
        <f t="shared" si="5"/>
        <v>0.71383956455786557</v>
      </c>
      <c r="Z12" s="3">
        <f t="shared" si="6"/>
        <v>193.22563492205788</v>
      </c>
      <c r="AA12" s="3">
        <f t="shared" si="7"/>
        <v>0.40528799022631579</v>
      </c>
      <c r="AB12" s="3">
        <f t="shared" si="8"/>
        <v>1.5028201359112959E-3</v>
      </c>
      <c r="AC12" s="3">
        <f t="shared" si="9"/>
        <v>0.99630566842310642</v>
      </c>
      <c r="AD12" s="3">
        <f t="shared" si="10"/>
        <v>0.40679081036222714</v>
      </c>
      <c r="AE12" s="3">
        <f t="shared" si="11"/>
        <v>281.77436507794215</v>
      </c>
      <c r="AF12" s="3">
        <f t="shared" si="12"/>
        <v>0.59320918963777292</v>
      </c>
      <c r="AG12" s="75" t="str">
        <f t="shared" si="13"/>
        <v>As calculated</v>
      </c>
    </row>
    <row r="13" spans="1:192" x14ac:dyDescent="0.2">
      <c r="A13" s="18">
        <v>12</v>
      </c>
      <c r="B13" s="13" t="s">
        <v>402</v>
      </c>
      <c r="C13" s="13" t="s">
        <v>420</v>
      </c>
      <c r="D13" s="10" t="s">
        <v>404</v>
      </c>
      <c r="E13" s="7" t="s">
        <v>22</v>
      </c>
      <c r="F13" s="40" t="s">
        <v>135</v>
      </c>
      <c r="G13" s="42" t="s">
        <v>24</v>
      </c>
      <c r="H13" s="42" t="s">
        <v>515</v>
      </c>
      <c r="I13" s="8" t="s">
        <v>421</v>
      </c>
      <c r="J13" s="8">
        <v>7.8</v>
      </c>
      <c r="K13" s="8">
        <v>35</v>
      </c>
      <c r="L13" s="8" t="s">
        <v>552</v>
      </c>
      <c r="M13" s="5" t="s">
        <v>394</v>
      </c>
      <c r="N13" s="11" t="s">
        <v>407</v>
      </c>
      <c r="O13" s="6" t="s">
        <v>124</v>
      </c>
      <c r="P13" s="6">
        <v>3800</v>
      </c>
      <c r="Q13" s="20">
        <f>211.11*1</f>
        <v>211.11</v>
      </c>
      <c r="R13" s="6">
        <v>2.8570000000000002</v>
      </c>
      <c r="S13" s="20">
        <f t="shared" si="1"/>
        <v>603.14127000000008</v>
      </c>
      <c r="T13" s="6" t="s">
        <v>124</v>
      </c>
      <c r="U13" s="6">
        <f>32.4/0.4</f>
        <v>80.999999999999986</v>
      </c>
      <c r="V13" s="20">
        <f t="shared" si="15"/>
        <v>231.28401891674841</v>
      </c>
      <c r="W13" s="3">
        <f t="shared" si="3"/>
        <v>475</v>
      </c>
      <c r="X13" s="3">
        <f t="shared" si="4"/>
        <v>75.39265875000001</v>
      </c>
      <c r="Y13" s="3">
        <f t="shared" si="5"/>
        <v>28.910502364593551</v>
      </c>
      <c r="Z13" s="3">
        <f t="shared" si="6"/>
        <v>104.30316111459356</v>
      </c>
      <c r="AA13" s="3">
        <f t="shared" si="7"/>
        <v>0.15872138684210529</v>
      </c>
      <c r="AB13" s="3">
        <f t="shared" si="8"/>
        <v>6.0864215504407473E-2</v>
      </c>
      <c r="AC13" s="3">
        <f t="shared" si="9"/>
        <v>0.72282237608474031</v>
      </c>
      <c r="AD13" s="3">
        <f t="shared" si="10"/>
        <v>0.21958560234651275</v>
      </c>
      <c r="AE13" s="3">
        <f t="shared" si="11"/>
        <v>370.69683888540646</v>
      </c>
      <c r="AF13" s="3">
        <f t="shared" si="12"/>
        <v>0.7804143976534873</v>
      </c>
      <c r="AG13" s="75" t="str">
        <f t="shared" si="13"/>
        <v>As calculated</v>
      </c>
    </row>
    <row r="14" spans="1:192" x14ac:dyDescent="0.2">
      <c r="A14" s="18">
        <v>13</v>
      </c>
      <c r="B14" s="13" t="s">
        <v>402</v>
      </c>
      <c r="C14" s="13" t="s">
        <v>422</v>
      </c>
      <c r="D14" s="10" t="s">
        <v>404</v>
      </c>
      <c r="E14" s="7" t="s">
        <v>22</v>
      </c>
      <c r="F14" s="40" t="s">
        <v>135</v>
      </c>
      <c r="G14" s="42" t="s">
        <v>24</v>
      </c>
      <c r="H14" s="42" t="s">
        <v>515</v>
      </c>
      <c r="I14" s="8" t="s">
        <v>423</v>
      </c>
      <c r="J14" s="8">
        <v>7.8</v>
      </c>
      <c r="K14" s="8">
        <v>35</v>
      </c>
      <c r="L14" s="8" t="s">
        <v>552</v>
      </c>
      <c r="M14" s="5" t="s">
        <v>394</v>
      </c>
      <c r="N14" s="11" t="s">
        <v>407</v>
      </c>
      <c r="O14" s="6" t="s">
        <v>124</v>
      </c>
      <c r="P14" s="6">
        <v>3800</v>
      </c>
      <c r="Q14" s="20">
        <f>76*1</f>
        <v>76</v>
      </c>
      <c r="R14" s="6">
        <v>2.8570000000000002</v>
      </c>
      <c r="S14" s="20">
        <f t="shared" si="1"/>
        <v>217.13200000000001</v>
      </c>
      <c r="T14" s="6" t="s">
        <v>124</v>
      </c>
      <c r="U14" s="6">
        <f>78.2/0.4</f>
        <v>195.5</v>
      </c>
      <c r="V14" s="20">
        <f t="shared" si="15"/>
        <v>558.22253948425089</v>
      </c>
      <c r="W14" s="3">
        <f t="shared" si="3"/>
        <v>475</v>
      </c>
      <c r="X14" s="3">
        <f t="shared" si="4"/>
        <v>27.141500000000001</v>
      </c>
      <c r="Y14" s="3">
        <f t="shared" si="5"/>
        <v>69.777817435531361</v>
      </c>
      <c r="Z14" s="3">
        <f t="shared" si="6"/>
        <v>96.919317435531354</v>
      </c>
      <c r="AA14" s="3">
        <f t="shared" si="7"/>
        <v>5.7140000000000003E-2</v>
      </c>
      <c r="AB14" s="3">
        <f t="shared" si="8"/>
        <v>0.14690066828532919</v>
      </c>
      <c r="AC14" s="3">
        <f t="shared" si="9"/>
        <v>0.28004221158546583</v>
      </c>
      <c r="AD14" s="3">
        <f t="shared" si="10"/>
        <v>0.20404066828532916</v>
      </c>
      <c r="AE14" s="3">
        <f t="shared" si="11"/>
        <v>378.08068256446865</v>
      </c>
      <c r="AF14" s="3">
        <f t="shared" si="12"/>
        <v>0.79595933171467081</v>
      </c>
      <c r="AG14" s="75" t="str">
        <f t="shared" si="13"/>
        <v>As calculated</v>
      </c>
    </row>
    <row r="15" spans="1:192" ht="17" thickBot="1" x14ac:dyDescent="0.25"/>
    <row r="16" spans="1:192" x14ac:dyDescent="0.2">
      <c r="B16" s="99" t="s">
        <v>342</v>
      </c>
      <c r="C16" s="100"/>
      <c r="D16" s="100"/>
      <c r="E16" s="101"/>
      <c r="F16" s="28"/>
      <c r="G16" s="28"/>
    </row>
    <row r="17" spans="2:7" x14ac:dyDescent="0.2">
      <c r="B17" s="102"/>
      <c r="C17" s="103"/>
      <c r="D17" s="103"/>
      <c r="E17" s="104"/>
      <c r="F17" s="28"/>
      <c r="G17" s="28"/>
    </row>
    <row r="18" spans="2:7" x14ac:dyDescent="0.2">
      <c r="B18" s="102"/>
      <c r="C18" s="103"/>
      <c r="D18" s="103"/>
      <c r="E18" s="104"/>
      <c r="F18" s="28"/>
      <c r="G18" s="28"/>
    </row>
    <row r="19" spans="2:7" ht="17" thickBot="1" x14ac:dyDescent="0.25">
      <c r="B19" s="105"/>
      <c r="C19" s="106"/>
      <c r="D19" s="106"/>
      <c r="E19" s="107"/>
      <c r="F19" s="28"/>
      <c r="G19" s="28"/>
    </row>
    <row r="20" spans="2:7" ht="17" thickBot="1" x14ac:dyDescent="0.25"/>
    <row r="21" spans="2:7" x14ac:dyDescent="0.2">
      <c r="B21" s="126" t="s">
        <v>488</v>
      </c>
      <c r="C21" s="127"/>
      <c r="D21" s="127"/>
      <c r="E21" s="127"/>
      <c r="F21" s="127"/>
      <c r="G21" s="128"/>
    </row>
    <row r="22" spans="2:7" x14ac:dyDescent="0.2">
      <c r="B22" s="129"/>
      <c r="C22" s="130"/>
      <c r="D22" s="130"/>
      <c r="E22" s="130"/>
      <c r="F22" s="130"/>
      <c r="G22" s="131"/>
    </row>
    <row r="23" spans="2:7" x14ac:dyDescent="0.2">
      <c r="B23" s="129"/>
      <c r="C23" s="130"/>
      <c r="D23" s="130"/>
      <c r="E23" s="130"/>
      <c r="F23" s="130"/>
      <c r="G23" s="131"/>
    </row>
    <row r="24" spans="2:7" x14ac:dyDescent="0.2">
      <c r="B24" s="129"/>
      <c r="C24" s="130"/>
      <c r="D24" s="130"/>
      <c r="E24" s="130"/>
      <c r="F24" s="130"/>
      <c r="G24" s="131"/>
    </row>
    <row r="25" spans="2:7" x14ac:dyDescent="0.2">
      <c r="B25" s="129"/>
      <c r="C25" s="130"/>
      <c r="D25" s="130"/>
      <c r="E25" s="130"/>
      <c r="F25" s="130"/>
      <c r="G25" s="131"/>
    </row>
    <row r="26" spans="2:7" x14ac:dyDescent="0.2">
      <c r="B26" s="129"/>
      <c r="C26" s="130"/>
      <c r="D26" s="130"/>
      <c r="E26" s="130"/>
      <c r="F26" s="130"/>
      <c r="G26" s="131"/>
    </row>
    <row r="27" spans="2:7" x14ac:dyDescent="0.2">
      <c r="B27" s="129"/>
      <c r="C27" s="130"/>
      <c r="D27" s="130"/>
      <c r="E27" s="130"/>
      <c r="F27" s="130"/>
      <c r="G27" s="131"/>
    </row>
    <row r="28" spans="2:7" ht="17" thickBot="1" x14ac:dyDescent="0.25">
      <c r="B28" s="132"/>
      <c r="C28" s="133"/>
      <c r="D28" s="133"/>
      <c r="E28" s="133"/>
      <c r="F28" s="133"/>
      <c r="G28" s="134"/>
    </row>
  </sheetData>
  <mergeCells count="2">
    <mergeCell ref="B16:E19"/>
    <mergeCell ref="B21:G28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84018-7ACD-CB4C-A3F3-1B20EE33312A}">
  <dimension ref="A1:AG20"/>
  <sheetViews>
    <sheetView topLeftCell="P1" zoomScale="179" workbookViewId="0">
      <selection activeCell="AC2" sqref="AC2"/>
    </sheetView>
  </sheetViews>
  <sheetFormatPr baseColWidth="10" defaultRowHeight="16" x14ac:dyDescent="0.2"/>
  <cols>
    <col min="13" max="13" width="12.83203125" customWidth="1"/>
  </cols>
  <sheetData>
    <row r="1" spans="1:33" ht="39" x14ac:dyDescent="0.2">
      <c r="A1" s="18" t="s">
        <v>77</v>
      </c>
      <c r="B1" s="17" t="s">
        <v>38</v>
      </c>
      <c r="C1" s="17" t="s">
        <v>0</v>
      </c>
      <c r="D1" s="12" t="s">
        <v>1</v>
      </c>
      <c r="E1" s="12" t="s">
        <v>3</v>
      </c>
      <c r="F1" s="12" t="s">
        <v>424</v>
      </c>
      <c r="G1" s="12" t="s">
        <v>4</v>
      </c>
      <c r="H1" s="12" t="s">
        <v>487</v>
      </c>
      <c r="I1" s="12" t="s">
        <v>5</v>
      </c>
      <c r="J1" s="12" t="s">
        <v>6</v>
      </c>
      <c r="K1" s="12" t="s">
        <v>7</v>
      </c>
      <c r="L1" s="12" t="s">
        <v>8</v>
      </c>
      <c r="M1" s="14" t="s">
        <v>49</v>
      </c>
      <c r="N1" s="14" t="s">
        <v>2</v>
      </c>
      <c r="O1" s="15" t="s">
        <v>9</v>
      </c>
      <c r="P1" s="15" t="s">
        <v>425</v>
      </c>
      <c r="Q1" s="15" t="s">
        <v>426</v>
      </c>
      <c r="R1" s="15" t="s">
        <v>427</v>
      </c>
      <c r="S1" s="15" t="s">
        <v>572</v>
      </c>
      <c r="T1" s="15" t="s">
        <v>428</v>
      </c>
      <c r="U1" s="15" t="s">
        <v>76</v>
      </c>
      <c r="V1" s="15" t="s">
        <v>349</v>
      </c>
      <c r="W1" s="16" t="s">
        <v>16</v>
      </c>
      <c r="X1" s="16" t="s">
        <v>55</v>
      </c>
      <c r="Y1" s="16" t="s">
        <v>56</v>
      </c>
      <c r="Z1" s="16" t="s">
        <v>57</v>
      </c>
      <c r="AA1" s="16" t="s">
        <v>17</v>
      </c>
      <c r="AB1" s="16" t="s">
        <v>18</v>
      </c>
      <c r="AC1" s="16" t="s">
        <v>19</v>
      </c>
      <c r="AD1" s="16" t="s">
        <v>20</v>
      </c>
      <c r="AE1" s="16" t="s">
        <v>58</v>
      </c>
      <c r="AF1" s="16" t="s">
        <v>21</v>
      </c>
      <c r="AG1" s="74" t="s">
        <v>486</v>
      </c>
    </row>
    <row r="2" spans="1:33" ht="26" x14ac:dyDescent="0.2">
      <c r="A2" s="18">
        <v>1</v>
      </c>
      <c r="B2" s="13" t="s">
        <v>429</v>
      </c>
      <c r="C2" s="13" t="s">
        <v>574</v>
      </c>
      <c r="D2" s="10" t="s">
        <v>431</v>
      </c>
      <c r="E2" s="7" t="s">
        <v>22</v>
      </c>
      <c r="F2" s="40">
        <v>35</v>
      </c>
      <c r="G2" s="7" t="s">
        <v>432</v>
      </c>
      <c r="H2" s="7" t="s">
        <v>489</v>
      </c>
      <c r="I2" s="8" t="s">
        <v>433</v>
      </c>
      <c r="J2" s="8">
        <v>7</v>
      </c>
      <c r="K2" s="8">
        <v>37</v>
      </c>
      <c r="L2" s="8" t="s">
        <v>124</v>
      </c>
      <c r="M2" s="5" t="s">
        <v>434</v>
      </c>
      <c r="N2" s="11" t="s">
        <v>573</v>
      </c>
      <c r="O2" s="6">
        <f>(180/200*51100.94) + (20/200 * 38604.17)</f>
        <v>49851.263000000006</v>
      </c>
      <c r="P2" s="6">
        <v>500</v>
      </c>
      <c r="Q2" s="6">
        <v>530</v>
      </c>
      <c r="R2" s="20">
        <f>Q2-P2</f>
        <v>30</v>
      </c>
      <c r="S2" s="20">
        <v>79.69</v>
      </c>
      <c r="T2" s="20">
        <v>36.262</v>
      </c>
      <c r="U2" s="20">
        <f>S2*T2</f>
        <v>2889.7187800000002</v>
      </c>
      <c r="V2" s="20">
        <f>U2/22.4*64</f>
        <v>8256.3393714285721</v>
      </c>
      <c r="W2" s="3">
        <f>O2/8</f>
        <v>6231.4078750000008</v>
      </c>
      <c r="X2" s="3">
        <f>V2/8</f>
        <v>1032.0424214285715</v>
      </c>
      <c r="Y2" s="3">
        <f>R2/55.845</f>
        <v>0.53720118184260002</v>
      </c>
      <c r="Z2" s="3">
        <f>Y2+X2</f>
        <v>1032.5796226104142</v>
      </c>
      <c r="AA2" s="3">
        <f>X2/W2</f>
        <v>0.16561946226775781</v>
      </c>
      <c r="AB2" s="3">
        <f>Y2/W2</f>
        <v>8.6208637376766151E-5</v>
      </c>
      <c r="AC2" s="3">
        <f>X2/Z2</f>
        <v>0.99947974841834997</v>
      </c>
      <c r="AD2" s="3">
        <f>Z2/W2</f>
        <v>0.16570567090513458</v>
      </c>
      <c r="AE2" s="3">
        <f>W2-Y2-X2</f>
        <v>5198.8282523895869</v>
      </c>
      <c r="AF2" s="3">
        <f>AE2/W2</f>
        <v>0.83429432909486545</v>
      </c>
      <c r="AG2" s="75" t="str">
        <f>IF(H2="","",IF(AD2="NC","NC",IF(OR(AD2&lt;0,AD2&gt;1),"Excluded",IF(OR(H2="Total COD",H2="Mixed"),"Lower bound",IF(OR(H2="Defined substrate",H2="Biodegradable COD"),"As calculated","CHECK")))))</f>
        <v>Lower bound</v>
      </c>
    </row>
    <row r="3" spans="1:33" ht="26" x14ac:dyDescent="0.2">
      <c r="A3" s="18">
        <v>2</v>
      </c>
      <c r="B3" s="13" t="s">
        <v>429</v>
      </c>
      <c r="C3" s="13" t="s">
        <v>435</v>
      </c>
      <c r="D3" s="10" t="s">
        <v>431</v>
      </c>
      <c r="E3" s="7" t="s">
        <v>22</v>
      </c>
      <c r="F3" s="40">
        <v>750</v>
      </c>
      <c r="G3" s="7" t="s">
        <v>432</v>
      </c>
      <c r="H3" s="7" t="s">
        <v>489</v>
      </c>
      <c r="I3" s="8" t="s">
        <v>436</v>
      </c>
      <c r="J3" s="8">
        <v>7</v>
      </c>
      <c r="K3" s="8">
        <v>37</v>
      </c>
      <c r="L3" s="8" t="s">
        <v>124</v>
      </c>
      <c r="M3" s="5" t="s">
        <v>434</v>
      </c>
      <c r="N3" s="11" t="s">
        <v>573</v>
      </c>
      <c r="O3" s="6">
        <f t="shared" ref="O3:O6" si="0">(180/200*51100.94) + (20/200 * 38604.17)</f>
        <v>49851.263000000006</v>
      </c>
      <c r="P3" s="6">
        <v>500</v>
      </c>
      <c r="Q3" s="6">
        <v>1200</v>
      </c>
      <c r="R3" s="20">
        <f t="shared" ref="R3:R6" si="1">Q3-P3</f>
        <v>700</v>
      </c>
      <c r="S3" s="20">
        <v>83.25</v>
      </c>
      <c r="T3" s="20">
        <v>36.262</v>
      </c>
      <c r="U3" s="20">
        <f t="shared" ref="U3:U6" si="2">S3*T3</f>
        <v>3018.8115000000003</v>
      </c>
      <c r="V3" s="20">
        <f t="shared" ref="V3:V6" si="3">U3/22.4*64</f>
        <v>8625.175714285715</v>
      </c>
      <c r="W3" s="3">
        <f t="shared" ref="W3:W6" si="4">O3/8</f>
        <v>6231.4078750000008</v>
      </c>
      <c r="X3" s="3">
        <f t="shared" ref="X3:X6" si="5">V3/8</f>
        <v>1078.1469642857144</v>
      </c>
      <c r="Y3" s="3">
        <f t="shared" ref="Y3:Y6" si="6">R3/55.845</f>
        <v>12.534694242994002</v>
      </c>
      <c r="Z3" s="3">
        <f t="shared" ref="Z3:Z6" si="7">Y3+X3</f>
        <v>1090.6816585287083</v>
      </c>
      <c r="AA3" s="3">
        <f t="shared" ref="AA3:AA6" si="8">X3/W3</f>
        <v>0.17301819844134569</v>
      </c>
      <c r="AB3" s="3">
        <f t="shared" ref="AB3:AB6" si="9">Y3/W3</f>
        <v>2.0115348721245437E-3</v>
      </c>
      <c r="AC3" s="3">
        <f t="shared" ref="AC3:AC6" si="10">X3/Z3</f>
        <v>0.9885074676510992</v>
      </c>
      <c r="AD3" s="3">
        <f t="shared" ref="AD3:AD6" si="11">Z3/W3</f>
        <v>0.17502973331347021</v>
      </c>
      <c r="AE3" s="3">
        <f>W3-Y3-X3</f>
        <v>5140.726216471292</v>
      </c>
      <c r="AF3" s="3">
        <f t="shared" ref="AF3:AF6" si="12">AE3/W3</f>
        <v>0.82497026668652973</v>
      </c>
      <c r="AG3" s="75" t="str">
        <f t="shared" ref="AG3:AG6" si="13">IF(H3="","",IF(AD3="NC","NC",IF(OR(AD3&lt;0,AD3&gt;1),"Excluded",IF(OR(H3="Total COD",H3="Mixed"),"Lower bound",IF(OR(H3="Defined substrate",H3="Biodegradable COD"),"As calculated","CHECK")))))</f>
        <v>Lower bound</v>
      </c>
    </row>
    <row r="4" spans="1:33" ht="26" x14ac:dyDescent="0.2">
      <c r="A4" s="18">
        <v>3</v>
      </c>
      <c r="B4" s="13" t="s">
        <v>429</v>
      </c>
      <c r="C4" s="13" t="s">
        <v>437</v>
      </c>
      <c r="D4" s="10" t="s">
        <v>431</v>
      </c>
      <c r="E4" s="7" t="s">
        <v>22</v>
      </c>
      <c r="F4" s="40">
        <v>1470</v>
      </c>
      <c r="G4" s="7" t="s">
        <v>432</v>
      </c>
      <c r="H4" s="7" t="s">
        <v>489</v>
      </c>
      <c r="I4" s="8" t="s">
        <v>438</v>
      </c>
      <c r="J4" s="8">
        <v>7</v>
      </c>
      <c r="K4" s="8">
        <v>37</v>
      </c>
      <c r="L4" s="8" t="s">
        <v>124</v>
      </c>
      <c r="M4" s="5" t="s">
        <v>434</v>
      </c>
      <c r="N4" s="11" t="s">
        <v>573</v>
      </c>
      <c r="O4" s="6">
        <f t="shared" si="0"/>
        <v>49851.263000000006</v>
      </c>
      <c r="P4" s="6">
        <v>500</v>
      </c>
      <c r="Q4" s="6">
        <v>1950</v>
      </c>
      <c r="R4" s="20">
        <f t="shared" si="1"/>
        <v>1450</v>
      </c>
      <c r="S4" s="20">
        <v>75.28</v>
      </c>
      <c r="T4" s="20">
        <v>36.262</v>
      </c>
      <c r="U4" s="20">
        <f t="shared" si="2"/>
        <v>2729.8033599999999</v>
      </c>
      <c r="V4" s="20">
        <f t="shared" si="3"/>
        <v>7799.4381714285719</v>
      </c>
      <c r="W4" s="3">
        <f t="shared" si="4"/>
        <v>6231.4078750000008</v>
      </c>
      <c r="X4" s="3">
        <f t="shared" si="5"/>
        <v>974.92977142857148</v>
      </c>
      <c r="Y4" s="3">
        <f t="shared" si="6"/>
        <v>25.964723789059004</v>
      </c>
      <c r="Z4" s="3">
        <f t="shared" si="7"/>
        <v>1000.8944952176305</v>
      </c>
      <c r="AA4" s="3">
        <f t="shared" si="8"/>
        <v>0.15645417391789193</v>
      </c>
      <c r="AB4" s="3">
        <f t="shared" si="9"/>
        <v>4.1667508065436976E-3</v>
      </c>
      <c r="AC4" s="3">
        <f t="shared" si="10"/>
        <v>0.97405848077582513</v>
      </c>
      <c r="AD4" s="3">
        <f t="shared" si="11"/>
        <v>0.16062092472443562</v>
      </c>
      <c r="AE4" s="3">
        <f>W4-Y4-X4</f>
        <v>5230.513379782371</v>
      </c>
      <c r="AF4" s="3">
        <f t="shared" si="12"/>
        <v>0.83937907527556443</v>
      </c>
      <c r="AG4" s="75" t="str">
        <f t="shared" si="13"/>
        <v>Lower bound</v>
      </c>
    </row>
    <row r="5" spans="1:33" ht="26" x14ac:dyDescent="0.2">
      <c r="A5" s="18">
        <v>4</v>
      </c>
      <c r="B5" s="13" t="s">
        <v>429</v>
      </c>
      <c r="C5" s="13" t="s">
        <v>439</v>
      </c>
      <c r="D5" s="10" t="s">
        <v>431</v>
      </c>
      <c r="E5" s="7" t="s">
        <v>22</v>
      </c>
      <c r="F5" s="40">
        <v>2180</v>
      </c>
      <c r="G5" s="7" t="s">
        <v>432</v>
      </c>
      <c r="H5" s="7" t="s">
        <v>489</v>
      </c>
      <c r="I5" s="8" t="s">
        <v>440</v>
      </c>
      <c r="J5" s="8">
        <v>7</v>
      </c>
      <c r="K5" s="8">
        <v>37</v>
      </c>
      <c r="L5" s="8" t="s">
        <v>124</v>
      </c>
      <c r="M5" s="5" t="s">
        <v>434</v>
      </c>
      <c r="N5" s="11" t="s">
        <v>573</v>
      </c>
      <c r="O5" s="6">
        <f t="shared" si="0"/>
        <v>49851.263000000006</v>
      </c>
      <c r="P5" s="6">
        <v>500</v>
      </c>
      <c r="Q5" s="6">
        <v>2620</v>
      </c>
      <c r="R5" s="20">
        <f t="shared" si="1"/>
        <v>2120</v>
      </c>
      <c r="S5" s="20">
        <v>48.7</v>
      </c>
      <c r="T5" s="20">
        <v>36.262</v>
      </c>
      <c r="U5" s="20">
        <f t="shared" si="2"/>
        <v>1765.9594000000002</v>
      </c>
      <c r="V5" s="20">
        <f t="shared" si="3"/>
        <v>5045.5982857142862</v>
      </c>
      <c r="W5" s="3">
        <f t="shared" si="4"/>
        <v>6231.4078750000008</v>
      </c>
      <c r="X5" s="3">
        <f t="shared" si="5"/>
        <v>630.69978571428578</v>
      </c>
      <c r="Y5" s="3">
        <f t="shared" si="6"/>
        <v>37.962216850210403</v>
      </c>
      <c r="Z5" s="3">
        <f t="shared" si="7"/>
        <v>668.66200256449622</v>
      </c>
      <c r="AA5" s="3">
        <f t="shared" si="8"/>
        <v>0.10121304821733976</v>
      </c>
      <c r="AB5" s="3">
        <f t="shared" si="9"/>
        <v>6.092077041291475E-3</v>
      </c>
      <c r="AC5" s="3">
        <f t="shared" si="10"/>
        <v>0.94322659773605311</v>
      </c>
      <c r="AD5" s="3">
        <f t="shared" si="11"/>
        <v>0.10730512525863124</v>
      </c>
      <c r="AE5" s="3">
        <f>W5-Y5-X5</f>
        <v>5562.7458724355047</v>
      </c>
      <c r="AF5" s="3">
        <f t="shared" si="12"/>
        <v>0.89269487474136877</v>
      </c>
      <c r="AG5" s="75" t="str">
        <f t="shared" si="13"/>
        <v>Lower bound</v>
      </c>
    </row>
    <row r="6" spans="1:33" ht="26" x14ac:dyDescent="0.2">
      <c r="A6" s="18">
        <v>5</v>
      </c>
      <c r="B6" s="13" t="s">
        <v>429</v>
      </c>
      <c r="C6" s="13" t="s">
        <v>441</v>
      </c>
      <c r="D6" s="10" t="s">
        <v>431</v>
      </c>
      <c r="E6" s="7" t="s">
        <v>22</v>
      </c>
      <c r="F6" s="40">
        <v>2900</v>
      </c>
      <c r="G6" s="7" t="s">
        <v>432</v>
      </c>
      <c r="H6" s="7" t="s">
        <v>489</v>
      </c>
      <c r="I6" s="8" t="s">
        <v>442</v>
      </c>
      <c r="J6" s="8">
        <v>7</v>
      </c>
      <c r="K6" s="8">
        <v>37</v>
      </c>
      <c r="L6" s="8" t="s">
        <v>124</v>
      </c>
      <c r="M6" s="5" t="s">
        <v>434</v>
      </c>
      <c r="N6" s="11" t="s">
        <v>573</v>
      </c>
      <c r="O6" s="6">
        <f t="shared" si="0"/>
        <v>49851.263000000006</v>
      </c>
      <c r="P6" s="6">
        <v>500</v>
      </c>
      <c r="Q6" s="6">
        <v>3330</v>
      </c>
      <c r="R6" s="20">
        <f t="shared" si="1"/>
        <v>2830</v>
      </c>
      <c r="S6" s="20">
        <v>45</v>
      </c>
      <c r="T6" s="20">
        <v>36.262</v>
      </c>
      <c r="U6" s="20">
        <f t="shared" si="2"/>
        <v>1631.79</v>
      </c>
      <c r="V6" s="20">
        <f t="shared" si="3"/>
        <v>4662.2571428571428</v>
      </c>
      <c r="W6" s="3">
        <f t="shared" si="4"/>
        <v>6231.4078750000008</v>
      </c>
      <c r="X6" s="3">
        <f t="shared" si="5"/>
        <v>582.78214285714284</v>
      </c>
      <c r="Y6" s="3">
        <f t="shared" si="6"/>
        <v>50.675978153818605</v>
      </c>
      <c r="Z6" s="3">
        <f t="shared" si="7"/>
        <v>633.45812101096146</v>
      </c>
      <c r="AA6" s="3">
        <f t="shared" si="8"/>
        <v>9.3523350508835493E-2</v>
      </c>
      <c r="AB6" s="3">
        <f t="shared" si="9"/>
        <v>8.1323481258749417E-3</v>
      </c>
      <c r="AC6" s="3">
        <f t="shared" si="10"/>
        <v>0.92000106009700722</v>
      </c>
      <c r="AD6" s="3">
        <f t="shared" si="11"/>
        <v>0.10165569863471044</v>
      </c>
      <c r="AE6" s="3">
        <f>W6-Y6-X6</f>
        <v>5597.9497539890399</v>
      </c>
      <c r="AF6" s="3">
        <f t="shared" si="12"/>
        <v>0.89834430136528964</v>
      </c>
      <c r="AG6" s="75" t="str">
        <f t="shared" si="13"/>
        <v>Lower bound</v>
      </c>
    </row>
    <row r="7" spans="1:33" ht="17" thickBot="1" x14ac:dyDescent="0.25"/>
    <row r="8" spans="1:33" x14ac:dyDescent="0.2">
      <c r="A8" s="99" t="s">
        <v>342</v>
      </c>
      <c r="B8" s="100"/>
      <c r="C8" s="100"/>
      <c r="D8" s="101"/>
      <c r="E8" s="28"/>
      <c r="F8" s="28"/>
    </row>
    <row r="9" spans="1:33" x14ac:dyDescent="0.2">
      <c r="A9" s="102"/>
      <c r="B9" s="103"/>
      <c r="C9" s="103"/>
      <c r="D9" s="104"/>
      <c r="E9" s="28"/>
      <c r="F9" s="28"/>
    </row>
    <row r="10" spans="1:33" x14ac:dyDescent="0.2">
      <c r="A10" s="102"/>
      <c r="B10" s="103"/>
      <c r="C10" s="103"/>
      <c r="D10" s="104"/>
      <c r="E10" s="28"/>
      <c r="F10" s="28"/>
    </row>
    <row r="11" spans="1:33" ht="17" thickBot="1" x14ac:dyDescent="0.25">
      <c r="A11" s="105"/>
      <c r="B11" s="106"/>
      <c r="C11" s="106"/>
      <c r="D11" s="107"/>
      <c r="E11" s="28"/>
      <c r="F11" s="28"/>
    </row>
    <row r="12" spans="1:33" ht="17" thickBot="1" x14ac:dyDescent="0.25"/>
    <row r="13" spans="1:33" x14ac:dyDescent="0.2">
      <c r="A13" s="126" t="s">
        <v>488</v>
      </c>
      <c r="B13" s="127"/>
      <c r="C13" s="127"/>
      <c r="D13" s="127"/>
      <c r="E13" s="127"/>
      <c r="F13" s="128"/>
    </row>
    <row r="14" spans="1:33" x14ac:dyDescent="0.2">
      <c r="A14" s="129"/>
      <c r="B14" s="130"/>
      <c r="C14" s="130"/>
      <c r="D14" s="130"/>
      <c r="E14" s="130"/>
      <c r="F14" s="131"/>
    </row>
    <row r="15" spans="1:33" x14ac:dyDescent="0.2">
      <c r="A15" s="129"/>
      <c r="B15" s="130"/>
      <c r="C15" s="130"/>
      <c r="D15" s="130"/>
      <c r="E15" s="130"/>
      <c r="F15" s="131"/>
    </row>
    <row r="16" spans="1:33" x14ac:dyDescent="0.2">
      <c r="A16" s="129"/>
      <c r="B16" s="130"/>
      <c r="C16" s="130"/>
      <c r="D16" s="130"/>
      <c r="E16" s="130"/>
      <c r="F16" s="131"/>
    </row>
    <row r="17" spans="1:6" x14ac:dyDescent="0.2">
      <c r="A17" s="129"/>
      <c r="B17" s="130"/>
      <c r="C17" s="130"/>
      <c r="D17" s="130"/>
      <c r="E17" s="130"/>
      <c r="F17" s="131"/>
    </row>
    <row r="18" spans="1:6" x14ac:dyDescent="0.2">
      <c r="A18" s="129"/>
      <c r="B18" s="130"/>
      <c r="C18" s="130"/>
      <c r="D18" s="130"/>
      <c r="E18" s="130"/>
      <c r="F18" s="131"/>
    </row>
    <row r="19" spans="1:6" x14ac:dyDescent="0.2">
      <c r="A19" s="129"/>
      <c r="B19" s="130"/>
      <c r="C19" s="130"/>
      <c r="D19" s="130"/>
      <c r="E19" s="130"/>
      <c r="F19" s="131"/>
    </row>
    <row r="20" spans="1:6" ht="17" thickBot="1" x14ac:dyDescent="0.25">
      <c r="A20" s="132"/>
      <c r="B20" s="133"/>
      <c r="C20" s="133"/>
      <c r="D20" s="133"/>
      <c r="E20" s="133"/>
      <c r="F20" s="134"/>
    </row>
  </sheetData>
  <mergeCells count="2">
    <mergeCell ref="A8:D11"/>
    <mergeCell ref="A13:F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DBED3-2CD4-3148-99C3-F83511FF381D}">
  <dimension ref="A1:GM25"/>
  <sheetViews>
    <sheetView topLeftCell="E1" zoomScale="158" zoomScaleNormal="400" workbookViewId="0">
      <selection activeCell="AG8" sqref="AG8"/>
    </sheetView>
  </sheetViews>
  <sheetFormatPr baseColWidth="10" defaultRowHeight="16" x14ac:dyDescent="0.2"/>
  <cols>
    <col min="1" max="1" width="4.1640625" style="1" customWidth="1"/>
    <col min="2" max="2" width="19" customWidth="1"/>
    <col min="3" max="3" width="17" customWidth="1"/>
    <col min="4" max="4" width="20.83203125" customWidth="1"/>
    <col min="5" max="5" width="13" customWidth="1"/>
    <col min="6" max="6" width="16.33203125" customWidth="1"/>
    <col min="7" max="8" width="16" customWidth="1"/>
    <col min="9" max="9" width="34.6640625" customWidth="1"/>
    <col min="10" max="10" width="11" customWidth="1"/>
    <col min="11" max="11" width="5.83203125" customWidth="1"/>
    <col min="12" max="12" width="9" customWidth="1"/>
    <col min="13" max="13" width="17" customWidth="1"/>
    <col min="14" max="14" width="26.6640625" customWidth="1"/>
    <col min="28" max="29" width="13" customWidth="1"/>
  </cols>
  <sheetData>
    <row r="1" spans="1:195" s="2" customFormat="1" ht="52" x14ac:dyDescent="0.2">
      <c r="A1" s="18" t="s">
        <v>77</v>
      </c>
      <c r="B1" s="17" t="s">
        <v>38</v>
      </c>
      <c r="C1" s="17" t="s">
        <v>0</v>
      </c>
      <c r="D1" s="12" t="s">
        <v>1</v>
      </c>
      <c r="E1" s="12" t="s">
        <v>3</v>
      </c>
      <c r="F1" s="12" t="s">
        <v>443</v>
      </c>
      <c r="G1" s="12" t="s">
        <v>4</v>
      </c>
      <c r="H1" s="12" t="s">
        <v>487</v>
      </c>
      <c r="I1" s="12" t="s">
        <v>5</v>
      </c>
      <c r="J1" s="12" t="s">
        <v>6</v>
      </c>
      <c r="K1" s="12" t="s">
        <v>7</v>
      </c>
      <c r="L1" s="12" t="s">
        <v>247</v>
      </c>
      <c r="M1" s="14" t="s">
        <v>49</v>
      </c>
      <c r="N1" s="14" t="s">
        <v>2</v>
      </c>
      <c r="O1" s="15" t="s">
        <v>9</v>
      </c>
      <c r="P1" s="15" t="s">
        <v>444</v>
      </c>
      <c r="Q1" s="15" t="s">
        <v>445</v>
      </c>
      <c r="R1" s="15" t="s">
        <v>446</v>
      </c>
      <c r="S1" s="15" t="s">
        <v>447</v>
      </c>
      <c r="T1" s="15" t="s">
        <v>448</v>
      </c>
      <c r="U1" s="15" t="s">
        <v>449</v>
      </c>
      <c r="V1" s="15" t="s">
        <v>450</v>
      </c>
      <c r="W1" s="15" t="s">
        <v>451</v>
      </c>
      <c r="X1" s="15" t="s">
        <v>452</v>
      </c>
      <c r="Y1" s="15" t="s">
        <v>349</v>
      </c>
      <c r="Z1" s="16" t="s">
        <v>16</v>
      </c>
      <c r="AA1" s="16" t="s">
        <v>55</v>
      </c>
      <c r="AB1" s="16" t="s">
        <v>56</v>
      </c>
      <c r="AC1" s="16" t="s">
        <v>57</v>
      </c>
      <c r="AD1" s="16" t="s">
        <v>17</v>
      </c>
      <c r="AE1" s="16" t="s">
        <v>18</v>
      </c>
      <c r="AF1" s="16" t="s">
        <v>19</v>
      </c>
      <c r="AG1" s="16" t="s">
        <v>20</v>
      </c>
      <c r="AH1" s="16" t="s">
        <v>58</v>
      </c>
      <c r="AI1" s="16" t="s">
        <v>21</v>
      </c>
      <c r="AJ1" s="74" t="s">
        <v>486</v>
      </c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</row>
    <row r="2" spans="1:195" x14ac:dyDescent="0.2">
      <c r="A2" s="18">
        <v>1</v>
      </c>
      <c r="B2" s="13" t="s">
        <v>575</v>
      </c>
      <c r="C2" s="13" t="s">
        <v>453</v>
      </c>
      <c r="D2" s="10" t="s">
        <v>454</v>
      </c>
      <c r="E2" s="7" t="s">
        <v>86</v>
      </c>
      <c r="F2" s="40">
        <v>4500</v>
      </c>
      <c r="G2" s="7" t="s">
        <v>24</v>
      </c>
      <c r="H2" s="7" t="s">
        <v>515</v>
      </c>
      <c r="I2" s="8" t="s">
        <v>455</v>
      </c>
      <c r="J2" s="8" t="s">
        <v>456</v>
      </c>
      <c r="K2" s="8" t="s">
        <v>462</v>
      </c>
      <c r="L2" s="8">
        <v>5</v>
      </c>
      <c r="M2" s="5" t="s">
        <v>434</v>
      </c>
      <c r="N2" s="11" t="s">
        <v>457</v>
      </c>
      <c r="O2" s="19">
        <f>311.85*1000/5.1</f>
        <v>61147.058823529413</v>
      </c>
      <c r="P2" s="19" t="s">
        <v>124</v>
      </c>
      <c r="Q2" s="19" t="s">
        <v>124</v>
      </c>
      <c r="R2" s="19" t="s">
        <v>135</v>
      </c>
      <c r="S2" s="6">
        <v>39.92</v>
      </c>
      <c r="T2" s="20">
        <f>S2*1000/5.1</f>
        <v>7827.4509803921574</v>
      </c>
      <c r="U2" s="20" t="s">
        <v>124</v>
      </c>
      <c r="V2" s="6" t="s">
        <v>124</v>
      </c>
      <c r="W2" s="6" t="s">
        <v>124</v>
      </c>
      <c r="X2" s="6">
        <v>7.57</v>
      </c>
      <c r="Y2" s="20">
        <f>X2*1000/5.1</f>
        <v>1484.3137254901962</v>
      </c>
      <c r="Z2" s="3">
        <f>O2/8</f>
        <v>7643.3823529411766</v>
      </c>
      <c r="AA2" s="3">
        <f>Y2/8</f>
        <v>185.53921568627453</v>
      </c>
      <c r="AB2" s="3">
        <f>T2/8</f>
        <v>978.43137254901967</v>
      </c>
      <c r="AC2" s="3">
        <f>AA2+AB2</f>
        <v>1163.9705882352941</v>
      </c>
      <c r="AD2" s="3">
        <f>AA2/Z2</f>
        <v>2.4274490941157609E-2</v>
      </c>
      <c r="AE2" s="3">
        <f>AB2/Z2</f>
        <v>0.12801026134359469</v>
      </c>
      <c r="AF2" s="3">
        <f>AA2/AC2</f>
        <v>0.15940197936407666</v>
      </c>
      <c r="AG2" s="3">
        <f>AC2/Z2</f>
        <v>0.15228475228475227</v>
      </c>
      <c r="AH2" s="3">
        <f>Z2-AA2-AB2</f>
        <v>6479.4117647058829</v>
      </c>
      <c r="AI2" s="3">
        <f>AH2/Z2</f>
        <v>0.84771524771524775</v>
      </c>
      <c r="AJ2" s="75" t="str">
        <f>IF(H2="","",IF(AG2="NC","NC",IF(OR(AG2&lt;0,AG2&gt;1),"Excluded",IF(OR(H2="Total COD",H2="Mixed"),"Lower bound",IF(OR(H2="Defined substrate",H2="Biodegradable COD"),"As calculated","CHECK")))))</f>
        <v>As calculated</v>
      </c>
    </row>
    <row r="3" spans="1:195" x14ac:dyDescent="0.2">
      <c r="A3" s="18">
        <v>2</v>
      </c>
      <c r="B3" s="13" t="s">
        <v>575</v>
      </c>
      <c r="C3" s="13" t="s">
        <v>458</v>
      </c>
      <c r="D3" s="10" t="s">
        <v>454</v>
      </c>
      <c r="E3" s="7" t="s">
        <v>86</v>
      </c>
      <c r="F3" s="40">
        <v>4500</v>
      </c>
      <c r="G3" s="7" t="s">
        <v>459</v>
      </c>
      <c r="H3" s="7" t="s">
        <v>515</v>
      </c>
      <c r="I3" s="43" t="s">
        <v>460</v>
      </c>
      <c r="J3" s="43" t="s">
        <v>461</v>
      </c>
      <c r="K3" s="8" t="s">
        <v>462</v>
      </c>
      <c r="L3" s="8">
        <v>5</v>
      </c>
      <c r="M3" s="5" t="s">
        <v>434</v>
      </c>
      <c r="N3" s="11" t="s">
        <v>463</v>
      </c>
      <c r="O3" s="19">
        <f>(441.18*1000+28.85*1000)/2.1</f>
        <v>223823.80952380953</v>
      </c>
      <c r="P3" s="19" t="s">
        <v>124</v>
      </c>
      <c r="Q3" s="19" t="s">
        <v>124</v>
      </c>
      <c r="R3" s="19" t="s">
        <v>135</v>
      </c>
      <c r="S3" s="6">
        <v>127.41</v>
      </c>
      <c r="T3" s="20">
        <f>S3*1000/2.1</f>
        <v>60671.428571428572</v>
      </c>
      <c r="U3" s="20" t="s">
        <v>124</v>
      </c>
      <c r="V3" s="6" t="s">
        <v>124</v>
      </c>
      <c r="W3" s="6" t="s">
        <v>124</v>
      </c>
      <c r="X3" s="6">
        <v>226.84</v>
      </c>
      <c r="Y3" s="20">
        <f>X3*1000/2.1</f>
        <v>108019.04761904762</v>
      </c>
      <c r="Z3" s="3">
        <f>O3/8</f>
        <v>27977.976190476191</v>
      </c>
      <c r="AA3" s="3">
        <f>Y3/8</f>
        <v>13502.380952380952</v>
      </c>
      <c r="AB3" s="3">
        <f>T3/8</f>
        <v>7583.9285714285716</v>
      </c>
      <c r="AC3" s="3">
        <f t="shared" ref="AC3:AC11" si="0">AA3+AB3</f>
        <v>21086.309523809523</v>
      </c>
      <c r="AD3" s="3">
        <f t="shared" ref="AD3:AD11" si="1">AA3/Z3</f>
        <v>0.4826074931387358</v>
      </c>
      <c r="AE3" s="3">
        <f t="shared" ref="AE3:AE11" si="2">AB3/Z3</f>
        <v>0.27106780418271176</v>
      </c>
      <c r="AF3" s="3">
        <f t="shared" ref="AF3:AF11" si="3">AA3/AC3</f>
        <v>0.64033874382498235</v>
      </c>
      <c r="AG3" s="3">
        <f t="shared" ref="AG3:AG11" si="4">AC3/Z3</f>
        <v>0.75367529732144756</v>
      </c>
      <c r="AH3" s="3">
        <f t="shared" ref="AH3:AH11" si="5">Z3-AA3-AB3</f>
        <v>6891.666666666667</v>
      </c>
      <c r="AI3" s="3">
        <f t="shared" ref="AI3:AI11" si="6">AH3/Z3</f>
        <v>0.24632470267855244</v>
      </c>
      <c r="AJ3" s="75" t="str">
        <f t="shared" ref="AJ3:AJ11" si="7">IF(H3="","",IF(AG3="NC","NC",IF(OR(AG3&lt;0,AG3&gt;1),"Excluded",IF(OR(H3="Total COD",H3="Mixed"),"Lower bound",IF(OR(H3="Defined substrate",H3="Biodegradable COD"),"As calculated","CHECK")))))</f>
        <v>As calculated</v>
      </c>
    </row>
    <row r="4" spans="1:195" x14ac:dyDescent="0.2">
      <c r="A4" s="18">
        <v>3</v>
      </c>
      <c r="B4" s="13" t="s">
        <v>464</v>
      </c>
      <c r="C4" s="13" t="s">
        <v>465</v>
      </c>
      <c r="D4" s="10" t="s">
        <v>466</v>
      </c>
      <c r="E4" s="7" t="s">
        <v>157</v>
      </c>
      <c r="F4" s="40">
        <v>1300</v>
      </c>
      <c r="G4" s="7" t="s">
        <v>576</v>
      </c>
      <c r="H4" s="7" t="s">
        <v>515</v>
      </c>
      <c r="I4" s="8" t="s">
        <v>467</v>
      </c>
      <c r="J4" s="8" t="s">
        <v>135</v>
      </c>
      <c r="K4" s="8">
        <v>37</v>
      </c>
      <c r="L4" s="8">
        <v>0.25</v>
      </c>
      <c r="M4" s="5" t="s">
        <v>434</v>
      </c>
      <c r="N4" s="11" t="s">
        <v>577</v>
      </c>
      <c r="O4" s="6">
        <v>1600</v>
      </c>
      <c r="P4" s="19" t="s">
        <v>124</v>
      </c>
      <c r="Q4" s="6">
        <v>83.1</v>
      </c>
      <c r="R4" s="6">
        <f>F4*Q4/100</f>
        <v>1080.3</v>
      </c>
      <c r="S4" s="6" t="s">
        <v>124</v>
      </c>
      <c r="T4" s="20">
        <f>R4*64/96</f>
        <v>720.19999999999993</v>
      </c>
      <c r="U4" s="20" t="s">
        <v>124</v>
      </c>
      <c r="V4" s="6">
        <v>39.4</v>
      </c>
      <c r="W4" s="20">
        <f>V4/(0.7/0.25)</f>
        <v>14.071428571428571</v>
      </c>
      <c r="X4" s="6" t="s">
        <v>124</v>
      </c>
      <c r="Y4" s="20">
        <f>W4/22.4*64</f>
        <v>40.204081632653065</v>
      </c>
      <c r="Z4" s="3">
        <f>O4/8</f>
        <v>200</v>
      </c>
      <c r="AA4" s="3">
        <f t="shared" ref="AA4:AA11" si="8">Y4/8</f>
        <v>5.0255102040816331</v>
      </c>
      <c r="AB4" s="3">
        <f t="shared" ref="AB4:AB11" si="9">T4/8</f>
        <v>90.024999999999991</v>
      </c>
      <c r="AC4" s="3">
        <f t="shared" si="0"/>
        <v>95.050510204081618</v>
      </c>
      <c r="AD4" s="3">
        <f t="shared" si="1"/>
        <v>2.5127551020408166E-2</v>
      </c>
      <c r="AE4" s="3">
        <f t="shared" si="2"/>
        <v>0.45012499999999994</v>
      </c>
      <c r="AF4" s="3">
        <f t="shared" si="3"/>
        <v>5.2871996092303246E-2</v>
      </c>
      <c r="AG4" s="3">
        <f t="shared" si="4"/>
        <v>0.47525255102040809</v>
      </c>
      <c r="AH4" s="3">
        <f t="shared" si="5"/>
        <v>104.94948979591838</v>
      </c>
      <c r="AI4" s="3">
        <f t="shared" si="6"/>
        <v>0.52474744897959191</v>
      </c>
      <c r="AJ4" s="75" t="str">
        <f t="shared" si="7"/>
        <v>As calculated</v>
      </c>
    </row>
    <row r="5" spans="1:195" x14ac:dyDescent="0.2">
      <c r="A5" s="18">
        <v>4</v>
      </c>
      <c r="B5" s="13" t="s">
        <v>464</v>
      </c>
      <c r="C5" s="13" t="s">
        <v>468</v>
      </c>
      <c r="D5" s="10" t="s">
        <v>466</v>
      </c>
      <c r="E5" s="7" t="s">
        <v>157</v>
      </c>
      <c r="F5" s="40">
        <v>1300</v>
      </c>
      <c r="G5" s="7" t="s">
        <v>576</v>
      </c>
      <c r="H5" s="7" t="s">
        <v>515</v>
      </c>
      <c r="I5" s="8" t="s">
        <v>469</v>
      </c>
      <c r="J5" s="8" t="s">
        <v>135</v>
      </c>
      <c r="K5" s="8">
        <v>37</v>
      </c>
      <c r="L5" s="8">
        <v>0.25</v>
      </c>
      <c r="M5" s="5" t="s">
        <v>434</v>
      </c>
      <c r="N5" s="11" t="s">
        <v>577</v>
      </c>
      <c r="O5" s="6">
        <v>1600</v>
      </c>
      <c r="P5" s="19" t="s">
        <v>124</v>
      </c>
      <c r="Q5" s="6">
        <v>80.3</v>
      </c>
      <c r="R5" s="6">
        <f>F5*Q5/100</f>
        <v>1043.9000000000001</v>
      </c>
      <c r="S5" s="6" t="s">
        <v>124</v>
      </c>
      <c r="T5" s="20">
        <f>R5*64/96</f>
        <v>695.93333333333339</v>
      </c>
      <c r="U5" s="20" t="s">
        <v>124</v>
      </c>
      <c r="V5" s="6">
        <v>159.9</v>
      </c>
      <c r="W5" s="20">
        <f>V5/(0.7/0.25)</f>
        <v>57.107142857142861</v>
      </c>
      <c r="X5" s="6" t="s">
        <v>124</v>
      </c>
      <c r="Y5" s="20">
        <f>W5/22.4*64</f>
        <v>163.16326530612247</v>
      </c>
      <c r="Z5" s="3">
        <f>O5/8</f>
        <v>200</v>
      </c>
      <c r="AA5" s="3">
        <f t="shared" si="8"/>
        <v>20.395408163265309</v>
      </c>
      <c r="AB5" s="3">
        <f t="shared" si="9"/>
        <v>86.991666666666674</v>
      </c>
      <c r="AC5" s="3">
        <f t="shared" si="0"/>
        <v>107.38707482993198</v>
      </c>
      <c r="AD5" s="3">
        <f t="shared" si="1"/>
        <v>0.10197704081632654</v>
      </c>
      <c r="AE5" s="3">
        <f t="shared" si="2"/>
        <v>0.43495833333333339</v>
      </c>
      <c r="AF5" s="3">
        <f t="shared" si="3"/>
        <v>0.18992423618545665</v>
      </c>
      <c r="AG5" s="3">
        <f t="shared" si="4"/>
        <v>0.53693537414965986</v>
      </c>
      <c r="AH5" s="3">
        <f t="shared" si="5"/>
        <v>92.612925170068024</v>
      </c>
      <c r="AI5" s="3">
        <f t="shared" si="6"/>
        <v>0.46306462585034014</v>
      </c>
      <c r="AJ5" s="75" t="str">
        <f t="shared" si="7"/>
        <v>As calculated</v>
      </c>
    </row>
    <row r="6" spans="1:195" x14ac:dyDescent="0.2">
      <c r="A6" s="18">
        <v>5</v>
      </c>
      <c r="B6" s="13" t="s">
        <v>578</v>
      </c>
      <c r="C6" s="13" t="s">
        <v>579</v>
      </c>
      <c r="D6" s="10" t="s">
        <v>471</v>
      </c>
      <c r="E6" s="7" t="s">
        <v>157</v>
      </c>
      <c r="F6" s="40">
        <v>100</v>
      </c>
      <c r="G6" s="7" t="s">
        <v>472</v>
      </c>
      <c r="H6" s="7" t="s">
        <v>515</v>
      </c>
      <c r="I6" s="8" t="s">
        <v>473</v>
      </c>
      <c r="J6" s="8" t="s">
        <v>474</v>
      </c>
      <c r="K6" s="8">
        <v>35</v>
      </c>
      <c r="L6" s="8">
        <v>0.25</v>
      </c>
      <c r="M6" s="5" t="s">
        <v>434</v>
      </c>
      <c r="N6" s="11" t="s">
        <v>475</v>
      </c>
      <c r="O6" s="6">
        <v>830.2</v>
      </c>
      <c r="P6" s="19" t="s">
        <v>124</v>
      </c>
      <c r="Q6" s="6">
        <v>80.900000000000006</v>
      </c>
      <c r="R6" s="6">
        <f>F6*Q6/100</f>
        <v>80.900000000000006</v>
      </c>
      <c r="S6" s="6" t="s">
        <v>124</v>
      </c>
      <c r="T6" s="20">
        <f>R6*64/96</f>
        <v>53.933333333333337</v>
      </c>
      <c r="U6" s="20">
        <f>72.4+2.2</f>
        <v>74.600000000000009</v>
      </c>
      <c r="V6" s="6" t="s">
        <v>124</v>
      </c>
      <c r="W6" s="6" t="s">
        <v>124</v>
      </c>
      <c r="X6" s="6" t="s">
        <v>124</v>
      </c>
      <c r="Y6" s="20">
        <f>U6*O6/100</f>
        <v>619.32920000000013</v>
      </c>
      <c r="Z6" s="3">
        <f t="shared" ref="Z6:Z11" si="10">O6/8</f>
        <v>103.77500000000001</v>
      </c>
      <c r="AA6" s="3">
        <f t="shared" si="8"/>
        <v>77.416150000000016</v>
      </c>
      <c r="AB6" s="3">
        <f t="shared" si="9"/>
        <v>6.7416666666666671</v>
      </c>
      <c r="AC6" s="3">
        <f t="shared" si="0"/>
        <v>84.15781666666669</v>
      </c>
      <c r="AD6" s="3">
        <f t="shared" si="1"/>
        <v>0.74600000000000011</v>
      </c>
      <c r="AE6" s="3">
        <f t="shared" si="2"/>
        <v>6.4964265638801894E-2</v>
      </c>
      <c r="AF6" s="3">
        <f t="shared" si="3"/>
        <v>0.9198925669213931</v>
      </c>
      <c r="AG6" s="3">
        <f t="shared" si="4"/>
        <v>0.81096426563880208</v>
      </c>
      <c r="AH6" s="3">
        <f t="shared" si="5"/>
        <v>19.617183333333323</v>
      </c>
      <c r="AI6" s="3">
        <f t="shared" si="6"/>
        <v>0.189035734361198</v>
      </c>
      <c r="AJ6" s="75" t="str">
        <f t="shared" si="7"/>
        <v>As calculated</v>
      </c>
    </row>
    <row r="7" spans="1:195" x14ac:dyDescent="0.2">
      <c r="A7" s="18">
        <v>6</v>
      </c>
      <c r="B7" s="13" t="s">
        <v>578</v>
      </c>
      <c r="C7" s="13" t="s">
        <v>580</v>
      </c>
      <c r="D7" s="10" t="s">
        <v>471</v>
      </c>
      <c r="E7" s="7" t="s">
        <v>157</v>
      </c>
      <c r="F7" s="40">
        <v>200</v>
      </c>
      <c r="G7" s="7" t="s">
        <v>472</v>
      </c>
      <c r="H7" s="7" t="s">
        <v>515</v>
      </c>
      <c r="I7" s="8" t="s">
        <v>476</v>
      </c>
      <c r="J7" s="8" t="s">
        <v>474</v>
      </c>
      <c r="K7" s="8">
        <v>35</v>
      </c>
      <c r="L7" s="8">
        <v>0.25</v>
      </c>
      <c r="M7" s="5" t="s">
        <v>434</v>
      </c>
      <c r="N7" s="11" t="s">
        <v>477</v>
      </c>
      <c r="O7" s="6">
        <v>928.6</v>
      </c>
      <c r="P7" s="19" t="s">
        <v>124</v>
      </c>
      <c r="Q7" s="6">
        <v>82.6</v>
      </c>
      <c r="R7" s="6">
        <f t="shared" ref="R7:R11" si="11">F7*Q7/100</f>
        <v>165.2</v>
      </c>
      <c r="S7" s="6" t="s">
        <v>124</v>
      </c>
      <c r="T7" s="20">
        <f t="shared" ref="T7:T11" si="12">R7*64/96</f>
        <v>110.13333333333333</v>
      </c>
      <c r="U7" s="20">
        <f>62.6+5</f>
        <v>67.599999999999994</v>
      </c>
      <c r="V7" s="6" t="s">
        <v>124</v>
      </c>
      <c r="W7" s="6" t="s">
        <v>124</v>
      </c>
      <c r="X7" s="6" t="s">
        <v>124</v>
      </c>
      <c r="Y7" s="20">
        <f t="shared" ref="Y7:Y11" si="13">U7*O7/100</f>
        <v>627.73359999999991</v>
      </c>
      <c r="Z7" s="3">
        <f t="shared" si="10"/>
        <v>116.075</v>
      </c>
      <c r="AA7" s="3">
        <f t="shared" si="8"/>
        <v>78.466699999999989</v>
      </c>
      <c r="AB7" s="3">
        <f t="shared" si="9"/>
        <v>13.766666666666666</v>
      </c>
      <c r="AC7" s="3">
        <f t="shared" si="0"/>
        <v>92.233366666666655</v>
      </c>
      <c r="AD7" s="3">
        <f t="shared" si="1"/>
        <v>0.67599999999999993</v>
      </c>
      <c r="AE7" s="3">
        <f t="shared" si="2"/>
        <v>0.11860147892885346</v>
      </c>
      <c r="AF7" s="3">
        <f t="shared" si="3"/>
        <v>0.85074092853598537</v>
      </c>
      <c r="AG7" s="3">
        <f t="shared" si="4"/>
        <v>0.79460147892885336</v>
      </c>
      <c r="AH7" s="3">
        <f t="shared" si="5"/>
        <v>23.841633333333348</v>
      </c>
      <c r="AI7" s="3">
        <f t="shared" si="6"/>
        <v>0.20539852107114664</v>
      </c>
      <c r="AJ7" s="75" t="str">
        <f t="shared" si="7"/>
        <v>As calculated</v>
      </c>
    </row>
    <row r="8" spans="1:195" x14ac:dyDescent="0.2">
      <c r="A8" s="18">
        <v>7</v>
      </c>
      <c r="B8" s="13" t="s">
        <v>578</v>
      </c>
      <c r="C8" s="13" t="s">
        <v>581</v>
      </c>
      <c r="D8" s="10" t="s">
        <v>471</v>
      </c>
      <c r="E8" s="7" t="s">
        <v>157</v>
      </c>
      <c r="F8" s="40">
        <f>1000/3</f>
        <v>333.33333333333331</v>
      </c>
      <c r="G8" s="7" t="s">
        <v>472</v>
      </c>
      <c r="H8" s="7" t="s">
        <v>515</v>
      </c>
      <c r="I8" s="8" t="s">
        <v>478</v>
      </c>
      <c r="J8" s="8" t="s">
        <v>474</v>
      </c>
      <c r="K8" s="8">
        <v>35</v>
      </c>
      <c r="L8" s="8">
        <v>0.25</v>
      </c>
      <c r="M8" s="5" t="s">
        <v>434</v>
      </c>
      <c r="N8" s="11" t="s">
        <v>479</v>
      </c>
      <c r="O8" s="6">
        <v>1051.8</v>
      </c>
      <c r="P8" s="19" t="s">
        <v>124</v>
      </c>
      <c r="Q8" s="6">
        <v>82.6</v>
      </c>
      <c r="R8" s="41">
        <f t="shared" si="11"/>
        <v>275.33333333333326</v>
      </c>
      <c r="S8" s="6" t="s">
        <v>124</v>
      </c>
      <c r="T8" s="20">
        <f t="shared" si="12"/>
        <v>183.55555555555551</v>
      </c>
      <c r="U8" s="20">
        <f>18.3+48.9</f>
        <v>67.2</v>
      </c>
      <c r="V8" s="6" t="s">
        <v>124</v>
      </c>
      <c r="W8" s="6" t="s">
        <v>124</v>
      </c>
      <c r="X8" s="6" t="s">
        <v>124</v>
      </c>
      <c r="Y8" s="20">
        <f t="shared" si="13"/>
        <v>706.80960000000005</v>
      </c>
      <c r="Z8" s="3">
        <f t="shared" si="10"/>
        <v>131.47499999999999</v>
      </c>
      <c r="AA8" s="3">
        <f t="shared" si="8"/>
        <v>88.351200000000006</v>
      </c>
      <c r="AB8" s="3">
        <f t="shared" si="9"/>
        <v>22.944444444444439</v>
      </c>
      <c r="AC8" s="3">
        <f t="shared" si="0"/>
        <v>111.29564444444445</v>
      </c>
      <c r="AD8" s="3">
        <f t="shared" si="1"/>
        <v>0.67200000000000004</v>
      </c>
      <c r="AE8" s="3">
        <f t="shared" si="2"/>
        <v>0.17451564513743631</v>
      </c>
      <c r="AF8" s="3">
        <f t="shared" si="3"/>
        <v>0.79384238656439388</v>
      </c>
      <c r="AG8" s="3">
        <f t="shared" si="4"/>
        <v>0.84651564513743638</v>
      </c>
      <c r="AH8" s="3">
        <f t="shared" si="5"/>
        <v>20.179355555555549</v>
      </c>
      <c r="AI8" s="3">
        <f t="shared" si="6"/>
        <v>0.15348435486256359</v>
      </c>
      <c r="AJ8" s="75" t="str">
        <f t="shared" si="7"/>
        <v>As calculated</v>
      </c>
    </row>
    <row r="9" spans="1:195" x14ac:dyDescent="0.2">
      <c r="A9" s="18">
        <v>8</v>
      </c>
      <c r="B9" s="13" t="s">
        <v>578</v>
      </c>
      <c r="C9" s="13" t="s">
        <v>582</v>
      </c>
      <c r="D9" s="10" t="s">
        <v>471</v>
      </c>
      <c r="E9" s="7" t="s">
        <v>157</v>
      </c>
      <c r="F9" s="40">
        <v>500</v>
      </c>
      <c r="G9" s="7" t="s">
        <v>472</v>
      </c>
      <c r="H9" s="7" t="s">
        <v>515</v>
      </c>
      <c r="I9" s="8" t="s">
        <v>480</v>
      </c>
      <c r="J9" s="8" t="s">
        <v>474</v>
      </c>
      <c r="K9" s="8">
        <v>35</v>
      </c>
      <c r="L9" s="8">
        <v>0.25</v>
      </c>
      <c r="M9" s="5" t="s">
        <v>434</v>
      </c>
      <c r="N9" s="11" t="s">
        <v>481</v>
      </c>
      <c r="O9" s="6">
        <v>976.3</v>
      </c>
      <c r="P9" s="19" t="s">
        <v>124</v>
      </c>
      <c r="Q9" s="6">
        <v>82.6</v>
      </c>
      <c r="R9" s="6">
        <f t="shared" si="11"/>
        <v>413</v>
      </c>
      <c r="S9" s="6" t="s">
        <v>124</v>
      </c>
      <c r="T9" s="20">
        <f t="shared" si="12"/>
        <v>275.33333333333331</v>
      </c>
      <c r="U9" s="20">
        <f>2.3+44.9</f>
        <v>47.199999999999996</v>
      </c>
      <c r="V9" s="6" t="s">
        <v>124</v>
      </c>
      <c r="W9" s="6" t="s">
        <v>124</v>
      </c>
      <c r="X9" s="6" t="s">
        <v>124</v>
      </c>
      <c r="Y9" s="20">
        <f t="shared" si="13"/>
        <v>460.81359999999995</v>
      </c>
      <c r="Z9" s="3">
        <f t="shared" si="10"/>
        <v>122.03749999999999</v>
      </c>
      <c r="AA9" s="3">
        <f t="shared" si="8"/>
        <v>57.601699999999994</v>
      </c>
      <c r="AB9" s="3">
        <f t="shared" si="9"/>
        <v>34.416666666666664</v>
      </c>
      <c r="AC9" s="3">
        <f t="shared" si="0"/>
        <v>92.018366666666651</v>
      </c>
      <c r="AD9" s="3">
        <f t="shared" si="1"/>
        <v>0.47199999999999998</v>
      </c>
      <c r="AE9" s="3">
        <f t="shared" si="2"/>
        <v>0.28201713954044177</v>
      </c>
      <c r="AF9" s="3">
        <f t="shared" si="3"/>
        <v>0.62598046549402642</v>
      </c>
      <c r="AG9" s="3">
        <f t="shared" si="4"/>
        <v>0.75401713954044169</v>
      </c>
      <c r="AH9" s="3">
        <f t="shared" si="5"/>
        <v>30.019133333333336</v>
      </c>
      <c r="AI9" s="3">
        <f t="shared" si="6"/>
        <v>0.24598286045955822</v>
      </c>
      <c r="AJ9" s="75" t="str">
        <f t="shared" si="7"/>
        <v>As calculated</v>
      </c>
    </row>
    <row r="10" spans="1:195" x14ac:dyDescent="0.2">
      <c r="A10" s="18">
        <v>9</v>
      </c>
      <c r="B10" s="13" t="s">
        <v>578</v>
      </c>
      <c r="C10" s="13" t="s">
        <v>583</v>
      </c>
      <c r="D10" s="10" t="s">
        <v>471</v>
      </c>
      <c r="E10" s="7" t="s">
        <v>157</v>
      </c>
      <c r="F10" s="40">
        <v>1000</v>
      </c>
      <c r="G10" s="7" t="s">
        <v>472</v>
      </c>
      <c r="H10" s="7" t="s">
        <v>515</v>
      </c>
      <c r="I10" s="8" t="s">
        <v>482</v>
      </c>
      <c r="J10" s="8" t="s">
        <v>474</v>
      </c>
      <c r="K10" s="8">
        <v>35</v>
      </c>
      <c r="L10" s="8">
        <v>0.25</v>
      </c>
      <c r="M10" s="5" t="s">
        <v>434</v>
      </c>
      <c r="N10" s="11" t="s">
        <v>483</v>
      </c>
      <c r="O10" s="6">
        <v>919.7</v>
      </c>
      <c r="P10" s="19" t="s">
        <v>124</v>
      </c>
      <c r="Q10" s="6">
        <v>21.2</v>
      </c>
      <c r="R10" s="6">
        <f t="shared" si="11"/>
        <v>212</v>
      </c>
      <c r="S10" s="6" t="s">
        <v>124</v>
      </c>
      <c r="T10" s="20">
        <f t="shared" si="12"/>
        <v>141.33333333333334</v>
      </c>
      <c r="U10" s="20">
        <f>2.2+2.2</f>
        <v>4.4000000000000004</v>
      </c>
      <c r="V10" s="6" t="s">
        <v>124</v>
      </c>
      <c r="W10" s="6" t="s">
        <v>124</v>
      </c>
      <c r="X10" s="6" t="s">
        <v>124</v>
      </c>
      <c r="Y10" s="20">
        <f t="shared" si="13"/>
        <v>40.466800000000006</v>
      </c>
      <c r="Z10" s="3">
        <f t="shared" si="10"/>
        <v>114.96250000000001</v>
      </c>
      <c r="AA10" s="3">
        <f t="shared" si="8"/>
        <v>5.0583500000000008</v>
      </c>
      <c r="AB10" s="3">
        <f t="shared" si="9"/>
        <v>17.666666666666668</v>
      </c>
      <c r="AC10" s="3">
        <f t="shared" si="0"/>
        <v>22.725016666666669</v>
      </c>
      <c r="AD10" s="3">
        <f t="shared" si="1"/>
        <v>4.4000000000000004E-2</v>
      </c>
      <c r="AE10" s="3">
        <f t="shared" si="2"/>
        <v>0.15367329926425283</v>
      </c>
      <c r="AF10" s="3">
        <f t="shared" si="3"/>
        <v>0.22258949571727488</v>
      </c>
      <c r="AG10" s="3">
        <f t="shared" si="4"/>
        <v>0.19767329926425284</v>
      </c>
      <c r="AH10" s="3">
        <f t="shared" si="5"/>
        <v>92.23748333333333</v>
      </c>
      <c r="AI10" s="3">
        <f t="shared" si="6"/>
        <v>0.80232670073574708</v>
      </c>
      <c r="AJ10" s="75" t="str">
        <f t="shared" si="7"/>
        <v>As calculated</v>
      </c>
    </row>
    <row r="11" spans="1:195" x14ac:dyDescent="0.2">
      <c r="A11" s="18">
        <v>10</v>
      </c>
      <c r="B11" s="13" t="s">
        <v>578</v>
      </c>
      <c r="C11" s="13" t="s">
        <v>584</v>
      </c>
      <c r="D11" s="10" t="s">
        <v>471</v>
      </c>
      <c r="E11" s="7" t="s">
        <v>157</v>
      </c>
      <c r="F11" s="40">
        <v>2000</v>
      </c>
      <c r="G11" s="7" t="s">
        <v>472</v>
      </c>
      <c r="H11" s="7" t="s">
        <v>515</v>
      </c>
      <c r="I11" s="8" t="s">
        <v>484</v>
      </c>
      <c r="J11" s="8" t="s">
        <v>474</v>
      </c>
      <c r="K11" s="8">
        <v>35</v>
      </c>
      <c r="L11" s="8">
        <v>0.25</v>
      </c>
      <c r="M11" s="5" t="s">
        <v>434</v>
      </c>
      <c r="N11" s="11" t="s">
        <v>485</v>
      </c>
      <c r="O11" s="6">
        <v>991.8</v>
      </c>
      <c r="P11" s="19" t="s">
        <v>124</v>
      </c>
      <c r="Q11" s="6">
        <v>15</v>
      </c>
      <c r="R11" s="6">
        <f t="shared" si="11"/>
        <v>300</v>
      </c>
      <c r="S11" s="6" t="s">
        <v>124</v>
      </c>
      <c r="T11" s="20">
        <f t="shared" si="12"/>
        <v>200</v>
      </c>
      <c r="U11" s="20">
        <f>1.5+0.8</f>
        <v>2.2999999999999998</v>
      </c>
      <c r="V11" s="6" t="s">
        <v>124</v>
      </c>
      <c r="W11" s="6" t="s">
        <v>124</v>
      </c>
      <c r="X11" s="6" t="s">
        <v>124</v>
      </c>
      <c r="Y11" s="20">
        <f t="shared" si="13"/>
        <v>22.811399999999999</v>
      </c>
      <c r="Z11" s="3">
        <f t="shared" si="10"/>
        <v>123.97499999999999</v>
      </c>
      <c r="AA11" s="3">
        <f t="shared" si="8"/>
        <v>2.8514249999999999</v>
      </c>
      <c r="AB11" s="3">
        <f t="shared" si="9"/>
        <v>25</v>
      </c>
      <c r="AC11" s="3">
        <f t="shared" si="0"/>
        <v>27.851424999999999</v>
      </c>
      <c r="AD11" s="3">
        <f t="shared" si="1"/>
        <v>2.3E-2</v>
      </c>
      <c r="AE11" s="3">
        <f t="shared" si="2"/>
        <v>0.20165355918531963</v>
      </c>
      <c r="AF11" s="3">
        <f t="shared" si="3"/>
        <v>0.10237986027644905</v>
      </c>
      <c r="AG11" s="3">
        <f t="shared" si="4"/>
        <v>0.22465355918531962</v>
      </c>
      <c r="AH11" s="3">
        <f t="shared" si="5"/>
        <v>96.123574999999988</v>
      </c>
      <c r="AI11" s="3">
        <f t="shared" si="6"/>
        <v>0.77534644081468029</v>
      </c>
      <c r="AJ11" s="75" t="str">
        <f t="shared" si="7"/>
        <v>As calculated</v>
      </c>
    </row>
    <row r="12" spans="1:195" ht="17" thickBot="1" x14ac:dyDescent="0.25"/>
    <row r="13" spans="1:195" x14ac:dyDescent="0.2">
      <c r="A13" s="144" t="s">
        <v>594</v>
      </c>
      <c r="B13" s="145"/>
      <c r="C13" s="145"/>
      <c r="D13" s="146"/>
      <c r="E13" s="28"/>
      <c r="F13" s="28"/>
    </row>
    <row r="14" spans="1:195" x14ac:dyDescent="0.2">
      <c r="A14" s="147"/>
      <c r="B14" s="148"/>
      <c r="C14" s="148"/>
      <c r="D14" s="149"/>
      <c r="E14" s="28"/>
      <c r="F14" s="28"/>
    </row>
    <row r="15" spans="1:195" x14ac:dyDescent="0.2">
      <c r="A15" s="147"/>
      <c r="B15" s="148"/>
      <c r="C15" s="148"/>
      <c r="D15" s="149"/>
      <c r="E15" s="28"/>
      <c r="F15" s="28"/>
    </row>
    <row r="16" spans="1:195" ht="17" thickBot="1" x14ac:dyDescent="0.25">
      <c r="A16" s="150"/>
      <c r="B16" s="151"/>
      <c r="C16" s="151"/>
      <c r="D16" s="152"/>
      <c r="E16" s="28"/>
      <c r="F16" s="28"/>
    </row>
    <row r="17" spans="1:6" ht="17" thickBot="1" x14ac:dyDescent="0.25">
      <c r="A17"/>
    </row>
    <row r="18" spans="1:6" x14ac:dyDescent="0.2">
      <c r="A18" s="126" t="s">
        <v>488</v>
      </c>
      <c r="B18" s="127"/>
      <c r="C18" s="127"/>
      <c r="D18" s="127"/>
      <c r="E18" s="127"/>
      <c r="F18" s="128"/>
    </row>
    <row r="19" spans="1:6" x14ac:dyDescent="0.2">
      <c r="A19" s="129"/>
      <c r="B19" s="130"/>
      <c r="C19" s="130"/>
      <c r="D19" s="130"/>
      <c r="E19" s="130"/>
      <c r="F19" s="131"/>
    </row>
    <row r="20" spans="1:6" x14ac:dyDescent="0.2">
      <c r="A20" s="129"/>
      <c r="B20" s="130"/>
      <c r="C20" s="130"/>
      <c r="D20" s="130"/>
      <c r="E20" s="130"/>
      <c r="F20" s="131"/>
    </row>
    <row r="21" spans="1:6" x14ac:dyDescent="0.2">
      <c r="A21" s="129"/>
      <c r="B21" s="130"/>
      <c r="C21" s="130"/>
      <c r="D21" s="130"/>
      <c r="E21" s="130"/>
      <c r="F21" s="131"/>
    </row>
    <row r="22" spans="1:6" x14ac:dyDescent="0.2">
      <c r="A22" s="129"/>
      <c r="B22" s="130"/>
      <c r="C22" s="130"/>
      <c r="D22" s="130"/>
      <c r="E22" s="130"/>
      <c r="F22" s="131"/>
    </row>
    <row r="23" spans="1:6" x14ac:dyDescent="0.2">
      <c r="A23" s="129"/>
      <c r="B23" s="130"/>
      <c r="C23" s="130"/>
      <c r="D23" s="130"/>
      <c r="E23" s="130"/>
      <c r="F23" s="131"/>
    </row>
    <row r="24" spans="1:6" x14ac:dyDescent="0.2">
      <c r="A24" s="129"/>
      <c r="B24" s="130"/>
      <c r="C24" s="130"/>
      <c r="D24" s="130"/>
      <c r="E24" s="130"/>
      <c r="F24" s="131"/>
    </row>
    <row r="25" spans="1:6" ht="17" thickBot="1" x14ac:dyDescent="0.25">
      <c r="A25" s="132"/>
      <c r="B25" s="133"/>
      <c r="C25" s="133"/>
      <c r="D25" s="133"/>
      <c r="E25" s="133"/>
      <c r="F25" s="134"/>
    </row>
  </sheetData>
  <mergeCells count="2">
    <mergeCell ref="A13:D16"/>
    <mergeCell ref="A18:F25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7E7AE-CF9E-4D4E-9DA5-DC81E0AEE08E}">
  <dimension ref="A1:V141"/>
  <sheetViews>
    <sheetView tabSelected="1" topLeftCell="E1" zoomScale="150" workbookViewId="0">
      <selection activeCell="L14" sqref="L14"/>
    </sheetView>
  </sheetViews>
  <sheetFormatPr baseColWidth="10" defaultRowHeight="16" x14ac:dyDescent="0.2"/>
  <cols>
    <col min="2" max="2" width="19.1640625" customWidth="1"/>
    <col min="3" max="3" width="21" customWidth="1"/>
    <col min="14" max="14" width="16.83203125" customWidth="1"/>
  </cols>
  <sheetData>
    <row r="1" spans="1:22" ht="26" customHeight="1" x14ac:dyDescent="0.2">
      <c r="A1" s="44" t="s">
        <v>77</v>
      </c>
      <c r="B1" s="17" t="s">
        <v>38</v>
      </c>
      <c r="C1" s="17" t="s">
        <v>0</v>
      </c>
      <c r="D1" s="16" t="s">
        <v>16</v>
      </c>
      <c r="E1" s="16" t="s">
        <v>55</v>
      </c>
      <c r="F1" s="16" t="s">
        <v>56</v>
      </c>
      <c r="G1" s="16" t="s">
        <v>57</v>
      </c>
      <c r="H1" s="16" t="s">
        <v>17</v>
      </c>
      <c r="I1" s="16" t="s">
        <v>18</v>
      </c>
      <c r="J1" s="16" t="s">
        <v>19</v>
      </c>
      <c r="K1" s="16" t="s">
        <v>20</v>
      </c>
      <c r="L1" s="16" t="s">
        <v>58</v>
      </c>
      <c r="M1" s="16" t="s">
        <v>21</v>
      </c>
      <c r="N1" s="45" t="s">
        <v>486</v>
      </c>
      <c r="P1" s="98"/>
      <c r="Q1" s="98"/>
      <c r="R1" s="98"/>
      <c r="S1" s="98"/>
      <c r="T1" s="98"/>
      <c r="U1" s="98"/>
      <c r="V1" s="98"/>
    </row>
    <row r="2" spans="1:22" ht="17" thickBot="1" x14ac:dyDescent="0.25">
      <c r="A2" s="44">
        <v>1</v>
      </c>
      <c r="B2" s="13" t="s">
        <v>39</v>
      </c>
      <c r="C2" s="13" t="s">
        <v>40</v>
      </c>
      <c r="D2" s="3">
        <f>VFA_Formation!Y2</f>
        <v>23538.815789473683</v>
      </c>
      <c r="E2" s="3">
        <f>VFA_Formation!Z2</f>
        <v>7478.4682325000003</v>
      </c>
      <c r="F2" s="3" t="str">
        <f>VFA_Formation!AA2</f>
        <v>NC</v>
      </c>
      <c r="G2" s="3" t="str">
        <f>VFA_Formation!AB2</f>
        <v>NC</v>
      </c>
      <c r="H2" s="3" t="str">
        <f>VFA_Formation!AC2</f>
        <v>NC</v>
      </c>
      <c r="I2" s="3" t="str">
        <f>VFA_Formation!AD2</f>
        <v>NC</v>
      </c>
      <c r="J2" s="3" t="str">
        <f>VFA_Formation!AE2</f>
        <v>NC</v>
      </c>
      <c r="K2" s="3" t="str">
        <f>VFA_Formation!AF2</f>
        <v>NC</v>
      </c>
      <c r="L2" s="3" t="str">
        <f>VFA_Formation!AG2</f>
        <v>NC</v>
      </c>
      <c r="M2" s="3" t="str">
        <f>VFA_Formation!AH2</f>
        <v>NC</v>
      </c>
      <c r="N2" s="46" t="str">
        <f>VFA_Formation!AI2</f>
        <v>NC</v>
      </c>
      <c r="P2" s="98"/>
      <c r="Q2" s="98"/>
      <c r="R2" s="98"/>
      <c r="S2" s="98"/>
      <c r="T2" s="98"/>
      <c r="U2" s="98"/>
      <c r="V2" s="98"/>
    </row>
    <row r="3" spans="1:22" ht="16" customHeight="1" x14ac:dyDescent="0.2">
      <c r="A3" s="44">
        <v>2</v>
      </c>
      <c r="B3" s="13" t="s">
        <v>39</v>
      </c>
      <c r="C3" s="13" t="s">
        <v>41</v>
      </c>
      <c r="D3" s="3">
        <f>VFA_Formation!Y3</f>
        <v>23538.815789473683</v>
      </c>
      <c r="E3" s="3">
        <f>VFA_Formation!Z3</f>
        <v>6755.2175475000004</v>
      </c>
      <c r="F3" s="3" t="str">
        <f>VFA_Formation!AA3</f>
        <v>NC</v>
      </c>
      <c r="G3" s="3" t="str">
        <f>VFA_Formation!AB3</f>
        <v>NC</v>
      </c>
      <c r="H3" s="3" t="str">
        <f>VFA_Formation!AC3</f>
        <v>NC</v>
      </c>
      <c r="I3" s="3" t="str">
        <f>VFA_Formation!AD3</f>
        <v>NC</v>
      </c>
      <c r="J3" s="3" t="str">
        <f>VFA_Formation!AE3</f>
        <v>NC</v>
      </c>
      <c r="K3" s="3" t="str">
        <f>VFA_Formation!AF3</f>
        <v>NC</v>
      </c>
      <c r="L3" s="3" t="str">
        <f>VFA_Formation!AG3</f>
        <v>NC</v>
      </c>
      <c r="M3" s="3" t="str">
        <f>VFA_Formation!AH3</f>
        <v>NC</v>
      </c>
      <c r="N3" s="46" t="str">
        <f>VFA_Formation!AI3</f>
        <v>NC</v>
      </c>
      <c r="P3" s="108" t="s">
        <v>585</v>
      </c>
      <c r="Q3" s="109"/>
      <c r="R3" s="109"/>
      <c r="S3" s="109"/>
      <c r="T3" s="109"/>
      <c r="U3" s="110"/>
      <c r="V3" s="98"/>
    </row>
    <row r="4" spans="1:22" x14ac:dyDescent="0.2">
      <c r="A4" s="44">
        <v>3</v>
      </c>
      <c r="B4" s="13" t="s">
        <v>39</v>
      </c>
      <c r="C4" s="13" t="s">
        <v>42</v>
      </c>
      <c r="D4" s="3">
        <f>VFA_Formation!Y4</f>
        <v>23538.815789473683</v>
      </c>
      <c r="E4" s="3">
        <f>VFA_Formation!Z4</f>
        <v>6377.3698987500002</v>
      </c>
      <c r="F4" s="3" t="str">
        <f>VFA_Formation!AA4</f>
        <v>NC</v>
      </c>
      <c r="G4" s="3" t="str">
        <f>VFA_Formation!AB4</f>
        <v>NC</v>
      </c>
      <c r="H4" s="3" t="str">
        <f>VFA_Formation!AC4</f>
        <v>NC</v>
      </c>
      <c r="I4" s="3" t="str">
        <f>VFA_Formation!AD4</f>
        <v>NC</v>
      </c>
      <c r="J4" s="3" t="str">
        <f>VFA_Formation!AE4</f>
        <v>NC</v>
      </c>
      <c r="K4" s="3" t="str">
        <f>VFA_Formation!AF4</f>
        <v>NC</v>
      </c>
      <c r="L4" s="3" t="str">
        <f>VFA_Formation!AG4</f>
        <v>NC</v>
      </c>
      <c r="M4" s="3" t="str">
        <f>VFA_Formation!AH4</f>
        <v>NC</v>
      </c>
      <c r="N4" s="46" t="str">
        <f>VFA_Formation!AI4</f>
        <v>NC</v>
      </c>
      <c r="P4" s="111"/>
      <c r="Q4" s="112"/>
      <c r="R4" s="112"/>
      <c r="S4" s="112"/>
      <c r="T4" s="112"/>
      <c r="U4" s="113"/>
      <c r="V4" s="98"/>
    </row>
    <row r="5" spans="1:22" x14ac:dyDescent="0.2">
      <c r="A5" s="44">
        <v>4</v>
      </c>
      <c r="B5" s="13" t="s">
        <v>39</v>
      </c>
      <c r="C5" s="13" t="s">
        <v>43</v>
      </c>
      <c r="D5" s="3">
        <f>VFA_Formation!Y5</f>
        <v>23538.815789473683</v>
      </c>
      <c r="E5" s="3">
        <f>VFA_Formation!Z5</f>
        <v>4588.5106125000002</v>
      </c>
      <c r="F5" s="3" t="str">
        <f>VFA_Formation!AA5</f>
        <v>NC</v>
      </c>
      <c r="G5" s="3" t="str">
        <f>VFA_Formation!AB5</f>
        <v>NC</v>
      </c>
      <c r="H5" s="3" t="str">
        <f>VFA_Formation!AC5</f>
        <v>NC</v>
      </c>
      <c r="I5" s="3" t="str">
        <f>VFA_Formation!AD5</f>
        <v>NC</v>
      </c>
      <c r="J5" s="3" t="str">
        <f>VFA_Formation!AE5</f>
        <v>NC</v>
      </c>
      <c r="K5" s="3" t="str">
        <f>VFA_Formation!AF5</f>
        <v>NC</v>
      </c>
      <c r="L5" s="3" t="str">
        <f>VFA_Formation!AG5</f>
        <v>NC</v>
      </c>
      <c r="M5" s="3" t="str">
        <f>VFA_Formation!AH5</f>
        <v>NC</v>
      </c>
      <c r="N5" s="46" t="str">
        <f>VFA_Formation!AI5</f>
        <v>NC</v>
      </c>
      <c r="P5" s="111"/>
      <c r="Q5" s="112"/>
      <c r="R5" s="112"/>
      <c r="S5" s="112"/>
      <c r="T5" s="112"/>
      <c r="U5" s="113"/>
      <c r="V5" s="98"/>
    </row>
    <row r="6" spans="1:22" x14ac:dyDescent="0.2">
      <c r="A6" s="44">
        <v>5</v>
      </c>
      <c r="B6" s="13" t="s">
        <v>39</v>
      </c>
      <c r="C6" s="13" t="s">
        <v>44</v>
      </c>
      <c r="D6" s="3">
        <f>VFA_Formation!Y6</f>
        <v>23538.815789473683</v>
      </c>
      <c r="E6" s="3">
        <f>VFA_Formation!Z6</f>
        <v>878.19542999999999</v>
      </c>
      <c r="F6" s="3" t="str">
        <f>VFA_Formation!AA6</f>
        <v>NC</v>
      </c>
      <c r="G6" s="3" t="str">
        <f>VFA_Formation!AB6</f>
        <v>NC</v>
      </c>
      <c r="H6" s="3" t="str">
        <f>VFA_Formation!AC6</f>
        <v>NC</v>
      </c>
      <c r="I6" s="3" t="str">
        <f>VFA_Formation!AD6</f>
        <v>NC</v>
      </c>
      <c r="J6" s="3" t="str">
        <f>VFA_Formation!AE6</f>
        <v>NC</v>
      </c>
      <c r="K6" s="3" t="str">
        <f>VFA_Formation!AF6</f>
        <v>NC</v>
      </c>
      <c r="L6" s="3" t="str">
        <f>VFA_Formation!AG6</f>
        <v>NC</v>
      </c>
      <c r="M6" s="3" t="str">
        <f>VFA_Formation!AH6</f>
        <v>NC</v>
      </c>
      <c r="N6" s="46" t="str">
        <f>VFA_Formation!AI6</f>
        <v>NC</v>
      </c>
      <c r="P6" s="111"/>
      <c r="Q6" s="112"/>
      <c r="R6" s="112"/>
      <c r="S6" s="112"/>
      <c r="T6" s="112"/>
      <c r="U6" s="113"/>
      <c r="V6" s="98"/>
    </row>
    <row r="7" spans="1:22" x14ac:dyDescent="0.2">
      <c r="A7" s="44">
        <v>6</v>
      </c>
      <c r="B7" s="13" t="s">
        <v>39</v>
      </c>
      <c r="C7" s="13" t="s">
        <v>45</v>
      </c>
      <c r="D7" s="3">
        <f>VFA_Formation!Y7</f>
        <v>25351.315789473683</v>
      </c>
      <c r="E7" s="3">
        <f>VFA_Formation!Z7</f>
        <v>7123.5979150000012</v>
      </c>
      <c r="F7" s="3" t="str">
        <f>VFA_Formation!AA7</f>
        <v>NC</v>
      </c>
      <c r="G7" s="3" t="str">
        <f>VFA_Formation!AB7</f>
        <v>NC</v>
      </c>
      <c r="H7" s="3" t="str">
        <f>VFA_Formation!AC7</f>
        <v>NC</v>
      </c>
      <c r="I7" s="3" t="str">
        <f>VFA_Formation!AD7</f>
        <v>NC</v>
      </c>
      <c r="J7" s="3" t="str">
        <f>VFA_Formation!AE7</f>
        <v>NC</v>
      </c>
      <c r="K7" s="3" t="str">
        <f>VFA_Formation!AF7</f>
        <v>NC</v>
      </c>
      <c r="L7" s="3" t="str">
        <f>VFA_Formation!AG7</f>
        <v>NC</v>
      </c>
      <c r="M7" s="3" t="str">
        <f>VFA_Formation!AH7</f>
        <v>NC</v>
      </c>
      <c r="N7" s="46" t="str">
        <f>VFA_Formation!AI7</f>
        <v>NC</v>
      </c>
      <c r="P7" s="111"/>
      <c r="Q7" s="112"/>
      <c r="R7" s="112"/>
      <c r="S7" s="112"/>
      <c r="T7" s="112"/>
      <c r="U7" s="113"/>
      <c r="V7" s="98"/>
    </row>
    <row r="8" spans="1:22" x14ac:dyDescent="0.2">
      <c r="A8" s="44">
        <v>7</v>
      </c>
      <c r="B8" s="13" t="s">
        <v>39</v>
      </c>
      <c r="C8" s="13" t="s">
        <v>46</v>
      </c>
      <c r="D8" s="3">
        <f>VFA_Formation!Y8</f>
        <v>28976.315789473683</v>
      </c>
      <c r="E8" s="3">
        <f>VFA_Formation!Z8</f>
        <v>6355.6505700000007</v>
      </c>
      <c r="F8" s="3" t="str">
        <f>VFA_Formation!AA8</f>
        <v>NC</v>
      </c>
      <c r="G8" s="3" t="str">
        <f>VFA_Formation!AB8</f>
        <v>NC</v>
      </c>
      <c r="H8" s="3" t="str">
        <f>VFA_Formation!AC8</f>
        <v>NC</v>
      </c>
      <c r="I8" s="3" t="str">
        <f>VFA_Formation!AD8</f>
        <v>NC</v>
      </c>
      <c r="J8" s="3" t="str">
        <f>VFA_Formation!AE8</f>
        <v>NC</v>
      </c>
      <c r="K8" s="3" t="str">
        <f>VFA_Formation!AF8</f>
        <v>NC</v>
      </c>
      <c r="L8" s="3" t="str">
        <f>VFA_Formation!AG8</f>
        <v>NC</v>
      </c>
      <c r="M8" s="3" t="str">
        <f>VFA_Formation!AH8</f>
        <v>NC</v>
      </c>
      <c r="N8" s="46" t="str">
        <f>VFA_Formation!AI8</f>
        <v>NC</v>
      </c>
      <c r="P8" s="111"/>
      <c r="Q8" s="112"/>
      <c r="R8" s="112"/>
      <c r="S8" s="112"/>
      <c r="T8" s="112"/>
      <c r="U8" s="113"/>
      <c r="V8" s="98"/>
    </row>
    <row r="9" spans="1:22" x14ac:dyDescent="0.2">
      <c r="A9" s="44">
        <v>8</v>
      </c>
      <c r="B9" s="13" t="s">
        <v>39</v>
      </c>
      <c r="C9" s="13" t="s">
        <v>47</v>
      </c>
      <c r="D9" s="3">
        <f>VFA_Formation!Y9</f>
        <v>32601.315789473683</v>
      </c>
      <c r="E9" s="3">
        <f>VFA_Formation!Z9</f>
        <v>4640.4154125000005</v>
      </c>
      <c r="F9" s="3" t="str">
        <f>VFA_Formation!AA9</f>
        <v>NC</v>
      </c>
      <c r="G9" s="3" t="str">
        <f>VFA_Formation!AB9</f>
        <v>NC</v>
      </c>
      <c r="H9" s="3" t="str">
        <f>VFA_Formation!AC9</f>
        <v>NC</v>
      </c>
      <c r="I9" s="3" t="str">
        <f>VFA_Formation!AD9</f>
        <v>NC</v>
      </c>
      <c r="J9" s="3" t="str">
        <f>VFA_Formation!AE9</f>
        <v>NC</v>
      </c>
      <c r="K9" s="3" t="str">
        <f>VFA_Formation!AF9</f>
        <v>NC</v>
      </c>
      <c r="L9" s="3" t="str">
        <f>VFA_Formation!AG9</f>
        <v>NC</v>
      </c>
      <c r="M9" s="3" t="str">
        <f>VFA_Formation!AH9</f>
        <v>NC</v>
      </c>
      <c r="N9" s="46" t="str">
        <f>VFA_Formation!AI9</f>
        <v>NC</v>
      </c>
      <c r="P9" s="111"/>
      <c r="Q9" s="112"/>
      <c r="R9" s="112"/>
      <c r="S9" s="112"/>
      <c r="T9" s="112"/>
      <c r="U9" s="113"/>
      <c r="V9" s="98"/>
    </row>
    <row r="10" spans="1:22" x14ac:dyDescent="0.2">
      <c r="A10" s="44">
        <v>9</v>
      </c>
      <c r="B10" s="13" t="s">
        <v>39</v>
      </c>
      <c r="C10" s="13" t="s">
        <v>48</v>
      </c>
      <c r="D10" s="3">
        <f>VFA_Formation!Y10</f>
        <v>36226.31578947368</v>
      </c>
      <c r="E10" s="3">
        <f>VFA_Formation!Z10</f>
        <v>2686.80384</v>
      </c>
      <c r="F10" s="3" t="str">
        <f>VFA_Formation!AA10</f>
        <v>NC</v>
      </c>
      <c r="G10" s="3" t="str">
        <f>VFA_Formation!AB10</f>
        <v>NC</v>
      </c>
      <c r="H10" s="3" t="str">
        <f>VFA_Formation!AC10</f>
        <v>NC</v>
      </c>
      <c r="I10" s="3" t="str">
        <f>VFA_Formation!AD10</f>
        <v>NC</v>
      </c>
      <c r="J10" s="3" t="str">
        <f>VFA_Formation!AE10</f>
        <v>NC</v>
      </c>
      <c r="K10" s="3" t="str">
        <f>VFA_Formation!AF10</f>
        <v>NC</v>
      </c>
      <c r="L10" s="3" t="str">
        <f>VFA_Formation!AG10</f>
        <v>NC</v>
      </c>
      <c r="M10" s="3" t="str">
        <f>VFA_Formation!AH10</f>
        <v>NC</v>
      </c>
      <c r="N10" s="46" t="str">
        <f>VFA_Formation!AI10</f>
        <v>NC</v>
      </c>
      <c r="P10" s="111"/>
      <c r="Q10" s="112"/>
      <c r="R10" s="112"/>
      <c r="S10" s="112"/>
      <c r="T10" s="112"/>
      <c r="U10" s="113"/>
      <c r="V10" s="98"/>
    </row>
    <row r="11" spans="1:22" x14ac:dyDescent="0.2">
      <c r="A11" s="44">
        <v>10</v>
      </c>
      <c r="B11" s="13" t="s">
        <v>502</v>
      </c>
      <c r="C11" s="13" t="s">
        <v>503</v>
      </c>
      <c r="D11" s="3">
        <f>VFA_Formation!Y11</f>
        <v>1875</v>
      </c>
      <c r="E11" s="3">
        <f>VFA_Formation!Z11</f>
        <v>756.82950000000005</v>
      </c>
      <c r="F11" s="3">
        <f>VFA_Formation!AA11</f>
        <v>1127.7701335491702</v>
      </c>
      <c r="G11" s="3">
        <f>VFA_Formation!AB11</f>
        <v>1884.5996335491702</v>
      </c>
      <c r="H11" s="3">
        <f>VFA_Formation!AC11</f>
        <v>0.40364240000000001</v>
      </c>
      <c r="I11" s="3">
        <f>VFA_Formation!AD11</f>
        <v>0.60147740455955745</v>
      </c>
      <c r="J11" s="3">
        <f>VFA_Formation!AE11</f>
        <v>0.4015863563417455</v>
      </c>
      <c r="K11" s="3">
        <f>VFA_Formation!AF11</f>
        <v>1.0051198045595575</v>
      </c>
      <c r="L11" s="3">
        <f>VFA_Formation!AG11</f>
        <v>-9.5996335491702212</v>
      </c>
      <c r="M11" s="3">
        <f>VFA_Formation!AH11</f>
        <v>-5.1198045595574511E-3</v>
      </c>
      <c r="N11" s="46" t="str">
        <f>VFA_Formation!AI11</f>
        <v>Excluded</v>
      </c>
      <c r="P11" s="111"/>
      <c r="Q11" s="112"/>
      <c r="R11" s="112"/>
      <c r="S11" s="112"/>
      <c r="T11" s="112"/>
      <c r="U11" s="113"/>
      <c r="V11" s="98"/>
    </row>
    <row r="12" spans="1:22" ht="17" thickBot="1" x14ac:dyDescent="0.25">
      <c r="A12" s="44">
        <v>11</v>
      </c>
      <c r="B12" s="13" t="s">
        <v>502</v>
      </c>
      <c r="C12" s="13" t="s">
        <v>504</v>
      </c>
      <c r="D12" s="3">
        <f>VFA_Formation!Y12</f>
        <v>1875</v>
      </c>
      <c r="E12" s="3">
        <f>VFA_Formation!Z12</f>
        <v>836.65172500000006</v>
      </c>
      <c r="F12" s="3">
        <f>VFA_Formation!AA12</f>
        <v>936.30109267503019</v>
      </c>
      <c r="G12" s="3">
        <f>VFA_Formation!AB12</f>
        <v>1772.9528176750302</v>
      </c>
      <c r="H12" s="3">
        <f>VFA_Formation!AC12</f>
        <v>0.44621425333333337</v>
      </c>
      <c r="I12" s="3">
        <f>VFA_Formation!AD12</f>
        <v>0.4993605827600161</v>
      </c>
      <c r="J12" s="3">
        <f>VFA_Formation!AE12</f>
        <v>0.4718973436062146</v>
      </c>
      <c r="K12" s="3">
        <f>VFA_Formation!AF12</f>
        <v>0.94557483609334947</v>
      </c>
      <c r="L12" s="3">
        <f>VFA_Formation!AG12</f>
        <v>102.04718232496975</v>
      </c>
      <c r="M12" s="3">
        <f>VFA_Formation!AH12</f>
        <v>5.4425163906650538E-2</v>
      </c>
      <c r="N12" s="46" t="str">
        <f>VFA_Formation!AI12</f>
        <v>Lower bound</v>
      </c>
      <c r="P12" s="114"/>
      <c r="Q12" s="115"/>
      <c r="R12" s="115"/>
      <c r="S12" s="115"/>
      <c r="T12" s="115"/>
      <c r="U12" s="116"/>
      <c r="V12" s="98"/>
    </row>
    <row r="13" spans="1:22" x14ac:dyDescent="0.2">
      <c r="A13" s="44">
        <v>12</v>
      </c>
      <c r="B13" s="13" t="s">
        <v>502</v>
      </c>
      <c r="C13" s="13" t="s">
        <v>505</v>
      </c>
      <c r="D13" s="3">
        <f>VFA_Formation!Y13</f>
        <v>1875</v>
      </c>
      <c r="E13" s="3">
        <f>VFA_Formation!Z13</f>
        <v>1022.9445624999998</v>
      </c>
      <c r="F13" s="3">
        <f>VFA_Formation!AA13</f>
        <v>582.76001618777821</v>
      </c>
      <c r="G13" s="3">
        <f>VFA_Formation!AB13</f>
        <v>1605.7045786877779</v>
      </c>
      <c r="H13" s="3">
        <f>VFA_Formation!AC13</f>
        <v>0.54557043333333322</v>
      </c>
      <c r="I13" s="3">
        <f>VFA_Formation!AD13</f>
        <v>0.31080534196681503</v>
      </c>
      <c r="J13" s="3">
        <f>VFA_Formation!AE13</f>
        <v>0.63706897026847609</v>
      </c>
      <c r="K13" s="3">
        <f>VFA_Formation!AF13</f>
        <v>0.85637577530014819</v>
      </c>
      <c r="L13" s="3">
        <f>VFA_Formation!AG13</f>
        <v>269.29542131222206</v>
      </c>
      <c r="M13" s="3">
        <f>VFA_Formation!AH13</f>
        <v>0.14362422469985175</v>
      </c>
      <c r="N13" s="46" t="str">
        <f>VFA_Formation!AI13</f>
        <v>Lower bound</v>
      </c>
    </row>
    <row r="14" spans="1:22" x14ac:dyDescent="0.2">
      <c r="A14" s="44">
        <v>13</v>
      </c>
      <c r="B14" s="13" t="s">
        <v>502</v>
      </c>
      <c r="C14" s="13" t="s">
        <v>506</v>
      </c>
      <c r="D14" s="3">
        <f>VFA_Formation!Y14</f>
        <v>1875</v>
      </c>
      <c r="E14" s="3">
        <f>VFA_Formation!Z14</f>
        <v>999.09210000000007</v>
      </c>
      <c r="F14" s="3">
        <f>VFA_Formation!AA14</f>
        <v>118.88304330230675</v>
      </c>
      <c r="G14" s="3">
        <f>VFA_Formation!AB14</f>
        <v>1117.9751433023068</v>
      </c>
      <c r="H14" s="3">
        <f>VFA_Formation!AC14</f>
        <v>0.53284912000000006</v>
      </c>
      <c r="I14" s="3">
        <f>VFA_Formation!AD14</f>
        <v>6.3404289761230262E-2</v>
      </c>
      <c r="J14" s="3">
        <f>VFA_Formation!AE14</f>
        <v>0.89366217664630121</v>
      </c>
      <c r="K14" s="3">
        <f>VFA_Formation!AF14</f>
        <v>0.59625340976123031</v>
      </c>
      <c r="L14" s="3">
        <f>VFA_Formation!AG14</f>
        <v>757.02485669769317</v>
      </c>
      <c r="M14" s="3">
        <f>VFA_Formation!AH14</f>
        <v>0.40374659023876969</v>
      </c>
      <c r="N14" s="46" t="str">
        <f>VFA_Formation!AI14</f>
        <v>Lower bound</v>
      </c>
    </row>
    <row r="15" spans="1:22" x14ac:dyDescent="0.2">
      <c r="A15" s="44">
        <v>14</v>
      </c>
      <c r="B15" s="13" t="s">
        <v>502</v>
      </c>
      <c r="C15" s="13" t="s">
        <v>507</v>
      </c>
      <c r="D15" s="3">
        <f>VFA_Formation!Y15</f>
        <v>1875</v>
      </c>
      <c r="E15" s="3">
        <f>VFA_Formation!Z15</f>
        <v>1139.1361124999999</v>
      </c>
      <c r="F15" s="3">
        <f>VFA_Formation!AA15</f>
        <v>135.20032375556454</v>
      </c>
      <c r="G15" s="3">
        <f>VFA_Formation!AB15</f>
        <v>1274.3364362555644</v>
      </c>
      <c r="H15" s="3">
        <f>VFA_Formation!AC15</f>
        <v>0.60753925999999991</v>
      </c>
      <c r="I15" s="3">
        <f>VFA_Formation!AD15</f>
        <v>7.210683933630109E-2</v>
      </c>
      <c r="J15" s="3">
        <f>VFA_Formation!AE15</f>
        <v>0.89390531424116748</v>
      </c>
      <c r="K15" s="3">
        <f>VFA_Formation!AF15</f>
        <v>0.67964609933630105</v>
      </c>
      <c r="L15" s="3">
        <f>VFA_Formation!AG15</f>
        <v>600.66356374443558</v>
      </c>
      <c r="M15" s="3">
        <f>VFA_Formation!AH15</f>
        <v>0.32035390066369895</v>
      </c>
      <c r="N15" s="46" t="str">
        <f>VFA_Formation!AI15</f>
        <v>Lower bound</v>
      </c>
    </row>
    <row r="16" spans="1:22" x14ac:dyDescent="0.2">
      <c r="A16" s="44">
        <v>15</v>
      </c>
      <c r="B16" s="13" t="s">
        <v>502</v>
      </c>
      <c r="C16" s="13" t="s">
        <v>508</v>
      </c>
      <c r="D16" s="3">
        <f>VFA_Formation!Y16</f>
        <v>1875</v>
      </c>
      <c r="E16" s="3">
        <f>VFA_Formation!Z16</f>
        <v>1189.6947</v>
      </c>
      <c r="F16" s="3">
        <f>VFA_Formation!AA16</f>
        <v>130.53824362606233</v>
      </c>
      <c r="G16" s="3">
        <f>VFA_Formation!AB16</f>
        <v>1320.2329436260623</v>
      </c>
      <c r="H16" s="3">
        <f>VFA_Formation!AC16</f>
        <v>0.63450384000000004</v>
      </c>
      <c r="I16" s="3">
        <f>VFA_Formation!AD16</f>
        <v>6.962039660056657E-2</v>
      </c>
      <c r="J16" s="3">
        <f>VFA_Formation!AE16</f>
        <v>0.90112483993352355</v>
      </c>
      <c r="K16" s="3">
        <f>VFA_Formation!AF16</f>
        <v>0.70412423660056656</v>
      </c>
      <c r="L16" s="3">
        <f>VFA_Formation!AG16</f>
        <v>554.76705637393775</v>
      </c>
      <c r="M16" s="3">
        <f>VFA_Formation!AH16</f>
        <v>0.29587576339943344</v>
      </c>
      <c r="N16" s="46" t="str">
        <f>VFA_Formation!AI16</f>
        <v>Lower bound</v>
      </c>
    </row>
    <row r="17" spans="1:14" x14ac:dyDescent="0.2">
      <c r="A17" s="44">
        <v>16</v>
      </c>
      <c r="B17" s="13" t="s">
        <v>502</v>
      </c>
      <c r="C17" s="13" t="s">
        <v>509</v>
      </c>
      <c r="D17" s="3">
        <f>VFA_Formation!Y17</f>
        <v>1875</v>
      </c>
      <c r="E17" s="3">
        <f>VFA_Formation!Z17</f>
        <v>1228.9127500000002</v>
      </c>
      <c r="F17" s="3">
        <f>VFA_Formation!AA17</f>
        <v>171.33144475920682</v>
      </c>
      <c r="G17" s="3">
        <f>VFA_Formation!AB17</f>
        <v>1400.2441947592069</v>
      </c>
      <c r="H17" s="3">
        <f>VFA_Formation!AC17</f>
        <v>0.65542013333333349</v>
      </c>
      <c r="I17" s="3">
        <f>VFA_Formation!AD17</f>
        <v>9.137677053824364E-2</v>
      </c>
      <c r="J17" s="3">
        <f>VFA_Formation!AE17</f>
        <v>0.8776417389192106</v>
      </c>
      <c r="K17" s="3">
        <f>VFA_Formation!AF17</f>
        <v>0.74679690387157704</v>
      </c>
      <c r="L17" s="3">
        <f>VFA_Formation!AG17</f>
        <v>474.75580524079305</v>
      </c>
      <c r="M17" s="3">
        <f>VFA_Formation!AH17</f>
        <v>0.25320309612842296</v>
      </c>
      <c r="N17" s="46" t="str">
        <f>VFA_Formation!AI17</f>
        <v>Lower bound</v>
      </c>
    </row>
    <row r="18" spans="1:14" x14ac:dyDescent="0.2">
      <c r="A18" s="44">
        <v>17</v>
      </c>
      <c r="B18" s="13" t="s">
        <v>502</v>
      </c>
      <c r="C18" s="13" t="s">
        <v>510</v>
      </c>
      <c r="D18" s="3">
        <f>VFA_Formation!Y18</f>
        <v>1875</v>
      </c>
      <c r="E18" s="3">
        <f>VFA_Formation!Z18</f>
        <v>1047.4237499999999</v>
      </c>
      <c r="F18" s="3">
        <f>VFA_Formation!AA18</f>
        <v>113.18494536624848</v>
      </c>
      <c r="G18" s="3">
        <f>VFA_Formation!AB18</f>
        <v>1160.6086953662484</v>
      </c>
      <c r="H18" s="3">
        <f>VFA_Formation!AC18</f>
        <v>0.55862599999999996</v>
      </c>
      <c r="I18" s="3">
        <f>VFA_Formation!AD18</f>
        <v>6.0365304195332523E-2</v>
      </c>
      <c r="J18" s="3">
        <f>VFA_Formation!AE18</f>
        <v>0.90247794470423881</v>
      </c>
      <c r="K18" s="3">
        <f>VFA_Formation!AF18</f>
        <v>0.61899130419533244</v>
      </c>
      <c r="L18" s="3">
        <f>VFA_Formation!AG18</f>
        <v>714.39130463375159</v>
      </c>
      <c r="M18" s="3">
        <f>VFA_Formation!AH18</f>
        <v>0.38100869580466751</v>
      </c>
      <c r="N18" s="46" t="str">
        <f>VFA_Formation!AI18</f>
        <v>Lower bound</v>
      </c>
    </row>
    <row r="19" spans="1:14" x14ac:dyDescent="0.2">
      <c r="A19" s="44">
        <v>18</v>
      </c>
      <c r="B19" s="13" t="s">
        <v>78</v>
      </c>
      <c r="C19" s="13" t="s">
        <v>79</v>
      </c>
      <c r="D19" s="3">
        <f>VFA_Formation!Y19</f>
        <v>877.5</v>
      </c>
      <c r="E19" s="3">
        <f>VFA_Formation!Z19</f>
        <v>1.7341650000000002</v>
      </c>
      <c r="F19" s="3">
        <f>VFA_Formation!AA19</f>
        <v>670.49115913556</v>
      </c>
      <c r="G19" s="3">
        <f>VFA_Formation!AB19</f>
        <v>672.22532413555996</v>
      </c>
      <c r="H19" s="3">
        <f>VFA_Formation!AC19</f>
        <v>1.9762564102564105E-3</v>
      </c>
      <c r="I19" s="3">
        <f>VFA_Formation!AD19</f>
        <v>0.76409248904337324</v>
      </c>
      <c r="J19" s="3">
        <f>VFA_Formation!AE19</f>
        <v>2.5797376827926392E-3</v>
      </c>
      <c r="K19" s="3">
        <f>VFA_Formation!AF19</f>
        <v>0.76606874545362957</v>
      </c>
      <c r="L19" s="3">
        <f>VFA_Formation!AG19</f>
        <v>205.27467586444004</v>
      </c>
      <c r="M19" s="3">
        <f>VFA_Formation!AH19</f>
        <v>0.23393125454637043</v>
      </c>
      <c r="N19" s="46" t="str">
        <f>VFA_Formation!AI19</f>
        <v>Lower bound</v>
      </c>
    </row>
    <row r="20" spans="1:14" x14ac:dyDescent="0.2">
      <c r="A20" s="44">
        <v>19</v>
      </c>
      <c r="B20" s="13" t="s">
        <v>78</v>
      </c>
      <c r="C20" s="13" t="s">
        <v>80</v>
      </c>
      <c r="D20" s="3">
        <f>VFA_Formation!Y20</f>
        <v>877.5</v>
      </c>
      <c r="E20" s="3">
        <f>VFA_Formation!Z20</f>
        <v>1.5078</v>
      </c>
      <c r="F20" s="3">
        <f>VFA_Formation!AA20</f>
        <v>557.51669941060902</v>
      </c>
      <c r="G20" s="3">
        <f>VFA_Formation!AB20</f>
        <v>559.024499410609</v>
      </c>
      <c r="H20" s="3">
        <f>VFA_Formation!AC20</f>
        <v>1.7182905982905984E-3</v>
      </c>
      <c r="I20" s="3">
        <f>VFA_Formation!AD20</f>
        <v>0.63534666599499601</v>
      </c>
      <c r="J20" s="3">
        <f>VFA_Formation!AE20</f>
        <v>2.6971984261686286E-3</v>
      </c>
      <c r="K20" s="3">
        <f>VFA_Formation!AF20</f>
        <v>0.63706495659328666</v>
      </c>
      <c r="L20" s="3">
        <f>VFA_Formation!AG20</f>
        <v>318.475500589391</v>
      </c>
      <c r="M20" s="3">
        <f>VFA_Formation!AH20</f>
        <v>0.3629350434067134</v>
      </c>
      <c r="N20" s="46" t="str">
        <f>VFA_Formation!AI20</f>
        <v>Lower bound</v>
      </c>
    </row>
    <row r="21" spans="1:14" x14ac:dyDescent="0.2">
      <c r="A21" s="44">
        <v>20</v>
      </c>
      <c r="B21" s="13" t="s">
        <v>78</v>
      </c>
      <c r="C21" s="13" t="s">
        <v>81</v>
      </c>
      <c r="D21" s="3">
        <f>VFA_Formation!Y21</f>
        <v>877.5</v>
      </c>
      <c r="E21" s="3">
        <f>VFA_Formation!Z21</f>
        <v>264.63749999999999</v>
      </c>
      <c r="F21" s="3">
        <f>VFA_Formation!AA21</f>
        <v>0</v>
      </c>
      <c r="G21" s="3">
        <f>VFA_Formation!AB21</f>
        <v>264.63749999999999</v>
      </c>
      <c r="H21" s="3">
        <f>VFA_Formation!AC21</f>
        <v>0.30158119658119659</v>
      </c>
      <c r="I21" s="3">
        <f>VFA_Formation!AD21</f>
        <v>0</v>
      </c>
      <c r="J21" s="3">
        <f>VFA_Formation!AE21</f>
        <v>1</v>
      </c>
      <c r="K21" s="3">
        <f>VFA_Formation!AF21</f>
        <v>0.30158119658119659</v>
      </c>
      <c r="L21" s="3">
        <f>VFA_Formation!AG21</f>
        <v>612.86249999999995</v>
      </c>
      <c r="M21" s="3">
        <f>VFA_Formation!AH21</f>
        <v>0.69841880341880336</v>
      </c>
      <c r="N21" s="46" t="str">
        <f>VFA_Formation!AI21</f>
        <v>Lower bound</v>
      </c>
    </row>
    <row r="22" spans="1:14" x14ac:dyDescent="0.2">
      <c r="A22" s="44">
        <v>21</v>
      </c>
      <c r="B22" s="13" t="s">
        <v>100</v>
      </c>
      <c r="C22" s="13" t="s">
        <v>95</v>
      </c>
      <c r="D22" s="3">
        <f>VFA_Formation!Y22</f>
        <v>375</v>
      </c>
      <c r="E22" s="3">
        <f>VFA_Formation!Z22</f>
        <v>96.576662499999998</v>
      </c>
      <c r="F22" s="3">
        <f>VFA_Formation!AA22</f>
        <v>130.96085409252669</v>
      </c>
      <c r="G22" s="3">
        <f>VFA_Formation!AB22</f>
        <v>227.53751659252669</v>
      </c>
      <c r="H22" s="3">
        <f>VFA_Formation!AC22</f>
        <v>0.25753776666666667</v>
      </c>
      <c r="I22" s="3">
        <f>VFA_Formation!AD22</f>
        <v>0.34922894424673784</v>
      </c>
      <c r="J22" s="3">
        <f>VFA_Formation!AE22</f>
        <v>0.42444280814116958</v>
      </c>
      <c r="K22" s="3">
        <f>VFA_Formation!AF22</f>
        <v>0.60676671091340451</v>
      </c>
      <c r="L22" s="3">
        <f>VFA_Formation!AG22</f>
        <v>147.46248340747331</v>
      </c>
      <c r="M22" s="3">
        <f>VFA_Formation!AH22</f>
        <v>0.39323328908659549</v>
      </c>
      <c r="N22" s="46" t="str">
        <f>VFA_Formation!AI22</f>
        <v>As calculated</v>
      </c>
    </row>
    <row r="23" spans="1:14" x14ac:dyDescent="0.2">
      <c r="A23" s="44">
        <v>22</v>
      </c>
      <c r="B23" s="13" t="s">
        <v>100</v>
      </c>
      <c r="C23" s="13" t="s">
        <v>96</v>
      </c>
      <c r="D23" s="3">
        <f>VFA_Formation!Y23</f>
        <v>375</v>
      </c>
      <c r="E23" s="3">
        <f>VFA_Formation!Z23</f>
        <v>190.94599999999997</v>
      </c>
      <c r="F23" s="3">
        <f>VFA_Formation!AA23</f>
        <v>18.347172795571371</v>
      </c>
      <c r="G23" s="3">
        <f>VFA_Formation!AB23</f>
        <v>209.29317279557134</v>
      </c>
      <c r="H23" s="3">
        <f>VFA_Formation!AC23</f>
        <v>0.50918933333333327</v>
      </c>
      <c r="I23" s="3">
        <f>VFA_Formation!AD23</f>
        <v>4.8925794121523654E-2</v>
      </c>
      <c r="J23" s="3">
        <f>VFA_Formation!AE23</f>
        <v>0.91233745205108963</v>
      </c>
      <c r="K23" s="3">
        <f>VFA_Formation!AF23</f>
        <v>0.55811512745485692</v>
      </c>
      <c r="L23" s="3">
        <f>VFA_Formation!AG23</f>
        <v>165.70682720442866</v>
      </c>
      <c r="M23" s="3">
        <f>VFA_Formation!AH23</f>
        <v>0.44188487254514308</v>
      </c>
      <c r="N23" s="46" t="str">
        <f>VFA_Formation!AI23</f>
        <v>As calculated</v>
      </c>
    </row>
    <row r="24" spans="1:14" x14ac:dyDescent="0.2">
      <c r="A24" s="44">
        <v>23</v>
      </c>
      <c r="B24" s="13" t="s">
        <v>100</v>
      </c>
      <c r="C24" s="13" t="s">
        <v>97</v>
      </c>
      <c r="D24" s="3">
        <f>VFA_Formation!Y24</f>
        <v>375</v>
      </c>
      <c r="E24" s="3">
        <f>VFA_Formation!Z24</f>
        <v>179.60675000000001</v>
      </c>
      <c r="F24" s="3">
        <f>VFA_Formation!AA24</f>
        <v>12.65322261763543</v>
      </c>
      <c r="G24" s="3">
        <f>VFA_Formation!AB24</f>
        <v>192.25997261763544</v>
      </c>
      <c r="H24" s="3">
        <f>VFA_Formation!AC24</f>
        <v>0.47895133333333334</v>
      </c>
      <c r="I24" s="3">
        <f>VFA_Formation!AD24</f>
        <v>3.3741926980361145E-2</v>
      </c>
      <c r="J24" s="3">
        <f>VFA_Formation!AE24</f>
        <v>0.93418691137130228</v>
      </c>
      <c r="K24" s="3">
        <f>VFA_Formation!AF24</f>
        <v>0.51269326031369455</v>
      </c>
      <c r="L24" s="3">
        <f>VFA_Formation!AG24</f>
        <v>182.74002738236456</v>
      </c>
      <c r="M24" s="3">
        <f>VFA_Formation!AH24</f>
        <v>0.4873067396863055</v>
      </c>
      <c r="N24" s="46" t="str">
        <f>VFA_Formation!AI24</f>
        <v>As calculated</v>
      </c>
    </row>
    <row r="25" spans="1:14" x14ac:dyDescent="0.2">
      <c r="A25" s="44">
        <v>24</v>
      </c>
      <c r="B25" s="13" t="s">
        <v>100</v>
      </c>
      <c r="C25" s="13" t="s">
        <v>98</v>
      </c>
      <c r="D25" s="3">
        <f>VFA_Formation!Y25</f>
        <v>375</v>
      </c>
      <c r="E25" s="3">
        <f>VFA_Formation!Z25</f>
        <v>153.9255</v>
      </c>
      <c r="F25" s="3">
        <f>VFA_Formation!AA25</f>
        <v>6.3266113088177152</v>
      </c>
      <c r="G25" s="3">
        <f>VFA_Formation!AB25</f>
        <v>160.25211130881772</v>
      </c>
      <c r="H25" s="3">
        <f>VFA_Formation!AC25</f>
        <v>0.410468</v>
      </c>
      <c r="I25" s="3">
        <f>VFA_Formation!AD25</f>
        <v>1.6870963490180572E-2</v>
      </c>
      <c r="J25" s="3">
        <f>VFA_Formation!AE25</f>
        <v>0.96052088638866129</v>
      </c>
      <c r="K25" s="3">
        <f>VFA_Formation!AF25</f>
        <v>0.42733896349018058</v>
      </c>
      <c r="L25" s="3">
        <f>VFA_Formation!AG25</f>
        <v>214.74788869118228</v>
      </c>
      <c r="M25" s="3">
        <f>VFA_Formation!AH25</f>
        <v>0.57266103650981937</v>
      </c>
      <c r="N25" s="46" t="str">
        <f>VFA_Formation!AI25</f>
        <v>As calculated</v>
      </c>
    </row>
    <row r="26" spans="1:14" x14ac:dyDescent="0.2">
      <c r="A26" s="44">
        <v>25</v>
      </c>
      <c r="B26" s="13" t="s">
        <v>100</v>
      </c>
      <c r="C26" s="13" t="s">
        <v>99</v>
      </c>
      <c r="D26" s="3">
        <f>VFA_Formation!Y26</f>
        <v>375</v>
      </c>
      <c r="E26" s="3">
        <f>VFA_Formation!Z26</f>
        <v>85.880375000000001</v>
      </c>
      <c r="F26" s="3">
        <f>VFA_Formation!AA26</f>
        <v>4.4286279161724007</v>
      </c>
      <c r="G26" s="3">
        <f>VFA_Formation!AB26</f>
        <v>90.309002916172403</v>
      </c>
      <c r="H26" s="3">
        <f>VFA_Formation!AC26</f>
        <v>0.22901433333333335</v>
      </c>
      <c r="I26" s="3">
        <f>VFA_Formation!AD26</f>
        <v>1.1809674443126401E-2</v>
      </c>
      <c r="J26" s="3">
        <f>VFA_Formation!AE26</f>
        <v>0.95096139063473895</v>
      </c>
      <c r="K26" s="3">
        <f>VFA_Formation!AF26</f>
        <v>0.24082400777645974</v>
      </c>
      <c r="L26" s="3">
        <f>VFA_Formation!AG26</f>
        <v>284.6909970838276</v>
      </c>
      <c r="M26" s="3">
        <f>VFA_Formation!AH26</f>
        <v>0.75917599222354026</v>
      </c>
      <c r="N26" s="46" t="str">
        <f>VFA_Formation!AI26</f>
        <v>As calculated</v>
      </c>
    </row>
    <row r="27" spans="1:14" x14ac:dyDescent="0.2">
      <c r="A27" s="44">
        <v>26</v>
      </c>
      <c r="B27" s="13" t="s">
        <v>103</v>
      </c>
      <c r="C27" s="13" t="s">
        <v>104</v>
      </c>
      <c r="D27" s="3">
        <f>VFA_Formation!Y27</f>
        <v>1642.3125</v>
      </c>
      <c r="E27" s="3">
        <f>VFA_Formation!Z27</f>
        <v>78.75</v>
      </c>
      <c r="F27" s="3" t="str">
        <f>VFA_Formation!AA27</f>
        <v>NC</v>
      </c>
      <c r="G27" s="3" t="str">
        <f>VFA_Formation!AB27</f>
        <v>NC</v>
      </c>
      <c r="H27" s="3">
        <f>VFA_Formation!AC27</f>
        <v>4.79506793012901E-2</v>
      </c>
      <c r="I27" s="3" t="str">
        <f>VFA_Formation!AD27</f>
        <v>NC</v>
      </c>
      <c r="J27" s="3" t="str">
        <f>VFA_Formation!AE27</f>
        <v>NC</v>
      </c>
      <c r="K27" s="3" t="str">
        <f>VFA_Formation!AF27</f>
        <v>NC</v>
      </c>
      <c r="L27" s="3" t="str">
        <f>VFA_Formation!AG27</f>
        <v>NC</v>
      </c>
      <c r="M27" s="3" t="str">
        <f>VFA_Formation!AH27</f>
        <v>NC</v>
      </c>
      <c r="N27" s="46" t="str">
        <f>VFA_Formation!AI27</f>
        <v>NC</v>
      </c>
    </row>
    <row r="28" spans="1:14" x14ac:dyDescent="0.2">
      <c r="A28" s="44">
        <v>27</v>
      </c>
      <c r="B28" s="13" t="s">
        <v>103</v>
      </c>
      <c r="C28" s="13" t="s">
        <v>105</v>
      </c>
      <c r="D28" s="3">
        <f>VFA_Formation!Y28</f>
        <v>1438.3125</v>
      </c>
      <c r="E28" s="3">
        <f>VFA_Formation!Z28</f>
        <v>404.08125000000001</v>
      </c>
      <c r="F28" s="3" t="str">
        <f>VFA_Formation!AA28</f>
        <v>NC</v>
      </c>
      <c r="G28" s="3" t="str">
        <f>VFA_Formation!AB28</f>
        <v>NC</v>
      </c>
      <c r="H28" s="3">
        <f>VFA_Formation!AC28</f>
        <v>0.28094120714378829</v>
      </c>
      <c r="I28" s="3" t="str">
        <f>VFA_Formation!AD28</f>
        <v>NC</v>
      </c>
      <c r="J28" s="3" t="str">
        <f>VFA_Formation!AE28</f>
        <v>NC</v>
      </c>
      <c r="K28" s="3" t="str">
        <f>VFA_Formation!AF28</f>
        <v>NC</v>
      </c>
      <c r="L28" s="3" t="str">
        <f>VFA_Formation!AG28</f>
        <v>NC</v>
      </c>
      <c r="M28" s="3" t="str">
        <f>VFA_Formation!AH28</f>
        <v>NC</v>
      </c>
      <c r="N28" s="46" t="str">
        <f>VFA_Formation!AI28</f>
        <v>NC</v>
      </c>
    </row>
    <row r="29" spans="1:14" x14ac:dyDescent="0.2">
      <c r="A29" s="44">
        <v>28</v>
      </c>
      <c r="B29" s="13" t="s">
        <v>103</v>
      </c>
      <c r="C29" s="13" t="s">
        <v>106</v>
      </c>
      <c r="D29" s="3">
        <f>VFA_Formation!Y29</f>
        <v>1296.75</v>
      </c>
      <c r="E29" s="3">
        <f>VFA_Formation!Z29</f>
        <v>475.89374999999995</v>
      </c>
      <c r="F29" s="3" t="str">
        <f>VFA_Formation!AA29</f>
        <v>NC</v>
      </c>
      <c r="G29" s="3" t="str">
        <f>VFA_Formation!AB29</f>
        <v>NC</v>
      </c>
      <c r="H29" s="3">
        <f>VFA_Formation!AC29</f>
        <v>0.36698958935801035</v>
      </c>
      <c r="I29" s="3" t="str">
        <f>VFA_Formation!AD29</f>
        <v>NC</v>
      </c>
      <c r="J29" s="3" t="str">
        <f>VFA_Formation!AE29</f>
        <v>NC</v>
      </c>
      <c r="K29" s="3" t="str">
        <f>VFA_Formation!AF29</f>
        <v>NC</v>
      </c>
      <c r="L29" s="3" t="str">
        <f>VFA_Formation!AG29</f>
        <v>NC</v>
      </c>
      <c r="M29" s="3" t="str">
        <f>VFA_Formation!AH29</f>
        <v>NC</v>
      </c>
      <c r="N29" s="46" t="str">
        <f>VFA_Formation!AI29</f>
        <v>NC</v>
      </c>
    </row>
    <row r="30" spans="1:14" x14ac:dyDescent="0.2">
      <c r="A30" s="44">
        <v>29</v>
      </c>
      <c r="B30" s="13" t="s">
        <v>103</v>
      </c>
      <c r="C30" s="13" t="s">
        <v>107</v>
      </c>
      <c r="D30" s="3">
        <f>VFA_Formation!Y30</f>
        <v>1159.125</v>
      </c>
      <c r="E30" s="3">
        <f>VFA_Formation!Z30</f>
        <v>701.64374999999995</v>
      </c>
      <c r="F30" s="3" t="str">
        <f>VFA_Formation!AA30</f>
        <v>NC</v>
      </c>
      <c r="G30" s="3" t="str">
        <f>VFA_Formation!AB30</f>
        <v>NC</v>
      </c>
      <c r="H30" s="3">
        <f>VFA_Formation!AC30</f>
        <v>0.60532190229699123</v>
      </c>
      <c r="I30" s="3" t="str">
        <f>VFA_Formation!AD30</f>
        <v>NC</v>
      </c>
      <c r="J30" s="3" t="str">
        <f>VFA_Formation!AE30</f>
        <v>NC</v>
      </c>
      <c r="K30" s="3" t="str">
        <f>VFA_Formation!AF30</f>
        <v>NC</v>
      </c>
      <c r="L30" s="3" t="str">
        <f>VFA_Formation!AG30</f>
        <v>NC</v>
      </c>
      <c r="M30" s="3" t="str">
        <f>VFA_Formation!AH30</f>
        <v>NC</v>
      </c>
      <c r="N30" s="46" t="str">
        <f>VFA_Formation!AI30</f>
        <v>NC</v>
      </c>
    </row>
    <row r="31" spans="1:14" x14ac:dyDescent="0.2">
      <c r="A31" s="44">
        <v>30</v>
      </c>
      <c r="B31" s="13" t="s">
        <v>108</v>
      </c>
      <c r="C31" s="13" t="s">
        <v>109</v>
      </c>
      <c r="D31" s="3" t="str">
        <f>VFA_Formation!Y31</f>
        <v>NC</v>
      </c>
      <c r="E31" s="3">
        <f>VFA_Formation!Z31</f>
        <v>700</v>
      </c>
      <c r="F31" s="3">
        <f>VFA_Formation!AA31</f>
        <v>1.8875444839857651</v>
      </c>
      <c r="G31" s="3">
        <f>VFA_Formation!AB31</f>
        <v>701.88754448398572</v>
      </c>
      <c r="H31" s="3" t="str">
        <f>VFA_Formation!AC31</f>
        <v>NC</v>
      </c>
      <c r="I31" s="3" t="str">
        <f>VFA_Formation!AD31</f>
        <v>NC</v>
      </c>
      <c r="J31" s="3">
        <f>VFA_Formation!AE31</f>
        <v>0.99731075939611746</v>
      </c>
      <c r="K31" s="3" t="str">
        <f>VFA_Formation!AF31</f>
        <v>NC</v>
      </c>
      <c r="L31" s="3" t="str">
        <f>VFA_Formation!AG31</f>
        <v>NC</v>
      </c>
      <c r="M31" s="3" t="str">
        <f>VFA_Formation!AH31</f>
        <v>NC</v>
      </c>
      <c r="N31" s="46" t="str">
        <f>VFA_Formation!AI31</f>
        <v>NC</v>
      </c>
    </row>
    <row r="32" spans="1:14" x14ac:dyDescent="0.2">
      <c r="A32" s="44">
        <v>31</v>
      </c>
      <c r="B32" s="13" t="s">
        <v>108</v>
      </c>
      <c r="C32" s="13" t="s">
        <v>110</v>
      </c>
      <c r="D32" s="3" t="str">
        <f>VFA_Formation!Y32</f>
        <v>NC</v>
      </c>
      <c r="E32" s="3">
        <f>VFA_Formation!Z32</f>
        <v>987.5</v>
      </c>
      <c r="F32" s="3">
        <f>VFA_Formation!AA32</f>
        <v>3.3578489521550026</v>
      </c>
      <c r="G32" s="3">
        <f>VFA_Formation!AB32</f>
        <v>990.857848952155</v>
      </c>
      <c r="H32" s="3" t="str">
        <f>VFA_Formation!AC32</f>
        <v>NC</v>
      </c>
      <c r="I32" s="3" t="str">
        <f>VFA_Formation!AD32</f>
        <v>NC</v>
      </c>
      <c r="J32" s="3">
        <f>VFA_Formation!AE32</f>
        <v>0.99661116985074505</v>
      </c>
      <c r="K32" s="3" t="str">
        <f>VFA_Formation!AF32</f>
        <v>NC</v>
      </c>
      <c r="L32" s="3" t="str">
        <f>VFA_Formation!AG32</f>
        <v>NC</v>
      </c>
      <c r="M32" s="3" t="str">
        <f>VFA_Formation!AH32</f>
        <v>NC</v>
      </c>
      <c r="N32" s="46" t="str">
        <f>VFA_Formation!AI32</f>
        <v>NC</v>
      </c>
    </row>
    <row r="33" spans="1:14" x14ac:dyDescent="0.2">
      <c r="A33" s="44">
        <v>32</v>
      </c>
      <c r="B33" s="13" t="s">
        <v>108</v>
      </c>
      <c r="C33" s="13" t="s">
        <v>111</v>
      </c>
      <c r="D33" s="3" t="str">
        <f>VFA_Formation!Y33</f>
        <v>NC</v>
      </c>
      <c r="E33" s="3">
        <f>VFA_Formation!Z33</f>
        <v>1196.25</v>
      </c>
      <c r="F33" s="3">
        <f>VFA_Formation!AA33</f>
        <v>9.0288018979833939</v>
      </c>
      <c r="G33" s="3">
        <f>VFA_Formation!AB33</f>
        <v>1205.2788018979834</v>
      </c>
      <c r="H33" s="3" t="str">
        <f>VFA_Formation!AC33</f>
        <v>NC</v>
      </c>
      <c r="I33" s="3" t="str">
        <f>VFA_Formation!AD33</f>
        <v>NC</v>
      </c>
      <c r="J33" s="3">
        <f>VFA_Formation!AE33</f>
        <v>0.99250895155231678</v>
      </c>
      <c r="K33" s="3" t="str">
        <f>VFA_Formation!AF33</f>
        <v>NC</v>
      </c>
      <c r="L33" s="3" t="str">
        <f>VFA_Formation!AG33</f>
        <v>NC</v>
      </c>
      <c r="M33" s="3" t="str">
        <f>VFA_Formation!AH33</f>
        <v>NC</v>
      </c>
      <c r="N33" s="46" t="str">
        <f>VFA_Formation!AI33</f>
        <v>NC</v>
      </c>
    </row>
    <row r="34" spans="1:14" x14ac:dyDescent="0.2">
      <c r="A34" s="44">
        <v>33</v>
      </c>
      <c r="B34" s="13" t="s">
        <v>108</v>
      </c>
      <c r="C34" s="13" t="s">
        <v>112</v>
      </c>
      <c r="D34" s="3" t="str">
        <f>VFA_Formation!Y34</f>
        <v>NC</v>
      </c>
      <c r="E34" s="3">
        <f>VFA_Formation!Z34</f>
        <v>1451.25</v>
      </c>
      <c r="F34" s="3">
        <f>VFA_Formation!AA34</f>
        <v>16.142348754448399</v>
      </c>
      <c r="G34" s="3">
        <f>VFA_Formation!AB34</f>
        <v>1467.3923487544484</v>
      </c>
      <c r="H34" s="3" t="str">
        <f>VFA_Formation!AC34</f>
        <v>NC</v>
      </c>
      <c r="I34" s="3" t="str">
        <f>VFA_Formation!AD34</f>
        <v>NC</v>
      </c>
      <c r="J34" s="3">
        <f>VFA_Formation!AE34</f>
        <v>0.9889992960859102</v>
      </c>
      <c r="K34" s="3" t="str">
        <f>VFA_Formation!AF34</f>
        <v>NC</v>
      </c>
      <c r="L34" s="3" t="str">
        <f>VFA_Formation!AG34</f>
        <v>NC</v>
      </c>
      <c r="M34" s="3" t="str">
        <f>VFA_Formation!AH34</f>
        <v>NC</v>
      </c>
      <c r="N34" s="46" t="str">
        <f>VFA_Formation!AI34</f>
        <v>NC</v>
      </c>
    </row>
    <row r="35" spans="1:14" x14ac:dyDescent="0.2">
      <c r="A35" s="44">
        <v>34</v>
      </c>
      <c r="B35" s="13" t="s">
        <v>108</v>
      </c>
      <c r="C35" s="13" t="s">
        <v>113</v>
      </c>
      <c r="D35" s="3" t="str">
        <f>VFA_Formation!Y35</f>
        <v>NC</v>
      </c>
      <c r="E35" s="3">
        <f>VFA_Formation!Z35</f>
        <v>1602.5</v>
      </c>
      <c r="F35" s="3">
        <f>VFA_Formation!AA35</f>
        <v>20.255278766310795</v>
      </c>
      <c r="G35" s="3">
        <f>VFA_Formation!AB35</f>
        <v>1622.7552787663108</v>
      </c>
      <c r="H35" s="3" t="str">
        <f>VFA_Formation!AC35</f>
        <v>NC</v>
      </c>
      <c r="I35" s="3" t="str">
        <f>VFA_Formation!AD35</f>
        <v>NC</v>
      </c>
      <c r="J35" s="3">
        <f>VFA_Formation!AE35</f>
        <v>0.98751797080474779</v>
      </c>
      <c r="K35" s="3" t="str">
        <f>VFA_Formation!AF35</f>
        <v>NC</v>
      </c>
      <c r="L35" s="3" t="str">
        <f>VFA_Formation!AG35</f>
        <v>NC</v>
      </c>
      <c r="M35" s="3" t="str">
        <f>VFA_Formation!AH35</f>
        <v>NC</v>
      </c>
      <c r="N35" s="46" t="str">
        <f>VFA_Formation!AI35</f>
        <v>NC</v>
      </c>
    </row>
    <row r="36" spans="1:14" x14ac:dyDescent="0.2">
      <c r="A36" s="44">
        <v>35</v>
      </c>
      <c r="B36" s="13" t="s">
        <v>108</v>
      </c>
      <c r="C36" s="13" t="s">
        <v>114</v>
      </c>
      <c r="D36" s="3" t="str">
        <f>VFA_Formation!Y36</f>
        <v>NC</v>
      </c>
      <c r="E36" s="3">
        <f>VFA_Formation!Z36</f>
        <v>1852.5</v>
      </c>
      <c r="F36" s="3">
        <f>VFA_Formation!AA36</f>
        <v>33.207117437722424</v>
      </c>
      <c r="G36" s="3">
        <f>VFA_Formation!AB36</f>
        <v>1885.7071174377224</v>
      </c>
      <c r="H36" s="3" t="str">
        <f>VFA_Formation!AC36</f>
        <v>NC</v>
      </c>
      <c r="I36" s="3" t="str">
        <f>VFA_Formation!AD36</f>
        <v>NC</v>
      </c>
      <c r="J36" s="3">
        <f>VFA_Formation!AE36</f>
        <v>0.98239009805359179</v>
      </c>
      <c r="K36" s="3" t="str">
        <f>VFA_Formation!AF36</f>
        <v>NC</v>
      </c>
      <c r="L36" s="3" t="str">
        <f>VFA_Formation!AG36</f>
        <v>NC</v>
      </c>
      <c r="M36" s="3" t="str">
        <f>VFA_Formation!AH36</f>
        <v>NC</v>
      </c>
      <c r="N36" s="46" t="str">
        <f>VFA_Formation!AI36</f>
        <v>NC</v>
      </c>
    </row>
    <row r="37" spans="1:14" x14ac:dyDescent="0.2">
      <c r="A37" s="44">
        <v>36</v>
      </c>
      <c r="B37" s="13" t="s">
        <v>108</v>
      </c>
      <c r="C37" s="13" t="s">
        <v>115</v>
      </c>
      <c r="D37" s="3" t="str">
        <f>VFA_Formation!Y37</f>
        <v>NC</v>
      </c>
      <c r="E37" s="3">
        <f>VFA_Formation!Z37</f>
        <v>2027.4999999999998</v>
      </c>
      <c r="F37" s="3">
        <f>VFA_Formation!AA37</f>
        <v>32.642467378410444</v>
      </c>
      <c r="G37" s="3">
        <f>VFA_Formation!AB37</f>
        <v>2060.1424673784104</v>
      </c>
      <c r="H37" s="3" t="str">
        <f>VFA_Formation!AC37</f>
        <v>NC</v>
      </c>
      <c r="I37" s="3" t="str">
        <f>VFA_Formation!AD37</f>
        <v>NC</v>
      </c>
      <c r="J37" s="3">
        <f>VFA_Formation!AE37</f>
        <v>0.98415523785597747</v>
      </c>
      <c r="K37" s="3" t="str">
        <f>VFA_Formation!AF37</f>
        <v>NC</v>
      </c>
      <c r="L37" s="3" t="str">
        <f>VFA_Formation!AG37</f>
        <v>NC</v>
      </c>
      <c r="M37" s="3" t="str">
        <f>VFA_Formation!AH37</f>
        <v>NC</v>
      </c>
      <c r="N37" s="46" t="str">
        <f>VFA_Formation!AI37</f>
        <v>NC</v>
      </c>
    </row>
    <row r="38" spans="1:14" x14ac:dyDescent="0.2">
      <c r="A38" s="44">
        <v>37</v>
      </c>
      <c r="B38" s="13" t="s">
        <v>108</v>
      </c>
      <c r="C38" s="13" t="s">
        <v>116</v>
      </c>
      <c r="D38" s="3" t="str">
        <f>VFA_Formation!Y38</f>
        <v>NC</v>
      </c>
      <c r="E38" s="3">
        <f>VFA_Formation!Z38</f>
        <v>2172.5</v>
      </c>
      <c r="F38" s="3">
        <f>VFA_Formation!AA38</f>
        <v>35.802672993277973</v>
      </c>
      <c r="G38" s="3">
        <f>VFA_Formation!AB38</f>
        <v>2208.3026729932781</v>
      </c>
      <c r="H38" s="3" t="str">
        <f>VFA_Formation!AC38</f>
        <v>NC</v>
      </c>
      <c r="I38" s="3" t="str">
        <f>VFA_Formation!AD38</f>
        <v>NC</v>
      </c>
      <c r="J38" s="3">
        <f>VFA_Formation!AE38</f>
        <v>0.98378724373649884</v>
      </c>
      <c r="K38" s="3" t="str">
        <f>VFA_Formation!AF38</f>
        <v>NC</v>
      </c>
      <c r="L38" s="3" t="str">
        <f>VFA_Formation!AG38</f>
        <v>NC</v>
      </c>
      <c r="M38" s="3" t="str">
        <f>VFA_Formation!AH38</f>
        <v>NC</v>
      </c>
      <c r="N38" s="46" t="str">
        <f>VFA_Formation!AI38</f>
        <v>NC</v>
      </c>
    </row>
    <row r="39" spans="1:14" x14ac:dyDescent="0.2">
      <c r="A39" s="44">
        <v>38</v>
      </c>
      <c r="B39" s="13" t="s">
        <v>108</v>
      </c>
      <c r="C39" s="13" t="s">
        <v>117</v>
      </c>
      <c r="D39" s="3" t="str">
        <f>VFA_Formation!Y39</f>
        <v>NC</v>
      </c>
      <c r="E39" s="3">
        <f>VFA_Formation!Z39</f>
        <v>2262.5</v>
      </c>
      <c r="F39" s="3">
        <f>VFA_Formation!AA39</f>
        <v>41.206548042704632</v>
      </c>
      <c r="G39" s="3">
        <f>VFA_Formation!AB39</f>
        <v>2303.7065480427045</v>
      </c>
      <c r="H39" s="3" t="str">
        <f>VFA_Formation!AC39</f>
        <v>NC</v>
      </c>
      <c r="I39" s="3" t="str">
        <f>VFA_Formation!AD39</f>
        <v>NC</v>
      </c>
      <c r="J39" s="3">
        <f>VFA_Formation!AE39</f>
        <v>0.98211293531386856</v>
      </c>
      <c r="K39" s="3" t="str">
        <f>VFA_Formation!AF39</f>
        <v>NC</v>
      </c>
      <c r="L39" s="3" t="str">
        <f>VFA_Formation!AG39</f>
        <v>NC</v>
      </c>
      <c r="M39" s="3" t="str">
        <f>VFA_Formation!AH39</f>
        <v>NC</v>
      </c>
      <c r="N39" s="46" t="str">
        <f>VFA_Formation!AI39</f>
        <v>NC</v>
      </c>
    </row>
    <row r="40" spans="1:14" x14ac:dyDescent="0.2">
      <c r="A40" s="44">
        <v>39</v>
      </c>
      <c r="B40" s="13" t="s">
        <v>154</v>
      </c>
      <c r="C40" s="13" t="s">
        <v>155</v>
      </c>
      <c r="D40" s="3">
        <f>Chain_Elongation!AA2</f>
        <v>10526.35</v>
      </c>
      <c r="E40" s="3">
        <f>Chain_Elongation!AB2</f>
        <v>3500.7750000000005</v>
      </c>
      <c r="F40" s="3">
        <f>Chain_Elongation!AC2</f>
        <v>580.79999999999995</v>
      </c>
      <c r="G40" s="3">
        <f>Chain_Elongation!AD2</f>
        <v>4081.5750000000007</v>
      </c>
      <c r="H40" s="3">
        <f>Chain_Elongation!AE2</f>
        <v>0.3325725441392316</v>
      </c>
      <c r="I40" s="3">
        <f>Chain_Elongation!AF2</f>
        <v>5.5175820678582788E-2</v>
      </c>
      <c r="J40" s="3">
        <f>Chain_Elongation!AG2</f>
        <v>0.85770199004060932</v>
      </c>
      <c r="K40" s="3">
        <f>Chain_Elongation!AH2</f>
        <v>0.38774836481781438</v>
      </c>
      <c r="L40" s="3">
        <f>Chain_Elongation!AI2</f>
        <v>6444.7749999999996</v>
      </c>
      <c r="M40" s="3">
        <f>Chain_Elongation!AJ2</f>
        <v>0.61225163518218562</v>
      </c>
      <c r="N40" s="46" t="str">
        <f>Chain_Elongation!AK2</f>
        <v>As calculated</v>
      </c>
    </row>
    <row r="41" spans="1:14" x14ac:dyDescent="0.2">
      <c r="A41" s="44">
        <v>40</v>
      </c>
      <c r="B41" s="13" t="s">
        <v>154</v>
      </c>
      <c r="C41" s="13" t="s">
        <v>163</v>
      </c>
      <c r="D41" s="3">
        <f>Chain_Elongation!AA3</f>
        <v>6306.25</v>
      </c>
      <c r="E41" s="3">
        <f>Chain_Elongation!AB3</f>
        <v>1763.4875000000002</v>
      </c>
      <c r="F41" s="3">
        <f>Chain_Elongation!AC3</f>
        <v>274.39999999999998</v>
      </c>
      <c r="G41" s="3">
        <f>Chain_Elongation!AD3</f>
        <v>2037.8875000000003</v>
      </c>
      <c r="H41" s="3">
        <f>Chain_Elongation!AE3</f>
        <v>0.27964122893954413</v>
      </c>
      <c r="I41" s="3">
        <f>Chain_Elongation!AF3</f>
        <v>4.351238850346878E-2</v>
      </c>
      <c r="J41" s="3">
        <f>Chain_Elongation!AG3</f>
        <v>0.86535076151161427</v>
      </c>
      <c r="K41" s="3">
        <f>Chain_Elongation!AH3</f>
        <v>0.32315361744301291</v>
      </c>
      <c r="L41" s="3">
        <f>Chain_Elongation!AI3</f>
        <v>4268.3624999999993</v>
      </c>
      <c r="M41" s="3">
        <f>Chain_Elongation!AJ3</f>
        <v>0.67684638255698704</v>
      </c>
      <c r="N41" s="46" t="str">
        <f>Chain_Elongation!AK3</f>
        <v>As calculated</v>
      </c>
    </row>
    <row r="42" spans="1:14" x14ac:dyDescent="0.2">
      <c r="A42" s="44">
        <v>41</v>
      </c>
      <c r="B42" s="13" t="s">
        <v>154</v>
      </c>
      <c r="C42" s="13" t="s">
        <v>166</v>
      </c>
      <c r="D42" s="3">
        <f>Chain_Elongation!AA4</f>
        <v>6306.25</v>
      </c>
      <c r="E42" s="3">
        <f>Chain_Elongation!AB4</f>
        <v>1149.2</v>
      </c>
      <c r="F42" s="3">
        <f>Chain_Elongation!AC4</f>
        <v>136.80000000000001</v>
      </c>
      <c r="G42" s="3">
        <f>Chain_Elongation!AD4</f>
        <v>1286</v>
      </c>
      <c r="H42" s="3">
        <f>Chain_Elongation!AE4</f>
        <v>0.18223191278493558</v>
      </c>
      <c r="I42" s="3">
        <f>Chain_Elongation!AF4</f>
        <v>2.1692765113974232E-2</v>
      </c>
      <c r="J42" s="3">
        <f>Chain_Elongation!AG4</f>
        <v>0.89362363919129084</v>
      </c>
      <c r="K42" s="3">
        <f>Chain_Elongation!AH4</f>
        <v>0.20392467789890981</v>
      </c>
      <c r="L42" s="3">
        <f>Chain_Elongation!AI4</f>
        <v>5020.25</v>
      </c>
      <c r="M42" s="3">
        <f>Chain_Elongation!AJ4</f>
        <v>0.79607532210109022</v>
      </c>
      <c r="N42" s="46" t="str">
        <f>Chain_Elongation!AK4</f>
        <v>As calculated</v>
      </c>
    </row>
    <row r="43" spans="1:14" x14ac:dyDescent="0.2">
      <c r="A43" s="44">
        <v>42</v>
      </c>
      <c r="B43" s="13" t="s">
        <v>154</v>
      </c>
      <c r="C43" s="13" t="s">
        <v>169</v>
      </c>
      <c r="D43" s="3">
        <f>Chain_Elongation!AA5</f>
        <v>6306.25</v>
      </c>
      <c r="E43" s="3">
        <f>Chain_Elongation!AB5</f>
        <v>168.57500000000002</v>
      </c>
      <c r="F43" s="3">
        <f>Chain_Elongation!AC5</f>
        <v>12</v>
      </c>
      <c r="G43" s="3">
        <f>Chain_Elongation!AD5</f>
        <v>180.57500000000002</v>
      </c>
      <c r="H43" s="3">
        <f>Chain_Elongation!AE5</f>
        <v>2.6731417244796832E-2</v>
      </c>
      <c r="I43" s="3">
        <f>Chain_Elongation!AF5</f>
        <v>1.9028741328047571E-3</v>
      </c>
      <c r="J43" s="3">
        <f>Chain_Elongation!AG5</f>
        <v>0.93354561816419768</v>
      </c>
      <c r="K43" s="3">
        <f>Chain_Elongation!AH5</f>
        <v>2.8634291377601588E-2</v>
      </c>
      <c r="L43" s="3">
        <f>Chain_Elongation!AI5</f>
        <v>6125.6750000000002</v>
      </c>
      <c r="M43" s="3">
        <f>Chain_Elongation!AJ5</f>
        <v>0.97136570862239846</v>
      </c>
      <c r="N43" s="46" t="str">
        <f>Chain_Elongation!AK5</f>
        <v>As calculated</v>
      </c>
    </row>
    <row r="44" spans="1:14" x14ac:dyDescent="0.2">
      <c r="A44" s="44">
        <v>43</v>
      </c>
      <c r="B44" s="13" t="s">
        <v>154</v>
      </c>
      <c r="C44" s="13" t="s">
        <v>172</v>
      </c>
      <c r="D44" s="3">
        <f>Chain_Elongation!AA6</f>
        <v>6312.3625000000011</v>
      </c>
      <c r="E44" s="3">
        <f>Chain_Elongation!AB6</f>
        <v>1259.4000000000001</v>
      </c>
      <c r="F44" s="3">
        <f>Chain_Elongation!AC6</f>
        <v>236.8</v>
      </c>
      <c r="G44" s="3">
        <f>Chain_Elongation!AD6</f>
        <v>1496.2</v>
      </c>
      <c r="H44" s="3">
        <f>Chain_Elongation!AE6</f>
        <v>0.19951325672440387</v>
      </c>
      <c r="I44" s="3">
        <f>Chain_Elongation!AF6</f>
        <v>3.7513688416975416E-2</v>
      </c>
      <c r="J44" s="3">
        <f>Chain_Elongation!AG6</f>
        <v>0.84173238871808587</v>
      </c>
      <c r="K44" s="3">
        <f>Chain_Elongation!AH6</f>
        <v>0.23702694514137929</v>
      </c>
      <c r="L44" s="3">
        <f>Chain_Elongation!AI6</f>
        <v>4816.1625000000013</v>
      </c>
      <c r="M44" s="3">
        <f>Chain_Elongation!AJ6</f>
        <v>0.76297305485862077</v>
      </c>
      <c r="N44" s="46" t="str">
        <f>Chain_Elongation!AK6</f>
        <v>As calculated</v>
      </c>
    </row>
    <row r="45" spans="1:14" x14ac:dyDescent="0.2">
      <c r="A45" s="44">
        <v>44</v>
      </c>
      <c r="B45" s="13" t="s">
        <v>174</v>
      </c>
      <c r="C45" s="13" t="s">
        <v>175</v>
      </c>
      <c r="D45" s="3">
        <f>Chain_Elongation!AA7</f>
        <v>9401.0249999999996</v>
      </c>
      <c r="E45" s="3">
        <f>Chain_Elongation!AB7</f>
        <v>1769.3025000000002</v>
      </c>
      <c r="F45" s="3">
        <f>Chain_Elongation!AC7</f>
        <v>135.00606413340049</v>
      </c>
      <c r="G45" s="3">
        <f>Chain_Elongation!AD7</f>
        <v>1904.3085641334008</v>
      </c>
      <c r="H45" s="3">
        <f>Chain_Elongation!AE7</f>
        <v>0.18820314806098273</v>
      </c>
      <c r="I45" s="3">
        <f>Chain_Elongation!AF7</f>
        <v>1.4360781311974012E-2</v>
      </c>
      <c r="J45" s="3">
        <f>Chain_Elongation!AG7</f>
        <v>0.92910494303488145</v>
      </c>
      <c r="K45" s="3">
        <f>Chain_Elongation!AH7</f>
        <v>0.20256392937295675</v>
      </c>
      <c r="L45" s="3">
        <f>Chain_Elongation!AI7</f>
        <v>7496.7164358665987</v>
      </c>
      <c r="M45" s="3">
        <f>Chain_Elongation!AJ7</f>
        <v>0.79743607062704325</v>
      </c>
      <c r="N45" s="46" t="str">
        <f>Chain_Elongation!AK7</f>
        <v>As calculated</v>
      </c>
    </row>
    <row r="46" spans="1:14" x14ac:dyDescent="0.2">
      <c r="A46" s="44">
        <v>45</v>
      </c>
      <c r="B46" s="13" t="s">
        <v>174</v>
      </c>
      <c r="C46" s="13" t="s">
        <v>179</v>
      </c>
      <c r="D46" s="3">
        <f>Chain_Elongation!AA8</f>
        <v>11286.5375</v>
      </c>
      <c r="E46" s="3">
        <f>Chain_Elongation!AB8</f>
        <v>2035.5600000000004</v>
      </c>
      <c r="F46" s="3">
        <f>Chain_Elongation!AC8</f>
        <v>328.57971844118254</v>
      </c>
      <c r="G46" s="3">
        <f>Chain_Elongation!AD8</f>
        <v>2364.139718441183</v>
      </c>
      <c r="H46" s="3">
        <f>Chain_Elongation!AE8</f>
        <v>0.18035292045944121</v>
      </c>
      <c r="I46" s="3">
        <f>Chain_Elongation!AF8</f>
        <v>2.9112535039305238E-2</v>
      </c>
      <c r="J46" s="3">
        <f>Chain_Elongation!AG8</f>
        <v>0.86101510165489092</v>
      </c>
      <c r="K46" s="3">
        <f>Chain_Elongation!AH8</f>
        <v>0.20946545549874646</v>
      </c>
      <c r="L46" s="3">
        <f>Chain_Elongation!AI8</f>
        <v>8922.3977815588169</v>
      </c>
      <c r="M46" s="3">
        <f>Chain_Elongation!AJ8</f>
        <v>0.79053454450125349</v>
      </c>
      <c r="N46" s="46" t="str">
        <f>Chain_Elongation!AK8</f>
        <v>As calculated</v>
      </c>
    </row>
    <row r="47" spans="1:14" x14ac:dyDescent="0.2">
      <c r="A47" s="44">
        <v>46</v>
      </c>
      <c r="B47" s="13" t="s">
        <v>181</v>
      </c>
      <c r="C47" s="13" t="s">
        <v>182</v>
      </c>
      <c r="D47" s="3">
        <f>Chain_Elongation!AA9</f>
        <v>2988</v>
      </c>
      <c r="E47" s="3">
        <f>Chain_Elongation!AB9</f>
        <v>448</v>
      </c>
      <c r="F47" s="3">
        <f>Chain_Elongation!AC9</f>
        <v>75.199999999999989</v>
      </c>
      <c r="G47" s="3">
        <f>Chain_Elongation!AD9</f>
        <v>523.20000000000005</v>
      </c>
      <c r="H47" s="3">
        <f>Chain_Elongation!AE9</f>
        <v>0.1499330655957162</v>
      </c>
      <c r="I47" s="3">
        <f>Chain_Elongation!AF9</f>
        <v>2.5167336010709501E-2</v>
      </c>
      <c r="J47" s="3">
        <f>Chain_Elongation!AG9</f>
        <v>0.85626911314984699</v>
      </c>
      <c r="K47" s="3">
        <f>Chain_Elongation!AH9</f>
        <v>0.17510040160642573</v>
      </c>
      <c r="L47" s="3">
        <f>Chain_Elongation!AI9</f>
        <v>2464.8000000000002</v>
      </c>
      <c r="M47" s="3">
        <f>Chain_Elongation!AJ9</f>
        <v>0.82489959839357441</v>
      </c>
      <c r="N47" s="46" t="str">
        <f>Chain_Elongation!AK9</f>
        <v>As calculated</v>
      </c>
    </row>
    <row r="48" spans="1:14" x14ac:dyDescent="0.2">
      <c r="A48" s="44">
        <v>47</v>
      </c>
      <c r="B48" s="13" t="s">
        <v>181</v>
      </c>
      <c r="C48" s="13" t="s">
        <v>186</v>
      </c>
      <c r="D48" s="3">
        <f>Chain_Elongation!AA10</f>
        <v>3063</v>
      </c>
      <c r="E48" s="3">
        <f>Chain_Elongation!AB10</f>
        <v>636.79999999999995</v>
      </c>
      <c r="F48" s="3">
        <f>Chain_Elongation!AC10</f>
        <v>39</v>
      </c>
      <c r="G48" s="3">
        <f>Chain_Elongation!AD10</f>
        <v>675.8</v>
      </c>
      <c r="H48" s="3">
        <f>Chain_Elongation!AE10</f>
        <v>0.2079007508978126</v>
      </c>
      <c r="I48" s="3">
        <f>Chain_Elongation!AF10</f>
        <v>1.2732615083251714E-2</v>
      </c>
      <c r="J48" s="3">
        <f>Chain_Elongation!AG10</f>
        <v>0.94229061852619123</v>
      </c>
      <c r="K48" s="3">
        <f>Chain_Elongation!AH10</f>
        <v>0.22063336598106431</v>
      </c>
      <c r="L48" s="3">
        <f>Chain_Elongation!AI10</f>
        <v>2387.1999999999998</v>
      </c>
      <c r="M48" s="3">
        <f>Chain_Elongation!AJ10</f>
        <v>0.77936663401893558</v>
      </c>
      <c r="N48" s="46" t="str">
        <f>Chain_Elongation!AK10</f>
        <v>As calculated</v>
      </c>
    </row>
    <row r="49" spans="1:14" x14ac:dyDescent="0.2">
      <c r="A49" s="44">
        <v>48</v>
      </c>
      <c r="B49" s="13" t="s">
        <v>181</v>
      </c>
      <c r="C49" s="13" t="s">
        <v>188</v>
      </c>
      <c r="D49" s="3">
        <f>Chain_Elongation!AA11</f>
        <v>4188</v>
      </c>
      <c r="E49" s="3">
        <f>Chain_Elongation!AB11</f>
        <v>371.2</v>
      </c>
      <c r="F49" s="3">
        <f>Chain_Elongation!AC11</f>
        <v>245.79999999999998</v>
      </c>
      <c r="G49" s="3">
        <f>Chain_Elongation!AD11</f>
        <v>617</v>
      </c>
      <c r="H49" s="3">
        <f>Chain_Elongation!AE11</f>
        <v>8.8634192932187203E-2</v>
      </c>
      <c r="I49" s="3">
        <f>Chain_Elongation!AF11</f>
        <v>5.8691499522445074E-2</v>
      </c>
      <c r="J49" s="3">
        <f>Chain_Elongation!AG11</f>
        <v>0.60162074554294975</v>
      </c>
      <c r="K49" s="3">
        <f>Chain_Elongation!AH11</f>
        <v>0.14732569245463228</v>
      </c>
      <c r="L49" s="3">
        <f>Chain_Elongation!AI11</f>
        <v>3571</v>
      </c>
      <c r="M49" s="3">
        <f>Chain_Elongation!AJ11</f>
        <v>0.85267430754536777</v>
      </c>
      <c r="N49" s="46" t="str">
        <f>Chain_Elongation!AK11</f>
        <v>As calculated</v>
      </c>
    </row>
    <row r="50" spans="1:14" x14ac:dyDescent="0.2">
      <c r="A50" s="44">
        <v>49</v>
      </c>
      <c r="B50" s="13" t="s">
        <v>181</v>
      </c>
      <c r="C50" s="13" t="s">
        <v>190</v>
      </c>
      <c r="D50" s="3">
        <f>Chain_Elongation!AA12</f>
        <v>4245.9025000000001</v>
      </c>
      <c r="E50" s="3">
        <f>Chain_Elongation!AB12</f>
        <v>806.4</v>
      </c>
      <c r="F50" s="3">
        <f>Chain_Elongation!AC12</f>
        <v>144.80000000000001</v>
      </c>
      <c r="G50" s="3">
        <f>Chain_Elongation!AD12</f>
        <v>951.2</v>
      </c>
      <c r="H50" s="3">
        <f>Chain_Elongation!AE12</f>
        <v>0.18992428582615828</v>
      </c>
      <c r="I50" s="3">
        <f>Chain_Elongation!AF12</f>
        <v>3.4103467990609773E-2</v>
      </c>
      <c r="J50" s="3">
        <f>Chain_Elongation!AG12</f>
        <v>0.84777123633305296</v>
      </c>
      <c r="K50" s="3">
        <f>Chain_Elongation!AH12</f>
        <v>0.22402775381676804</v>
      </c>
      <c r="L50" s="3">
        <f>Chain_Elongation!AI12</f>
        <v>3294.7025000000003</v>
      </c>
      <c r="M50" s="3">
        <f>Chain_Elongation!AJ12</f>
        <v>0.77597224618323202</v>
      </c>
      <c r="N50" s="46" t="str">
        <f>Chain_Elongation!AK12</f>
        <v>As calculated</v>
      </c>
    </row>
    <row r="51" spans="1:14" x14ac:dyDescent="0.2">
      <c r="A51" s="44">
        <v>50</v>
      </c>
      <c r="B51" s="13" t="s">
        <v>181</v>
      </c>
      <c r="C51" s="13" t="s">
        <v>192</v>
      </c>
      <c r="D51" s="3">
        <f>Chain_Elongation!AA13</f>
        <v>5388</v>
      </c>
      <c r="E51" s="3">
        <f>Chain_Elongation!AB13</f>
        <v>422.4</v>
      </c>
      <c r="F51" s="3">
        <f>Chain_Elongation!AC13</f>
        <v>334.6</v>
      </c>
      <c r="G51" s="3">
        <f>Chain_Elongation!AD13</f>
        <v>757</v>
      </c>
      <c r="H51" s="3">
        <f>Chain_Elongation!AE13</f>
        <v>7.839643652561247E-2</v>
      </c>
      <c r="I51" s="3">
        <f>Chain_Elongation!AF13</f>
        <v>6.2100965107646629E-2</v>
      </c>
      <c r="J51" s="3">
        <f>Chain_Elongation!AG13</f>
        <v>0.55799207397622186</v>
      </c>
      <c r="K51" s="3">
        <f>Chain_Elongation!AH13</f>
        <v>0.14049740163325911</v>
      </c>
      <c r="L51" s="3">
        <f>Chain_Elongation!AI13</f>
        <v>4631</v>
      </c>
      <c r="M51" s="3">
        <f>Chain_Elongation!AJ13</f>
        <v>0.85950259836674092</v>
      </c>
      <c r="N51" s="46" t="str">
        <f>Chain_Elongation!AK13</f>
        <v>As calculated</v>
      </c>
    </row>
    <row r="52" spans="1:14" x14ac:dyDescent="0.2">
      <c r="A52" s="44">
        <v>51</v>
      </c>
      <c r="B52" s="13" t="s">
        <v>181</v>
      </c>
      <c r="C52" s="13" t="s">
        <v>194</v>
      </c>
      <c r="D52" s="3">
        <f>Chain_Elongation!AA14</f>
        <v>5438</v>
      </c>
      <c r="E52" s="3">
        <f>Chain_Elongation!AB14</f>
        <v>652.79999999999995</v>
      </c>
      <c r="F52" s="3">
        <f>Chain_Elongation!AC14</f>
        <v>279.20000000000005</v>
      </c>
      <c r="G52" s="3">
        <f>Chain_Elongation!AD14</f>
        <v>932</v>
      </c>
      <c r="H52" s="3">
        <f>Chain_Elongation!AE14</f>
        <v>0.12004413387274733</v>
      </c>
      <c r="I52" s="3">
        <f>Chain_Elongation!AF14</f>
        <v>5.1342405296064736E-2</v>
      </c>
      <c r="J52" s="3">
        <f>Chain_Elongation!AG14</f>
        <v>0.70042918454935621</v>
      </c>
      <c r="K52" s="3">
        <f>Chain_Elongation!AH14</f>
        <v>0.17138653916881205</v>
      </c>
      <c r="L52" s="3">
        <f>Chain_Elongation!AI14</f>
        <v>4506</v>
      </c>
      <c r="M52" s="3">
        <f>Chain_Elongation!AJ14</f>
        <v>0.82861346083118792</v>
      </c>
      <c r="N52" s="46" t="str">
        <f>Chain_Elongation!AK14</f>
        <v>As calculated</v>
      </c>
    </row>
    <row r="53" spans="1:14" x14ac:dyDescent="0.2">
      <c r="A53" s="44">
        <v>52</v>
      </c>
      <c r="B53" s="13" t="s">
        <v>196</v>
      </c>
      <c r="C53" s="13" t="s">
        <v>197</v>
      </c>
      <c r="D53" s="3">
        <f>Chain_Elongation!AA15</f>
        <v>2075</v>
      </c>
      <c r="E53" s="3">
        <f>Chain_Elongation!AB15</f>
        <v>862.5</v>
      </c>
      <c r="F53" s="3">
        <f>Chain_Elongation!AC15</f>
        <v>450.20800000000008</v>
      </c>
      <c r="G53" s="3">
        <f>Chain_Elongation!AD15</f>
        <v>1312.7080000000001</v>
      </c>
      <c r="H53" s="3">
        <f>Chain_Elongation!AE15</f>
        <v>0.41566265060240964</v>
      </c>
      <c r="I53" s="3">
        <f>Chain_Elongation!AF15</f>
        <v>0.21696771084337355</v>
      </c>
      <c r="J53" s="3">
        <f>Chain_Elongation!AG15</f>
        <v>0.65703873214759101</v>
      </c>
      <c r="K53" s="3">
        <f>Chain_Elongation!AH15</f>
        <v>0.63263036144578322</v>
      </c>
      <c r="L53" s="3">
        <f>Chain_Elongation!AI15</f>
        <v>762.29199999999992</v>
      </c>
      <c r="M53" s="3">
        <f>Chain_Elongation!AJ15</f>
        <v>0.36736963855421684</v>
      </c>
      <c r="N53" s="46" t="str">
        <f>Chain_Elongation!AK15</f>
        <v>As calculated</v>
      </c>
    </row>
    <row r="54" spans="1:14" x14ac:dyDescent="0.2">
      <c r="A54" s="44">
        <v>53</v>
      </c>
      <c r="B54" s="13" t="s">
        <v>196</v>
      </c>
      <c r="C54" s="13" t="s">
        <v>202</v>
      </c>
      <c r="D54" s="3">
        <f>Chain_Elongation!AA16</f>
        <v>3712.5</v>
      </c>
      <c r="E54" s="3">
        <f>Chain_Elongation!AB16</f>
        <v>375</v>
      </c>
      <c r="F54" s="3">
        <f>Chain_Elongation!AC16</f>
        <v>687.70799999999997</v>
      </c>
      <c r="G54" s="3">
        <f>Chain_Elongation!AD16</f>
        <v>1062.7080000000001</v>
      </c>
      <c r="H54" s="3">
        <f>Chain_Elongation!AE16</f>
        <v>0.10101010101010101</v>
      </c>
      <c r="I54" s="3">
        <f>Chain_Elongation!AF16</f>
        <v>0.18524121212121211</v>
      </c>
      <c r="J54" s="3">
        <f>Chain_Elongation!AG16</f>
        <v>0.35287209656838942</v>
      </c>
      <c r="K54" s="3">
        <f>Chain_Elongation!AH16</f>
        <v>0.28625131313131313</v>
      </c>
      <c r="L54" s="3">
        <f>Chain_Elongation!AI16</f>
        <v>2649.7919999999999</v>
      </c>
      <c r="M54" s="3">
        <f>Chain_Elongation!AJ16</f>
        <v>0.71374868686868687</v>
      </c>
      <c r="N54" s="46" t="str">
        <f>Chain_Elongation!AK16</f>
        <v>As calculated</v>
      </c>
    </row>
    <row r="55" spans="1:14" x14ac:dyDescent="0.2">
      <c r="A55" s="44">
        <v>54</v>
      </c>
      <c r="B55" s="13" t="s">
        <v>205</v>
      </c>
      <c r="C55" s="13" t="s">
        <v>206</v>
      </c>
      <c r="D55" s="3">
        <f>Chain_Elongation!AA17</f>
        <v>1362.5</v>
      </c>
      <c r="E55" s="3">
        <f>Chain_Elongation!AB17</f>
        <v>558.30317460317463</v>
      </c>
      <c r="F55" s="3">
        <f>Chain_Elongation!AC17</f>
        <v>16.8</v>
      </c>
      <c r="G55" s="3">
        <f>Chain_Elongation!AD17</f>
        <v>575.10317460317458</v>
      </c>
      <c r="H55" s="3">
        <f>Chain_Elongation!AE17</f>
        <v>0.40976379787388961</v>
      </c>
      <c r="I55" s="3">
        <f>Chain_Elongation!AF17</f>
        <v>1.2330275229357798E-2</v>
      </c>
      <c r="J55" s="3">
        <f>Chain_Elongation!AG17</f>
        <v>0.97078785035121384</v>
      </c>
      <c r="K55" s="3">
        <f>Chain_Elongation!AH17</f>
        <v>0.42209407310324742</v>
      </c>
      <c r="L55" s="3">
        <f>Chain_Elongation!AI17</f>
        <v>787.39682539682542</v>
      </c>
      <c r="M55" s="3">
        <f>Chain_Elongation!AJ17</f>
        <v>0.57790592689675258</v>
      </c>
      <c r="N55" s="46" t="str">
        <f>Chain_Elongation!AK17</f>
        <v>Lower bound</v>
      </c>
    </row>
    <row r="56" spans="1:14" x14ac:dyDescent="0.2">
      <c r="A56" s="44">
        <v>55</v>
      </c>
      <c r="B56" s="13" t="s">
        <v>205</v>
      </c>
      <c r="C56" s="13" t="s">
        <v>210</v>
      </c>
      <c r="D56" s="3">
        <f>Chain_Elongation!AA18</f>
        <v>863.75</v>
      </c>
      <c r="E56" s="3">
        <f>Chain_Elongation!AB18</f>
        <v>519.26428571428573</v>
      </c>
      <c r="F56" s="3">
        <f>Chain_Elongation!AC18</f>
        <v>8.56</v>
      </c>
      <c r="G56" s="3">
        <f>Chain_Elongation!AD18</f>
        <v>527.82428571428568</v>
      </c>
      <c r="H56" s="3">
        <f>Chain_Elongation!AE18</f>
        <v>0.60117428157949149</v>
      </c>
      <c r="I56" s="3">
        <f>Chain_Elongation!AF18</f>
        <v>9.9102749638205513E-3</v>
      </c>
      <c r="J56" s="3">
        <f>Chain_Elongation!AG18</f>
        <v>0.98378248172416694</v>
      </c>
      <c r="K56" s="3">
        <f>Chain_Elongation!AH18</f>
        <v>0.61108455654331195</v>
      </c>
      <c r="L56" s="3">
        <f>Chain_Elongation!AI18</f>
        <v>335.92571428571432</v>
      </c>
      <c r="M56" s="3">
        <f>Chain_Elongation!AJ18</f>
        <v>0.38891544345668805</v>
      </c>
      <c r="N56" s="46" t="str">
        <f>Chain_Elongation!AK18</f>
        <v>Lower bound</v>
      </c>
    </row>
    <row r="57" spans="1:14" x14ac:dyDescent="0.2">
      <c r="A57" s="44">
        <v>56</v>
      </c>
      <c r="B57" s="13" t="s">
        <v>205</v>
      </c>
      <c r="C57" s="13" t="s">
        <v>213</v>
      </c>
      <c r="D57" s="3">
        <f>Chain_Elongation!AA19</f>
        <v>971.25</v>
      </c>
      <c r="E57" s="3">
        <f>Chain_Elongation!AB19</f>
        <v>595.41746031746038</v>
      </c>
      <c r="F57" s="3">
        <f>Chain_Elongation!AC19</f>
        <v>5.68</v>
      </c>
      <c r="G57" s="3">
        <f>Chain_Elongation!AD19</f>
        <v>601.09746031746033</v>
      </c>
      <c r="H57" s="3">
        <f>Chain_Elongation!AE19</f>
        <v>0.61304243018528737</v>
      </c>
      <c r="I57" s="3">
        <f>Chain_Elongation!AF19</f>
        <v>5.848133848133848E-3</v>
      </c>
      <c r="J57" s="3">
        <f>Chain_Elongation!AG19</f>
        <v>0.99055061720440452</v>
      </c>
      <c r="K57" s="3">
        <f>Chain_Elongation!AH19</f>
        <v>0.61889056403342124</v>
      </c>
      <c r="L57" s="3">
        <f>Chain_Elongation!AI19</f>
        <v>370.15253968253967</v>
      </c>
      <c r="M57" s="3">
        <f>Chain_Elongation!AJ19</f>
        <v>0.38110943596657881</v>
      </c>
      <c r="N57" s="46" t="str">
        <f>Chain_Elongation!AK19</f>
        <v>Lower bound</v>
      </c>
    </row>
    <row r="58" spans="1:14" x14ac:dyDescent="0.2">
      <c r="A58" s="44">
        <v>57</v>
      </c>
      <c r="B58" s="13" t="s">
        <v>216</v>
      </c>
      <c r="C58" s="13" t="s">
        <v>217</v>
      </c>
      <c r="D58" s="3">
        <f>Chain_Elongation!AA20</f>
        <v>2307.6687499999998</v>
      </c>
      <c r="E58" s="3">
        <f>Chain_Elongation!AB20</f>
        <v>2035.77</v>
      </c>
      <c r="F58" s="3">
        <f>Chain_Elongation!AC20</f>
        <v>0</v>
      </c>
      <c r="G58" s="3">
        <f>Chain_Elongation!AD20</f>
        <v>2035.77</v>
      </c>
      <c r="H58" s="3">
        <f>Chain_Elongation!AE20</f>
        <v>0.88217600554672337</v>
      </c>
      <c r="I58" s="3">
        <f>Chain_Elongation!AF20</f>
        <v>0</v>
      </c>
      <c r="J58" s="3">
        <f>Chain_Elongation!AG20</f>
        <v>1</v>
      </c>
      <c r="K58" s="3">
        <f>Chain_Elongation!AH20</f>
        <v>0.88217600554672337</v>
      </c>
      <c r="L58" s="3">
        <f>Chain_Elongation!AI20</f>
        <v>271.89874999999984</v>
      </c>
      <c r="M58" s="3">
        <f>Chain_Elongation!AJ20</f>
        <v>0.11782399445327665</v>
      </c>
      <c r="N58" s="46" t="str">
        <f>Chain_Elongation!AK20</f>
        <v>As calculated</v>
      </c>
    </row>
    <row r="59" spans="1:14" x14ac:dyDescent="0.2">
      <c r="A59" s="44">
        <v>58</v>
      </c>
      <c r="B59" s="13" t="s">
        <v>532</v>
      </c>
      <c r="C59" s="13" t="s">
        <v>587</v>
      </c>
      <c r="D59" s="3">
        <f>Chain_Elongation!AA21</f>
        <v>4519.125</v>
      </c>
      <c r="E59" s="3">
        <f>Chain_Elongation!AB21</f>
        <v>3242.3794117647062</v>
      </c>
      <c r="F59" s="3">
        <f>Chain_Elongation!AC21</f>
        <v>0</v>
      </c>
      <c r="G59" s="3">
        <f>Chain_Elongation!AD21</f>
        <v>3242.3794117647062</v>
      </c>
      <c r="H59" s="3">
        <f>Chain_Elongation!AE21</f>
        <v>0.71747947042064697</v>
      </c>
      <c r="I59" s="3">
        <f>Chain_Elongation!AF21</f>
        <v>0</v>
      </c>
      <c r="J59" s="3">
        <f>Chain_Elongation!AG21</f>
        <v>1</v>
      </c>
      <c r="K59" s="3">
        <f>Chain_Elongation!AH21</f>
        <v>0.71747947042064697</v>
      </c>
      <c r="L59" s="3">
        <f>Chain_Elongation!AI21</f>
        <v>1276.7455882352938</v>
      </c>
      <c r="M59" s="3">
        <f>Chain_Elongation!AJ21</f>
        <v>0.28252052957935303</v>
      </c>
      <c r="N59" s="46" t="str">
        <f>Chain_Elongation!AK21</f>
        <v>As calculated</v>
      </c>
    </row>
    <row r="60" spans="1:14" x14ac:dyDescent="0.2">
      <c r="A60" s="44">
        <v>59</v>
      </c>
      <c r="B60" s="13" t="s">
        <v>532</v>
      </c>
      <c r="C60" s="13" t="s">
        <v>588</v>
      </c>
      <c r="D60" s="3">
        <f>Chain_Elongation!AA22</f>
        <v>6212.375</v>
      </c>
      <c r="E60" s="3">
        <f>Chain_Elongation!AB22</f>
        <v>4375.4323529411768</v>
      </c>
      <c r="F60" s="3">
        <f>Chain_Elongation!AC22</f>
        <v>0</v>
      </c>
      <c r="G60" s="3">
        <f>Chain_Elongation!AD22</f>
        <v>4375.4323529411768</v>
      </c>
      <c r="H60" s="3">
        <f>Chain_Elongation!AE22</f>
        <v>0.70430911735707791</v>
      </c>
      <c r="I60" s="3">
        <f>Chain_Elongation!AF22</f>
        <v>0</v>
      </c>
      <c r="J60" s="3">
        <f>Chain_Elongation!AG22</f>
        <v>1</v>
      </c>
      <c r="K60" s="3">
        <f>Chain_Elongation!AH22</f>
        <v>0.70430911735707791</v>
      </c>
      <c r="L60" s="3">
        <f>Chain_Elongation!AI22</f>
        <v>1836.9426470588232</v>
      </c>
      <c r="M60" s="3">
        <f>Chain_Elongation!AJ22</f>
        <v>0.29569088264292209</v>
      </c>
      <c r="N60" s="46" t="str">
        <f>Chain_Elongation!AK22</f>
        <v>As calculated</v>
      </c>
    </row>
    <row r="61" spans="1:14" x14ac:dyDescent="0.2">
      <c r="A61" s="44">
        <v>60</v>
      </c>
      <c r="B61" s="13" t="s">
        <v>532</v>
      </c>
      <c r="C61" s="13" t="s">
        <v>589</v>
      </c>
      <c r="D61" s="3">
        <f>Chain_Elongation!AA23</f>
        <v>7905.6250000000009</v>
      </c>
      <c r="E61" s="3">
        <f>Chain_Elongation!AB23</f>
        <v>4583.8088235294117</v>
      </c>
      <c r="F61" s="3">
        <f>Chain_Elongation!AC23</f>
        <v>0</v>
      </c>
      <c r="G61" s="3">
        <f>Chain_Elongation!AD23</f>
        <v>4583.8088235294117</v>
      </c>
      <c r="H61" s="3">
        <f>Chain_Elongation!AE23</f>
        <v>0.57981612124650628</v>
      </c>
      <c r="I61" s="3">
        <f>Chain_Elongation!AF23</f>
        <v>0</v>
      </c>
      <c r="J61" s="3">
        <f>Chain_Elongation!AG23</f>
        <v>1</v>
      </c>
      <c r="K61" s="3">
        <f>Chain_Elongation!AH23</f>
        <v>0.57981612124650628</v>
      </c>
      <c r="L61" s="3">
        <f>Chain_Elongation!AI23</f>
        <v>3321.8161764705892</v>
      </c>
      <c r="M61" s="3">
        <f>Chain_Elongation!AJ23</f>
        <v>0.42018387875349372</v>
      </c>
      <c r="N61" s="46" t="str">
        <f>Chain_Elongation!AK23</f>
        <v>As calculated</v>
      </c>
    </row>
    <row r="62" spans="1:14" x14ac:dyDescent="0.2">
      <c r="A62" s="44">
        <v>61</v>
      </c>
      <c r="B62" s="13" t="s">
        <v>533</v>
      </c>
      <c r="C62" s="13" t="s">
        <v>232</v>
      </c>
      <c r="D62" s="3">
        <f>Chain_Elongation!AA24</f>
        <v>6872.4750000000004</v>
      </c>
      <c r="E62" s="3">
        <f>Chain_Elongation!AB24</f>
        <v>5370.9187500000007</v>
      </c>
      <c r="F62" s="3">
        <f>Chain_Elongation!AC24</f>
        <v>0</v>
      </c>
      <c r="G62" s="3">
        <f>Chain_Elongation!AD24</f>
        <v>5370.9187500000007</v>
      </c>
      <c r="H62" s="3">
        <f>Chain_Elongation!AE24</f>
        <v>0.7815115733414818</v>
      </c>
      <c r="I62" s="3">
        <f>Chain_Elongation!AF24</f>
        <v>0</v>
      </c>
      <c r="J62" s="3">
        <f>Chain_Elongation!AG24</f>
        <v>1</v>
      </c>
      <c r="K62" s="3">
        <f>Chain_Elongation!AH24</f>
        <v>0.7815115733414818</v>
      </c>
      <c r="L62" s="3">
        <f>Chain_Elongation!AI24</f>
        <v>1501.5562499999996</v>
      </c>
      <c r="M62" s="3">
        <f>Chain_Elongation!AJ24</f>
        <v>0.21848842665851814</v>
      </c>
      <c r="N62" s="46" t="str">
        <f>Chain_Elongation!AK24</f>
        <v>As calculated</v>
      </c>
    </row>
    <row r="63" spans="1:14" x14ac:dyDescent="0.2">
      <c r="A63" s="44">
        <v>62</v>
      </c>
      <c r="B63" s="13" t="s">
        <v>533</v>
      </c>
      <c r="C63" s="13" t="s">
        <v>237</v>
      </c>
      <c r="D63" s="3">
        <f>Chain_Elongation!AA25</f>
        <v>13744.95</v>
      </c>
      <c r="E63" s="3">
        <f>Chain_Elongation!AB25</f>
        <v>7556.7</v>
      </c>
      <c r="F63" s="3">
        <f>Chain_Elongation!AC25</f>
        <v>0</v>
      </c>
      <c r="G63" s="3">
        <f>Chain_Elongation!AD25</f>
        <v>7556.7</v>
      </c>
      <c r="H63" s="3">
        <f>Chain_Elongation!AE25</f>
        <v>0.54978010105529662</v>
      </c>
      <c r="I63" s="3">
        <f>Chain_Elongation!AF25</f>
        <v>0</v>
      </c>
      <c r="J63" s="3">
        <f>Chain_Elongation!AG25</f>
        <v>1</v>
      </c>
      <c r="K63" s="3">
        <f>Chain_Elongation!AH25</f>
        <v>0.54978010105529662</v>
      </c>
      <c r="L63" s="3">
        <f>Chain_Elongation!AI25</f>
        <v>6188.2500000000009</v>
      </c>
      <c r="M63" s="3">
        <f>Chain_Elongation!AJ25</f>
        <v>0.45021989894470338</v>
      </c>
      <c r="N63" s="46" t="str">
        <f>Chain_Elongation!AK25</f>
        <v>As calculated</v>
      </c>
    </row>
    <row r="64" spans="1:14" x14ac:dyDescent="0.2">
      <c r="A64" s="44">
        <v>63</v>
      </c>
      <c r="B64" s="13" t="s">
        <v>533</v>
      </c>
      <c r="C64" s="13" t="s">
        <v>239</v>
      </c>
      <c r="D64" s="3">
        <f>Chain_Elongation!AA26</f>
        <v>14306.7</v>
      </c>
      <c r="E64" s="3">
        <f>Chain_Elongation!AB26</f>
        <v>9888.6750000000029</v>
      </c>
      <c r="F64" s="3">
        <f>Chain_Elongation!AC26</f>
        <v>0</v>
      </c>
      <c r="G64" s="3">
        <f>Chain_Elongation!AD26</f>
        <v>9888.6750000000029</v>
      </c>
      <c r="H64" s="3">
        <f>Chain_Elongation!AE26</f>
        <v>0.69119188911489038</v>
      </c>
      <c r="I64" s="3">
        <f>Chain_Elongation!AF26</f>
        <v>0</v>
      </c>
      <c r="J64" s="3">
        <f>Chain_Elongation!AG26</f>
        <v>1</v>
      </c>
      <c r="K64" s="3">
        <f>Chain_Elongation!AH26</f>
        <v>0.69119188911489038</v>
      </c>
      <c r="L64" s="3">
        <f>Chain_Elongation!AI26</f>
        <v>4418.0249999999978</v>
      </c>
      <c r="M64" s="3">
        <f>Chain_Elongation!AJ26</f>
        <v>0.30880811088510962</v>
      </c>
      <c r="N64" s="46" t="str">
        <f>Chain_Elongation!AK26</f>
        <v>As calculated</v>
      </c>
    </row>
    <row r="65" spans="1:14" x14ac:dyDescent="0.2">
      <c r="A65" s="44">
        <v>64</v>
      </c>
      <c r="B65" s="13" t="s">
        <v>533</v>
      </c>
      <c r="C65" s="13" t="s">
        <v>241</v>
      </c>
      <c r="D65" s="3">
        <f>Chain_Elongation!AA27</f>
        <v>28613.4</v>
      </c>
      <c r="E65" s="3">
        <f>Chain_Elongation!AB27</f>
        <v>14930.325000000001</v>
      </c>
      <c r="F65" s="3">
        <f>Chain_Elongation!AC27</f>
        <v>0</v>
      </c>
      <c r="G65" s="3">
        <f>Chain_Elongation!AD27</f>
        <v>14930.325000000001</v>
      </c>
      <c r="H65" s="3">
        <f>Chain_Elongation!AE27</f>
        <v>0.52179485835307937</v>
      </c>
      <c r="I65" s="3">
        <f>Chain_Elongation!AF27</f>
        <v>0</v>
      </c>
      <c r="J65" s="3">
        <f>Chain_Elongation!AG27</f>
        <v>1</v>
      </c>
      <c r="K65" s="3">
        <f>Chain_Elongation!AH27</f>
        <v>0.52179485835307937</v>
      </c>
      <c r="L65" s="3">
        <f>Chain_Elongation!AI27</f>
        <v>13683.075000000001</v>
      </c>
      <c r="M65" s="3">
        <f>Chain_Elongation!AJ27</f>
        <v>0.47820514164692068</v>
      </c>
      <c r="N65" s="46" t="str">
        <f>Chain_Elongation!AK27</f>
        <v>As calculated</v>
      </c>
    </row>
    <row r="66" spans="1:14" x14ac:dyDescent="0.2">
      <c r="A66" s="44">
        <v>65</v>
      </c>
      <c r="B66" s="30" t="s">
        <v>268</v>
      </c>
      <c r="C66" s="30" t="s">
        <v>269</v>
      </c>
      <c r="D66" s="36">
        <f>Biogas_Upgrading!AF2</f>
        <v>82.983849379851875</v>
      </c>
      <c r="E66" s="36">
        <f>Biogas_Upgrading!AG2</f>
        <v>79.345409119300427</v>
      </c>
      <c r="F66" s="36">
        <f>Biogas_Upgrading!AH2</f>
        <v>1.2266666666666666</v>
      </c>
      <c r="G66" s="36">
        <f>Biogas_Upgrading!AI2</f>
        <v>80.572075785967087</v>
      </c>
      <c r="H66" s="36">
        <f>Biogas_Upgrading!AJ2</f>
        <v>0.95615483870967732</v>
      </c>
      <c r="I66" s="36">
        <f>Biogas_Upgrading!AK2</f>
        <v>1.4781992831541219E-2</v>
      </c>
      <c r="J66" s="36">
        <f>Biogas_Upgrading!AL2</f>
        <v>0.98477553600672774</v>
      </c>
      <c r="K66" s="36">
        <f>Biogas_Upgrading!AM2</f>
        <v>0.97093683154121846</v>
      </c>
      <c r="L66" s="36">
        <f>Biogas_Upgrading!AN2</f>
        <v>2.4117735938847886</v>
      </c>
      <c r="M66" s="36">
        <f>Biogas_Upgrading!AO2</f>
        <v>2.9063168458781534E-2</v>
      </c>
      <c r="N66" s="47" t="str">
        <f>Biogas_Upgrading!AP2</f>
        <v>As calculated</v>
      </c>
    </row>
    <row r="67" spans="1:14" x14ac:dyDescent="0.2">
      <c r="A67" s="44">
        <v>66</v>
      </c>
      <c r="B67" s="30" t="s">
        <v>268</v>
      </c>
      <c r="C67" s="30" t="s">
        <v>276</v>
      </c>
      <c r="D67" s="36">
        <f>Biogas_Upgrading!AF3</f>
        <v>128.49112162041581</v>
      </c>
      <c r="E67" s="36">
        <f>Biogas_Upgrading!AG3</f>
        <v>123.254037655037</v>
      </c>
      <c r="F67" s="36">
        <f>Biogas_Upgrading!AH3</f>
        <v>4.6933333333333325</v>
      </c>
      <c r="G67" s="36">
        <f>Biogas_Upgrading!AI3</f>
        <v>127.94737098837032</v>
      </c>
      <c r="H67" s="36">
        <f>Biogas_Upgrading!AJ3</f>
        <v>0.95924166666666644</v>
      </c>
      <c r="I67" s="36">
        <f>Biogas_Upgrading!AK3</f>
        <v>3.6526518518518514E-2</v>
      </c>
      <c r="J67" s="36">
        <f>Biogas_Upgrading!AL3</f>
        <v>0.96331825111310865</v>
      </c>
      <c r="K67" s="36">
        <f>Biogas_Upgrading!AM3</f>
        <v>0.99576818518518484</v>
      </c>
      <c r="L67" s="36">
        <f>Biogas_Upgrading!AN3</f>
        <v>0.54375063204548724</v>
      </c>
      <c r="M67" s="36">
        <f>Biogas_Upgrading!AO3</f>
        <v>4.231814814815122E-3</v>
      </c>
      <c r="N67" s="47" t="str">
        <f>Biogas_Upgrading!AP3</f>
        <v>As calculated</v>
      </c>
    </row>
    <row r="68" spans="1:14" x14ac:dyDescent="0.2">
      <c r="A68" s="44">
        <v>67</v>
      </c>
      <c r="B68" s="30" t="s">
        <v>268</v>
      </c>
      <c r="C68" s="30" t="s">
        <v>278</v>
      </c>
      <c r="D68" s="36">
        <f>Biogas_Upgrading!AF4</f>
        <v>157.04470420273043</v>
      </c>
      <c r="E68" s="36">
        <f>Biogas_Upgrading!AG4</f>
        <v>135.94539127331134</v>
      </c>
      <c r="F68" s="36">
        <f>Biogas_Upgrading!AH4</f>
        <v>18.399999999999999</v>
      </c>
      <c r="G68" s="36">
        <f>Biogas_Upgrading!AI4</f>
        <v>154.34539127331135</v>
      </c>
      <c r="H68" s="36">
        <f>Biogas_Upgrading!AJ4</f>
        <v>0.86564772727272743</v>
      </c>
      <c r="I68" s="36">
        <f>Biogas_Upgrading!AK4</f>
        <v>0.11716409090909091</v>
      </c>
      <c r="J68" s="36">
        <f>Biogas_Upgrading!AL4</f>
        <v>0.88078685182495864</v>
      </c>
      <c r="K68" s="36">
        <f>Biogas_Upgrading!AM4</f>
        <v>0.9828118181818184</v>
      </c>
      <c r="L68" s="36">
        <f>Biogas_Upgrading!AN4</f>
        <v>2.6993129294190794</v>
      </c>
      <c r="M68" s="36">
        <f>Biogas_Upgrading!AO4</f>
        <v>1.7188181818181606E-2</v>
      </c>
      <c r="N68" s="47" t="str">
        <f>Biogas_Upgrading!AP4</f>
        <v>As calculated</v>
      </c>
    </row>
    <row r="69" spans="1:14" x14ac:dyDescent="0.2">
      <c r="A69" s="44">
        <v>68</v>
      </c>
      <c r="B69" s="30" t="s">
        <v>280</v>
      </c>
      <c r="C69" s="30" t="s">
        <v>281</v>
      </c>
      <c r="D69" s="36">
        <f>Biogas_Upgrading!AF5</f>
        <v>310.44642857142861</v>
      </c>
      <c r="E69" s="36">
        <f>Biogas_Upgrading!AG5</f>
        <v>63.295000000000044</v>
      </c>
      <c r="F69" s="36">
        <f>Biogas_Upgrading!AH5</f>
        <v>30.749042464612824</v>
      </c>
      <c r="G69" s="36">
        <f>Biogas_Upgrading!AI5</f>
        <v>94.044042464612872</v>
      </c>
      <c r="H69" s="36">
        <f>Biogas_Upgrading!AJ5</f>
        <v>0.20388380788035673</v>
      </c>
      <c r="I69" s="36">
        <f>Biogas_Upgrading!AK5</f>
        <v>9.9047821571372902E-2</v>
      </c>
      <c r="J69" s="36">
        <f>Biogas_Upgrading!AL5</f>
        <v>0.67303572178765969</v>
      </c>
      <c r="K69" s="36">
        <f>Biogas_Upgrading!AM5</f>
        <v>0.30293162945172963</v>
      </c>
      <c r="L69" s="36">
        <f>Biogas_Upgrading!AN5</f>
        <v>216.40238610681575</v>
      </c>
      <c r="M69" s="36">
        <f>Biogas_Upgrading!AO5</f>
        <v>0.69706837054827042</v>
      </c>
      <c r="N69" s="47" t="str">
        <f>Biogas_Upgrading!AP5</f>
        <v>As calculated</v>
      </c>
    </row>
    <row r="70" spans="1:14" x14ac:dyDescent="0.2">
      <c r="A70" s="44">
        <v>69</v>
      </c>
      <c r="B70" s="30" t="s">
        <v>280</v>
      </c>
      <c r="C70" s="30" t="s">
        <v>286</v>
      </c>
      <c r="D70" s="36">
        <f>Biogas_Upgrading!AF6</f>
        <v>235.35714285714286</v>
      </c>
      <c r="E70" s="36">
        <f>Biogas_Upgrading!AG6</f>
        <v>96.38035714285715</v>
      </c>
      <c r="F70" s="36">
        <f>Biogas_Upgrading!AH6</f>
        <v>21.204196502914243</v>
      </c>
      <c r="G70" s="36">
        <f>Biogas_Upgrading!AI6</f>
        <v>117.58455364577139</v>
      </c>
      <c r="H70" s="36">
        <f>Biogas_Upgrading!AJ6</f>
        <v>0.40950682852807285</v>
      </c>
      <c r="I70" s="36">
        <f>Biogas_Upgrading!AK6</f>
        <v>9.0093702895538516E-2</v>
      </c>
      <c r="J70" s="36">
        <f>Biogas_Upgrading!AL6</f>
        <v>0.81966852069028717</v>
      </c>
      <c r="K70" s="36">
        <f>Biogas_Upgrading!AM6</f>
        <v>0.49960053142361138</v>
      </c>
      <c r="L70" s="36">
        <f>Biogas_Upgrading!AN6</f>
        <v>117.77258921137147</v>
      </c>
      <c r="M70" s="36">
        <f>Biogas_Upgrading!AO6</f>
        <v>0.50039946857638862</v>
      </c>
      <c r="N70" s="47" t="str">
        <f>Biogas_Upgrading!AP6</f>
        <v>As calculated</v>
      </c>
    </row>
    <row r="71" spans="1:14" x14ac:dyDescent="0.2">
      <c r="A71" s="44">
        <v>70</v>
      </c>
      <c r="B71" s="30" t="s">
        <v>280</v>
      </c>
      <c r="C71" s="30" t="s">
        <v>288</v>
      </c>
      <c r="D71" s="36">
        <f>Biogas_Upgrading!AF7</f>
        <v>234.73214285714286</v>
      </c>
      <c r="E71" s="36">
        <f>Biogas_Upgrading!AG7</f>
        <v>126.47321428571429</v>
      </c>
      <c r="F71" s="36">
        <f>Biogas_Upgrading!AH7</f>
        <v>7.405295587010829</v>
      </c>
      <c r="G71" s="36">
        <f>Biogas_Upgrading!AI7</f>
        <v>133.87850987272512</v>
      </c>
      <c r="H71" s="36">
        <f>Biogas_Upgrading!AJ7</f>
        <v>0.53879802206162042</v>
      </c>
      <c r="I71" s="36">
        <f>Biogas_Upgrading!AK7</f>
        <v>3.1547854916135903E-2</v>
      </c>
      <c r="J71" s="36">
        <f>Biogas_Upgrading!AL7</f>
        <v>0.94468645046878064</v>
      </c>
      <c r="K71" s="36">
        <f>Biogas_Upgrading!AM7</f>
        <v>0.57034587697775629</v>
      </c>
      <c r="L71" s="36">
        <f>Biogas_Upgrading!AN7</f>
        <v>100.85363298441774</v>
      </c>
      <c r="M71" s="36">
        <f>Biogas_Upgrading!AO7</f>
        <v>0.42965412302224371</v>
      </c>
      <c r="N71" s="47" t="str">
        <f>Biogas_Upgrading!AP7</f>
        <v>As calculated</v>
      </c>
    </row>
    <row r="72" spans="1:14" x14ac:dyDescent="0.2">
      <c r="A72" s="44">
        <v>71</v>
      </c>
      <c r="B72" s="30" t="s">
        <v>280</v>
      </c>
      <c r="C72" s="30" t="s">
        <v>291</v>
      </c>
      <c r="D72" s="36">
        <f>Biogas_Upgrading!AF8</f>
        <v>191.42857142857144</v>
      </c>
      <c r="E72" s="36">
        <f>Biogas_Upgrading!AG8</f>
        <v>72.89285714285711</v>
      </c>
      <c r="F72" s="36">
        <f>Biogas_Upgrading!AH8</f>
        <v>48.244063280599491</v>
      </c>
      <c r="G72" s="36">
        <f>Biogas_Upgrading!AI8</f>
        <v>121.1369204234566</v>
      </c>
      <c r="H72" s="36">
        <f>Biogas_Upgrading!AJ8</f>
        <v>0.38078358208955204</v>
      </c>
      <c r="I72" s="36">
        <f>Biogas_Upgrading!AK8</f>
        <v>0.2520212260926839</v>
      </c>
      <c r="J72" s="36">
        <f>Biogas_Upgrading!AL8</f>
        <v>0.60173939446410385</v>
      </c>
      <c r="K72" s="36">
        <f>Biogas_Upgrading!AM8</f>
        <v>0.63280480818223594</v>
      </c>
      <c r="L72" s="36">
        <f>Biogas_Upgrading!AN8</f>
        <v>70.291651005114844</v>
      </c>
      <c r="M72" s="36">
        <f>Biogas_Upgrading!AO8</f>
        <v>0.36719519181776406</v>
      </c>
      <c r="N72" s="47" t="str">
        <f>Biogas_Upgrading!AP8</f>
        <v>As calculated</v>
      </c>
    </row>
    <row r="73" spans="1:14" x14ac:dyDescent="0.2">
      <c r="A73" s="44">
        <v>72</v>
      </c>
      <c r="B73" s="30" t="s">
        <v>280</v>
      </c>
      <c r="C73" s="30" t="s">
        <v>293</v>
      </c>
      <c r="D73" s="36">
        <f>Biogas_Upgrading!AF9</f>
        <v>163.75</v>
      </c>
      <c r="E73" s="36">
        <f>Biogas_Upgrading!AG9</f>
        <v>-44.178571428571445</v>
      </c>
      <c r="F73" s="36">
        <f>Biogas_Upgrading!AH9</f>
        <v>14.029908409658622</v>
      </c>
      <c r="G73" s="36">
        <f>Biogas_Upgrading!AI9</f>
        <v>-30.148663018912821</v>
      </c>
      <c r="H73" s="36">
        <f>Biogas_Upgrading!AJ9</f>
        <v>-0.26979280261723021</v>
      </c>
      <c r="I73" s="36">
        <f>Biogas_Upgrading!AK9</f>
        <v>8.5678829982648072E-2</v>
      </c>
      <c r="J73" s="36">
        <f>Biogas_Upgrading!AL9</f>
        <v>1.4653575649725297</v>
      </c>
      <c r="K73" s="36">
        <f>Biogas_Upgrading!AM9</f>
        <v>-0.18411397263458212</v>
      </c>
      <c r="L73" s="36">
        <f>Biogas_Upgrading!AN9</f>
        <v>193.89866301891283</v>
      </c>
      <c r="M73" s="36">
        <f>Biogas_Upgrading!AO9</f>
        <v>1.1841139726345822</v>
      </c>
      <c r="N73" s="47" t="str">
        <f>Biogas_Upgrading!AP9</f>
        <v>Excluded</v>
      </c>
    </row>
    <row r="74" spans="1:14" x14ac:dyDescent="0.2">
      <c r="A74" s="44">
        <v>73</v>
      </c>
      <c r="B74" s="30" t="s">
        <v>280</v>
      </c>
      <c r="C74" s="30" t="s">
        <v>295</v>
      </c>
      <c r="D74" s="36">
        <f>Biogas_Upgrading!AF10</f>
        <v>157.85714285714286</v>
      </c>
      <c r="E74" s="36">
        <f>Biogas_Upgrading!AG10</f>
        <v>100.80357142857143</v>
      </c>
      <c r="F74" s="36">
        <f>Biogas_Upgrading!AH10</f>
        <v>11.567693588676104</v>
      </c>
      <c r="G74" s="36">
        <f>Biogas_Upgrading!AI10</f>
        <v>112.37126501724754</v>
      </c>
      <c r="H74" s="36">
        <f>Biogas_Upgrading!AJ10</f>
        <v>0.63857466063348411</v>
      </c>
      <c r="I74" s="36">
        <f>Biogas_Upgrading!AK10</f>
        <v>7.3279506896590699E-2</v>
      </c>
      <c r="J74" s="36">
        <f>Biogas_Upgrading!AL10</f>
        <v>0.8970582596280231</v>
      </c>
      <c r="K74" s="36">
        <f>Biogas_Upgrading!AM10</f>
        <v>0.71185416753007491</v>
      </c>
      <c r="L74" s="36">
        <f>Biogas_Upgrading!AN10</f>
        <v>45.485877839895323</v>
      </c>
      <c r="M74" s="36">
        <f>Biogas_Upgrading!AO10</f>
        <v>0.28814583246992514</v>
      </c>
      <c r="N74" s="47" t="str">
        <f>Biogas_Upgrading!AP10</f>
        <v>As calculated</v>
      </c>
    </row>
    <row r="75" spans="1:14" x14ac:dyDescent="0.2">
      <c r="A75" s="44">
        <v>74</v>
      </c>
      <c r="B75" s="30" t="s">
        <v>280</v>
      </c>
      <c r="C75" s="30" t="s">
        <v>297</v>
      </c>
      <c r="D75" s="36">
        <f>Biogas_Upgrading!AF11</f>
        <v>163.21428571428572</v>
      </c>
      <c r="E75" s="36">
        <f>Biogas_Upgrading!AG11</f>
        <v>37.790714285714238</v>
      </c>
      <c r="F75" s="36">
        <f>Biogas_Upgrading!AH11</f>
        <v>9.549641965029144</v>
      </c>
      <c r="G75" s="36">
        <f>Biogas_Upgrading!AI11</f>
        <v>47.340356250743383</v>
      </c>
      <c r="H75" s="36">
        <f>Biogas_Upgrading!AJ11</f>
        <v>0.23154048140043734</v>
      </c>
      <c r="I75" s="36">
        <f>Biogas_Upgrading!AK11</f>
        <v>5.8509841361228887E-2</v>
      </c>
      <c r="J75" s="36">
        <f>Biogas_Upgrading!AL11</f>
        <v>0.79827693069210504</v>
      </c>
      <c r="K75" s="36">
        <f>Biogas_Upgrading!AM11</f>
        <v>0.2900503227616662</v>
      </c>
      <c r="L75" s="36">
        <f>Biogas_Upgrading!AN11</f>
        <v>115.87392946354234</v>
      </c>
      <c r="M75" s="36">
        <f>Biogas_Upgrading!AO11</f>
        <v>0.7099496772383338</v>
      </c>
      <c r="N75" s="47" t="str">
        <f>Biogas_Upgrading!AP11</f>
        <v>As calculated</v>
      </c>
    </row>
    <row r="76" spans="1:14" x14ac:dyDescent="0.2">
      <c r="A76" s="44">
        <v>75</v>
      </c>
      <c r="B76" s="30" t="s">
        <v>590</v>
      </c>
      <c r="C76" s="30" t="s">
        <v>300</v>
      </c>
      <c r="D76" s="36">
        <f>Biogas_Upgrading!AF12</f>
        <v>71.366110466672623</v>
      </c>
      <c r="E76" s="36">
        <f>Biogas_Upgrading!AG12</f>
        <v>36.85076530612244</v>
      </c>
      <c r="F76" s="36">
        <f>Biogas_Upgrading!AH12</f>
        <v>12.587605566789581</v>
      </c>
      <c r="G76" s="36">
        <f>Biogas_Upgrading!AI12</f>
        <v>49.438370872912017</v>
      </c>
      <c r="H76" s="36">
        <f>Biogas_Upgrading!AJ12</f>
        <v>0.51636224904440375</v>
      </c>
      <c r="I76" s="36">
        <f>Biogas_Upgrading!AK12</f>
        <v>0.17638071466242913</v>
      </c>
      <c r="J76" s="36">
        <f>Biogas_Upgrading!AL12</f>
        <v>0.7453879376578223</v>
      </c>
      <c r="K76" s="36">
        <f>Biogas_Upgrading!AM12</f>
        <v>0.69274296370683286</v>
      </c>
      <c r="L76" s="36">
        <f>Biogas_Upgrading!AN12</f>
        <v>21.927739593760606</v>
      </c>
      <c r="M76" s="36">
        <f>Biogas_Upgrading!AO12</f>
        <v>0.30725703629316714</v>
      </c>
      <c r="N76" s="47" t="str">
        <f>Biogas_Upgrading!AP12</f>
        <v>As calculated</v>
      </c>
    </row>
    <row r="77" spans="1:14" x14ac:dyDescent="0.2">
      <c r="A77" s="44">
        <v>76</v>
      </c>
      <c r="B77" s="30" t="s">
        <v>590</v>
      </c>
      <c r="C77" s="30" t="s">
        <v>307</v>
      </c>
      <c r="D77" s="36">
        <f>Biogas_Upgrading!AF13</f>
        <v>71.366110466672623</v>
      </c>
      <c r="E77" s="36" t="str">
        <f>Biogas_Upgrading!AG13</f>
        <v>NC</v>
      </c>
      <c r="F77" s="36" t="str">
        <f>Biogas_Upgrading!AH13</f>
        <v>NC</v>
      </c>
      <c r="G77" s="36" t="str">
        <f>Biogas_Upgrading!AI13</f>
        <v>NC</v>
      </c>
      <c r="H77" s="36" t="str">
        <f>Biogas_Upgrading!AJ13</f>
        <v>NC</v>
      </c>
      <c r="I77" s="36" t="str">
        <f>Biogas_Upgrading!AK13</f>
        <v>NC</v>
      </c>
      <c r="J77" s="36" t="str">
        <f>Biogas_Upgrading!AL13</f>
        <v>NC</v>
      </c>
      <c r="K77" s="36" t="str">
        <f>Biogas_Upgrading!AM13</f>
        <v>NC</v>
      </c>
      <c r="L77" s="36" t="str">
        <f>Biogas_Upgrading!AN13</f>
        <v>NC</v>
      </c>
      <c r="M77" s="36" t="str">
        <f>Biogas_Upgrading!AO13</f>
        <v>NC</v>
      </c>
      <c r="N77" s="47" t="str">
        <f>Biogas_Upgrading!AP13</f>
        <v>NC</v>
      </c>
    </row>
    <row r="78" spans="1:14" x14ac:dyDescent="0.2">
      <c r="A78" s="44">
        <v>77</v>
      </c>
      <c r="B78" s="30" t="s">
        <v>299</v>
      </c>
      <c r="C78" s="30" t="s">
        <v>310</v>
      </c>
      <c r="D78" s="36">
        <f>Biogas_Upgrading!AF14</f>
        <v>165.96769875970372</v>
      </c>
      <c r="E78" s="36">
        <f>Biogas_Upgrading!AG14</f>
        <v>90.521303258145338</v>
      </c>
      <c r="F78" s="36">
        <f>Biogas_Upgrading!AH14</f>
        <v>5.3910630030530111</v>
      </c>
      <c r="G78" s="36">
        <f>Biogas_Upgrading!AI14</f>
        <v>95.912366261198343</v>
      </c>
      <c r="H78" s="36">
        <f>Biogas_Upgrading!AJ14</f>
        <v>0.54541518581399728</v>
      </c>
      <c r="I78" s="36">
        <f>Biogas_Upgrading!AK14</f>
        <v>3.2482603803879087E-2</v>
      </c>
      <c r="J78" s="36">
        <f>Biogas_Upgrading!AL14</f>
        <v>0.94379178396692343</v>
      </c>
      <c r="K78" s="36">
        <f>Biogas_Upgrading!AM14</f>
        <v>0.57789778961787641</v>
      </c>
      <c r="L78" s="36">
        <f>Biogas_Upgrading!AN14</f>
        <v>70.055332498505379</v>
      </c>
      <c r="M78" s="36">
        <f>Biogas_Upgrading!AO14</f>
        <v>0.42210221038212364</v>
      </c>
      <c r="N78" s="47" t="str">
        <f>Biogas_Upgrading!AP14</f>
        <v>As calculated</v>
      </c>
    </row>
    <row r="79" spans="1:14" x14ac:dyDescent="0.2">
      <c r="A79" s="44">
        <v>78</v>
      </c>
      <c r="B79" s="30" t="s">
        <v>299</v>
      </c>
      <c r="C79" s="30" t="s">
        <v>312</v>
      </c>
      <c r="D79" s="36">
        <f>Biogas_Upgrading!AF15</f>
        <v>165.96769875970372</v>
      </c>
      <c r="E79" s="36">
        <f>Biogas_Upgrading!AG15</f>
        <v>87.304761904761847</v>
      </c>
      <c r="F79" s="36">
        <f>Biogas_Upgrading!AH15</f>
        <v>34.699972245351098</v>
      </c>
      <c r="G79" s="36">
        <f>Biogas_Upgrading!AI15</f>
        <v>122.00473415011294</v>
      </c>
      <c r="H79" s="36">
        <f>Biogas_Upgrading!AJ15</f>
        <v>0.5260346594982076</v>
      </c>
      <c r="I79" s="36">
        <f>Biogas_Upgrading!AK15</f>
        <v>0.20907666072776873</v>
      </c>
      <c r="J79" s="36">
        <f>Biogas_Upgrading!AL15</f>
        <v>0.71558503457204603</v>
      </c>
      <c r="K79" s="36">
        <f>Biogas_Upgrading!AM15</f>
        <v>0.73511132022597636</v>
      </c>
      <c r="L79" s="36">
        <f>Biogas_Upgrading!AN15</f>
        <v>43.962964609590784</v>
      </c>
      <c r="M79" s="36">
        <f>Biogas_Upgrading!AO15</f>
        <v>0.26488867977402369</v>
      </c>
      <c r="N79" s="47" t="str">
        <f>Biogas_Upgrading!AP15</f>
        <v>As calculated</v>
      </c>
    </row>
    <row r="80" spans="1:14" x14ac:dyDescent="0.2">
      <c r="A80" s="44">
        <v>79</v>
      </c>
      <c r="B80" s="30" t="s">
        <v>299</v>
      </c>
      <c r="C80" s="30" t="s">
        <v>314</v>
      </c>
      <c r="D80" s="36">
        <f>Biogas_Upgrading!AF16</f>
        <v>165.96769875970372</v>
      </c>
      <c r="E80" s="36">
        <f>Biogas_Upgrading!AG16</f>
        <v>85.372294372294448</v>
      </c>
      <c r="F80" s="36">
        <f>Biogas_Upgrading!AH16</f>
        <v>4.5029142381348892</v>
      </c>
      <c r="G80" s="36">
        <f>Biogas_Upgrading!AI16</f>
        <v>89.87520861042934</v>
      </c>
      <c r="H80" s="36">
        <f>Biogas_Upgrading!AJ16</f>
        <v>0.51439102313457208</v>
      </c>
      <c r="I80" s="36">
        <f>Biogas_Upgrading!AK16</f>
        <v>2.7131268745579418E-2</v>
      </c>
      <c r="J80" s="36">
        <f>Biogas_Upgrading!AL16</f>
        <v>0.9498981498039899</v>
      </c>
      <c r="K80" s="36">
        <f>Biogas_Upgrading!AM16</f>
        <v>0.54152229188015155</v>
      </c>
      <c r="L80" s="36">
        <f>Biogas_Upgrading!AN16</f>
        <v>76.092490149274383</v>
      </c>
      <c r="M80" s="36">
        <f>Biogas_Upgrading!AO16</f>
        <v>0.4584777081198485</v>
      </c>
      <c r="N80" s="47" t="str">
        <f>Biogas_Upgrading!AP16</f>
        <v>As calculated</v>
      </c>
    </row>
    <row r="81" spans="1:14" x14ac:dyDescent="0.2">
      <c r="A81" s="44">
        <v>80</v>
      </c>
      <c r="B81" s="30" t="s">
        <v>299</v>
      </c>
      <c r="C81" s="30" t="s">
        <v>316</v>
      </c>
      <c r="D81" s="36">
        <f>Biogas_Upgrading!AF17</f>
        <v>165.96769875970372</v>
      </c>
      <c r="E81" s="36" t="str">
        <f>Biogas_Upgrading!AG17</f>
        <v>NC</v>
      </c>
      <c r="F81" s="36" t="str">
        <f>Biogas_Upgrading!AH17</f>
        <v>NC</v>
      </c>
      <c r="G81" s="36" t="str">
        <f>Biogas_Upgrading!AI17</f>
        <v>NC</v>
      </c>
      <c r="H81" s="36" t="str">
        <f>Biogas_Upgrading!AJ17</f>
        <v>NC</v>
      </c>
      <c r="I81" s="36" t="str">
        <f>Biogas_Upgrading!AK17</f>
        <v>NC</v>
      </c>
      <c r="J81" s="36" t="str">
        <f>Biogas_Upgrading!AL17</f>
        <v>NC</v>
      </c>
      <c r="K81" s="36" t="str">
        <f>Biogas_Upgrading!AM17</f>
        <v>NC</v>
      </c>
      <c r="L81" s="36" t="str">
        <f>Biogas_Upgrading!AN17</f>
        <v>NC</v>
      </c>
      <c r="M81" s="36" t="str">
        <f>Biogas_Upgrading!AO17</f>
        <v>NC</v>
      </c>
      <c r="N81" s="47" t="str">
        <f>Biogas_Upgrading!AP17</f>
        <v>NC</v>
      </c>
    </row>
    <row r="82" spans="1:14" x14ac:dyDescent="0.2">
      <c r="A82" s="44">
        <v>81</v>
      </c>
      <c r="B82" s="30" t="s">
        <v>318</v>
      </c>
      <c r="C82" s="30" t="s">
        <v>319</v>
      </c>
      <c r="D82" s="36">
        <f>Biogas_Upgrading!AF18</f>
        <v>5.1075000000000008</v>
      </c>
      <c r="E82" s="36">
        <f>Biogas_Upgrading!AG18</f>
        <v>2.07375</v>
      </c>
      <c r="F82" s="36">
        <f>Biogas_Upgrading!AH18</f>
        <v>0</v>
      </c>
      <c r="G82" s="36">
        <f>Biogas_Upgrading!AI18</f>
        <v>2.07375</v>
      </c>
      <c r="H82" s="36">
        <f>Biogas_Upgrading!AJ18</f>
        <v>0.40602055800293679</v>
      </c>
      <c r="I82" s="36">
        <f>Biogas_Upgrading!AK18</f>
        <v>0</v>
      </c>
      <c r="J82" s="36">
        <f>Biogas_Upgrading!AL18</f>
        <v>1</v>
      </c>
      <c r="K82" s="36">
        <f>Biogas_Upgrading!AM18</f>
        <v>0.40602055800293679</v>
      </c>
      <c r="L82" s="36">
        <f>Biogas_Upgrading!AN18</f>
        <v>3.0337500000000008</v>
      </c>
      <c r="M82" s="36">
        <f>Biogas_Upgrading!AO18</f>
        <v>0.59397944199706321</v>
      </c>
      <c r="N82" s="47" t="str">
        <f>Biogas_Upgrading!AP18</f>
        <v>As calculated</v>
      </c>
    </row>
    <row r="83" spans="1:14" x14ac:dyDescent="0.2">
      <c r="A83" s="44">
        <v>82</v>
      </c>
      <c r="B83" s="30" t="s">
        <v>318</v>
      </c>
      <c r="C83" s="30" t="s">
        <v>326</v>
      </c>
      <c r="D83" s="36">
        <f>Biogas_Upgrading!AF19</f>
        <v>9.8500000000000014</v>
      </c>
      <c r="E83" s="36">
        <f>Biogas_Upgrading!AG19</f>
        <v>3.3312500000000003</v>
      </c>
      <c r="F83" s="36">
        <f>Biogas_Upgrading!AH19</f>
        <v>0</v>
      </c>
      <c r="G83" s="36">
        <f>Biogas_Upgrading!AI19</f>
        <v>3.3312500000000003</v>
      </c>
      <c r="H83" s="36">
        <f>Biogas_Upgrading!AJ19</f>
        <v>0.33819796954314718</v>
      </c>
      <c r="I83" s="36">
        <f>Biogas_Upgrading!AK19</f>
        <v>0</v>
      </c>
      <c r="J83" s="36">
        <f>Biogas_Upgrading!AL19</f>
        <v>1</v>
      </c>
      <c r="K83" s="36">
        <f>Biogas_Upgrading!AM19</f>
        <v>0.33819796954314718</v>
      </c>
      <c r="L83" s="36">
        <f>Biogas_Upgrading!AN19</f>
        <v>6.5187500000000007</v>
      </c>
      <c r="M83" s="36">
        <f>Biogas_Upgrading!AO19</f>
        <v>0.66180203045685282</v>
      </c>
      <c r="N83" s="47" t="str">
        <f>Biogas_Upgrading!AP19</f>
        <v>As calculated</v>
      </c>
    </row>
    <row r="84" spans="1:14" x14ac:dyDescent="0.2">
      <c r="A84" s="44">
        <v>83</v>
      </c>
      <c r="B84" s="30" t="s">
        <v>318</v>
      </c>
      <c r="C84" s="30" t="s">
        <v>328</v>
      </c>
      <c r="D84" s="36">
        <f>Biogas_Upgrading!AF20</f>
        <v>14.9575</v>
      </c>
      <c r="E84" s="36">
        <f>Biogas_Upgrading!AG20</f>
        <v>3.4350000000000005</v>
      </c>
      <c r="F84" s="36">
        <f>Biogas_Upgrading!AH20</f>
        <v>0</v>
      </c>
      <c r="G84" s="36">
        <f>Biogas_Upgrading!AI20</f>
        <v>3.4350000000000005</v>
      </c>
      <c r="H84" s="36">
        <f>Biogas_Upgrading!AJ20</f>
        <v>0.2296506769179342</v>
      </c>
      <c r="I84" s="36">
        <f>Biogas_Upgrading!AK20</f>
        <v>0</v>
      </c>
      <c r="J84" s="36">
        <f>Biogas_Upgrading!AL20</f>
        <v>1</v>
      </c>
      <c r="K84" s="36">
        <f>Biogas_Upgrading!AM20</f>
        <v>0.2296506769179342</v>
      </c>
      <c r="L84" s="36">
        <f>Biogas_Upgrading!AN20</f>
        <v>11.522499999999999</v>
      </c>
      <c r="M84" s="36">
        <f>Biogas_Upgrading!AO20</f>
        <v>0.77034932308206583</v>
      </c>
      <c r="N84" s="47" t="str">
        <f>Biogas_Upgrading!AP20</f>
        <v>As calculated</v>
      </c>
    </row>
    <row r="85" spans="1:14" x14ac:dyDescent="0.2">
      <c r="A85" s="44">
        <v>84</v>
      </c>
      <c r="B85" s="30" t="s">
        <v>318</v>
      </c>
      <c r="C85" s="30" t="s">
        <v>330</v>
      </c>
      <c r="D85" s="36">
        <f>Biogas_Upgrading!AF21</f>
        <v>20.065000000000001</v>
      </c>
      <c r="E85" s="36">
        <f>Biogas_Upgrading!AG21</f>
        <v>3.6937500000000001</v>
      </c>
      <c r="F85" s="36">
        <f>Biogas_Upgrading!AH21</f>
        <v>0</v>
      </c>
      <c r="G85" s="36">
        <f>Biogas_Upgrading!AI21</f>
        <v>3.6937500000000001</v>
      </c>
      <c r="H85" s="36">
        <f>Biogas_Upgrading!AJ21</f>
        <v>0.18408921006728132</v>
      </c>
      <c r="I85" s="36">
        <f>Biogas_Upgrading!AK21</f>
        <v>0</v>
      </c>
      <c r="J85" s="36">
        <f>Biogas_Upgrading!AL21</f>
        <v>1</v>
      </c>
      <c r="K85" s="36">
        <f>Biogas_Upgrading!AM21</f>
        <v>0.18408921006728132</v>
      </c>
      <c r="L85" s="36">
        <f>Biogas_Upgrading!AN21</f>
        <v>16.37125</v>
      </c>
      <c r="M85" s="36">
        <f>Biogas_Upgrading!AO21</f>
        <v>0.81591078993271859</v>
      </c>
      <c r="N85" s="47" t="str">
        <f>Biogas_Upgrading!AP21</f>
        <v>As calculated</v>
      </c>
    </row>
    <row r="86" spans="1:14" x14ac:dyDescent="0.2">
      <c r="A86" s="44">
        <v>85</v>
      </c>
      <c r="B86" s="30" t="s">
        <v>332</v>
      </c>
      <c r="C86" s="30" t="s">
        <v>333</v>
      </c>
      <c r="D86" s="36">
        <f>Biogas_Upgrading!AF22</f>
        <v>45.136879590474074</v>
      </c>
      <c r="E86" s="36">
        <f>Biogas_Upgrading!AG22</f>
        <v>14.060903331289598</v>
      </c>
      <c r="F86" s="36" t="str">
        <f>Biogas_Upgrading!AH22</f>
        <v>NC</v>
      </c>
      <c r="G86" s="36" t="str">
        <f>Biogas_Upgrading!AI22</f>
        <v>NC</v>
      </c>
      <c r="H86" s="36">
        <f>Biogas_Upgrading!AJ22</f>
        <v>0.31151695595406392</v>
      </c>
      <c r="I86" s="36" t="str">
        <f>Biogas_Upgrading!AK22</f>
        <v>NC</v>
      </c>
      <c r="J86" s="36" t="str">
        <f>Biogas_Upgrading!AL22</f>
        <v>NC</v>
      </c>
      <c r="K86" s="36" t="str">
        <f>Biogas_Upgrading!AM22</f>
        <v>NC</v>
      </c>
      <c r="L86" s="36" t="str">
        <f>Biogas_Upgrading!AN22</f>
        <v>NC</v>
      </c>
      <c r="M86" s="36" t="str">
        <f>Biogas_Upgrading!AO22</f>
        <v>NC</v>
      </c>
      <c r="N86" s="47" t="str">
        <f>Biogas_Upgrading!AP22</f>
        <v>NC</v>
      </c>
    </row>
    <row r="87" spans="1:14" x14ac:dyDescent="0.2">
      <c r="A87" s="44">
        <v>86</v>
      </c>
      <c r="B87" s="30" t="s">
        <v>332</v>
      </c>
      <c r="C87" s="30" t="s">
        <v>339</v>
      </c>
      <c r="D87" s="36">
        <f>Biogas_Upgrading!AF23</f>
        <v>45.136879590474074</v>
      </c>
      <c r="E87" s="36">
        <f>Biogas_Upgrading!AG23</f>
        <v>15.695892090741877</v>
      </c>
      <c r="F87" s="36" t="str">
        <f>Biogas_Upgrading!AH23</f>
        <v>NC</v>
      </c>
      <c r="G87" s="36" t="str">
        <f>Biogas_Upgrading!AI23</f>
        <v>NC</v>
      </c>
      <c r="H87" s="36">
        <f>Biogas_Upgrading!AJ23</f>
        <v>0.34773985780918759</v>
      </c>
      <c r="I87" s="36" t="str">
        <f>Biogas_Upgrading!AK23</f>
        <v>NC</v>
      </c>
      <c r="J87" s="36" t="str">
        <f>Biogas_Upgrading!AL23</f>
        <v>NC</v>
      </c>
      <c r="K87" s="36" t="str">
        <f>Biogas_Upgrading!AM23</f>
        <v>NC</v>
      </c>
      <c r="L87" s="36" t="str">
        <f>Biogas_Upgrading!AN23</f>
        <v>NC</v>
      </c>
      <c r="M87" s="36" t="str">
        <f>Biogas_Upgrading!AO23</f>
        <v>NC</v>
      </c>
      <c r="N87" s="47" t="str">
        <f>Biogas_Upgrading!AP23</f>
        <v>NC</v>
      </c>
    </row>
    <row r="88" spans="1:14" x14ac:dyDescent="0.2">
      <c r="A88" s="44">
        <v>87</v>
      </c>
      <c r="B88" s="13" t="s">
        <v>350</v>
      </c>
      <c r="C88" s="13" t="s">
        <v>351</v>
      </c>
      <c r="D88" s="3">
        <f>Reductive_Azodye!V2</f>
        <v>125</v>
      </c>
      <c r="E88" s="3">
        <f>Reductive_Azodye!W2</f>
        <v>5.0696506051609962</v>
      </c>
      <c r="F88" s="3">
        <f>Reductive_Azodye!X2</f>
        <v>89.125</v>
      </c>
      <c r="G88" s="3">
        <f>Reductive_Azodye!Y2</f>
        <v>94.194650605161002</v>
      </c>
      <c r="H88" s="3">
        <f>Reductive_Azodye!Z2</f>
        <v>4.0557204841287969E-2</v>
      </c>
      <c r="I88" s="3">
        <f>Reductive_Azodye!AA2</f>
        <v>0.71299999999999997</v>
      </c>
      <c r="J88" s="3">
        <f>Reductive_Azodye!AB2</f>
        <v>5.3821003343508617E-2</v>
      </c>
      <c r="K88" s="3">
        <f>Reductive_Azodye!AC2</f>
        <v>0.75355720484128796</v>
      </c>
      <c r="L88" s="3">
        <f>Reductive_Azodye!AD2</f>
        <v>30.805349394838998</v>
      </c>
      <c r="M88" s="3">
        <f>Reductive_Azodye!AE2</f>
        <v>0.24644279515871198</v>
      </c>
      <c r="N88" s="46" t="str">
        <f>Reductive_Azodye!AF2</f>
        <v>As calculated</v>
      </c>
    </row>
    <row r="89" spans="1:14" x14ac:dyDescent="0.2">
      <c r="A89" s="44">
        <v>88</v>
      </c>
      <c r="B89" s="13" t="s">
        <v>350</v>
      </c>
      <c r="C89" s="13" t="s">
        <v>357</v>
      </c>
      <c r="D89" s="3">
        <f>Reductive_Azodye!V3</f>
        <v>125</v>
      </c>
      <c r="E89" s="3">
        <f>Reductive_Azodye!W3</f>
        <v>13.153688056633936</v>
      </c>
      <c r="F89" s="3">
        <f>Reductive_Azodye!X3</f>
        <v>112.375</v>
      </c>
      <c r="G89" s="3">
        <f>Reductive_Azodye!Y3</f>
        <v>125.52868805663394</v>
      </c>
      <c r="H89" s="3">
        <f>Reductive_Azodye!Z3</f>
        <v>0.10522950445307148</v>
      </c>
      <c r="I89" s="3">
        <f>Reductive_Azodye!AA3</f>
        <v>0.89900000000000002</v>
      </c>
      <c r="J89" s="3">
        <f>Reductive_Azodye!AB3</f>
        <v>0.1047863102870913</v>
      </c>
      <c r="K89" s="3">
        <f>Reductive_Azodye!AC3</f>
        <v>1.0042295044530716</v>
      </c>
      <c r="L89" s="3">
        <f>Reductive_Azodye!AD3</f>
        <v>-0.52868805663393914</v>
      </c>
      <c r="M89" s="3">
        <f>Reductive_Azodye!AE3</f>
        <v>-4.2295044530715128E-3</v>
      </c>
      <c r="N89" s="46" t="str">
        <f>Reductive_Azodye!AF3</f>
        <v>Excluded</v>
      </c>
    </row>
    <row r="90" spans="1:14" x14ac:dyDescent="0.2">
      <c r="A90" s="44">
        <v>89</v>
      </c>
      <c r="B90" s="13" t="s">
        <v>350</v>
      </c>
      <c r="C90" s="13" t="s">
        <v>358</v>
      </c>
      <c r="D90" s="3">
        <f>Reductive_Azodye!V4</f>
        <v>31.25</v>
      </c>
      <c r="E90" s="3">
        <f>Reductive_Azodye!W4</f>
        <v>3.6857730075359671</v>
      </c>
      <c r="F90" s="3">
        <f>Reductive_Azodye!X4</f>
        <v>15.84375</v>
      </c>
      <c r="G90" s="3">
        <f>Reductive_Azodye!Y4</f>
        <v>19.529523007535968</v>
      </c>
      <c r="H90" s="3">
        <f>Reductive_Azodye!Z4</f>
        <v>0.11794473624115095</v>
      </c>
      <c r="I90" s="3">
        <f>Reductive_Azodye!AA4</f>
        <v>0.50700000000000001</v>
      </c>
      <c r="J90" s="3">
        <f>Reductive_Azodye!AB4</f>
        <v>0.18872826571922505</v>
      </c>
      <c r="K90" s="3">
        <f>Reductive_Azodye!AC4</f>
        <v>0.62494473624115099</v>
      </c>
      <c r="L90" s="3">
        <f>Reductive_Azodye!AD4</f>
        <v>11.720476992464032</v>
      </c>
      <c r="M90" s="3">
        <f>Reductive_Azodye!AE4</f>
        <v>0.37505526375884901</v>
      </c>
      <c r="N90" s="46" t="str">
        <f>Reductive_Azodye!AF4</f>
        <v>As calculated</v>
      </c>
    </row>
    <row r="91" spans="1:14" x14ac:dyDescent="0.2">
      <c r="A91" s="44">
        <v>90</v>
      </c>
      <c r="B91" s="13" t="s">
        <v>350</v>
      </c>
      <c r="C91" s="13" t="s">
        <v>359</v>
      </c>
      <c r="D91" s="3">
        <f>Reductive_Azodye!V5</f>
        <v>250</v>
      </c>
      <c r="E91" s="3">
        <f>Reductive_Azodye!W5</f>
        <v>11.235441881708152</v>
      </c>
      <c r="F91" s="3">
        <f>Reductive_Azodye!X5</f>
        <v>201</v>
      </c>
      <c r="G91" s="3">
        <f>Reductive_Azodye!Y5</f>
        <v>212.23544188170814</v>
      </c>
      <c r="H91" s="3">
        <f>Reductive_Azodye!Z5</f>
        <v>4.4941767526832606E-2</v>
      </c>
      <c r="I91" s="3">
        <f>Reductive_Azodye!AA5</f>
        <v>0.80400000000000005</v>
      </c>
      <c r="J91" s="3">
        <f>Reductive_Azodye!AB5</f>
        <v>5.2938575113059362E-2</v>
      </c>
      <c r="K91" s="3">
        <f>Reductive_Azodye!AC5</f>
        <v>0.84894176752683259</v>
      </c>
      <c r="L91" s="3">
        <f>Reductive_Azodye!AD5</f>
        <v>37.764558118291859</v>
      </c>
      <c r="M91" s="3">
        <f>Reductive_Azodye!AE5</f>
        <v>0.15105823247316744</v>
      </c>
      <c r="N91" s="46" t="str">
        <f>Reductive_Azodye!AF5</f>
        <v>As calculated</v>
      </c>
    </row>
    <row r="92" spans="1:14" x14ac:dyDescent="0.2">
      <c r="A92" s="44">
        <v>91</v>
      </c>
      <c r="B92" s="13" t="s">
        <v>350</v>
      </c>
      <c r="C92" s="13" t="s">
        <v>360</v>
      </c>
      <c r="D92" s="3">
        <f>Reductive_Azodye!V6</f>
        <v>31.25</v>
      </c>
      <c r="E92" s="3">
        <f>Reductive_Azodye!W6</f>
        <v>5.2751769810459006</v>
      </c>
      <c r="F92" s="3">
        <f>Reductive_Azodye!X6</f>
        <v>21.4375</v>
      </c>
      <c r="G92" s="3">
        <f>Reductive_Azodye!Y6</f>
        <v>26.712676981045902</v>
      </c>
      <c r="H92" s="3">
        <f>Reductive_Azodye!Z6</f>
        <v>0.16880566339346881</v>
      </c>
      <c r="I92" s="3">
        <f>Reductive_Azodye!AA6</f>
        <v>0.68600000000000005</v>
      </c>
      <c r="J92" s="3">
        <f>Reductive_Azodye!AB6</f>
        <v>0.19747841014919343</v>
      </c>
      <c r="K92" s="3">
        <f>Reductive_Azodye!AC6</f>
        <v>0.85480566339346886</v>
      </c>
      <c r="L92" s="3">
        <f>Reductive_Azodye!AD6</f>
        <v>4.5373230189540976</v>
      </c>
      <c r="M92" s="3">
        <f>Reductive_Azodye!AE6</f>
        <v>0.14519433660653111</v>
      </c>
      <c r="N92" s="46" t="str">
        <f>Reductive_Azodye!AF6</f>
        <v>As calculated</v>
      </c>
    </row>
    <row r="93" spans="1:14" x14ac:dyDescent="0.2">
      <c r="A93" s="44">
        <v>92</v>
      </c>
      <c r="B93" s="13" t="s">
        <v>350</v>
      </c>
      <c r="C93" s="13" t="s">
        <v>361</v>
      </c>
      <c r="D93" s="3">
        <f>Reductive_Azodye!V7</f>
        <v>250</v>
      </c>
      <c r="E93" s="3">
        <f>Reductive_Azodye!W7</f>
        <v>12.509705412194567</v>
      </c>
      <c r="F93" s="3">
        <f>Reductive_Azodye!X7</f>
        <v>227</v>
      </c>
      <c r="G93" s="3">
        <f>Reductive_Azodye!Y7</f>
        <v>239.50970541219456</v>
      </c>
      <c r="H93" s="3">
        <f>Reductive_Azodye!Z7</f>
        <v>5.0038821648778264E-2</v>
      </c>
      <c r="I93" s="3">
        <f>Reductive_Azodye!AA7</f>
        <v>0.90800000000000003</v>
      </c>
      <c r="J93" s="3">
        <f>Reductive_Azodye!AB7</f>
        <v>5.2230473878565588E-2</v>
      </c>
      <c r="K93" s="3">
        <f>Reductive_Azodye!AC7</f>
        <v>0.95803882164877829</v>
      </c>
      <c r="L93" s="3">
        <f>Reductive_Azodye!AD7</f>
        <v>10.490294587805437</v>
      </c>
      <c r="M93" s="3">
        <f>Reductive_Azodye!AE7</f>
        <v>4.1961178351221748E-2</v>
      </c>
      <c r="N93" s="46" t="str">
        <f>Reductive_Azodye!AF7</f>
        <v>As calculated</v>
      </c>
    </row>
    <row r="94" spans="1:14" x14ac:dyDescent="0.2">
      <c r="A94" s="44">
        <v>93</v>
      </c>
      <c r="B94" s="13" t="s">
        <v>350</v>
      </c>
      <c r="C94" s="13" t="s">
        <v>362</v>
      </c>
      <c r="D94" s="3">
        <f>Reductive_Azodye!V8</f>
        <v>31.25</v>
      </c>
      <c r="E94" s="3">
        <f>Reductive_Azodye!W8</f>
        <v>3.8912993834208724</v>
      </c>
      <c r="F94" s="3">
        <f>Reductive_Azodye!X8</f>
        <v>23.75</v>
      </c>
      <c r="G94" s="3">
        <f>Reductive_Azodye!Y8</f>
        <v>27.641299383420872</v>
      </c>
      <c r="H94" s="3">
        <f>Reductive_Azodye!Z8</f>
        <v>0.12452158026946791</v>
      </c>
      <c r="I94" s="3">
        <f>Reductive_Azodye!AA8</f>
        <v>0.76</v>
      </c>
      <c r="J94" s="3">
        <f>Reductive_Azodye!AB8</f>
        <v>0.14077845362634639</v>
      </c>
      <c r="K94" s="3">
        <f>Reductive_Azodye!AC8</f>
        <v>0.88452158026946792</v>
      </c>
      <c r="L94" s="3">
        <f>Reductive_Azodye!AD8</f>
        <v>3.608700616579128</v>
      </c>
      <c r="M94" s="3">
        <f>Reductive_Azodye!AE8</f>
        <v>0.11547841973053209</v>
      </c>
      <c r="N94" s="46" t="str">
        <f>Reductive_Azodye!AF8</f>
        <v>As calculated</v>
      </c>
    </row>
    <row r="95" spans="1:14" x14ac:dyDescent="0.2">
      <c r="A95" s="44">
        <v>94</v>
      </c>
      <c r="B95" s="13" t="s">
        <v>350</v>
      </c>
      <c r="C95" s="13" t="s">
        <v>363</v>
      </c>
      <c r="D95" s="3">
        <f>Reductive_Azodye!V9</f>
        <v>250</v>
      </c>
      <c r="E95" s="3">
        <f>Reductive_Azodye!W9</f>
        <v>4.1562000456725281</v>
      </c>
      <c r="F95" s="3">
        <f>Reductive_Azodye!X9</f>
        <v>239.25</v>
      </c>
      <c r="G95" s="3">
        <f>Reductive_Azodye!Y9</f>
        <v>243.40620004567253</v>
      </c>
      <c r="H95" s="3">
        <f>Reductive_Azodye!Z9</f>
        <v>1.6624800182690112E-2</v>
      </c>
      <c r="I95" s="3">
        <f>Reductive_Azodye!AA9</f>
        <v>0.95699999999999996</v>
      </c>
      <c r="J95" s="3">
        <f>Reductive_Azodye!AB9</f>
        <v>1.7075160965056201E-2</v>
      </c>
      <c r="K95" s="3">
        <f>Reductive_Azodye!AC9</f>
        <v>0.97362480018269015</v>
      </c>
      <c r="L95" s="3">
        <f>Reductive_Azodye!AD9</f>
        <v>6.5937999543274657</v>
      </c>
      <c r="M95" s="3">
        <f>Reductive_Azodye!AE9</f>
        <v>2.6375199817309864E-2</v>
      </c>
      <c r="N95" s="46" t="str">
        <f>Reductive_Azodye!AF9</f>
        <v>As calculated</v>
      </c>
    </row>
    <row r="96" spans="1:14" x14ac:dyDescent="0.2">
      <c r="A96" s="44">
        <v>95</v>
      </c>
      <c r="B96" s="13" t="s">
        <v>350</v>
      </c>
      <c r="C96" s="13" t="s">
        <v>364</v>
      </c>
      <c r="D96" s="3">
        <f>Reductive_Azodye!V10</f>
        <v>31.25</v>
      </c>
      <c r="E96" s="3">
        <f>Reductive_Azodye!W10</f>
        <v>6.3484813884448501</v>
      </c>
      <c r="F96" s="3">
        <f>Reductive_Azodye!X10</f>
        <v>14.625</v>
      </c>
      <c r="G96" s="3">
        <f>Reductive_Azodye!Y10</f>
        <v>20.973481388444849</v>
      </c>
      <c r="H96" s="3">
        <f>Reductive_Azodye!Z10</f>
        <v>0.20315140443023522</v>
      </c>
      <c r="I96" s="3">
        <f>Reductive_Azodye!AA10</f>
        <v>0.46800000000000003</v>
      </c>
      <c r="J96" s="3">
        <f>Reductive_Azodye!AB10</f>
        <v>0.30269087286302832</v>
      </c>
      <c r="K96" s="3">
        <f>Reductive_Azodye!AC10</f>
        <v>0.67115140443023513</v>
      </c>
      <c r="L96" s="3">
        <f>Reductive_Azodye!AD10</f>
        <v>10.276518611555151</v>
      </c>
      <c r="M96" s="3">
        <f>Reductive_Azodye!AE10</f>
        <v>0.32884859556976481</v>
      </c>
      <c r="N96" s="46" t="str">
        <f>Reductive_Azodye!AF10</f>
        <v>As calculated</v>
      </c>
    </row>
    <row r="97" spans="1:14" x14ac:dyDescent="0.2">
      <c r="A97" s="44">
        <v>96</v>
      </c>
      <c r="B97" s="13" t="s">
        <v>350</v>
      </c>
      <c r="C97" s="13" t="s">
        <v>365</v>
      </c>
      <c r="D97" s="3">
        <f>Reductive_Azodye!V11</f>
        <v>250</v>
      </c>
      <c r="E97" s="3">
        <f>Reductive_Azodye!W11</f>
        <v>18.406028773692626</v>
      </c>
      <c r="F97" s="3">
        <f>Reductive_Azodye!X11</f>
        <v>182.75</v>
      </c>
      <c r="G97" s="3">
        <f>Reductive_Azodye!Y11</f>
        <v>201.15602877369264</v>
      </c>
      <c r="H97" s="3">
        <f>Reductive_Azodye!Z11</f>
        <v>7.3624115094770501E-2</v>
      </c>
      <c r="I97" s="3">
        <f>Reductive_Azodye!AA11</f>
        <v>0.73099999999999998</v>
      </c>
      <c r="J97" s="3">
        <f>Reductive_Azodye!AB11</f>
        <v>9.1501253459323528E-2</v>
      </c>
      <c r="K97" s="3">
        <f>Reductive_Azodye!AC11</f>
        <v>0.80462411509477061</v>
      </c>
      <c r="L97" s="3">
        <f>Reductive_Azodye!AD11</f>
        <v>48.84397122630736</v>
      </c>
      <c r="M97" s="3">
        <f>Reductive_Azodye!AE11</f>
        <v>0.19537588490522945</v>
      </c>
      <c r="N97" s="46" t="str">
        <f>Reductive_Azodye!AF11</f>
        <v>As calculated</v>
      </c>
    </row>
    <row r="98" spans="1:14" x14ac:dyDescent="0.2">
      <c r="A98" s="44">
        <v>97</v>
      </c>
      <c r="B98" s="13" t="s">
        <v>350</v>
      </c>
      <c r="C98" s="13" t="s">
        <v>366</v>
      </c>
      <c r="D98" s="3">
        <f>Reductive_Azodye!V12</f>
        <v>140.625</v>
      </c>
      <c r="E98" s="3">
        <f>Reductive_Azodye!W12</f>
        <v>4.1607672984699704</v>
      </c>
      <c r="F98" s="3">
        <f>Reductive_Azodye!X12</f>
        <v>133.59375</v>
      </c>
      <c r="G98" s="3">
        <f>Reductive_Azodye!Y12</f>
        <v>137.75451729846998</v>
      </c>
      <c r="H98" s="3">
        <f>Reductive_Azodye!Z12</f>
        <v>2.9587678566897566E-2</v>
      </c>
      <c r="I98" s="3">
        <f>Reductive_Azodye!AA12</f>
        <v>0.95</v>
      </c>
      <c r="J98" s="3">
        <f>Reductive_Azodye!AB12</f>
        <v>3.0204216747788521E-2</v>
      </c>
      <c r="K98" s="3">
        <f>Reductive_Azodye!AC12</f>
        <v>0.97958767856689766</v>
      </c>
      <c r="L98" s="3">
        <f>Reductive_Azodye!AD12</f>
        <v>2.8704827015300225</v>
      </c>
      <c r="M98" s="3">
        <f>Reductive_Azodye!AE12</f>
        <v>2.0412321433102381E-2</v>
      </c>
      <c r="N98" s="46" t="str">
        <f>Reductive_Azodye!AF12</f>
        <v>As calculated</v>
      </c>
    </row>
    <row r="99" spans="1:14" x14ac:dyDescent="0.2">
      <c r="A99" s="44">
        <v>98</v>
      </c>
      <c r="B99" s="13" t="s">
        <v>350</v>
      </c>
      <c r="C99" s="13" t="s">
        <v>367</v>
      </c>
      <c r="D99" s="3">
        <f>Reductive_Azodye!V13</f>
        <v>140.625</v>
      </c>
      <c r="E99" s="3">
        <f>Reductive_Azodye!W13</f>
        <v>4.3069193879881249</v>
      </c>
      <c r="F99" s="3">
        <f>Reductive_Azodye!X13</f>
        <v>132.75</v>
      </c>
      <c r="G99" s="3">
        <f>Reductive_Azodye!Y13</f>
        <v>137.05691938798813</v>
      </c>
      <c r="H99" s="3">
        <f>Reductive_Azodye!Z13</f>
        <v>3.0626982314582222E-2</v>
      </c>
      <c r="I99" s="3">
        <f>Reductive_Azodye!AA13</f>
        <v>0.94399999999999995</v>
      </c>
      <c r="J99" s="3">
        <f>Reductive_Azodye!AB13</f>
        <v>3.1424311937114716E-2</v>
      </c>
      <c r="K99" s="3">
        <f>Reductive_Azodye!AC13</f>
        <v>0.97462698231458222</v>
      </c>
      <c r="L99" s="3">
        <f>Reductive_Azodye!AD13</f>
        <v>3.5680806120118689</v>
      </c>
      <c r="M99" s="3">
        <f>Reductive_Azodye!AE13</f>
        <v>2.5373017685417734E-2</v>
      </c>
      <c r="N99" s="46" t="str">
        <f>Reductive_Azodye!AF13</f>
        <v>As calculated</v>
      </c>
    </row>
    <row r="100" spans="1:14" x14ac:dyDescent="0.2">
      <c r="A100" s="44">
        <v>99</v>
      </c>
      <c r="B100" s="13" t="s">
        <v>350</v>
      </c>
      <c r="C100" s="13" t="s">
        <v>368</v>
      </c>
      <c r="D100" s="3">
        <f>Reductive_Azodye!V14</f>
        <v>140.625</v>
      </c>
      <c r="E100" s="3">
        <f>Reductive_Azodye!W14</f>
        <v>10.66453528202786</v>
      </c>
      <c r="F100" s="3">
        <f>Reductive_Azodye!X14</f>
        <v>62.15625</v>
      </c>
      <c r="G100" s="3">
        <f>Reductive_Azodye!Y14</f>
        <v>72.820785282027856</v>
      </c>
      <c r="H100" s="3">
        <f>Reductive_Azodye!Z14</f>
        <v>7.5836695338864779E-2</v>
      </c>
      <c r="I100" s="3">
        <f>Reductive_Azodye!AA14</f>
        <v>0.442</v>
      </c>
      <c r="J100" s="3">
        <f>Reductive_Azodye!AB14</f>
        <v>0.14644905627871418</v>
      </c>
      <c r="K100" s="3">
        <f>Reductive_Azodye!AC14</f>
        <v>0.51783669533886478</v>
      </c>
      <c r="L100" s="3">
        <f>Reductive_Azodye!AD14</f>
        <v>67.804214717972144</v>
      </c>
      <c r="M100" s="3">
        <f>Reductive_Azodye!AE14</f>
        <v>0.48216330466113527</v>
      </c>
      <c r="N100" s="46" t="str">
        <f>Reductive_Azodye!AF14</f>
        <v>As calculated</v>
      </c>
    </row>
    <row r="101" spans="1:14" x14ac:dyDescent="0.2">
      <c r="A101" s="44">
        <v>100</v>
      </c>
      <c r="B101" s="13" t="s">
        <v>350</v>
      </c>
      <c r="C101" s="13" t="s">
        <v>369</v>
      </c>
      <c r="D101" s="3">
        <f>Reductive_Azodye!V15</f>
        <v>140.625</v>
      </c>
      <c r="E101" s="3">
        <f>Reductive_Azodye!W15</f>
        <v>18.269011189769355</v>
      </c>
      <c r="F101" s="3">
        <f>Reductive_Azodye!X15</f>
        <v>114.46874999999999</v>
      </c>
      <c r="G101" s="3">
        <f>Reductive_Azodye!Y15</f>
        <v>132.73776118976934</v>
      </c>
      <c r="H101" s="3">
        <f>Reductive_Azodye!Z15</f>
        <v>0.12991296846058209</v>
      </c>
      <c r="I101" s="3">
        <f>Reductive_Azodye!AA15</f>
        <v>0.81399999999999995</v>
      </c>
      <c r="J101" s="3">
        <f>Reductive_Azodye!AB15</f>
        <v>0.13763235891594519</v>
      </c>
      <c r="K101" s="3">
        <f>Reductive_Azodye!AC15</f>
        <v>0.94391296846058204</v>
      </c>
      <c r="L101" s="3">
        <f>Reductive_Azodye!AD15</f>
        <v>7.8872388102306559</v>
      </c>
      <c r="M101" s="3">
        <f>Reductive_Azodye!AE15</f>
        <v>5.6087031539417999E-2</v>
      </c>
      <c r="N101" s="46" t="str">
        <f>Reductive_Azodye!AF15</f>
        <v>As calculated</v>
      </c>
    </row>
    <row r="102" spans="1:14" x14ac:dyDescent="0.2">
      <c r="A102" s="44">
        <v>101</v>
      </c>
      <c r="B102" s="13" t="s">
        <v>350</v>
      </c>
      <c r="C102" s="13" t="s">
        <v>370</v>
      </c>
      <c r="D102" s="3">
        <f>Reductive_Azodye!V16</f>
        <v>140.625</v>
      </c>
      <c r="E102" s="3">
        <f>Reductive_Azodye!W16</f>
        <v>12.961863439141357</v>
      </c>
      <c r="F102" s="3">
        <f>Reductive_Azodye!X16</f>
        <v>124.875</v>
      </c>
      <c r="G102" s="3">
        <f>Reductive_Azodye!Y16</f>
        <v>137.83686343914135</v>
      </c>
      <c r="H102" s="3">
        <f>Reductive_Azodye!Z16</f>
        <v>9.217325112278299E-2</v>
      </c>
      <c r="I102" s="3">
        <f>Reductive_Azodye!AA16</f>
        <v>0.88800000000000001</v>
      </c>
      <c r="J102" s="3">
        <f>Reductive_Azodye!AB16</f>
        <v>9.4037713248345686E-2</v>
      </c>
      <c r="K102" s="3">
        <f>Reductive_Azodye!AC16</f>
        <v>0.98017325112278297</v>
      </c>
      <c r="L102" s="3">
        <f>Reductive_Azodye!AD16</f>
        <v>2.7881365608586464</v>
      </c>
      <c r="M102" s="3">
        <f>Reductive_Azodye!AE16</f>
        <v>1.982674887721704E-2</v>
      </c>
      <c r="N102" s="46" t="str">
        <f>Reductive_Azodye!AF16</f>
        <v>As calculated</v>
      </c>
    </row>
    <row r="103" spans="1:14" x14ac:dyDescent="0.2">
      <c r="A103" s="44">
        <v>102</v>
      </c>
      <c r="B103" s="13" t="s">
        <v>350</v>
      </c>
      <c r="C103" s="13" t="s">
        <v>371</v>
      </c>
      <c r="D103" s="3">
        <f>Reductive_Azodye!V17</f>
        <v>140.625</v>
      </c>
      <c r="E103" s="3">
        <f>Reductive_Azodye!W17</f>
        <v>12.989266955926009</v>
      </c>
      <c r="F103" s="3">
        <f>Reductive_Azodye!X17</f>
        <v>125.4375</v>
      </c>
      <c r="G103" s="3">
        <f>Reductive_Azodye!Y17</f>
        <v>138.42676695592601</v>
      </c>
      <c r="H103" s="3">
        <f>Reductive_Azodye!Z17</f>
        <v>9.2368120575473847E-2</v>
      </c>
      <c r="I103" s="3">
        <f>Reductive_Azodye!AA17</f>
        <v>0.89200000000000002</v>
      </c>
      <c r="J103" s="3">
        <f>Reductive_Azodye!AB17</f>
        <v>9.3834936996409726E-2</v>
      </c>
      <c r="K103" s="3">
        <f>Reductive_Azodye!AC17</f>
        <v>0.98436812057547385</v>
      </c>
      <c r="L103" s="3">
        <f>Reductive_Azodye!AD17</f>
        <v>2.1982330440739872</v>
      </c>
      <c r="M103" s="3">
        <f>Reductive_Azodye!AE17</f>
        <v>1.5631879424526131E-2</v>
      </c>
      <c r="N103" s="46" t="str">
        <f>Reductive_Azodye!AF17</f>
        <v>As calculated</v>
      </c>
    </row>
    <row r="104" spans="1:14" x14ac:dyDescent="0.2">
      <c r="A104" s="44">
        <v>103</v>
      </c>
      <c r="B104" s="13" t="s">
        <v>350</v>
      </c>
      <c r="C104" s="13" t="s">
        <v>372</v>
      </c>
      <c r="D104" s="3">
        <f>Reductive_Azodye!V18</f>
        <v>140.625</v>
      </c>
      <c r="E104" s="3">
        <f>Reductive_Azodye!W18</f>
        <v>12.907056405572048</v>
      </c>
      <c r="F104" s="3">
        <f>Reductive_Azodye!X18</f>
        <v>124.3125</v>
      </c>
      <c r="G104" s="3">
        <f>Reductive_Azodye!Y18</f>
        <v>137.21955640557204</v>
      </c>
      <c r="H104" s="3">
        <f>Reductive_Azodye!Z18</f>
        <v>9.1783512217401234E-2</v>
      </c>
      <c r="I104" s="3">
        <f>Reductive_Azodye!AA18</f>
        <v>0.88400000000000001</v>
      </c>
      <c r="J104" s="3">
        <f>Reductive_Azodye!AB18</f>
        <v>9.4061347694663844E-2</v>
      </c>
      <c r="K104" s="3">
        <f>Reductive_Azodye!AC18</f>
        <v>0.97578351221740112</v>
      </c>
      <c r="L104" s="3">
        <f>Reductive_Azodye!AD18</f>
        <v>3.4054435944279504</v>
      </c>
      <c r="M104" s="3">
        <f>Reductive_Azodye!AE18</f>
        <v>2.4216487782598758E-2</v>
      </c>
      <c r="N104" s="46" t="str">
        <f>Reductive_Azodye!AF18</f>
        <v>As calculated</v>
      </c>
    </row>
    <row r="105" spans="1:14" x14ac:dyDescent="0.2">
      <c r="A105" s="44">
        <v>104</v>
      </c>
      <c r="B105" s="13" t="s">
        <v>350</v>
      </c>
      <c r="C105" s="13" t="s">
        <v>373</v>
      </c>
      <c r="D105" s="3">
        <f>Reductive_Azodye!V19</f>
        <v>125</v>
      </c>
      <c r="E105" s="3">
        <f>Reductive_Azodye!W19</f>
        <v>9.157341858871888</v>
      </c>
      <c r="F105" s="3">
        <f>Reductive_Azodye!X19</f>
        <v>103.625</v>
      </c>
      <c r="G105" s="3">
        <f>Reductive_Azodye!Y19</f>
        <v>112.78234185887189</v>
      </c>
      <c r="H105" s="3">
        <f>Reductive_Azodye!Z19</f>
        <v>7.3258734870975104E-2</v>
      </c>
      <c r="I105" s="3">
        <f>Reductive_Azodye!AA19</f>
        <v>0.82899999999999996</v>
      </c>
      <c r="J105" s="3">
        <f>Reductive_Azodye!AB19</f>
        <v>8.119481922383523E-2</v>
      </c>
      <c r="K105" s="3">
        <f>Reductive_Azodye!AC19</f>
        <v>0.90225873487097508</v>
      </c>
      <c r="L105" s="3">
        <f>Reductive_Azodye!AD19</f>
        <v>12.217658141128112</v>
      </c>
      <c r="M105" s="3">
        <f>Reductive_Azodye!AE19</f>
        <v>9.7741265129024896E-2</v>
      </c>
      <c r="N105" s="46" t="str">
        <f>Reductive_Azodye!AF19</f>
        <v>As calculated</v>
      </c>
    </row>
    <row r="106" spans="1:14" x14ac:dyDescent="0.2">
      <c r="A106" s="44">
        <v>105</v>
      </c>
      <c r="B106" s="13" t="s">
        <v>350</v>
      </c>
      <c r="C106" s="13" t="s">
        <v>374</v>
      </c>
      <c r="D106" s="3">
        <f>Reductive_Azodye!V20</f>
        <v>187.5</v>
      </c>
      <c r="E106" s="3">
        <f>Reductive_Azodye!W20</f>
        <v>19.175610870061661</v>
      </c>
      <c r="F106" s="3">
        <f>Reductive_Azodye!X20</f>
        <v>170.625</v>
      </c>
      <c r="G106" s="3">
        <f>Reductive_Azodye!Y20</f>
        <v>189.80061087006166</v>
      </c>
      <c r="H106" s="3">
        <f>Reductive_Azodye!Z20</f>
        <v>0.10226992464032886</v>
      </c>
      <c r="I106" s="3">
        <f>Reductive_Azodye!AA20</f>
        <v>0.91</v>
      </c>
      <c r="J106" s="3">
        <f>Reductive_Azodye!AB20</f>
        <v>0.10103029058841843</v>
      </c>
      <c r="K106" s="3">
        <f>Reductive_Azodye!AC20</f>
        <v>1.0122699246403288</v>
      </c>
      <c r="L106" s="3">
        <f>Reductive_Azodye!AD20</f>
        <v>-2.3006108700616608</v>
      </c>
      <c r="M106" s="3">
        <f>Reductive_Azodye!AE20</f>
        <v>-1.2269924640328857E-2</v>
      </c>
      <c r="N106" s="46" t="str">
        <f>Reductive_Azodye!AF20</f>
        <v>Excluded</v>
      </c>
    </row>
    <row r="107" spans="1:14" x14ac:dyDescent="0.2">
      <c r="A107" s="44">
        <v>106</v>
      </c>
      <c r="B107" s="13" t="s">
        <v>350</v>
      </c>
      <c r="C107" s="13" t="s">
        <v>375</v>
      </c>
      <c r="D107" s="3">
        <f>Reductive_Azodye!V21</f>
        <v>62.5</v>
      </c>
      <c r="E107" s="3">
        <f>Reductive_Azodye!W21</f>
        <v>5.4464489609499891</v>
      </c>
      <c r="F107" s="3">
        <f>Reductive_Azodye!X21</f>
        <v>49.6875</v>
      </c>
      <c r="G107" s="3">
        <f>Reductive_Azodye!Y21</f>
        <v>55.133948960949986</v>
      </c>
      <c r="H107" s="3">
        <f>Reductive_Azodye!Z21</f>
        <v>8.7143183375199829E-2</v>
      </c>
      <c r="I107" s="3">
        <f>Reductive_Azodye!AA21</f>
        <v>0.79500000000000004</v>
      </c>
      <c r="J107" s="3">
        <f>Reductive_Azodye!AB21</f>
        <v>9.8785758386499292E-2</v>
      </c>
      <c r="K107" s="3">
        <f>Reductive_Azodye!AC21</f>
        <v>0.88214318337519981</v>
      </c>
      <c r="L107" s="3">
        <f>Reductive_Azodye!AD21</f>
        <v>7.3660510390500136</v>
      </c>
      <c r="M107" s="3">
        <f>Reductive_Azodye!AE21</f>
        <v>0.11785681662480021</v>
      </c>
      <c r="N107" s="46" t="str">
        <f>Reductive_Azodye!AF21</f>
        <v>As calculated</v>
      </c>
    </row>
    <row r="108" spans="1:14" x14ac:dyDescent="0.2">
      <c r="A108" s="44">
        <v>107</v>
      </c>
      <c r="B108" s="13" t="s">
        <v>389</v>
      </c>
      <c r="C108" s="13" t="s">
        <v>390</v>
      </c>
      <c r="D108" s="3">
        <f>Reductive_Denitrification!W2</f>
        <v>256.875</v>
      </c>
      <c r="E108" s="3">
        <f>Reductive_Denitrification!X2</f>
        <v>13.3921875</v>
      </c>
      <c r="F108" s="3">
        <f>Reductive_Denitrification!Y2</f>
        <v>143.95535714285714</v>
      </c>
      <c r="G108" s="3">
        <f>Reductive_Denitrification!Z2</f>
        <v>157.34754464285714</v>
      </c>
      <c r="H108" s="3">
        <f>Reductive_Denitrification!AA2</f>
        <v>5.2135036496350366E-2</v>
      </c>
      <c r="I108" s="3">
        <f>Reductive_Denitrification!AB2</f>
        <v>0.56041014946124434</v>
      </c>
      <c r="J108" s="3">
        <f>Reductive_Denitrification!AC2</f>
        <v>8.5112147955007475E-2</v>
      </c>
      <c r="K108" s="3">
        <f>Reductive_Denitrification!AD2</f>
        <v>0.61254518595759477</v>
      </c>
      <c r="L108" s="3">
        <f>Reductive_Denitrification!AE2</f>
        <v>99.527455357142856</v>
      </c>
      <c r="M108" s="3">
        <f>Reductive_Denitrification!AF2</f>
        <v>0.38745481404240528</v>
      </c>
      <c r="N108" s="46" t="str">
        <f>Reductive_Denitrification!AG2</f>
        <v>As calculated</v>
      </c>
    </row>
    <row r="109" spans="1:14" x14ac:dyDescent="0.2">
      <c r="A109" s="44">
        <v>108</v>
      </c>
      <c r="B109" s="13" t="s">
        <v>389</v>
      </c>
      <c r="C109" s="13" t="s">
        <v>396</v>
      </c>
      <c r="D109" s="3">
        <f>Reductive_Denitrification!W3</f>
        <v>262.14999999999998</v>
      </c>
      <c r="E109" s="3">
        <f>Reductive_Denitrification!X3</f>
        <v>39.819437499999999</v>
      </c>
      <c r="F109" s="3">
        <f>Reductive_Denitrification!Y3</f>
        <v>100.76142857142858</v>
      </c>
      <c r="G109" s="3">
        <f>Reductive_Denitrification!Z3</f>
        <v>140.58086607142857</v>
      </c>
      <c r="H109" s="3">
        <f>Reductive_Denitrification!AA3</f>
        <v>0.15189562273507534</v>
      </c>
      <c r="I109" s="3">
        <f>Reductive_Denitrification!AB3</f>
        <v>0.38436554862265343</v>
      </c>
      <c r="J109" s="3">
        <f>Reductive_Denitrification!AC3</f>
        <v>0.28324933977692174</v>
      </c>
      <c r="K109" s="3">
        <f>Reductive_Denitrification!AD3</f>
        <v>0.53626117135772877</v>
      </c>
      <c r="L109" s="3">
        <f>Reductive_Denitrification!AE3</f>
        <v>121.5691339285714</v>
      </c>
      <c r="M109" s="3">
        <f>Reductive_Denitrification!AF3</f>
        <v>0.46373882864227128</v>
      </c>
      <c r="N109" s="46" t="str">
        <f>Reductive_Denitrification!AG3</f>
        <v>As calculated</v>
      </c>
    </row>
    <row r="110" spans="1:14" x14ac:dyDescent="0.2">
      <c r="A110" s="44">
        <v>109</v>
      </c>
      <c r="B110" s="13" t="s">
        <v>389</v>
      </c>
      <c r="C110" s="13" t="s">
        <v>399</v>
      </c>
      <c r="D110" s="3">
        <f>Reductive_Denitrification!W4</f>
        <v>267.7</v>
      </c>
      <c r="E110" s="3">
        <f>Reductive_Denitrification!X4</f>
        <v>85.638575000000017</v>
      </c>
      <c r="F110" s="3">
        <f>Reductive_Denitrification!Y4</f>
        <v>77.082857142857151</v>
      </c>
      <c r="G110" s="3">
        <f>Reductive_Denitrification!Z4</f>
        <v>162.72143214285717</v>
      </c>
      <c r="H110" s="3">
        <f>Reductive_Denitrification!AA4</f>
        <v>0.31990502428091155</v>
      </c>
      <c r="I110" s="3">
        <f>Reductive_Denitrification!AB4</f>
        <v>0.28794492769091207</v>
      </c>
      <c r="J110" s="3">
        <f>Reductive_Denitrification!AC4</f>
        <v>0.52628946213314909</v>
      </c>
      <c r="K110" s="3">
        <f>Reductive_Denitrification!AD4</f>
        <v>0.60784995197182357</v>
      </c>
      <c r="L110" s="3">
        <f>Reductive_Denitrification!AE4</f>
        <v>104.97856785714283</v>
      </c>
      <c r="M110" s="3">
        <f>Reductive_Denitrification!AF4</f>
        <v>0.39215004802817649</v>
      </c>
      <c r="N110" s="46" t="str">
        <f>Reductive_Denitrification!AG4</f>
        <v>As calculated</v>
      </c>
    </row>
    <row r="111" spans="1:14" x14ac:dyDescent="0.2">
      <c r="A111" s="44">
        <v>110</v>
      </c>
      <c r="B111" s="13" t="s">
        <v>402</v>
      </c>
      <c r="C111" s="13" t="s">
        <v>403</v>
      </c>
      <c r="D111" s="3">
        <f>Reductive_Denitrification!W5</f>
        <v>475</v>
      </c>
      <c r="E111" s="3">
        <f>Reductive_Denitrification!X5</f>
        <v>118.06583569875002</v>
      </c>
      <c r="F111" s="3">
        <f>Reductive_Denitrification!Y5</f>
        <v>0</v>
      </c>
      <c r="G111" s="3">
        <f>Reductive_Denitrification!Z5</f>
        <v>118.06583569875002</v>
      </c>
      <c r="H111" s="3">
        <f>Reductive_Denitrification!AA5</f>
        <v>0.24855965410263162</v>
      </c>
      <c r="I111" s="3">
        <f>Reductive_Denitrification!AB5</f>
        <v>0</v>
      </c>
      <c r="J111" s="3">
        <f>Reductive_Denitrification!AC5</f>
        <v>1</v>
      </c>
      <c r="K111" s="3">
        <f>Reductive_Denitrification!AD5</f>
        <v>0.24855965410263162</v>
      </c>
      <c r="L111" s="3">
        <f>Reductive_Denitrification!AE5</f>
        <v>356.93416430125001</v>
      </c>
      <c r="M111" s="3">
        <f>Reductive_Denitrification!AF5</f>
        <v>0.75144034589736841</v>
      </c>
      <c r="N111" s="46" t="str">
        <f>Reductive_Denitrification!AG5</f>
        <v>Lower bound</v>
      </c>
    </row>
    <row r="112" spans="1:14" x14ac:dyDescent="0.2">
      <c r="A112" s="44">
        <v>111</v>
      </c>
      <c r="B112" s="13" t="s">
        <v>402</v>
      </c>
      <c r="C112" s="13" t="s">
        <v>408</v>
      </c>
      <c r="D112" s="3">
        <f>Reductive_Denitrification!W6</f>
        <v>475</v>
      </c>
      <c r="E112" s="3">
        <f>Reductive_Denitrification!X6</f>
        <v>102.323455</v>
      </c>
      <c r="F112" s="3">
        <f>Reductive_Denitrification!Y6</f>
        <v>0</v>
      </c>
      <c r="G112" s="3">
        <f>Reductive_Denitrification!Z6</f>
        <v>102.323455</v>
      </c>
      <c r="H112" s="3">
        <f>Reductive_Denitrification!AA6</f>
        <v>0.21541779999999999</v>
      </c>
      <c r="I112" s="3">
        <f>Reductive_Denitrification!AB6</f>
        <v>0</v>
      </c>
      <c r="J112" s="3">
        <f>Reductive_Denitrification!AC6</f>
        <v>1</v>
      </c>
      <c r="K112" s="3">
        <f>Reductive_Denitrification!AD6</f>
        <v>0.21541779999999999</v>
      </c>
      <c r="L112" s="3">
        <f>Reductive_Denitrification!AE6</f>
        <v>372.67654500000003</v>
      </c>
      <c r="M112" s="3">
        <f>Reductive_Denitrification!AF6</f>
        <v>0.78458220000000012</v>
      </c>
      <c r="N112" s="46" t="str">
        <f>Reductive_Denitrification!AG6</f>
        <v>Lower bound</v>
      </c>
    </row>
    <row r="113" spans="1:14" x14ac:dyDescent="0.2">
      <c r="A113" s="44">
        <v>112</v>
      </c>
      <c r="B113" s="13" t="s">
        <v>402</v>
      </c>
      <c r="C113" s="13" t="s">
        <v>410</v>
      </c>
      <c r="D113" s="3">
        <f>Reductive_Denitrification!W7</f>
        <v>475</v>
      </c>
      <c r="E113" s="3">
        <f>Reductive_Denitrification!X7</f>
        <v>109.41417187500001</v>
      </c>
      <c r="F113" s="3">
        <f>Reductive_Denitrification!Y7</f>
        <v>0</v>
      </c>
      <c r="G113" s="3">
        <f>Reductive_Denitrification!Z7</f>
        <v>109.41417187500001</v>
      </c>
      <c r="H113" s="3">
        <f>Reductive_Denitrification!AA7</f>
        <v>0.23034562500000003</v>
      </c>
      <c r="I113" s="3">
        <f>Reductive_Denitrification!AB7</f>
        <v>0</v>
      </c>
      <c r="J113" s="3">
        <f>Reductive_Denitrification!AC7</f>
        <v>1</v>
      </c>
      <c r="K113" s="3">
        <f>Reductive_Denitrification!AD7</f>
        <v>0.23034562500000003</v>
      </c>
      <c r="L113" s="3">
        <f>Reductive_Denitrification!AE7</f>
        <v>365.58582812499998</v>
      </c>
      <c r="M113" s="3">
        <f>Reductive_Denitrification!AF7</f>
        <v>0.769654375</v>
      </c>
      <c r="N113" s="46" t="str">
        <f>Reductive_Denitrification!AG7</f>
        <v>Lower bound</v>
      </c>
    </row>
    <row r="114" spans="1:14" x14ac:dyDescent="0.2">
      <c r="A114" s="44">
        <v>113</v>
      </c>
      <c r="B114" s="13" t="s">
        <v>402</v>
      </c>
      <c r="C114" s="13" t="s">
        <v>412</v>
      </c>
      <c r="D114" s="3">
        <f>Reductive_Denitrification!W8</f>
        <v>475</v>
      </c>
      <c r="E114" s="3">
        <f>Reductive_Denitrification!X8</f>
        <v>67.496625000000009</v>
      </c>
      <c r="F114" s="3">
        <f>Reductive_Denitrification!Y8</f>
        <v>0</v>
      </c>
      <c r="G114" s="3">
        <f>Reductive_Denitrification!Z8</f>
        <v>67.496625000000009</v>
      </c>
      <c r="H114" s="3">
        <f>Reductive_Denitrification!AA8</f>
        <v>0.14209815789473687</v>
      </c>
      <c r="I114" s="3">
        <f>Reductive_Denitrification!AB8</f>
        <v>0</v>
      </c>
      <c r="J114" s="3">
        <f>Reductive_Denitrification!AC8</f>
        <v>1</v>
      </c>
      <c r="K114" s="3">
        <f>Reductive_Denitrification!AD8</f>
        <v>0.14209815789473687</v>
      </c>
      <c r="L114" s="3">
        <f>Reductive_Denitrification!AE8</f>
        <v>407.50337500000001</v>
      </c>
      <c r="M114" s="3">
        <f>Reductive_Denitrification!AF8</f>
        <v>0.85790184210526321</v>
      </c>
      <c r="N114" s="46" t="str">
        <f>Reductive_Denitrification!AG8</f>
        <v>Lower bound</v>
      </c>
    </row>
    <row r="115" spans="1:14" x14ac:dyDescent="0.2">
      <c r="A115" s="44">
        <v>114</v>
      </c>
      <c r="B115" s="13" t="s">
        <v>402</v>
      </c>
      <c r="C115" s="13" t="s">
        <v>414</v>
      </c>
      <c r="D115" s="3">
        <f>Reductive_Denitrification!W9</f>
        <v>475</v>
      </c>
      <c r="E115" s="3">
        <f>Reductive_Denitrification!X9</f>
        <v>23.514099236250001</v>
      </c>
      <c r="F115" s="3">
        <f>Reductive_Denitrification!Y9</f>
        <v>0</v>
      </c>
      <c r="G115" s="3">
        <f>Reductive_Denitrification!Z9</f>
        <v>23.514099236250001</v>
      </c>
      <c r="H115" s="3">
        <f>Reductive_Denitrification!AA9</f>
        <v>4.9503366813157895E-2</v>
      </c>
      <c r="I115" s="3">
        <f>Reductive_Denitrification!AB9</f>
        <v>0</v>
      </c>
      <c r="J115" s="3">
        <f>Reductive_Denitrification!AC9</f>
        <v>1</v>
      </c>
      <c r="K115" s="3">
        <f>Reductive_Denitrification!AD9</f>
        <v>4.9503366813157895E-2</v>
      </c>
      <c r="L115" s="3">
        <f>Reductive_Denitrification!AE9</f>
        <v>451.48590076375001</v>
      </c>
      <c r="M115" s="3">
        <f>Reductive_Denitrification!AF9</f>
        <v>0.95049663318684208</v>
      </c>
      <c r="N115" s="46" t="str">
        <f>Reductive_Denitrification!AG9</f>
        <v>Lower bound</v>
      </c>
    </row>
    <row r="116" spans="1:14" x14ac:dyDescent="0.2">
      <c r="A116" s="44">
        <v>115</v>
      </c>
      <c r="B116" s="13" t="s">
        <v>402</v>
      </c>
      <c r="C116" s="13" t="s">
        <v>416</v>
      </c>
      <c r="D116" s="3">
        <f>Reductive_Denitrification!W10</f>
        <v>475</v>
      </c>
      <c r="E116" s="3">
        <f>Reductive_Denitrification!X10</f>
        <v>207.63302140125006</v>
      </c>
      <c r="F116" s="3">
        <f>Reductive_Denitrification!Y10</f>
        <v>0</v>
      </c>
      <c r="G116" s="3">
        <f>Reductive_Denitrification!Z10</f>
        <v>207.63302140125006</v>
      </c>
      <c r="H116" s="3">
        <f>Reductive_Denitrification!AA10</f>
        <v>0.43712215031842117</v>
      </c>
      <c r="I116" s="3">
        <f>Reductive_Denitrification!AB10</f>
        <v>0</v>
      </c>
      <c r="J116" s="3">
        <f>Reductive_Denitrification!AC10</f>
        <v>1</v>
      </c>
      <c r="K116" s="3">
        <f>Reductive_Denitrification!AD10</f>
        <v>0.43712215031842117</v>
      </c>
      <c r="L116" s="3">
        <f>Reductive_Denitrification!AE10</f>
        <v>267.36697859874994</v>
      </c>
      <c r="M116" s="3">
        <f>Reductive_Denitrification!AF10</f>
        <v>0.56287784968157883</v>
      </c>
      <c r="N116" s="46" t="str">
        <f>Reductive_Denitrification!AG10</f>
        <v>As calculated</v>
      </c>
    </row>
    <row r="117" spans="1:14" x14ac:dyDescent="0.2">
      <c r="A117" s="44">
        <v>116</v>
      </c>
      <c r="B117" s="13" t="s">
        <v>402</v>
      </c>
      <c r="C117" s="13" t="s">
        <v>417</v>
      </c>
      <c r="D117" s="3">
        <f>Reductive_Denitrification!W11</f>
        <v>475</v>
      </c>
      <c r="E117" s="3">
        <f>Reductive_Denitrification!X11</f>
        <v>212.51794500000003</v>
      </c>
      <c r="F117" s="3">
        <f>Reductive_Denitrification!Y11</f>
        <v>0</v>
      </c>
      <c r="G117" s="3">
        <f>Reductive_Denitrification!Z11</f>
        <v>212.51794500000003</v>
      </c>
      <c r="H117" s="3">
        <f>Reductive_Denitrification!AA11</f>
        <v>0.44740620000000003</v>
      </c>
      <c r="I117" s="3">
        <f>Reductive_Denitrification!AB11</f>
        <v>0</v>
      </c>
      <c r="J117" s="3">
        <f>Reductive_Denitrification!AC11</f>
        <v>1</v>
      </c>
      <c r="K117" s="3">
        <f>Reductive_Denitrification!AD11</f>
        <v>0.44740620000000003</v>
      </c>
      <c r="L117" s="3">
        <f>Reductive_Denitrification!AE11</f>
        <v>262.48205499999995</v>
      </c>
      <c r="M117" s="3">
        <f>Reductive_Denitrification!AF11</f>
        <v>0.55259379999999991</v>
      </c>
      <c r="N117" s="46" t="str">
        <f>Reductive_Denitrification!AG11</f>
        <v>As calculated</v>
      </c>
    </row>
    <row r="118" spans="1:14" x14ac:dyDescent="0.2">
      <c r="A118" s="44">
        <v>117</v>
      </c>
      <c r="B118" s="13" t="s">
        <v>402</v>
      </c>
      <c r="C118" s="13" t="s">
        <v>418</v>
      </c>
      <c r="D118" s="3">
        <f>Reductive_Denitrification!W12</f>
        <v>475</v>
      </c>
      <c r="E118" s="3">
        <f>Reductive_Denitrification!X12</f>
        <v>192.51179535750001</v>
      </c>
      <c r="F118" s="3">
        <f>Reductive_Denitrification!Y12</f>
        <v>0.71383956455786557</v>
      </c>
      <c r="G118" s="3">
        <f>Reductive_Denitrification!Z12</f>
        <v>193.22563492205788</v>
      </c>
      <c r="H118" s="3">
        <f>Reductive_Denitrification!AA12</f>
        <v>0.40528799022631579</v>
      </c>
      <c r="I118" s="3">
        <f>Reductive_Denitrification!AB12</f>
        <v>1.5028201359112959E-3</v>
      </c>
      <c r="J118" s="3">
        <f>Reductive_Denitrification!AC12</f>
        <v>0.99630566842310642</v>
      </c>
      <c r="K118" s="3">
        <f>Reductive_Denitrification!AD12</f>
        <v>0.40679081036222714</v>
      </c>
      <c r="L118" s="3">
        <f>Reductive_Denitrification!AE12</f>
        <v>281.77436507794215</v>
      </c>
      <c r="M118" s="3">
        <f>Reductive_Denitrification!AF12</f>
        <v>0.59320918963777292</v>
      </c>
      <c r="N118" s="46" t="str">
        <f>Reductive_Denitrification!AG12</f>
        <v>As calculated</v>
      </c>
    </row>
    <row r="119" spans="1:14" x14ac:dyDescent="0.2">
      <c r="A119" s="44">
        <v>118</v>
      </c>
      <c r="B119" s="13" t="s">
        <v>402</v>
      </c>
      <c r="C119" s="13" t="s">
        <v>420</v>
      </c>
      <c r="D119" s="3">
        <f>Reductive_Denitrification!W13</f>
        <v>475</v>
      </c>
      <c r="E119" s="3">
        <f>Reductive_Denitrification!X13</f>
        <v>75.39265875000001</v>
      </c>
      <c r="F119" s="3">
        <f>Reductive_Denitrification!Y13</f>
        <v>28.910502364593551</v>
      </c>
      <c r="G119" s="3">
        <f>Reductive_Denitrification!Z13</f>
        <v>104.30316111459356</v>
      </c>
      <c r="H119" s="3">
        <f>Reductive_Denitrification!AA13</f>
        <v>0.15872138684210529</v>
      </c>
      <c r="I119" s="3">
        <f>Reductive_Denitrification!AB13</f>
        <v>6.0864215504407473E-2</v>
      </c>
      <c r="J119" s="3">
        <f>Reductive_Denitrification!AC13</f>
        <v>0.72282237608474031</v>
      </c>
      <c r="K119" s="3">
        <f>Reductive_Denitrification!AD13</f>
        <v>0.21958560234651275</v>
      </c>
      <c r="L119" s="3">
        <f>Reductive_Denitrification!AE13</f>
        <v>370.69683888540646</v>
      </c>
      <c r="M119" s="3">
        <f>Reductive_Denitrification!AF13</f>
        <v>0.7804143976534873</v>
      </c>
      <c r="N119" s="46" t="str">
        <f>Reductive_Denitrification!AG13</f>
        <v>As calculated</v>
      </c>
    </row>
    <row r="120" spans="1:14" x14ac:dyDescent="0.2">
      <c r="A120" s="44">
        <v>119</v>
      </c>
      <c r="B120" s="13" t="s">
        <v>402</v>
      </c>
      <c r="C120" s="13" t="s">
        <v>422</v>
      </c>
      <c r="D120" s="3">
        <f>Reductive_Denitrification!W14</f>
        <v>475</v>
      </c>
      <c r="E120" s="3">
        <f>Reductive_Denitrification!X14</f>
        <v>27.141500000000001</v>
      </c>
      <c r="F120" s="3">
        <f>Reductive_Denitrification!Y14</f>
        <v>69.777817435531361</v>
      </c>
      <c r="G120" s="3">
        <f>Reductive_Denitrification!Z14</f>
        <v>96.919317435531354</v>
      </c>
      <c r="H120" s="3">
        <f>Reductive_Denitrification!AA14</f>
        <v>5.7140000000000003E-2</v>
      </c>
      <c r="I120" s="3">
        <f>Reductive_Denitrification!AB14</f>
        <v>0.14690066828532919</v>
      </c>
      <c r="J120" s="3">
        <f>Reductive_Denitrification!AC14</f>
        <v>0.28004221158546583</v>
      </c>
      <c r="K120" s="3">
        <f>Reductive_Denitrification!AD14</f>
        <v>0.20404066828532916</v>
      </c>
      <c r="L120" s="3">
        <f>Reductive_Denitrification!AE14</f>
        <v>378.08068256446865</v>
      </c>
      <c r="M120" s="3">
        <f>Reductive_Denitrification!AF14</f>
        <v>0.79595933171467081</v>
      </c>
      <c r="N120" s="46" t="str">
        <f>Reductive_Denitrification!AG14</f>
        <v>As calculated</v>
      </c>
    </row>
    <row r="121" spans="1:14" x14ac:dyDescent="0.2">
      <c r="A121" s="44">
        <v>120</v>
      </c>
      <c r="B121" s="13" t="s">
        <v>429</v>
      </c>
      <c r="C121" s="13" t="s">
        <v>430</v>
      </c>
      <c r="D121" s="3">
        <f>Reductive_Iron!W2</f>
        <v>6231.4078750000008</v>
      </c>
      <c r="E121" s="3">
        <f>Reductive_Iron!X2</f>
        <v>1032.0424214285715</v>
      </c>
      <c r="F121" s="3">
        <f>Reductive_Iron!Y2</f>
        <v>0.53720118184260002</v>
      </c>
      <c r="G121" s="3">
        <f>Reductive_Iron!Z2</f>
        <v>1032.5796226104142</v>
      </c>
      <c r="H121" s="3">
        <f>Reductive_Iron!AA2</f>
        <v>0.16561946226775781</v>
      </c>
      <c r="I121" s="3">
        <f>Reductive_Iron!AB2</f>
        <v>8.6208637376766151E-5</v>
      </c>
      <c r="J121" s="3">
        <f>Reductive_Iron!AC2</f>
        <v>0.99947974841834997</v>
      </c>
      <c r="K121" s="3">
        <f>Reductive_Iron!AD2</f>
        <v>0.16570567090513458</v>
      </c>
      <c r="L121" s="3">
        <f>Reductive_Iron!AE2</f>
        <v>5198.8282523895869</v>
      </c>
      <c r="M121" s="3">
        <f>Reductive_Iron!AF2</f>
        <v>0.83429432909486545</v>
      </c>
      <c r="N121" s="46" t="str">
        <f>Reductive_Iron!AG2</f>
        <v>Lower bound</v>
      </c>
    </row>
    <row r="122" spans="1:14" x14ac:dyDescent="0.2">
      <c r="A122" s="44">
        <v>121</v>
      </c>
      <c r="B122" s="13" t="s">
        <v>429</v>
      </c>
      <c r="C122" s="13" t="s">
        <v>435</v>
      </c>
      <c r="D122" s="3">
        <f>Reductive_Iron!W3</f>
        <v>6231.4078750000008</v>
      </c>
      <c r="E122" s="3">
        <f>Reductive_Iron!X3</f>
        <v>1078.1469642857144</v>
      </c>
      <c r="F122" s="3">
        <f>Reductive_Iron!Y3</f>
        <v>12.534694242994002</v>
      </c>
      <c r="G122" s="3">
        <f>Reductive_Iron!Z3</f>
        <v>1090.6816585287083</v>
      </c>
      <c r="H122" s="3">
        <f>Reductive_Iron!AA3</f>
        <v>0.17301819844134569</v>
      </c>
      <c r="I122" s="3">
        <f>Reductive_Iron!AB3</f>
        <v>2.0115348721245437E-3</v>
      </c>
      <c r="J122" s="3">
        <f>Reductive_Iron!AC3</f>
        <v>0.9885074676510992</v>
      </c>
      <c r="K122" s="3">
        <f>Reductive_Iron!AD3</f>
        <v>0.17502973331347021</v>
      </c>
      <c r="L122" s="3">
        <f>Reductive_Iron!AE3</f>
        <v>5140.726216471292</v>
      </c>
      <c r="M122" s="3">
        <f>Reductive_Iron!AF3</f>
        <v>0.82497026668652973</v>
      </c>
      <c r="N122" s="46" t="str">
        <f>Reductive_Iron!AG3</f>
        <v>Lower bound</v>
      </c>
    </row>
    <row r="123" spans="1:14" x14ac:dyDescent="0.2">
      <c r="A123" s="44">
        <v>122</v>
      </c>
      <c r="B123" s="13" t="s">
        <v>429</v>
      </c>
      <c r="C123" s="13" t="s">
        <v>437</v>
      </c>
      <c r="D123" s="3">
        <f>Reductive_Iron!W4</f>
        <v>6231.4078750000008</v>
      </c>
      <c r="E123" s="3">
        <f>Reductive_Iron!X4</f>
        <v>974.92977142857148</v>
      </c>
      <c r="F123" s="3">
        <f>Reductive_Iron!Y4</f>
        <v>25.964723789059004</v>
      </c>
      <c r="G123" s="3">
        <f>Reductive_Iron!Z4</f>
        <v>1000.8944952176305</v>
      </c>
      <c r="H123" s="3">
        <f>Reductive_Iron!AA4</f>
        <v>0.15645417391789193</v>
      </c>
      <c r="I123" s="3">
        <f>Reductive_Iron!AB4</f>
        <v>4.1667508065436976E-3</v>
      </c>
      <c r="J123" s="3">
        <f>Reductive_Iron!AC4</f>
        <v>0.97405848077582513</v>
      </c>
      <c r="K123" s="3">
        <f>Reductive_Iron!AD4</f>
        <v>0.16062092472443562</v>
      </c>
      <c r="L123" s="3">
        <f>Reductive_Iron!AE4</f>
        <v>5230.513379782371</v>
      </c>
      <c r="M123" s="3">
        <f>Reductive_Iron!AF4</f>
        <v>0.83937907527556443</v>
      </c>
      <c r="N123" s="46" t="str">
        <f>Reductive_Iron!AG4</f>
        <v>Lower bound</v>
      </c>
    </row>
    <row r="124" spans="1:14" x14ac:dyDescent="0.2">
      <c r="A124" s="44">
        <v>123</v>
      </c>
      <c r="B124" s="13" t="s">
        <v>429</v>
      </c>
      <c r="C124" s="13" t="s">
        <v>439</v>
      </c>
      <c r="D124" s="3">
        <f>Reductive_Iron!W5</f>
        <v>6231.4078750000008</v>
      </c>
      <c r="E124" s="3">
        <f>Reductive_Iron!X5</f>
        <v>630.69978571428578</v>
      </c>
      <c r="F124" s="3">
        <f>Reductive_Iron!Y5</f>
        <v>37.962216850210403</v>
      </c>
      <c r="G124" s="3">
        <f>Reductive_Iron!Z5</f>
        <v>668.66200256449622</v>
      </c>
      <c r="H124" s="3">
        <f>Reductive_Iron!AA5</f>
        <v>0.10121304821733976</v>
      </c>
      <c r="I124" s="3">
        <f>Reductive_Iron!AB5</f>
        <v>6.092077041291475E-3</v>
      </c>
      <c r="J124" s="3">
        <f>Reductive_Iron!AC5</f>
        <v>0.94322659773605311</v>
      </c>
      <c r="K124" s="3">
        <f>Reductive_Iron!AD5</f>
        <v>0.10730512525863124</v>
      </c>
      <c r="L124" s="3">
        <f>Reductive_Iron!AE5</f>
        <v>5562.7458724355047</v>
      </c>
      <c r="M124" s="3">
        <f>Reductive_Iron!AF5</f>
        <v>0.89269487474136877</v>
      </c>
      <c r="N124" s="46" t="str">
        <f>Reductive_Iron!AG5</f>
        <v>Lower bound</v>
      </c>
    </row>
    <row r="125" spans="1:14" x14ac:dyDescent="0.2">
      <c r="A125" s="44">
        <v>124</v>
      </c>
      <c r="B125" s="13" t="s">
        <v>429</v>
      </c>
      <c r="C125" s="13" t="s">
        <v>441</v>
      </c>
      <c r="D125" s="3">
        <f>Reductive_Iron!W6</f>
        <v>6231.4078750000008</v>
      </c>
      <c r="E125" s="3">
        <f>Reductive_Iron!X6</f>
        <v>582.78214285714284</v>
      </c>
      <c r="F125" s="3">
        <f>Reductive_Iron!Y6</f>
        <v>50.675978153818605</v>
      </c>
      <c r="G125" s="3">
        <f>Reductive_Iron!Z6</f>
        <v>633.45812101096146</v>
      </c>
      <c r="H125" s="3">
        <f>Reductive_Iron!AA6</f>
        <v>9.3523350508835493E-2</v>
      </c>
      <c r="I125" s="3">
        <f>Reductive_Iron!AB6</f>
        <v>8.1323481258749417E-3</v>
      </c>
      <c r="J125" s="3">
        <f>Reductive_Iron!AC6</f>
        <v>0.92000106009700722</v>
      </c>
      <c r="K125" s="3">
        <f>Reductive_Iron!AD6</f>
        <v>0.10165569863471044</v>
      </c>
      <c r="L125" s="3">
        <f>Reductive_Iron!AE6</f>
        <v>5597.9497539890399</v>
      </c>
      <c r="M125" s="3">
        <f>Reductive_Iron!AF6</f>
        <v>0.89834430136528964</v>
      </c>
      <c r="N125" s="46" t="str">
        <f>Reductive_Iron!AG6</f>
        <v>Lower bound</v>
      </c>
    </row>
    <row r="126" spans="1:14" x14ac:dyDescent="0.2">
      <c r="A126" s="44">
        <v>125</v>
      </c>
      <c r="B126" s="13" t="s">
        <v>575</v>
      </c>
      <c r="C126" s="13" t="s">
        <v>453</v>
      </c>
      <c r="D126" s="3">
        <f>Reductive_Sulfate!Z2</f>
        <v>7643.3823529411766</v>
      </c>
      <c r="E126" s="3">
        <f>Reductive_Sulfate!AA2</f>
        <v>185.53921568627453</v>
      </c>
      <c r="F126" s="3">
        <f>Reductive_Sulfate!AB2</f>
        <v>978.43137254901967</v>
      </c>
      <c r="G126" s="3">
        <f>Reductive_Sulfate!AC2</f>
        <v>1163.9705882352941</v>
      </c>
      <c r="H126" s="3">
        <f>Reductive_Sulfate!AD2</f>
        <v>2.4274490941157609E-2</v>
      </c>
      <c r="I126" s="3">
        <f>Reductive_Sulfate!AE2</f>
        <v>0.12801026134359469</v>
      </c>
      <c r="J126" s="3">
        <f>Reductive_Sulfate!AF2</f>
        <v>0.15940197936407666</v>
      </c>
      <c r="K126" s="3">
        <f>Reductive_Sulfate!AG2</f>
        <v>0.15228475228475227</v>
      </c>
      <c r="L126" s="3">
        <f>Reductive_Sulfate!AH2</f>
        <v>6479.4117647058829</v>
      </c>
      <c r="M126" s="3">
        <f>Reductive_Sulfate!AI2</f>
        <v>0.84771524771524775</v>
      </c>
      <c r="N126" s="46" t="str">
        <f>Reductive_Sulfate!AJ2</f>
        <v>As calculated</v>
      </c>
    </row>
    <row r="127" spans="1:14" x14ac:dyDescent="0.2">
      <c r="A127" s="44">
        <v>126</v>
      </c>
      <c r="B127" s="13" t="s">
        <v>575</v>
      </c>
      <c r="C127" s="13" t="s">
        <v>458</v>
      </c>
      <c r="D127" s="3">
        <f>Reductive_Sulfate!Z3</f>
        <v>27977.976190476191</v>
      </c>
      <c r="E127" s="3">
        <f>Reductive_Sulfate!AA3</f>
        <v>13502.380952380952</v>
      </c>
      <c r="F127" s="3">
        <f>Reductive_Sulfate!AB3</f>
        <v>7583.9285714285716</v>
      </c>
      <c r="G127" s="3">
        <f>Reductive_Sulfate!AC3</f>
        <v>21086.309523809523</v>
      </c>
      <c r="H127" s="3">
        <f>Reductive_Sulfate!AD3</f>
        <v>0.4826074931387358</v>
      </c>
      <c r="I127" s="3">
        <f>Reductive_Sulfate!AE3</f>
        <v>0.27106780418271176</v>
      </c>
      <c r="J127" s="3">
        <f>Reductive_Sulfate!AF3</f>
        <v>0.64033874382498235</v>
      </c>
      <c r="K127" s="3">
        <f>Reductive_Sulfate!AG3</f>
        <v>0.75367529732144756</v>
      </c>
      <c r="L127" s="3">
        <f>Reductive_Sulfate!AH3</f>
        <v>6891.666666666667</v>
      </c>
      <c r="M127" s="3">
        <f>Reductive_Sulfate!AI3</f>
        <v>0.24632470267855244</v>
      </c>
      <c r="N127" s="46" t="str">
        <f>Reductive_Sulfate!AJ3</f>
        <v>As calculated</v>
      </c>
    </row>
    <row r="128" spans="1:14" x14ac:dyDescent="0.2">
      <c r="A128" s="44">
        <v>127</v>
      </c>
      <c r="B128" s="13" t="s">
        <v>591</v>
      </c>
      <c r="C128" s="13" t="s">
        <v>592</v>
      </c>
      <c r="D128" s="3">
        <f>Reductive_Sulfate!Z4</f>
        <v>200</v>
      </c>
      <c r="E128" s="3">
        <f>Reductive_Sulfate!AA4</f>
        <v>5.0255102040816331</v>
      </c>
      <c r="F128" s="3">
        <f>Reductive_Sulfate!AB4</f>
        <v>90.024999999999991</v>
      </c>
      <c r="G128" s="3">
        <f>Reductive_Sulfate!AC4</f>
        <v>95.050510204081618</v>
      </c>
      <c r="H128" s="3">
        <f>Reductive_Sulfate!AD4</f>
        <v>2.5127551020408166E-2</v>
      </c>
      <c r="I128" s="3">
        <f>Reductive_Sulfate!AE4</f>
        <v>0.45012499999999994</v>
      </c>
      <c r="J128" s="3">
        <f>Reductive_Sulfate!AF4</f>
        <v>5.2871996092303246E-2</v>
      </c>
      <c r="K128" s="3">
        <f>Reductive_Sulfate!AG4</f>
        <v>0.47525255102040809</v>
      </c>
      <c r="L128" s="3">
        <f>Reductive_Sulfate!AH4</f>
        <v>104.94948979591838</v>
      </c>
      <c r="M128" s="3">
        <f>Reductive_Sulfate!AI4</f>
        <v>0.52474744897959191</v>
      </c>
      <c r="N128" s="46" t="str">
        <f>Reductive_Sulfate!AJ4</f>
        <v>As calculated</v>
      </c>
    </row>
    <row r="129" spans="1:14" x14ac:dyDescent="0.2">
      <c r="A129" s="44">
        <v>128</v>
      </c>
      <c r="B129" s="13" t="s">
        <v>591</v>
      </c>
      <c r="C129" s="13" t="s">
        <v>593</v>
      </c>
      <c r="D129" s="3">
        <f>Reductive_Sulfate!Z5</f>
        <v>200</v>
      </c>
      <c r="E129" s="3">
        <f>Reductive_Sulfate!AA5</f>
        <v>20.395408163265309</v>
      </c>
      <c r="F129" s="3">
        <f>Reductive_Sulfate!AB5</f>
        <v>86.991666666666674</v>
      </c>
      <c r="G129" s="3">
        <f>Reductive_Sulfate!AC5</f>
        <v>107.38707482993198</v>
      </c>
      <c r="H129" s="3">
        <f>Reductive_Sulfate!AD5</f>
        <v>0.10197704081632654</v>
      </c>
      <c r="I129" s="3">
        <f>Reductive_Sulfate!AE5</f>
        <v>0.43495833333333339</v>
      </c>
      <c r="J129" s="3">
        <f>Reductive_Sulfate!AF5</f>
        <v>0.18992423618545665</v>
      </c>
      <c r="K129" s="3">
        <f>Reductive_Sulfate!AG5</f>
        <v>0.53693537414965986</v>
      </c>
      <c r="L129" s="3">
        <f>Reductive_Sulfate!AH5</f>
        <v>92.612925170068024</v>
      </c>
      <c r="M129" s="3">
        <f>Reductive_Sulfate!AI5</f>
        <v>0.46306462585034014</v>
      </c>
      <c r="N129" s="46" t="str">
        <f>Reductive_Sulfate!AJ5</f>
        <v>As calculated</v>
      </c>
    </row>
    <row r="130" spans="1:14" x14ac:dyDescent="0.2">
      <c r="A130" s="44">
        <v>129</v>
      </c>
      <c r="B130" s="13" t="s">
        <v>578</v>
      </c>
      <c r="C130" s="13" t="s">
        <v>579</v>
      </c>
      <c r="D130" s="3">
        <f>Reductive_Sulfate!Z6</f>
        <v>103.77500000000001</v>
      </c>
      <c r="E130" s="3">
        <f>Reductive_Sulfate!AA6</f>
        <v>77.416150000000016</v>
      </c>
      <c r="F130" s="3">
        <f>Reductive_Sulfate!AB6</f>
        <v>6.7416666666666671</v>
      </c>
      <c r="G130" s="3">
        <f>Reductive_Sulfate!AC6</f>
        <v>84.15781666666669</v>
      </c>
      <c r="H130" s="3">
        <f>Reductive_Sulfate!AD6</f>
        <v>0.74600000000000011</v>
      </c>
      <c r="I130" s="3">
        <f>Reductive_Sulfate!AE6</f>
        <v>6.4964265638801894E-2</v>
      </c>
      <c r="J130" s="3">
        <f>Reductive_Sulfate!AF6</f>
        <v>0.9198925669213931</v>
      </c>
      <c r="K130" s="3">
        <f>Reductive_Sulfate!AG6</f>
        <v>0.81096426563880208</v>
      </c>
      <c r="L130" s="3">
        <f>Reductive_Sulfate!AH6</f>
        <v>19.617183333333323</v>
      </c>
      <c r="M130" s="3">
        <f>Reductive_Sulfate!AI6</f>
        <v>0.189035734361198</v>
      </c>
      <c r="N130" s="46" t="str">
        <f>Reductive_Sulfate!AJ6</f>
        <v>As calculated</v>
      </c>
    </row>
    <row r="131" spans="1:14" x14ac:dyDescent="0.2">
      <c r="A131" s="44">
        <v>130</v>
      </c>
      <c r="B131" s="13" t="s">
        <v>578</v>
      </c>
      <c r="C131" s="13" t="s">
        <v>580</v>
      </c>
      <c r="D131" s="3">
        <f>Reductive_Sulfate!Z7</f>
        <v>116.075</v>
      </c>
      <c r="E131" s="3">
        <f>Reductive_Sulfate!AA7</f>
        <v>78.466699999999989</v>
      </c>
      <c r="F131" s="3">
        <f>Reductive_Sulfate!AB7</f>
        <v>13.766666666666666</v>
      </c>
      <c r="G131" s="3">
        <f>Reductive_Sulfate!AC7</f>
        <v>92.233366666666655</v>
      </c>
      <c r="H131" s="3">
        <f>Reductive_Sulfate!AD7</f>
        <v>0.67599999999999993</v>
      </c>
      <c r="I131" s="3">
        <f>Reductive_Sulfate!AE7</f>
        <v>0.11860147892885346</v>
      </c>
      <c r="J131" s="3">
        <f>Reductive_Sulfate!AF7</f>
        <v>0.85074092853598537</v>
      </c>
      <c r="K131" s="3">
        <f>Reductive_Sulfate!AG7</f>
        <v>0.79460147892885336</v>
      </c>
      <c r="L131" s="3">
        <f>Reductive_Sulfate!AH7</f>
        <v>23.841633333333348</v>
      </c>
      <c r="M131" s="3">
        <f>Reductive_Sulfate!AI7</f>
        <v>0.20539852107114664</v>
      </c>
      <c r="N131" s="46" t="str">
        <f>Reductive_Sulfate!AJ7</f>
        <v>As calculated</v>
      </c>
    </row>
    <row r="132" spans="1:14" x14ac:dyDescent="0.2">
      <c r="A132" s="44">
        <v>131</v>
      </c>
      <c r="B132" s="13" t="s">
        <v>578</v>
      </c>
      <c r="C132" s="13" t="s">
        <v>581</v>
      </c>
      <c r="D132" s="3">
        <f>Reductive_Sulfate!Z8</f>
        <v>131.47499999999999</v>
      </c>
      <c r="E132" s="3">
        <f>Reductive_Sulfate!AA8</f>
        <v>88.351200000000006</v>
      </c>
      <c r="F132" s="3">
        <f>Reductive_Sulfate!AB8</f>
        <v>22.944444444444439</v>
      </c>
      <c r="G132" s="3">
        <f>Reductive_Sulfate!AC8</f>
        <v>111.29564444444445</v>
      </c>
      <c r="H132" s="3">
        <f>Reductive_Sulfate!AD8</f>
        <v>0.67200000000000004</v>
      </c>
      <c r="I132" s="3">
        <f>Reductive_Sulfate!AE8</f>
        <v>0.17451564513743631</v>
      </c>
      <c r="J132" s="3">
        <f>Reductive_Sulfate!AF8</f>
        <v>0.79384238656439388</v>
      </c>
      <c r="K132" s="3">
        <f>Reductive_Sulfate!AG8</f>
        <v>0.84651564513743638</v>
      </c>
      <c r="L132" s="3">
        <f>Reductive_Sulfate!AH8</f>
        <v>20.179355555555549</v>
      </c>
      <c r="M132" s="3">
        <f>Reductive_Sulfate!AI8</f>
        <v>0.15348435486256359</v>
      </c>
      <c r="N132" s="46" t="str">
        <f>Reductive_Sulfate!AJ8</f>
        <v>As calculated</v>
      </c>
    </row>
    <row r="133" spans="1:14" x14ac:dyDescent="0.2">
      <c r="A133" s="44">
        <v>132</v>
      </c>
      <c r="B133" s="13" t="s">
        <v>470</v>
      </c>
      <c r="C133" s="13" t="s">
        <v>582</v>
      </c>
      <c r="D133" s="3">
        <f>Reductive_Sulfate!Z9</f>
        <v>122.03749999999999</v>
      </c>
      <c r="E133" s="3">
        <f>Reductive_Sulfate!AA9</f>
        <v>57.601699999999994</v>
      </c>
      <c r="F133" s="3">
        <f>Reductive_Sulfate!AB9</f>
        <v>34.416666666666664</v>
      </c>
      <c r="G133" s="3">
        <f>Reductive_Sulfate!AC9</f>
        <v>92.018366666666651</v>
      </c>
      <c r="H133" s="3">
        <f>Reductive_Sulfate!AD9</f>
        <v>0.47199999999999998</v>
      </c>
      <c r="I133" s="3">
        <f>Reductive_Sulfate!AE9</f>
        <v>0.28201713954044177</v>
      </c>
      <c r="J133" s="3">
        <f>Reductive_Sulfate!AF9</f>
        <v>0.62598046549402642</v>
      </c>
      <c r="K133" s="3">
        <f>Reductive_Sulfate!AG9</f>
        <v>0.75401713954044169</v>
      </c>
      <c r="L133" s="3">
        <f>Reductive_Sulfate!AH9</f>
        <v>30.019133333333336</v>
      </c>
      <c r="M133" s="3">
        <f>Reductive_Sulfate!AI9</f>
        <v>0.24598286045955822</v>
      </c>
      <c r="N133" s="46" t="str">
        <f>Reductive_Sulfate!AJ9</f>
        <v>As calculated</v>
      </c>
    </row>
    <row r="134" spans="1:14" x14ac:dyDescent="0.2">
      <c r="A134" s="44">
        <v>133</v>
      </c>
      <c r="B134" s="13" t="s">
        <v>470</v>
      </c>
      <c r="C134" s="13" t="s">
        <v>583</v>
      </c>
      <c r="D134" s="3">
        <f>Reductive_Sulfate!Z10</f>
        <v>114.96250000000001</v>
      </c>
      <c r="E134" s="3">
        <f>Reductive_Sulfate!AA10</f>
        <v>5.0583500000000008</v>
      </c>
      <c r="F134" s="3">
        <f>Reductive_Sulfate!AB10</f>
        <v>17.666666666666668</v>
      </c>
      <c r="G134" s="3">
        <f>Reductive_Sulfate!AC10</f>
        <v>22.725016666666669</v>
      </c>
      <c r="H134" s="3">
        <f>Reductive_Sulfate!AD10</f>
        <v>4.4000000000000004E-2</v>
      </c>
      <c r="I134" s="3">
        <f>Reductive_Sulfate!AE10</f>
        <v>0.15367329926425283</v>
      </c>
      <c r="J134" s="3">
        <f>Reductive_Sulfate!AF10</f>
        <v>0.22258949571727488</v>
      </c>
      <c r="K134" s="3">
        <f>Reductive_Sulfate!AG10</f>
        <v>0.19767329926425284</v>
      </c>
      <c r="L134" s="3">
        <f>Reductive_Sulfate!AH10</f>
        <v>92.23748333333333</v>
      </c>
      <c r="M134" s="3">
        <f>Reductive_Sulfate!AI10</f>
        <v>0.80232670073574708</v>
      </c>
      <c r="N134" s="46" t="str">
        <f>Reductive_Sulfate!AJ10</f>
        <v>As calculated</v>
      </c>
    </row>
    <row r="135" spans="1:14" x14ac:dyDescent="0.2">
      <c r="A135" s="44">
        <v>134</v>
      </c>
      <c r="B135" s="13" t="s">
        <v>470</v>
      </c>
      <c r="C135" s="13" t="s">
        <v>584</v>
      </c>
      <c r="D135" s="3">
        <f>Reductive_Sulfate!Z11</f>
        <v>123.97499999999999</v>
      </c>
      <c r="E135" s="3">
        <f>Reductive_Sulfate!AA11</f>
        <v>2.8514249999999999</v>
      </c>
      <c r="F135" s="3">
        <f>Reductive_Sulfate!AB11</f>
        <v>25</v>
      </c>
      <c r="G135" s="3">
        <f>Reductive_Sulfate!AC11</f>
        <v>27.851424999999999</v>
      </c>
      <c r="H135" s="3">
        <f>Reductive_Sulfate!AD11</f>
        <v>2.3E-2</v>
      </c>
      <c r="I135" s="3">
        <f>Reductive_Sulfate!AE11</f>
        <v>0.20165355918531963</v>
      </c>
      <c r="J135" s="3">
        <f>Reductive_Sulfate!AF11</f>
        <v>0.10237986027644905</v>
      </c>
      <c r="K135" s="3">
        <f>Reductive_Sulfate!AG11</f>
        <v>0.22465355918531962</v>
      </c>
      <c r="L135" s="3">
        <f>Reductive_Sulfate!AH11</f>
        <v>96.123574999999988</v>
      </c>
      <c r="M135" s="3">
        <f>Reductive_Sulfate!AI11</f>
        <v>0.77534644081468029</v>
      </c>
      <c r="N135" s="46" t="str">
        <f>Reductive_Sulfate!AJ11</f>
        <v>As calculated</v>
      </c>
    </row>
    <row r="137" spans="1:14" ht="17" thickBot="1" x14ac:dyDescent="0.25"/>
    <row r="138" spans="1:14" x14ac:dyDescent="0.2">
      <c r="A138" s="99" t="s">
        <v>586</v>
      </c>
      <c r="B138" s="100"/>
      <c r="C138" s="100"/>
      <c r="D138" s="101"/>
    </row>
    <row r="139" spans="1:14" x14ac:dyDescent="0.2">
      <c r="A139" s="102"/>
      <c r="B139" s="103"/>
      <c r="C139" s="103"/>
      <c r="D139" s="104"/>
    </row>
    <row r="140" spans="1:14" x14ac:dyDescent="0.2">
      <c r="A140" s="102"/>
      <c r="B140" s="103"/>
      <c r="C140" s="103"/>
      <c r="D140" s="104"/>
    </row>
    <row r="141" spans="1:14" ht="17" thickBot="1" x14ac:dyDescent="0.25">
      <c r="A141" s="105"/>
      <c r="B141" s="106"/>
      <c r="C141" s="106"/>
      <c r="D141" s="107"/>
    </row>
  </sheetData>
  <mergeCells count="2">
    <mergeCell ref="A138:D141"/>
    <mergeCell ref="P3:U1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VFA_Formation</vt:lpstr>
      <vt:lpstr>Chain_Elongation</vt:lpstr>
      <vt:lpstr>Biogas_Upgrading</vt:lpstr>
      <vt:lpstr>Reductive_Azodye</vt:lpstr>
      <vt:lpstr>Reductive_Denitrification</vt:lpstr>
      <vt:lpstr>Reductive_Iron</vt:lpstr>
      <vt:lpstr>Reductive_Sulfate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Trung Kien Nguyen</dc:creator>
  <cp:lastModifiedBy>Vu Trung Kien Nguyen</cp:lastModifiedBy>
  <dcterms:created xsi:type="dcterms:W3CDTF">2026-07-31T19:57:21Z</dcterms:created>
  <dcterms:modified xsi:type="dcterms:W3CDTF">2026-10-09T17:45:20Z</dcterms:modified>
</cp:coreProperties>
</file>