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omumaryland.sharepoint.com/sites/FitzpatrickLab/Shared Documents/RSV/RSV vaccine demand forecasting/RSV demand model/workbook/"/>
    </mc:Choice>
  </mc:AlternateContent>
  <xr:revisionPtr revIDLastSave="70" documentId="8_{2DAFB3B8-A41F-4BC7-8863-FF02FE8C8D4C}" xr6:coauthVersionLast="47" xr6:coauthVersionMax="47" xr10:uidLastSave="{857F7D13-3280-49AD-B0B5-C42783E3B67B}"/>
  <bookViews>
    <workbookView xWindow="6915" yWindow="405" windowWidth="21630" windowHeight="15075" tabRatio="500" xr2:uid="{00000000-000D-0000-FFFF-FFFF00000000}"/>
  </bookViews>
  <sheets>
    <sheet name="Notes" sheetId="5" r:id="rId1"/>
    <sheet name="Settings" sheetId="1" r:id="rId2"/>
    <sheet name="Demand" sheetId="2" r:id="rId3"/>
    <sheet name="Schedule" sheetId="3" r:id="rId4"/>
    <sheet name="Introductions" sheetId="4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17" i="2" l="1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3" i="2"/>
  <c r="D64" i="3"/>
  <c r="D65" i="3"/>
  <c r="E65" i="3"/>
  <c r="E66" i="3" s="1"/>
  <c r="E67" i="3" s="1"/>
  <c r="E68" i="3" s="1"/>
  <c r="E69" i="3" s="1"/>
  <c r="E70" i="3" s="1"/>
  <c r="E71" i="3" s="1"/>
  <c r="E72" i="3" s="1"/>
  <c r="E73" i="3" s="1"/>
  <c r="E74" i="3" s="1"/>
  <c r="E75" i="3" s="1"/>
  <c r="E76" i="3" s="1"/>
  <c r="E77" i="3" s="1"/>
  <c r="D66" i="3"/>
  <c r="D67" i="3"/>
  <c r="D68" i="3"/>
  <c r="D69" i="3"/>
  <c r="D70" i="3"/>
  <c r="D71" i="3"/>
  <c r="D72" i="3"/>
  <c r="D73" i="3"/>
  <c r="D74" i="3"/>
  <c r="D75" i="3"/>
  <c r="D76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P12" i="3"/>
  <c r="Q12" i="3"/>
  <c r="R12" i="3"/>
  <c r="K12" i="2" s="1"/>
  <c r="Q12" i="2" s="1"/>
  <c r="S12" i="3"/>
  <c r="T12" i="3"/>
  <c r="U12" i="3"/>
  <c r="P17" i="3"/>
  <c r="Q17" i="3"/>
  <c r="R17" i="3"/>
  <c r="S17" i="3"/>
  <c r="T17" i="3"/>
  <c r="U17" i="3"/>
  <c r="P38" i="3"/>
  <c r="Q38" i="3"/>
  <c r="R38" i="3"/>
  <c r="K38" i="2" s="1"/>
  <c r="S38" i="3"/>
  <c r="T38" i="3"/>
  <c r="U38" i="3"/>
  <c r="E9" i="3"/>
  <c r="E13" i="3"/>
  <c r="E15" i="3"/>
  <c r="E17" i="3"/>
  <c r="E21" i="3"/>
  <c r="E33" i="3"/>
  <c r="E37" i="3"/>
  <c r="E39" i="3"/>
  <c r="E41" i="3"/>
  <c r="E45" i="3"/>
  <c r="E57" i="3"/>
  <c r="C11" i="3"/>
  <c r="C13" i="3"/>
  <c r="C17" i="3"/>
  <c r="C37" i="3"/>
  <c r="C38" i="3"/>
  <c r="C41" i="3"/>
  <c r="A4" i="3"/>
  <c r="B4" i="3"/>
  <c r="E4" i="3" s="1"/>
  <c r="A5" i="3"/>
  <c r="B5" i="3"/>
  <c r="D5" i="3" s="1"/>
  <c r="A6" i="3"/>
  <c r="B6" i="3"/>
  <c r="D6" i="3" s="1"/>
  <c r="A7" i="3"/>
  <c r="B7" i="3"/>
  <c r="C7" i="3" s="1"/>
  <c r="A8" i="3"/>
  <c r="B8" i="3"/>
  <c r="D8" i="3" s="1"/>
  <c r="A9" i="3"/>
  <c r="B9" i="3"/>
  <c r="D9" i="3" s="1"/>
  <c r="A10" i="3"/>
  <c r="B10" i="3"/>
  <c r="D10" i="3" s="1"/>
  <c r="A11" i="3"/>
  <c r="B11" i="3"/>
  <c r="D11" i="3" s="1"/>
  <c r="A12" i="3"/>
  <c r="B12" i="3"/>
  <c r="D12" i="3" s="1"/>
  <c r="A13" i="3"/>
  <c r="B13" i="3"/>
  <c r="D13" i="3" s="1"/>
  <c r="A14" i="3"/>
  <c r="B14" i="3"/>
  <c r="D14" i="3" s="1"/>
  <c r="A15" i="3"/>
  <c r="B15" i="3"/>
  <c r="D15" i="3" s="1"/>
  <c r="A16" i="3"/>
  <c r="B16" i="3"/>
  <c r="D16" i="3" s="1"/>
  <c r="A17" i="3"/>
  <c r="B17" i="3"/>
  <c r="D17" i="3" s="1"/>
  <c r="A18" i="3"/>
  <c r="B18" i="3"/>
  <c r="D18" i="3" s="1"/>
  <c r="A19" i="3"/>
  <c r="B19" i="3"/>
  <c r="C19" i="3" s="1"/>
  <c r="A20" i="3"/>
  <c r="B20" i="3"/>
  <c r="D20" i="3" s="1"/>
  <c r="A21" i="3"/>
  <c r="B21" i="3"/>
  <c r="C21" i="3" s="1"/>
  <c r="A22" i="3"/>
  <c r="B22" i="3"/>
  <c r="C22" i="3" s="1"/>
  <c r="A23" i="3"/>
  <c r="B23" i="3"/>
  <c r="D23" i="3" s="1"/>
  <c r="A24" i="3"/>
  <c r="B24" i="3"/>
  <c r="D24" i="3" s="1"/>
  <c r="A25" i="3"/>
  <c r="B25" i="3"/>
  <c r="D25" i="3" s="1"/>
  <c r="A26" i="3"/>
  <c r="B26" i="3"/>
  <c r="D26" i="3" s="1"/>
  <c r="A27" i="3"/>
  <c r="B27" i="3"/>
  <c r="D27" i="3" s="1"/>
  <c r="A28" i="3"/>
  <c r="B28" i="3"/>
  <c r="D28" i="3" s="1"/>
  <c r="A29" i="3"/>
  <c r="B29" i="3"/>
  <c r="D29" i="3" s="1"/>
  <c r="A30" i="3"/>
  <c r="B30" i="3"/>
  <c r="D30" i="3" s="1"/>
  <c r="A31" i="3"/>
  <c r="B31" i="3"/>
  <c r="C31" i="3" s="1"/>
  <c r="A32" i="3"/>
  <c r="B32" i="3"/>
  <c r="D32" i="3" s="1"/>
  <c r="A33" i="3"/>
  <c r="B33" i="3"/>
  <c r="D33" i="3" s="1"/>
  <c r="A34" i="3"/>
  <c r="B34" i="3"/>
  <c r="C34" i="3" s="1"/>
  <c r="A35" i="3"/>
  <c r="B35" i="3"/>
  <c r="D35" i="3" s="1"/>
  <c r="A36" i="3"/>
  <c r="B36" i="3"/>
  <c r="D36" i="3" s="1"/>
  <c r="A37" i="3"/>
  <c r="B37" i="3"/>
  <c r="D37" i="3" s="1"/>
  <c r="A38" i="3"/>
  <c r="B38" i="3"/>
  <c r="D38" i="3" s="1"/>
  <c r="A39" i="3"/>
  <c r="B39" i="3"/>
  <c r="D39" i="3" s="1"/>
  <c r="A40" i="3"/>
  <c r="B40" i="3"/>
  <c r="D40" i="3" s="1"/>
  <c r="A41" i="3"/>
  <c r="B41" i="3"/>
  <c r="D41" i="3" s="1"/>
  <c r="A42" i="3"/>
  <c r="B42" i="3"/>
  <c r="D42" i="3" s="1"/>
  <c r="A43" i="3"/>
  <c r="B43" i="3"/>
  <c r="C43" i="3" s="1"/>
  <c r="A44" i="3"/>
  <c r="B44" i="3"/>
  <c r="D44" i="3" s="1"/>
  <c r="A45" i="3"/>
  <c r="B45" i="3"/>
  <c r="D45" i="3" s="1"/>
  <c r="A46" i="3"/>
  <c r="B46" i="3"/>
  <c r="C46" i="3" s="1"/>
  <c r="A47" i="3"/>
  <c r="B47" i="3"/>
  <c r="D47" i="3" s="1"/>
  <c r="A48" i="3"/>
  <c r="B48" i="3"/>
  <c r="D48" i="3" s="1"/>
  <c r="A49" i="3"/>
  <c r="B49" i="3"/>
  <c r="D49" i="3" s="1"/>
  <c r="A50" i="3"/>
  <c r="B50" i="3"/>
  <c r="D50" i="3" s="1"/>
  <c r="A51" i="3"/>
  <c r="B51" i="3"/>
  <c r="D51" i="3" s="1"/>
  <c r="A52" i="3"/>
  <c r="B52" i="3"/>
  <c r="D52" i="3" s="1"/>
  <c r="A53" i="3"/>
  <c r="B53" i="3"/>
  <c r="D53" i="3" s="1"/>
  <c r="A54" i="3"/>
  <c r="B54" i="3"/>
  <c r="D54" i="3" s="1"/>
  <c r="A55" i="3"/>
  <c r="B55" i="3"/>
  <c r="C55" i="3" s="1"/>
  <c r="A56" i="3"/>
  <c r="B56" i="3"/>
  <c r="D56" i="3" s="1"/>
  <c r="A57" i="3"/>
  <c r="B57" i="3"/>
  <c r="D57" i="3" s="1"/>
  <c r="A58" i="3"/>
  <c r="B58" i="3"/>
  <c r="C58" i="3" s="1"/>
  <c r="C36" i="3" l="1"/>
  <c r="C5" i="3"/>
  <c r="E35" i="3"/>
  <c r="E11" i="3"/>
  <c r="C35" i="3"/>
  <c r="C29" i="3"/>
  <c r="E55" i="3"/>
  <c r="E31" i="3"/>
  <c r="E7" i="3"/>
  <c r="C26" i="3"/>
  <c r="E53" i="3"/>
  <c r="E29" i="3"/>
  <c r="E5" i="3"/>
  <c r="C53" i="3"/>
  <c r="C25" i="3"/>
  <c r="E51" i="3"/>
  <c r="E27" i="3"/>
  <c r="C50" i="3"/>
  <c r="C24" i="3"/>
  <c r="E49" i="3"/>
  <c r="E25" i="3"/>
  <c r="C49" i="3"/>
  <c r="C23" i="3"/>
  <c r="E47" i="3"/>
  <c r="E23" i="3"/>
  <c r="C48" i="3"/>
  <c r="C47" i="3"/>
  <c r="C14" i="3"/>
  <c r="E43" i="3"/>
  <c r="E19" i="3"/>
  <c r="C12" i="3"/>
  <c r="C56" i="3"/>
  <c r="C44" i="3"/>
  <c r="C32" i="3"/>
  <c r="C20" i="3"/>
  <c r="C8" i="3"/>
  <c r="D55" i="3"/>
  <c r="D43" i="3"/>
  <c r="D31" i="3"/>
  <c r="D19" i="3"/>
  <c r="D7" i="3"/>
  <c r="D34" i="3"/>
  <c r="C45" i="3"/>
  <c r="E54" i="3"/>
  <c r="E48" i="3"/>
  <c r="E42" i="3"/>
  <c r="E36" i="3"/>
  <c r="E30" i="3"/>
  <c r="E24" i="3"/>
  <c r="E18" i="3"/>
  <c r="E12" i="3"/>
  <c r="E6" i="3"/>
  <c r="D46" i="3"/>
  <c r="D22" i="3"/>
  <c r="D4" i="3"/>
  <c r="C9" i="3"/>
  <c r="C54" i="3"/>
  <c r="C42" i="3"/>
  <c r="C30" i="3"/>
  <c r="C18" i="3"/>
  <c r="C6" i="3"/>
  <c r="C52" i="3"/>
  <c r="C40" i="3"/>
  <c r="C28" i="3"/>
  <c r="C16" i="3"/>
  <c r="C4" i="3"/>
  <c r="C57" i="3"/>
  <c r="C33" i="3"/>
  <c r="C51" i="3"/>
  <c r="C39" i="3"/>
  <c r="C27" i="3"/>
  <c r="C15" i="3"/>
  <c r="E58" i="3"/>
  <c r="E52" i="3"/>
  <c r="E46" i="3"/>
  <c r="E40" i="3"/>
  <c r="E34" i="3"/>
  <c r="E28" i="3"/>
  <c r="E22" i="3"/>
  <c r="E16" i="3"/>
  <c r="E10" i="3"/>
  <c r="D21" i="3"/>
  <c r="E56" i="3"/>
  <c r="E50" i="3"/>
  <c r="E44" i="3"/>
  <c r="E38" i="3"/>
  <c r="E32" i="3"/>
  <c r="E26" i="3"/>
  <c r="E20" i="3"/>
  <c r="E14" i="3"/>
  <c r="E8" i="3"/>
  <c r="D58" i="3"/>
  <c r="C10" i="3"/>
  <c r="O12" i="2"/>
  <c r="O17" i="2"/>
  <c r="Q17" i="2"/>
  <c r="O38" i="2"/>
  <c r="P12" i="2"/>
  <c r="S38" i="2"/>
  <c r="R38" i="2"/>
  <c r="P17" i="2"/>
  <c r="V38" i="2"/>
  <c r="U38" i="2"/>
  <c r="T38" i="2"/>
  <c r="Q38" i="2"/>
  <c r="W17" i="2"/>
  <c r="P38" i="2"/>
  <c r="V17" i="2"/>
  <c r="U17" i="2"/>
  <c r="S17" i="2"/>
  <c r="S12" i="2"/>
  <c r="U12" i="2"/>
  <c r="T12" i="2"/>
  <c r="V12" i="2"/>
  <c r="W12" i="2"/>
  <c r="X12" i="2"/>
  <c r="R12" i="2"/>
  <c r="T17" i="2"/>
  <c r="R17" i="2"/>
  <c r="B3" i="3"/>
  <c r="A3" i="3"/>
  <c r="N58" i="2"/>
  <c r="I58" i="2"/>
  <c r="J58" i="2" s="1"/>
  <c r="N57" i="2"/>
  <c r="I57" i="2"/>
  <c r="J57" i="2" s="1"/>
  <c r="N56" i="2"/>
  <c r="I56" i="2"/>
  <c r="J56" i="2" s="1"/>
  <c r="N55" i="2"/>
  <c r="I55" i="2"/>
  <c r="J55" i="2" s="1"/>
  <c r="N54" i="2"/>
  <c r="I54" i="2"/>
  <c r="J54" i="2" s="1"/>
  <c r="N53" i="2"/>
  <c r="I53" i="2"/>
  <c r="J53" i="2" s="1"/>
  <c r="N52" i="2"/>
  <c r="I52" i="2"/>
  <c r="J52" i="2" s="1"/>
  <c r="N51" i="2"/>
  <c r="I51" i="2"/>
  <c r="J51" i="2" s="1"/>
  <c r="N50" i="2"/>
  <c r="I50" i="2"/>
  <c r="J50" i="2" s="1"/>
  <c r="N49" i="2"/>
  <c r="I49" i="2"/>
  <c r="J49" i="2" s="1"/>
  <c r="N48" i="2"/>
  <c r="I48" i="2"/>
  <c r="J48" i="2" s="1"/>
  <c r="N47" i="2"/>
  <c r="I47" i="2"/>
  <c r="J47" i="2" s="1"/>
  <c r="N46" i="2"/>
  <c r="I46" i="2"/>
  <c r="J46" i="2" s="1"/>
  <c r="N45" i="2"/>
  <c r="I45" i="2"/>
  <c r="J45" i="2" s="1"/>
  <c r="N44" i="2"/>
  <c r="I44" i="2"/>
  <c r="J44" i="2" s="1"/>
  <c r="N43" i="2"/>
  <c r="I43" i="2"/>
  <c r="J43" i="2" s="1"/>
  <c r="N42" i="2"/>
  <c r="I42" i="2"/>
  <c r="J42" i="2" s="1"/>
  <c r="N41" i="2"/>
  <c r="I41" i="2"/>
  <c r="J41" i="2" s="1"/>
  <c r="N40" i="2"/>
  <c r="I40" i="2"/>
  <c r="J40" i="2" s="1"/>
  <c r="N39" i="2"/>
  <c r="I39" i="2"/>
  <c r="J39" i="2" s="1"/>
  <c r="N38" i="2"/>
  <c r="I38" i="2"/>
  <c r="J38" i="2" s="1"/>
  <c r="X38" i="2" s="1"/>
  <c r="BB38" i="2" s="1"/>
  <c r="N37" i="2"/>
  <c r="I37" i="2"/>
  <c r="J37" i="2" s="1"/>
  <c r="N36" i="2"/>
  <c r="I36" i="2"/>
  <c r="J36" i="2" s="1"/>
  <c r="N35" i="2"/>
  <c r="I35" i="2"/>
  <c r="J35" i="2" s="1"/>
  <c r="N34" i="2"/>
  <c r="I34" i="2"/>
  <c r="J34" i="2" s="1"/>
  <c r="N33" i="2"/>
  <c r="I33" i="2"/>
  <c r="J33" i="2" s="1"/>
  <c r="N32" i="2"/>
  <c r="I32" i="2"/>
  <c r="J32" i="2" s="1"/>
  <c r="N31" i="2"/>
  <c r="I31" i="2"/>
  <c r="J31" i="2" s="1"/>
  <c r="N30" i="2"/>
  <c r="I30" i="2"/>
  <c r="J30" i="2" s="1"/>
  <c r="N29" i="2"/>
  <c r="I29" i="2"/>
  <c r="J29" i="2" s="1"/>
  <c r="N28" i="2"/>
  <c r="I28" i="2"/>
  <c r="J28" i="2" s="1"/>
  <c r="N27" i="2"/>
  <c r="I27" i="2"/>
  <c r="J27" i="2" s="1"/>
  <c r="N26" i="2"/>
  <c r="I26" i="2"/>
  <c r="J26" i="2" s="1"/>
  <c r="N25" i="2"/>
  <c r="I25" i="2"/>
  <c r="J25" i="2" s="1"/>
  <c r="N24" i="2"/>
  <c r="I24" i="2"/>
  <c r="J24" i="2" s="1"/>
  <c r="N23" i="2"/>
  <c r="I23" i="2"/>
  <c r="J23" i="2" s="1"/>
  <c r="N22" i="2"/>
  <c r="I22" i="2"/>
  <c r="J22" i="2" s="1"/>
  <c r="N21" i="2"/>
  <c r="I21" i="2"/>
  <c r="J21" i="2" s="1"/>
  <c r="N20" i="2"/>
  <c r="I20" i="2"/>
  <c r="J20" i="2" s="1"/>
  <c r="N19" i="2"/>
  <c r="I19" i="2"/>
  <c r="J19" i="2" s="1"/>
  <c r="N18" i="2"/>
  <c r="I18" i="2"/>
  <c r="J18" i="2" s="1"/>
  <c r="N17" i="2"/>
  <c r="I17" i="2"/>
  <c r="J17" i="2" s="1"/>
  <c r="X17" i="2" s="1"/>
  <c r="N16" i="2"/>
  <c r="I16" i="2"/>
  <c r="J16" i="2" s="1"/>
  <c r="N15" i="2"/>
  <c r="I15" i="2"/>
  <c r="J15" i="2" s="1"/>
  <c r="N14" i="2"/>
  <c r="I14" i="2"/>
  <c r="J14" i="2" s="1"/>
  <c r="N13" i="2"/>
  <c r="I13" i="2"/>
  <c r="J13" i="2" s="1"/>
  <c r="N12" i="2"/>
  <c r="I12" i="2"/>
  <c r="J12" i="2" s="1"/>
  <c r="N11" i="2"/>
  <c r="I11" i="2"/>
  <c r="J11" i="2" s="1"/>
  <c r="N10" i="2"/>
  <c r="I10" i="2"/>
  <c r="J10" i="2" s="1"/>
  <c r="N9" i="2"/>
  <c r="I9" i="2"/>
  <c r="J9" i="2" s="1"/>
  <c r="N8" i="2"/>
  <c r="I8" i="2"/>
  <c r="J8" i="2" s="1"/>
  <c r="N7" i="2"/>
  <c r="I7" i="2"/>
  <c r="J7" i="2" s="1"/>
  <c r="N6" i="2"/>
  <c r="I6" i="2"/>
  <c r="J6" i="2" s="1"/>
  <c r="N5" i="2"/>
  <c r="I5" i="2"/>
  <c r="J5" i="2" s="1"/>
  <c r="N4" i="2"/>
  <c r="I4" i="2"/>
  <c r="J4" i="2" s="1"/>
  <c r="N3" i="2"/>
  <c r="I3" i="2"/>
  <c r="J3" i="2" s="1"/>
  <c r="E3" i="3" l="1"/>
  <c r="D3" i="3"/>
  <c r="C3" i="3"/>
  <c r="AU38" i="2"/>
  <c r="W38" i="2"/>
  <c r="AU12" i="2"/>
  <c r="AZ38" i="2"/>
  <c r="AS38" i="2"/>
  <c r="AI38" i="2" s="1"/>
  <c r="AT12" i="2"/>
  <c r="AX12" i="2"/>
  <c r="AS12" i="2"/>
  <c r="AI12" i="2" s="1"/>
  <c r="AW12" i="2"/>
  <c r="BA38" i="2"/>
  <c r="AQ38" i="2" s="1"/>
  <c r="AY12" i="2"/>
  <c r="BA12" i="2"/>
  <c r="BB12" i="2"/>
  <c r="AT38" i="2"/>
  <c r="BB17" i="2"/>
  <c r="AZ17" i="2"/>
  <c r="AV17" i="2"/>
  <c r="AW17" i="2"/>
  <c r="AY17" i="2"/>
  <c r="AX38" i="2"/>
  <c r="AU17" i="2"/>
  <c r="AT17" i="2"/>
  <c r="BA17" i="2"/>
  <c r="AS17" i="2"/>
  <c r="AI17" i="2" s="1"/>
  <c r="AZ12" i="2"/>
  <c r="AW38" i="2"/>
  <c r="AV38" i="2"/>
  <c r="AY38" i="2"/>
  <c r="AV12" i="2"/>
  <c r="AL12" i="2" s="1"/>
  <c r="AX17" i="2"/>
  <c r="AJ12" i="2" l="1"/>
  <c r="C60" i="3"/>
  <c r="D60" i="3"/>
  <c r="J3" i="3" s="1"/>
  <c r="N3" i="3" s="1"/>
  <c r="E60" i="3"/>
  <c r="K3" i="3" s="1"/>
  <c r="O3" i="3" s="1"/>
  <c r="AL38" i="2"/>
  <c r="AO38" i="2"/>
  <c r="AN17" i="2"/>
  <c r="AN38" i="2"/>
  <c r="AL17" i="2"/>
  <c r="AJ38" i="2"/>
  <c r="AJ17" i="2"/>
  <c r="AP17" i="2"/>
  <c r="AR12" i="2"/>
  <c r="AM38" i="2"/>
  <c r="AO12" i="2"/>
  <c r="AK12" i="2"/>
  <c r="AQ17" i="2"/>
  <c r="AP12" i="2"/>
  <c r="AO17" i="2"/>
  <c r="AQ12" i="2"/>
  <c r="AN12" i="2"/>
  <c r="AM17" i="2"/>
  <c r="AM12" i="2"/>
  <c r="AR17" i="2"/>
  <c r="AP38" i="2"/>
  <c r="AR38" i="2"/>
  <c r="AK17" i="2"/>
  <c r="AK38" i="2"/>
  <c r="K7" i="3" l="1"/>
  <c r="O7" i="3" s="1"/>
  <c r="K53" i="3"/>
  <c r="O53" i="3" s="1"/>
  <c r="K23" i="3"/>
  <c r="O23" i="3" s="1"/>
  <c r="K37" i="3"/>
  <c r="O37" i="3" s="1"/>
  <c r="K11" i="3"/>
  <c r="O11" i="3" s="1"/>
  <c r="K13" i="3"/>
  <c r="O13" i="3" s="1"/>
  <c r="K47" i="3"/>
  <c r="O47" i="3" s="1"/>
  <c r="K33" i="3"/>
  <c r="O33" i="3" s="1"/>
  <c r="K49" i="3"/>
  <c r="O49" i="3" s="1"/>
  <c r="K35" i="3"/>
  <c r="O35" i="3" s="1"/>
  <c r="K19" i="3"/>
  <c r="O19" i="3" s="1"/>
  <c r="K25" i="3"/>
  <c r="O25" i="3" s="1"/>
  <c r="K27" i="3"/>
  <c r="O27" i="3" s="1"/>
  <c r="K39" i="3"/>
  <c r="O39" i="3" s="1"/>
  <c r="K41" i="3"/>
  <c r="O41" i="3" s="1"/>
  <c r="K45" i="3"/>
  <c r="O45" i="3" s="1"/>
  <c r="K56" i="3"/>
  <c r="O56" i="3" s="1"/>
  <c r="K42" i="3"/>
  <c r="O42" i="3" s="1"/>
  <c r="K43" i="3"/>
  <c r="O43" i="3" s="1"/>
  <c r="K30" i="3"/>
  <c r="O30" i="3" s="1"/>
  <c r="K14" i="3"/>
  <c r="O14" i="3" s="1"/>
  <c r="K15" i="3"/>
  <c r="O15" i="3" s="1"/>
  <c r="K5" i="3"/>
  <c r="O5" i="3" s="1"/>
  <c r="K57" i="3"/>
  <c r="O57" i="3" s="1"/>
  <c r="K21" i="3"/>
  <c r="O21" i="3" s="1"/>
  <c r="K29" i="3"/>
  <c r="O29" i="3" s="1"/>
  <c r="K16" i="3"/>
  <c r="O16" i="3" s="1"/>
  <c r="K55" i="3"/>
  <c r="O55" i="3" s="1"/>
  <c r="K44" i="3"/>
  <c r="O44" i="3" s="1"/>
  <c r="K8" i="3"/>
  <c r="O8" i="3" s="1"/>
  <c r="K31" i="3"/>
  <c r="O31" i="3" s="1"/>
  <c r="K12" i="3"/>
  <c r="O12" i="3" s="1"/>
  <c r="K18" i="3"/>
  <c r="O18" i="3" s="1"/>
  <c r="K51" i="3"/>
  <c r="O51" i="3" s="1"/>
  <c r="K9" i="3"/>
  <c r="O9" i="3" s="1"/>
  <c r="K38" i="3"/>
  <c r="O38" i="3" s="1"/>
  <c r="K48" i="3"/>
  <c r="O48" i="3" s="1"/>
  <c r="K26" i="3"/>
  <c r="O26" i="3" s="1"/>
  <c r="K17" i="3"/>
  <c r="O17" i="3" s="1"/>
  <c r="K4" i="3"/>
  <c r="O4" i="3" s="1"/>
  <c r="K28" i="3"/>
  <c r="O28" i="3" s="1"/>
  <c r="K10" i="3"/>
  <c r="O10" i="3" s="1"/>
  <c r="K52" i="3"/>
  <c r="O52" i="3" s="1"/>
  <c r="K40" i="3"/>
  <c r="O40" i="3" s="1"/>
  <c r="K6" i="3"/>
  <c r="O6" i="3" s="1"/>
  <c r="K36" i="3"/>
  <c r="O36" i="3" s="1"/>
  <c r="K20" i="3"/>
  <c r="O20" i="3" s="1"/>
  <c r="K34" i="3"/>
  <c r="O34" i="3" s="1"/>
  <c r="K22" i="3"/>
  <c r="O22" i="3" s="1"/>
  <c r="K58" i="3"/>
  <c r="O58" i="3" s="1"/>
  <c r="K24" i="3"/>
  <c r="K32" i="3"/>
  <c r="O32" i="3" s="1"/>
  <c r="K46" i="3"/>
  <c r="O46" i="3" s="1"/>
  <c r="K50" i="3"/>
  <c r="O50" i="3" s="1"/>
  <c r="K54" i="3"/>
  <c r="O54" i="3" s="1"/>
  <c r="J42" i="3"/>
  <c r="N42" i="3" s="1"/>
  <c r="J38" i="3"/>
  <c r="N38" i="3" s="1"/>
  <c r="J49" i="3"/>
  <c r="N49" i="3" s="1"/>
  <c r="J53" i="3"/>
  <c r="N53" i="3" s="1"/>
  <c r="J57" i="3"/>
  <c r="N57" i="3" s="1"/>
  <c r="J32" i="3"/>
  <c r="N32" i="3" s="1"/>
  <c r="J47" i="3"/>
  <c r="N47" i="3" s="1"/>
  <c r="J40" i="3"/>
  <c r="N40" i="3" s="1"/>
  <c r="J15" i="3"/>
  <c r="N15" i="3" s="1"/>
  <c r="J20" i="3"/>
  <c r="N20" i="3" s="1"/>
  <c r="J41" i="3"/>
  <c r="N41" i="3" s="1"/>
  <c r="J9" i="3"/>
  <c r="N9" i="3" s="1"/>
  <c r="J35" i="3"/>
  <c r="N35" i="3" s="1"/>
  <c r="J28" i="3"/>
  <c r="N28" i="3" s="1"/>
  <c r="J25" i="3"/>
  <c r="N25" i="3" s="1"/>
  <c r="J29" i="3"/>
  <c r="N29" i="3" s="1"/>
  <c r="J14" i="3"/>
  <c r="N14" i="3" s="1"/>
  <c r="J5" i="3"/>
  <c r="N5" i="3" s="1"/>
  <c r="J48" i="3"/>
  <c r="N48" i="3" s="1"/>
  <c r="J23" i="3"/>
  <c r="N23" i="3" s="1"/>
  <c r="J16" i="3"/>
  <c r="N16" i="3" s="1"/>
  <c r="J56" i="3"/>
  <c r="N56" i="3" s="1"/>
  <c r="J6" i="3"/>
  <c r="N6" i="3" s="1"/>
  <c r="J36" i="3"/>
  <c r="N36" i="3" s="1"/>
  <c r="J17" i="3"/>
  <c r="N17" i="3" s="1"/>
  <c r="J10" i="3"/>
  <c r="N10" i="3" s="1"/>
  <c r="J44" i="3"/>
  <c r="N44" i="3" s="1"/>
  <c r="J24" i="3"/>
  <c r="N24" i="3" s="1"/>
  <c r="J11" i="3"/>
  <c r="N11" i="3" s="1"/>
  <c r="J51" i="3"/>
  <c r="N51" i="3" s="1"/>
  <c r="J8" i="3"/>
  <c r="N8" i="3" s="1"/>
  <c r="J12" i="3"/>
  <c r="N12" i="3" s="1"/>
  <c r="J45" i="3"/>
  <c r="N45" i="3" s="1"/>
  <c r="J18" i="3"/>
  <c r="N18" i="3" s="1"/>
  <c r="J37" i="3"/>
  <c r="N37" i="3" s="1"/>
  <c r="J58" i="3"/>
  <c r="N58" i="3" s="1"/>
  <c r="J50" i="3"/>
  <c r="N50" i="3" s="1"/>
  <c r="J13" i="3"/>
  <c r="N13" i="3" s="1"/>
  <c r="J34" i="3"/>
  <c r="N34" i="3" s="1"/>
  <c r="J26" i="3"/>
  <c r="N26" i="3" s="1"/>
  <c r="J52" i="3"/>
  <c r="N52" i="3" s="1"/>
  <c r="J39" i="3"/>
  <c r="N39" i="3" s="1"/>
  <c r="J54" i="3"/>
  <c r="N54" i="3" s="1"/>
  <c r="J33" i="3"/>
  <c r="N33" i="3" s="1"/>
  <c r="J46" i="3"/>
  <c r="N46" i="3" s="1"/>
  <c r="J27" i="3"/>
  <c r="N27" i="3" s="1"/>
  <c r="J30" i="3"/>
  <c r="N30" i="3" s="1"/>
  <c r="J22" i="3"/>
  <c r="N22" i="3" s="1"/>
  <c r="J31" i="3"/>
  <c r="N31" i="3" s="1"/>
  <c r="J55" i="3"/>
  <c r="N55" i="3" s="1"/>
  <c r="J43" i="3"/>
  <c r="N43" i="3" s="1"/>
  <c r="J21" i="3"/>
  <c r="N21" i="3" s="1"/>
  <c r="J7" i="3"/>
  <c r="N7" i="3" s="1"/>
  <c r="J19" i="3"/>
  <c r="N19" i="3" s="1"/>
  <c r="J4" i="3"/>
  <c r="N4" i="3" s="1"/>
  <c r="I49" i="3"/>
  <c r="I11" i="3"/>
  <c r="I5" i="3"/>
  <c r="I29" i="3"/>
  <c r="I25" i="3"/>
  <c r="I55" i="3"/>
  <c r="I48" i="3"/>
  <c r="I26" i="3"/>
  <c r="I50" i="3"/>
  <c r="I43" i="3"/>
  <c r="I35" i="3"/>
  <c r="I24" i="3"/>
  <c r="M24" i="3" s="1"/>
  <c r="I31" i="3"/>
  <c r="I19" i="3"/>
  <c r="I34" i="3"/>
  <c r="I7" i="3"/>
  <c r="I23" i="3"/>
  <c r="I53" i="3"/>
  <c r="I47" i="3"/>
  <c r="I22" i="3"/>
  <c r="I14" i="3"/>
  <c r="I41" i="3"/>
  <c r="I13" i="3"/>
  <c r="I17" i="3"/>
  <c r="I38" i="3"/>
  <c r="I12" i="3"/>
  <c r="I37" i="3"/>
  <c r="I36" i="3"/>
  <c r="I58" i="3"/>
  <c r="I46" i="3"/>
  <c r="I21" i="3"/>
  <c r="I56" i="3"/>
  <c r="I40" i="3"/>
  <c r="I8" i="3"/>
  <c r="I4" i="3"/>
  <c r="I27" i="3"/>
  <c r="I51" i="3"/>
  <c r="I52" i="3"/>
  <c r="I30" i="3"/>
  <c r="I54" i="3"/>
  <c r="I28" i="3"/>
  <c r="I16" i="3"/>
  <c r="I44" i="3"/>
  <c r="I20" i="3"/>
  <c r="I6" i="3"/>
  <c r="I39" i="3"/>
  <c r="I33" i="3"/>
  <c r="I15" i="3"/>
  <c r="I18" i="3"/>
  <c r="I42" i="3"/>
  <c r="I10" i="3"/>
  <c r="I9" i="3"/>
  <c r="I57" i="3"/>
  <c r="I32" i="3"/>
  <c r="I45" i="3"/>
  <c r="I3" i="3"/>
  <c r="M14" i="3" l="1"/>
  <c r="L14" i="3"/>
  <c r="M3" i="3"/>
  <c r="L3" i="3"/>
  <c r="M56" i="3"/>
  <c r="L56" i="3"/>
  <c r="M22" i="3"/>
  <c r="L22" i="3"/>
  <c r="M45" i="3"/>
  <c r="L45" i="3"/>
  <c r="M44" i="3"/>
  <c r="L44" i="3"/>
  <c r="M21" i="3"/>
  <c r="L21" i="3"/>
  <c r="M47" i="3"/>
  <c r="L47" i="3"/>
  <c r="M48" i="3"/>
  <c r="L48" i="3"/>
  <c r="M39" i="3"/>
  <c r="L39" i="3"/>
  <c r="M43" i="3"/>
  <c r="L43" i="3"/>
  <c r="M6" i="3"/>
  <c r="L6" i="3"/>
  <c r="M40" i="3"/>
  <c r="L40" i="3"/>
  <c r="M50" i="3"/>
  <c r="L50" i="3"/>
  <c r="M20" i="3"/>
  <c r="L20" i="3"/>
  <c r="M26" i="3"/>
  <c r="L26" i="3"/>
  <c r="M32" i="3"/>
  <c r="L32" i="3"/>
  <c r="M16" i="3"/>
  <c r="L16" i="3"/>
  <c r="M46" i="3"/>
  <c r="L46" i="3"/>
  <c r="M53" i="3"/>
  <c r="L53" i="3"/>
  <c r="M55" i="3"/>
  <c r="L55" i="3"/>
  <c r="M57" i="3"/>
  <c r="L57" i="3"/>
  <c r="M28" i="3"/>
  <c r="L28" i="3"/>
  <c r="M58" i="3"/>
  <c r="L58" i="3"/>
  <c r="M23" i="3"/>
  <c r="L23" i="3"/>
  <c r="M25" i="3"/>
  <c r="L25" i="3"/>
  <c r="M9" i="3"/>
  <c r="L9" i="3"/>
  <c r="M54" i="3"/>
  <c r="L54" i="3"/>
  <c r="M36" i="3"/>
  <c r="L36" i="3"/>
  <c r="M7" i="3"/>
  <c r="L7" i="3"/>
  <c r="M29" i="3"/>
  <c r="L29" i="3"/>
  <c r="M10" i="3"/>
  <c r="L10" i="3"/>
  <c r="M30" i="3"/>
  <c r="L30" i="3"/>
  <c r="M37" i="3"/>
  <c r="L37" i="3"/>
  <c r="M34" i="3"/>
  <c r="L34" i="3"/>
  <c r="M5" i="3"/>
  <c r="L5" i="3"/>
  <c r="M42" i="3"/>
  <c r="L42" i="3"/>
  <c r="M52" i="3"/>
  <c r="L52" i="3"/>
  <c r="M12" i="3"/>
  <c r="L12" i="3"/>
  <c r="M19" i="3"/>
  <c r="L19" i="3"/>
  <c r="M11" i="3"/>
  <c r="L11" i="3"/>
  <c r="M8" i="3"/>
  <c r="L8" i="3"/>
  <c r="M51" i="3"/>
  <c r="L51" i="3"/>
  <c r="M49" i="3"/>
  <c r="L49" i="3"/>
  <c r="M18" i="3"/>
  <c r="L18" i="3"/>
  <c r="M38" i="3"/>
  <c r="L38" i="3"/>
  <c r="M31" i="3"/>
  <c r="L31" i="3"/>
  <c r="L24" i="3"/>
  <c r="O24" i="3"/>
  <c r="M15" i="3"/>
  <c r="L15" i="3"/>
  <c r="M27" i="3"/>
  <c r="L27" i="3"/>
  <c r="M17" i="3"/>
  <c r="L17" i="3"/>
  <c r="M41" i="3"/>
  <c r="L41" i="3"/>
  <c r="M33" i="3"/>
  <c r="L33" i="3"/>
  <c r="M4" i="3"/>
  <c r="L4" i="3"/>
  <c r="M13" i="3"/>
  <c r="L13" i="3"/>
  <c r="M35" i="3"/>
  <c r="L35" i="3"/>
  <c r="P4" i="3" l="1"/>
  <c r="S4" i="3"/>
  <c r="S5" i="3"/>
  <c r="P5" i="3"/>
  <c r="S7" i="3"/>
  <c r="P7" i="3"/>
  <c r="P6" i="3"/>
  <c r="S6" i="3"/>
  <c r="P24" i="3"/>
  <c r="S24" i="3"/>
  <c r="S33" i="3"/>
  <c r="P33" i="3"/>
  <c r="Q33" i="3" s="1"/>
  <c r="R33" i="3" s="1"/>
  <c r="K33" i="2" s="1"/>
  <c r="P34" i="3"/>
  <c r="S34" i="3"/>
  <c r="P36" i="3"/>
  <c r="S36" i="3"/>
  <c r="S43" i="3"/>
  <c r="P43" i="3"/>
  <c r="S41" i="3"/>
  <c r="P41" i="3"/>
  <c r="S19" i="3"/>
  <c r="P19" i="3"/>
  <c r="S54" i="3"/>
  <c r="P54" i="3"/>
  <c r="P26" i="3"/>
  <c r="S26" i="3"/>
  <c r="P22" i="3"/>
  <c r="S22" i="3"/>
  <c r="P18" i="3"/>
  <c r="S18" i="3"/>
  <c r="S56" i="3"/>
  <c r="P56" i="3"/>
  <c r="P8" i="3"/>
  <c r="S8" i="3"/>
  <c r="S16" i="3"/>
  <c r="P16" i="3"/>
  <c r="Q16" i="3" s="1"/>
  <c r="R16" i="3" s="1"/>
  <c r="K16" i="2" s="1"/>
  <c r="S31" i="3"/>
  <c r="P31" i="3"/>
  <c r="S28" i="3"/>
  <c r="P28" i="3"/>
  <c r="P45" i="3"/>
  <c r="S45" i="3"/>
  <c r="S57" i="3"/>
  <c r="P57" i="3"/>
  <c r="S9" i="3"/>
  <c r="P9" i="3"/>
  <c r="P20" i="3"/>
  <c r="S20" i="3"/>
  <c r="P10" i="3"/>
  <c r="S10" i="3"/>
  <c r="S3" i="3"/>
  <c r="P3" i="3"/>
  <c r="P58" i="3"/>
  <c r="S58" i="3"/>
  <c r="P44" i="3"/>
  <c r="S44" i="3"/>
  <c r="P11" i="3"/>
  <c r="S11" i="3"/>
  <c r="P32" i="3"/>
  <c r="S32" i="3"/>
  <c r="S37" i="3"/>
  <c r="P37" i="3"/>
  <c r="P39" i="3"/>
  <c r="S39" i="3"/>
  <c r="P30" i="3"/>
  <c r="S30" i="3"/>
  <c r="S55" i="3"/>
  <c r="P55" i="3"/>
  <c r="P48" i="3"/>
  <c r="S48" i="3"/>
  <c r="P35" i="3"/>
  <c r="S35" i="3"/>
  <c r="T35" i="3" s="1"/>
  <c r="U35" i="3" s="1"/>
  <c r="P27" i="3"/>
  <c r="S27" i="3"/>
  <c r="S49" i="3"/>
  <c r="P49" i="3"/>
  <c r="S52" i="3"/>
  <c r="P52" i="3"/>
  <c r="P25" i="3"/>
  <c r="S25" i="3"/>
  <c r="P53" i="3"/>
  <c r="S53" i="3"/>
  <c r="P50" i="3"/>
  <c r="S50" i="3"/>
  <c r="P47" i="3"/>
  <c r="S47" i="3"/>
  <c r="P13" i="3"/>
  <c r="S13" i="3"/>
  <c r="P15" i="3"/>
  <c r="S15" i="3"/>
  <c r="P51" i="3"/>
  <c r="S51" i="3"/>
  <c r="P42" i="3"/>
  <c r="S42" i="3"/>
  <c r="P29" i="3"/>
  <c r="S29" i="3"/>
  <c r="T29" i="3" s="1"/>
  <c r="U29" i="3" s="1"/>
  <c r="P23" i="3"/>
  <c r="S23" i="3"/>
  <c r="P46" i="3"/>
  <c r="S46" i="3"/>
  <c r="P40" i="3"/>
  <c r="S40" i="3"/>
  <c r="P21" i="3"/>
  <c r="S21" i="3"/>
  <c r="P14" i="3"/>
  <c r="S14" i="3"/>
  <c r="T50" i="3" l="1"/>
  <c r="U50" i="3" s="1"/>
  <c r="T32" i="3"/>
  <c r="U32" i="3" s="1"/>
  <c r="Q54" i="3"/>
  <c r="R54" i="3" s="1"/>
  <c r="K54" i="2" s="1"/>
  <c r="Q29" i="3"/>
  <c r="R29" i="3" s="1"/>
  <c r="K29" i="2" s="1"/>
  <c r="Q32" i="3"/>
  <c r="R32" i="3" s="1"/>
  <c r="K32" i="2" s="1"/>
  <c r="Q20" i="3"/>
  <c r="R20" i="3" s="1"/>
  <c r="K20" i="2" s="1"/>
  <c r="T54" i="3"/>
  <c r="U54" i="3" s="1"/>
  <c r="T14" i="3"/>
  <c r="U14" i="3" s="1"/>
  <c r="T42" i="3"/>
  <c r="U42" i="3" s="1"/>
  <c r="T53" i="3"/>
  <c r="U53" i="3" s="1"/>
  <c r="T48" i="3"/>
  <c r="U48" i="3" s="1"/>
  <c r="T11" i="3"/>
  <c r="U11" i="3" s="1"/>
  <c r="Q9" i="3"/>
  <c r="R9" i="3" s="1"/>
  <c r="K9" i="2" s="1"/>
  <c r="T8" i="3"/>
  <c r="U8" i="3" s="1"/>
  <c r="Q19" i="3"/>
  <c r="R19" i="3" s="1"/>
  <c r="K19" i="2" s="1"/>
  <c r="T24" i="3"/>
  <c r="U24" i="3" s="1"/>
  <c r="Q14" i="3"/>
  <c r="R14" i="3" s="1"/>
  <c r="K14" i="2" s="1"/>
  <c r="Q42" i="3"/>
  <c r="R42" i="3" s="1"/>
  <c r="K42" i="2" s="1"/>
  <c r="Q53" i="3"/>
  <c r="R53" i="3" s="1"/>
  <c r="K53" i="2" s="1"/>
  <c r="Q48" i="3"/>
  <c r="R48" i="3" s="1"/>
  <c r="K48" i="2" s="1"/>
  <c r="Q11" i="3"/>
  <c r="R11" i="3" s="1"/>
  <c r="K11" i="2" s="1"/>
  <c r="T9" i="3"/>
  <c r="U9" i="3" s="1"/>
  <c r="Q8" i="3"/>
  <c r="R8" i="3" s="1"/>
  <c r="K8" i="2" s="1"/>
  <c r="T19" i="3"/>
  <c r="U19" i="3" s="1"/>
  <c r="Q24" i="3"/>
  <c r="R24" i="3" s="1"/>
  <c r="K24" i="2" s="1"/>
  <c r="T21" i="3"/>
  <c r="U21" i="3" s="1"/>
  <c r="T51" i="3"/>
  <c r="U51" i="3" s="1"/>
  <c r="T25" i="3"/>
  <c r="U25" i="3" s="1"/>
  <c r="Q55" i="3"/>
  <c r="R55" i="3" s="1"/>
  <c r="K55" i="2" s="1"/>
  <c r="T44" i="3"/>
  <c r="U44" i="3" s="1"/>
  <c r="Q57" i="3"/>
  <c r="R57" i="3" s="1"/>
  <c r="K57" i="2" s="1"/>
  <c r="Q56" i="3"/>
  <c r="R56" i="3" s="1"/>
  <c r="K56" i="2" s="1"/>
  <c r="Q41" i="3"/>
  <c r="R41" i="3" s="1"/>
  <c r="K41" i="2" s="1"/>
  <c r="T6" i="3"/>
  <c r="U6" i="3" s="1"/>
  <c r="Q21" i="3"/>
  <c r="R21" i="3" s="1"/>
  <c r="K21" i="2" s="1"/>
  <c r="Q51" i="3"/>
  <c r="R51" i="3" s="1"/>
  <c r="K51" i="2" s="1"/>
  <c r="Q25" i="3"/>
  <c r="R25" i="3" s="1"/>
  <c r="K25" i="2" s="1"/>
  <c r="T55" i="3"/>
  <c r="U55" i="3" s="1"/>
  <c r="Q44" i="3"/>
  <c r="R44" i="3" s="1"/>
  <c r="K44" i="2" s="1"/>
  <c r="T57" i="3"/>
  <c r="U57" i="3" s="1"/>
  <c r="T56" i="3"/>
  <c r="U56" i="3" s="1"/>
  <c r="T41" i="3"/>
  <c r="U41" i="3" s="1"/>
  <c r="Q6" i="3"/>
  <c r="R6" i="3" s="1"/>
  <c r="K6" i="2" s="1"/>
  <c r="T40" i="3"/>
  <c r="U40" i="3" s="1"/>
  <c r="T15" i="3"/>
  <c r="U15" i="3" s="1"/>
  <c r="Q52" i="3"/>
  <c r="R52" i="3" s="1"/>
  <c r="K52" i="2" s="1"/>
  <c r="T30" i="3"/>
  <c r="U30" i="3" s="1"/>
  <c r="T58" i="3"/>
  <c r="U58" i="3" s="1"/>
  <c r="T45" i="3"/>
  <c r="U45" i="3" s="1"/>
  <c r="T18" i="3"/>
  <c r="U18" i="3" s="1"/>
  <c r="Q43" i="3"/>
  <c r="R43" i="3" s="1"/>
  <c r="K43" i="2" s="1"/>
  <c r="Q7" i="3"/>
  <c r="R7" i="3" s="1"/>
  <c r="K7" i="2" s="1"/>
  <c r="Q40" i="3"/>
  <c r="R40" i="3" s="1"/>
  <c r="K40" i="2" s="1"/>
  <c r="Q15" i="3"/>
  <c r="R15" i="3" s="1"/>
  <c r="K15" i="2" s="1"/>
  <c r="T52" i="3"/>
  <c r="U52" i="3" s="1"/>
  <c r="Q30" i="3"/>
  <c r="R30" i="3" s="1"/>
  <c r="K30" i="2" s="1"/>
  <c r="Q58" i="3"/>
  <c r="R58" i="3" s="1"/>
  <c r="K58" i="2" s="1"/>
  <c r="Q45" i="3"/>
  <c r="R45" i="3" s="1"/>
  <c r="K45" i="2" s="1"/>
  <c r="Q18" i="3"/>
  <c r="R18" i="3" s="1"/>
  <c r="K18" i="2" s="1"/>
  <c r="T43" i="3"/>
  <c r="U43" i="3" s="1"/>
  <c r="T7" i="3"/>
  <c r="U7" i="3" s="1"/>
  <c r="T20" i="3"/>
  <c r="U20" i="3" s="1"/>
  <c r="Q35" i="3"/>
  <c r="R35" i="3" s="1"/>
  <c r="K35" i="2" s="1"/>
  <c r="T33" i="3"/>
  <c r="U33" i="3" s="1"/>
  <c r="T13" i="3"/>
  <c r="U13" i="3" s="1"/>
  <c r="Q49" i="3"/>
  <c r="R49" i="3" s="1"/>
  <c r="K49" i="2" s="1"/>
  <c r="T39" i="3"/>
  <c r="U39" i="3" s="1"/>
  <c r="Q3" i="3"/>
  <c r="R3" i="3" s="1"/>
  <c r="K3" i="2" s="1"/>
  <c r="Q28" i="3"/>
  <c r="R28" i="3" s="1"/>
  <c r="K28" i="2" s="1"/>
  <c r="T22" i="3"/>
  <c r="U22" i="3" s="1"/>
  <c r="T36" i="3"/>
  <c r="U36" i="3" s="1"/>
  <c r="Q5" i="3"/>
  <c r="R5" i="3" s="1"/>
  <c r="K5" i="2" s="1"/>
  <c r="O33" i="2"/>
  <c r="AS33" i="2" s="1"/>
  <c r="AI33" i="2" s="1"/>
  <c r="R33" i="2"/>
  <c r="AV33" i="2" s="1"/>
  <c r="T33" i="2"/>
  <c r="AX33" i="2" s="1"/>
  <c r="AN33" i="2" s="1"/>
  <c r="P33" i="2"/>
  <c r="AT33" i="2" s="1"/>
  <c r="AJ33" i="2" s="1"/>
  <c r="Q33" i="2"/>
  <c r="AU33" i="2" s="1"/>
  <c r="X33" i="2"/>
  <c r="BB33" i="2" s="1"/>
  <c r="S33" i="2"/>
  <c r="AW33" i="2" s="1"/>
  <c r="AM33" i="2" s="1"/>
  <c r="V33" i="2"/>
  <c r="AZ33" i="2" s="1"/>
  <c r="W33" i="2"/>
  <c r="BA33" i="2" s="1"/>
  <c r="U33" i="2"/>
  <c r="AY33" i="2" s="1"/>
  <c r="Q39" i="3"/>
  <c r="R39" i="3" s="1"/>
  <c r="K39" i="2" s="1"/>
  <c r="O16" i="2"/>
  <c r="AS16" i="2" s="1"/>
  <c r="AI16" i="2" s="1"/>
  <c r="T16" i="2"/>
  <c r="AX16" i="2" s="1"/>
  <c r="V16" i="2"/>
  <c r="AZ16" i="2" s="1"/>
  <c r="U16" i="2"/>
  <c r="AY16" i="2" s="1"/>
  <c r="AO16" i="2" s="1"/>
  <c r="X16" i="2"/>
  <c r="BB16" i="2" s="1"/>
  <c r="S16" i="2"/>
  <c r="AW16" i="2" s="1"/>
  <c r="R16" i="2"/>
  <c r="AV16" i="2" s="1"/>
  <c r="P16" i="2"/>
  <c r="AT16" i="2" s="1"/>
  <c r="W16" i="2"/>
  <c r="BA16" i="2" s="1"/>
  <c r="AQ16" i="2" s="1"/>
  <c r="Q16" i="2"/>
  <c r="AU16" i="2" s="1"/>
  <c r="Q50" i="3"/>
  <c r="R50" i="3" s="1"/>
  <c r="K50" i="2" s="1"/>
  <c r="T16" i="3"/>
  <c r="U16" i="3" s="1"/>
  <c r="T46" i="3"/>
  <c r="U46" i="3" s="1"/>
  <c r="Q46" i="3"/>
  <c r="R46" i="3" s="1"/>
  <c r="K46" i="2" s="1"/>
  <c r="Q13" i="3"/>
  <c r="R13" i="3" s="1"/>
  <c r="K13" i="2" s="1"/>
  <c r="T49" i="3"/>
  <c r="U49" i="3" s="1"/>
  <c r="T3" i="3"/>
  <c r="U3" i="3" s="1"/>
  <c r="T28" i="3"/>
  <c r="U28" i="3" s="1"/>
  <c r="Q22" i="3"/>
  <c r="R22" i="3" s="1"/>
  <c r="K22" i="2" s="1"/>
  <c r="Q36" i="3"/>
  <c r="R36" i="3" s="1"/>
  <c r="K36" i="2" s="1"/>
  <c r="T5" i="3"/>
  <c r="U5" i="3" s="1"/>
  <c r="T23" i="3"/>
  <c r="U23" i="3" s="1"/>
  <c r="T47" i="3"/>
  <c r="U47" i="3" s="1"/>
  <c r="T27" i="3"/>
  <c r="U27" i="3" s="1"/>
  <c r="Q37" i="3"/>
  <c r="R37" i="3" s="1"/>
  <c r="K37" i="2" s="1"/>
  <c r="T10" i="3"/>
  <c r="U10" i="3" s="1"/>
  <c r="Q31" i="3"/>
  <c r="R31" i="3" s="1"/>
  <c r="K31" i="2" s="1"/>
  <c r="T26" i="3"/>
  <c r="U26" i="3" s="1"/>
  <c r="T34" i="3"/>
  <c r="U34" i="3" s="1"/>
  <c r="T4" i="3"/>
  <c r="U4" i="3" s="1"/>
  <c r="Q23" i="3"/>
  <c r="R23" i="3" s="1"/>
  <c r="K23" i="2" s="1"/>
  <c r="Q47" i="3"/>
  <c r="R47" i="3" s="1"/>
  <c r="K47" i="2" s="1"/>
  <c r="Q27" i="3"/>
  <c r="R27" i="3" s="1"/>
  <c r="K27" i="2" s="1"/>
  <c r="T37" i="3"/>
  <c r="U37" i="3" s="1"/>
  <c r="Q10" i="3"/>
  <c r="R10" i="3" s="1"/>
  <c r="K10" i="2" s="1"/>
  <c r="T31" i="3"/>
  <c r="U31" i="3" s="1"/>
  <c r="Q26" i="3"/>
  <c r="R26" i="3" s="1"/>
  <c r="K26" i="2" s="1"/>
  <c r="Q34" i="3"/>
  <c r="R34" i="3" s="1"/>
  <c r="K34" i="2" s="1"/>
  <c r="Q4" i="3"/>
  <c r="R4" i="3" s="1"/>
  <c r="K4" i="2" s="1"/>
  <c r="AO33" i="2" l="1"/>
  <c r="AK16" i="2"/>
  <c r="AQ33" i="2"/>
  <c r="AL33" i="2"/>
  <c r="AN16" i="2"/>
  <c r="T37" i="2"/>
  <c r="AX37" i="2" s="1"/>
  <c r="P37" i="2"/>
  <c r="AT37" i="2" s="1"/>
  <c r="S37" i="2"/>
  <c r="AW37" i="2" s="1"/>
  <c r="O37" i="2"/>
  <c r="AS37" i="2" s="1"/>
  <c r="AI37" i="2" s="1"/>
  <c r="Q37" i="2"/>
  <c r="AU37" i="2" s="1"/>
  <c r="X37" i="2"/>
  <c r="BB37" i="2" s="1"/>
  <c r="R37" i="2"/>
  <c r="AV37" i="2" s="1"/>
  <c r="AL37" i="2" s="1"/>
  <c r="U37" i="2"/>
  <c r="AY37" i="2" s="1"/>
  <c r="W37" i="2"/>
  <c r="BA37" i="2" s="1"/>
  <c r="V37" i="2"/>
  <c r="AZ37" i="2" s="1"/>
  <c r="AP37" i="2" s="1"/>
  <c r="P51" i="2"/>
  <c r="AT51" i="2" s="1"/>
  <c r="V51" i="2"/>
  <c r="AZ51" i="2" s="1"/>
  <c r="AP51" i="2" s="1"/>
  <c r="X51" i="2"/>
  <c r="BB51" i="2" s="1"/>
  <c r="U51" i="2"/>
  <c r="AY51" i="2" s="1"/>
  <c r="Q51" i="2"/>
  <c r="AU51" i="2" s="1"/>
  <c r="S51" i="2"/>
  <c r="AW51" i="2" s="1"/>
  <c r="W51" i="2"/>
  <c r="BA51" i="2" s="1"/>
  <c r="R51" i="2"/>
  <c r="AV51" i="2" s="1"/>
  <c r="O51" i="2"/>
  <c r="AS51" i="2" s="1"/>
  <c r="AI51" i="2" s="1"/>
  <c r="T51" i="2"/>
  <c r="AX51" i="2" s="1"/>
  <c r="S18" i="2"/>
  <c r="AW18" i="2" s="1"/>
  <c r="Q18" i="2"/>
  <c r="AU18" i="2" s="1"/>
  <c r="U18" i="2"/>
  <c r="AY18" i="2" s="1"/>
  <c r="AO18" i="2" s="1"/>
  <c r="O18" i="2"/>
  <c r="AS18" i="2" s="1"/>
  <c r="AI18" i="2" s="1"/>
  <c r="X18" i="2"/>
  <c r="BB18" i="2" s="1"/>
  <c r="R18" i="2"/>
  <c r="AV18" i="2" s="1"/>
  <c r="W18" i="2"/>
  <c r="BA18" i="2" s="1"/>
  <c r="AQ18" i="2" s="1"/>
  <c r="T18" i="2"/>
  <c r="AX18" i="2" s="1"/>
  <c r="V18" i="2"/>
  <c r="AZ18" i="2" s="1"/>
  <c r="P18" i="2"/>
  <c r="AT18" i="2" s="1"/>
  <c r="R21" i="2"/>
  <c r="AV21" i="2" s="1"/>
  <c r="AL21" i="2" s="1"/>
  <c r="O21" i="2"/>
  <c r="AS21" i="2" s="1"/>
  <c r="AI21" i="2" s="1"/>
  <c r="W21" i="2"/>
  <c r="BA21" i="2" s="1"/>
  <c r="S21" i="2"/>
  <c r="AW21" i="2" s="1"/>
  <c r="T21" i="2"/>
  <c r="AX21" i="2" s="1"/>
  <c r="AN21" i="2" s="1"/>
  <c r="P21" i="2"/>
  <c r="AT21" i="2" s="1"/>
  <c r="AJ21" i="2" s="1"/>
  <c r="Q21" i="2"/>
  <c r="AU21" i="2" s="1"/>
  <c r="X21" i="2"/>
  <c r="BB21" i="2" s="1"/>
  <c r="V21" i="2"/>
  <c r="AZ21" i="2" s="1"/>
  <c r="AP21" i="2" s="1"/>
  <c r="U21" i="2"/>
  <c r="AY21" i="2" s="1"/>
  <c r="O45" i="2"/>
  <c r="AS45" i="2" s="1"/>
  <c r="AI45" i="2" s="1"/>
  <c r="T45" i="2"/>
  <c r="AX45" i="2" s="1"/>
  <c r="AN45" i="2" s="1"/>
  <c r="U45" i="2"/>
  <c r="AY45" i="2" s="1"/>
  <c r="AO45" i="2" s="1"/>
  <c r="V45" i="2"/>
  <c r="AZ45" i="2" s="1"/>
  <c r="R45" i="2"/>
  <c r="AV45" i="2" s="1"/>
  <c r="P45" i="2"/>
  <c r="AT45" i="2" s="1"/>
  <c r="AJ45" i="2" s="1"/>
  <c r="X45" i="2"/>
  <c r="BB45" i="2" s="1"/>
  <c r="AR45" i="2" s="1"/>
  <c r="Q45" i="2"/>
  <c r="AU45" i="2" s="1"/>
  <c r="AK45" i="2" s="1"/>
  <c r="W45" i="2"/>
  <c r="BA45" i="2" s="1"/>
  <c r="S45" i="2"/>
  <c r="AW45" i="2" s="1"/>
  <c r="O28" i="2"/>
  <c r="AS28" i="2" s="1"/>
  <c r="AI28" i="2" s="1"/>
  <c r="T28" i="2"/>
  <c r="AX28" i="2" s="1"/>
  <c r="U28" i="2"/>
  <c r="AY28" i="2" s="1"/>
  <c r="X28" i="2"/>
  <c r="BB28" i="2" s="1"/>
  <c r="Q28" i="2"/>
  <c r="AU28" i="2" s="1"/>
  <c r="P28" i="2"/>
  <c r="AT28" i="2" s="1"/>
  <c r="V28" i="2"/>
  <c r="AZ28" i="2" s="1"/>
  <c r="AP28" i="2" s="1"/>
  <c r="R28" i="2"/>
  <c r="AV28" i="2" s="1"/>
  <c r="W28" i="2"/>
  <c r="BA28" i="2" s="1"/>
  <c r="AQ28" i="2" s="1"/>
  <c r="S28" i="2"/>
  <c r="AW28" i="2" s="1"/>
  <c r="AM28" i="2" s="1"/>
  <c r="O58" i="2"/>
  <c r="AS58" i="2" s="1"/>
  <c r="AI58" i="2" s="1"/>
  <c r="P58" i="2"/>
  <c r="AT58" i="2" s="1"/>
  <c r="AJ58" i="2" s="1"/>
  <c r="X58" i="2"/>
  <c r="BB58" i="2" s="1"/>
  <c r="AR58" i="2" s="1"/>
  <c r="V58" i="2"/>
  <c r="AZ58" i="2" s="1"/>
  <c r="W58" i="2"/>
  <c r="BA58" i="2" s="1"/>
  <c r="Q58" i="2"/>
  <c r="AU58" i="2" s="1"/>
  <c r="AK58" i="2" s="1"/>
  <c r="U58" i="2"/>
  <c r="AY58" i="2" s="1"/>
  <c r="R58" i="2"/>
  <c r="AV58" i="2" s="1"/>
  <c r="S58" i="2"/>
  <c r="AW58" i="2" s="1"/>
  <c r="AM58" i="2" s="1"/>
  <c r="T58" i="2"/>
  <c r="AX58" i="2" s="1"/>
  <c r="AN58" i="2" s="1"/>
  <c r="P27" i="2"/>
  <c r="AT27" i="2" s="1"/>
  <c r="AJ27" i="2" s="1"/>
  <c r="T27" i="2"/>
  <c r="AX27" i="2" s="1"/>
  <c r="AN27" i="2" s="1"/>
  <c r="O27" i="2"/>
  <c r="AS27" i="2" s="1"/>
  <c r="AI27" i="2" s="1"/>
  <c r="U27" i="2"/>
  <c r="AY27" i="2" s="1"/>
  <c r="S27" i="2"/>
  <c r="AW27" i="2" s="1"/>
  <c r="Q27" i="2"/>
  <c r="AU27" i="2" s="1"/>
  <c r="X27" i="2"/>
  <c r="BB27" i="2" s="1"/>
  <c r="V27" i="2"/>
  <c r="AZ27" i="2" s="1"/>
  <c r="AP27" i="2" s="1"/>
  <c r="R27" i="2"/>
  <c r="AV27" i="2" s="1"/>
  <c r="AL27" i="2" s="1"/>
  <c r="W27" i="2"/>
  <c r="BA27" i="2" s="1"/>
  <c r="AP33" i="2"/>
  <c r="O30" i="2"/>
  <c r="AS30" i="2" s="1"/>
  <c r="AI30" i="2" s="1"/>
  <c r="U30" i="2"/>
  <c r="AY30" i="2" s="1"/>
  <c r="AO30" i="2" s="1"/>
  <c r="X30" i="2"/>
  <c r="BB30" i="2" s="1"/>
  <c r="AR30" i="2" s="1"/>
  <c r="P30" i="2"/>
  <c r="AT30" i="2" s="1"/>
  <c r="T30" i="2"/>
  <c r="AX30" i="2" s="1"/>
  <c r="AN30" i="2" s="1"/>
  <c r="Q30" i="2"/>
  <c r="AU30" i="2" s="1"/>
  <c r="AK30" i="2" s="1"/>
  <c r="V30" i="2"/>
  <c r="AZ30" i="2" s="1"/>
  <c r="S30" i="2"/>
  <c r="AW30" i="2" s="1"/>
  <c r="R30" i="2"/>
  <c r="AV30" i="2" s="1"/>
  <c r="W30" i="2"/>
  <c r="BA30" i="2" s="1"/>
  <c r="AQ30" i="2" s="1"/>
  <c r="O48" i="2"/>
  <c r="AS48" i="2" s="1"/>
  <c r="AI48" i="2" s="1"/>
  <c r="X48" i="2"/>
  <c r="BB48" i="2" s="1"/>
  <c r="Q48" i="2"/>
  <c r="AU48" i="2" s="1"/>
  <c r="S48" i="2"/>
  <c r="AW48" i="2" s="1"/>
  <c r="AM48" i="2" s="1"/>
  <c r="P48" i="2"/>
  <c r="AT48" i="2" s="1"/>
  <c r="AJ48" i="2" s="1"/>
  <c r="T48" i="2"/>
  <c r="AX48" i="2" s="1"/>
  <c r="U48" i="2"/>
  <c r="AY48" i="2" s="1"/>
  <c r="AO48" i="2" s="1"/>
  <c r="R48" i="2"/>
  <c r="AV48" i="2" s="1"/>
  <c r="V48" i="2"/>
  <c r="AZ48" i="2" s="1"/>
  <c r="W48" i="2"/>
  <c r="BA48" i="2" s="1"/>
  <c r="O36" i="2"/>
  <c r="AS36" i="2" s="1"/>
  <c r="AI36" i="2" s="1"/>
  <c r="U36" i="2"/>
  <c r="AY36" i="2" s="1"/>
  <c r="AO36" i="2" s="1"/>
  <c r="X36" i="2"/>
  <c r="BB36" i="2" s="1"/>
  <c r="Q36" i="2"/>
  <c r="AU36" i="2" s="1"/>
  <c r="W36" i="2"/>
  <c r="BA36" i="2" s="1"/>
  <c r="P36" i="2"/>
  <c r="AT36" i="2" s="1"/>
  <c r="AJ36" i="2" s="1"/>
  <c r="R36" i="2"/>
  <c r="AV36" i="2" s="1"/>
  <c r="AL36" i="2" s="1"/>
  <c r="S36" i="2"/>
  <c r="AW36" i="2" s="1"/>
  <c r="T36" i="2"/>
  <c r="AX36" i="2" s="1"/>
  <c r="AN36" i="2" s="1"/>
  <c r="V36" i="2"/>
  <c r="AZ36" i="2" s="1"/>
  <c r="O6" i="2"/>
  <c r="AS6" i="2" s="1"/>
  <c r="AI6" i="2" s="1"/>
  <c r="P6" i="2"/>
  <c r="AT6" i="2" s="1"/>
  <c r="W6" i="2"/>
  <c r="BA6" i="2" s="1"/>
  <c r="R6" i="2"/>
  <c r="AV6" i="2" s="1"/>
  <c r="U6" i="2"/>
  <c r="AY6" i="2" s="1"/>
  <c r="AO6" i="2" s="1"/>
  <c r="V6" i="2"/>
  <c r="AZ6" i="2" s="1"/>
  <c r="AP6" i="2" s="1"/>
  <c r="X6" i="2"/>
  <c r="BB6" i="2" s="1"/>
  <c r="Q6" i="2"/>
  <c r="AU6" i="2" s="1"/>
  <c r="AK6" i="2" s="1"/>
  <c r="S6" i="2"/>
  <c r="AW6" i="2" s="1"/>
  <c r="AM6" i="2" s="1"/>
  <c r="T6" i="2"/>
  <c r="AX6" i="2" s="1"/>
  <c r="R57" i="2"/>
  <c r="AV57" i="2" s="1"/>
  <c r="O57" i="2"/>
  <c r="AS57" i="2" s="1"/>
  <c r="AI57" i="2" s="1"/>
  <c r="V57" i="2"/>
  <c r="AZ57" i="2" s="1"/>
  <c r="U57" i="2"/>
  <c r="AY57" i="2" s="1"/>
  <c r="S57" i="2"/>
  <c r="AW57" i="2" s="1"/>
  <c r="AM57" i="2" s="1"/>
  <c r="T57" i="2"/>
  <c r="AX57" i="2" s="1"/>
  <c r="AN57" i="2" s="1"/>
  <c r="W57" i="2"/>
  <c r="BA57" i="2" s="1"/>
  <c r="AQ57" i="2" s="1"/>
  <c r="P57" i="2"/>
  <c r="AT57" i="2" s="1"/>
  <c r="X57" i="2"/>
  <c r="BB57" i="2" s="1"/>
  <c r="AR57" i="2" s="1"/>
  <c r="Q57" i="2"/>
  <c r="AU57" i="2" s="1"/>
  <c r="AK57" i="2" s="1"/>
  <c r="O53" i="2"/>
  <c r="AS53" i="2" s="1"/>
  <c r="AI53" i="2" s="1"/>
  <c r="U53" i="2"/>
  <c r="AY53" i="2" s="1"/>
  <c r="X53" i="2"/>
  <c r="BB53" i="2" s="1"/>
  <c r="T53" i="2"/>
  <c r="AX53" i="2" s="1"/>
  <c r="W53" i="2"/>
  <c r="BA53" i="2" s="1"/>
  <c r="V53" i="2"/>
  <c r="AZ53" i="2" s="1"/>
  <c r="Q53" i="2"/>
  <c r="AU53" i="2" s="1"/>
  <c r="P53" i="2"/>
  <c r="AT53" i="2" s="1"/>
  <c r="S53" i="2"/>
  <c r="AW53" i="2" s="1"/>
  <c r="R53" i="2"/>
  <c r="AV53" i="2" s="1"/>
  <c r="O23" i="2"/>
  <c r="AS23" i="2" s="1"/>
  <c r="AI23" i="2" s="1"/>
  <c r="X23" i="2"/>
  <c r="BB23" i="2" s="1"/>
  <c r="P23" i="2"/>
  <c r="AT23" i="2" s="1"/>
  <c r="AJ23" i="2" s="1"/>
  <c r="V23" i="2"/>
  <c r="AZ23" i="2" s="1"/>
  <c r="Q23" i="2"/>
  <c r="AU23" i="2" s="1"/>
  <c r="S23" i="2"/>
  <c r="AW23" i="2" s="1"/>
  <c r="AM23" i="2" s="1"/>
  <c r="U23" i="2"/>
  <c r="AY23" i="2" s="1"/>
  <c r="R23" i="2"/>
  <c r="AV23" i="2" s="1"/>
  <c r="T23" i="2"/>
  <c r="AX23" i="2" s="1"/>
  <c r="W23" i="2"/>
  <c r="BA23" i="2" s="1"/>
  <c r="AQ23" i="2" s="1"/>
  <c r="O22" i="2"/>
  <c r="AS22" i="2" s="1"/>
  <c r="AI22" i="2" s="1"/>
  <c r="X22" i="2"/>
  <c r="BB22" i="2" s="1"/>
  <c r="P22" i="2"/>
  <c r="AT22" i="2" s="1"/>
  <c r="AJ22" i="2" s="1"/>
  <c r="T22" i="2"/>
  <c r="AX22" i="2" s="1"/>
  <c r="AN22" i="2" s="1"/>
  <c r="Q22" i="2"/>
  <c r="AU22" i="2" s="1"/>
  <c r="AK22" i="2" s="1"/>
  <c r="R22" i="2"/>
  <c r="AV22" i="2" s="1"/>
  <c r="S22" i="2"/>
  <c r="AW22" i="2" s="1"/>
  <c r="AM22" i="2" s="1"/>
  <c r="W22" i="2"/>
  <c r="BA22" i="2" s="1"/>
  <c r="AQ22" i="2" s="1"/>
  <c r="U22" i="2"/>
  <c r="AY22" i="2" s="1"/>
  <c r="V22" i="2"/>
  <c r="AZ22" i="2" s="1"/>
  <c r="AL16" i="2"/>
  <c r="AR33" i="2"/>
  <c r="P49" i="2"/>
  <c r="AT49" i="2" s="1"/>
  <c r="U49" i="2"/>
  <c r="AY49" i="2" s="1"/>
  <c r="S49" i="2"/>
  <c r="AW49" i="2" s="1"/>
  <c r="AM49" i="2" s="1"/>
  <c r="O49" i="2"/>
  <c r="AS49" i="2" s="1"/>
  <c r="AI49" i="2" s="1"/>
  <c r="Q49" i="2"/>
  <c r="AU49" i="2" s="1"/>
  <c r="AK49" i="2" s="1"/>
  <c r="W49" i="2"/>
  <c r="BA49" i="2" s="1"/>
  <c r="T49" i="2"/>
  <c r="AX49" i="2" s="1"/>
  <c r="V49" i="2"/>
  <c r="AZ49" i="2" s="1"/>
  <c r="X49" i="2"/>
  <c r="BB49" i="2" s="1"/>
  <c r="AR49" i="2" s="1"/>
  <c r="R49" i="2"/>
  <c r="AV49" i="2" s="1"/>
  <c r="W15" i="2"/>
  <c r="BA15" i="2" s="1"/>
  <c r="AQ15" i="2" s="1"/>
  <c r="Q15" i="2"/>
  <c r="AU15" i="2" s="1"/>
  <c r="P15" i="2"/>
  <c r="AT15" i="2" s="1"/>
  <c r="U15" i="2"/>
  <c r="AY15" i="2" s="1"/>
  <c r="O15" i="2"/>
  <c r="AS15" i="2" s="1"/>
  <c r="AI15" i="2" s="1"/>
  <c r="X15" i="2"/>
  <c r="BB15" i="2" s="1"/>
  <c r="AR15" i="2" s="1"/>
  <c r="S15" i="2"/>
  <c r="AW15" i="2" s="1"/>
  <c r="AM15" i="2" s="1"/>
  <c r="V15" i="2"/>
  <c r="AZ15" i="2" s="1"/>
  <c r="R15" i="2"/>
  <c r="AV15" i="2" s="1"/>
  <c r="T15" i="2"/>
  <c r="AX15" i="2" s="1"/>
  <c r="S42" i="2"/>
  <c r="AW42" i="2" s="1"/>
  <c r="O42" i="2"/>
  <c r="AS42" i="2" s="1"/>
  <c r="AI42" i="2" s="1"/>
  <c r="Q42" i="2"/>
  <c r="AU42" i="2" s="1"/>
  <c r="W42" i="2"/>
  <c r="BA42" i="2" s="1"/>
  <c r="P42" i="2"/>
  <c r="AT42" i="2" s="1"/>
  <c r="U42" i="2"/>
  <c r="AY42" i="2" s="1"/>
  <c r="V42" i="2"/>
  <c r="AZ42" i="2" s="1"/>
  <c r="AP42" i="2" s="1"/>
  <c r="T42" i="2"/>
  <c r="AX42" i="2" s="1"/>
  <c r="AN42" i="2" s="1"/>
  <c r="R42" i="2"/>
  <c r="AV42" i="2" s="1"/>
  <c r="AL42" i="2" s="1"/>
  <c r="X42" i="2"/>
  <c r="BB42" i="2" s="1"/>
  <c r="Q20" i="2"/>
  <c r="AU20" i="2" s="1"/>
  <c r="O20" i="2"/>
  <c r="AS20" i="2" s="1"/>
  <c r="AI20" i="2" s="1"/>
  <c r="S20" i="2"/>
  <c r="AW20" i="2" s="1"/>
  <c r="U20" i="2"/>
  <c r="AY20" i="2" s="1"/>
  <c r="T20" i="2"/>
  <c r="AX20" i="2" s="1"/>
  <c r="AN20" i="2" s="1"/>
  <c r="X20" i="2"/>
  <c r="BB20" i="2" s="1"/>
  <c r="P20" i="2"/>
  <c r="AT20" i="2" s="1"/>
  <c r="V20" i="2"/>
  <c r="AZ20" i="2" s="1"/>
  <c r="R20" i="2"/>
  <c r="AV20" i="2" s="1"/>
  <c r="AL20" i="2" s="1"/>
  <c r="W20" i="2"/>
  <c r="BA20" i="2" s="1"/>
  <c r="AQ20" i="2" s="1"/>
  <c r="AM16" i="2"/>
  <c r="AK33" i="2"/>
  <c r="O40" i="2"/>
  <c r="AS40" i="2" s="1"/>
  <c r="AI40" i="2" s="1"/>
  <c r="W40" i="2"/>
  <c r="BA40" i="2" s="1"/>
  <c r="R40" i="2"/>
  <c r="AV40" i="2" s="1"/>
  <c r="T40" i="2"/>
  <c r="AX40" i="2" s="1"/>
  <c r="X40" i="2"/>
  <c r="BB40" i="2" s="1"/>
  <c r="V40" i="2"/>
  <c r="AZ40" i="2" s="1"/>
  <c r="U40" i="2"/>
  <c r="AY40" i="2" s="1"/>
  <c r="Q40" i="2"/>
  <c r="AU40" i="2" s="1"/>
  <c r="S40" i="2"/>
  <c r="AW40" i="2" s="1"/>
  <c r="AM40" i="2" s="1"/>
  <c r="P40" i="2"/>
  <c r="AT40" i="2" s="1"/>
  <c r="AJ40" i="2" s="1"/>
  <c r="O55" i="2"/>
  <c r="AS55" i="2" s="1"/>
  <c r="AI55" i="2" s="1"/>
  <c r="S55" i="2"/>
  <c r="AW55" i="2" s="1"/>
  <c r="V55" i="2"/>
  <c r="AZ55" i="2" s="1"/>
  <c r="P55" i="2"/>
  <c r="AT55" i="2" s="1"/>
  <c r="R55" i="2"/>
  <c r="AV55" i="2" s="1"/>
  <c r="U55" i="2"/>
  <c r="AY55" i="2" s="1"/>
  <c r="W55" i="2"/>
  <c r="BA55" i="2" s="1"/>
  <c r="AQ55" i="2" s="1"/>
  <c r="Q55" i="2"/>
  <c r="AU55" i="2" s="1"/>
  <c r="AK55" i="2" s="1"/>
  <c r="X55" i="2"/>
  <c r="BB55" i="2" s="1"/>
  <c r="T55" i="2"/>
  <c r="AX55" i="2" s="1"/>
  <c r="AN55" i="2" s="1"/>
  <c r="W14" i="2"/>
  <c r="BA14" i="2" s="1"/>
  <c r="Q14" i="2"/>
  <c r="AU14" i="2" s="1"/>
  <c r="P14" i="2"/>
  <c r="AT14" i="2" s="1"/>
  <c r="AJ14" i="2" s="1"/>
  <c r="O14" i="2"/>
  <c r="AS14" i="2" s="1"/>
  <c r="AI14" i="2" s="1"/>
  <c r="R14" i="2"/>
  <c r="AV14" i="2" s="1"/>
  <c r="V14" i="2"/>
  <c r="AZ14" i="2" s="1"/>
  <c r="AP14" i="2" s="1"/>
  <c r="U14" i="2"/>
  <c r="AY14" i="2" s="1"/>
  <c r="T14" i="2"/>
  <c r="AX14" i="2" s="1"/>
  <c r="X14" i="2"/>
  <c r="BB14" i="2" s="1"/>
  <c r="S14" i="2"/>
  <c r="AW14" i="2" s="1"/>
  <c r="AM14" i="2" s="1"/>
  <c r="O32" i="2"/>
  <c r="AS32" i="2" s="1"/>
  <c r="AI32" i="2" s="1"/>
  <c r="Q32" i="2"/>
  <c r="AU32" i="2" s="1"/>
  <c r="AK32" i="2" s="1"/>
  <c r="V32" i="2"/>
  <c r="AZ32" i="2" s="1"/>
  <c r="AP32" i="2" s="1"/>
  <c r="R32" i="2"/>
  <c r="AV32" i="2" s="1"/>
  <c r="AL32" i="2" s="1"/>
  <c r="W32" i="2"/>
  <c r="BA32" i="2" s="1"/>
  <c r="AQ32" i="2" s="1"/>
  <c r="P32" i="2"/>
  <c r="AT32" i="2" s="1"/>
  <c r="X32" i="2"/>
  <c r="BB32" i="2" s="1"/>
  <c r="S32" i="2"/>
  <c r="AW32" i="2" s="1"/>
  <c r="U32" i="2"/>
  <c r="AY32" i="2" s="1"/>
  <c r="T32" i="2"/>
  <c r="AX32" i="2" s="1"/>
  <c r="O5" i="2"/>
  <c r="AS5" i="2" s="1"/>
  <c r="AI5" i="2" s="1"/>
  <c r="P5" i="2"/>
  <c r="AT5" i="2" s="1"/>
  <c r="AJ5" i="2" s="1"/>
  <c r="X5" i="2"/>
  <c r="BB5" i="2" s="1"/>
  <c r="U5" i="2"/>
  <c r="AY5" i="2" s="1"/>
  <c r="W5" i="2"/>
  <c r="BA5" i="2" s="1"/>
  <c r="AQ5" i="2" s="1"/>
  <c r="T5" i="2"/>
  <c r="AX5" i="2" s="1"/>
  <c r="S5" i="2"/>
  <c r="AW5" i="2" s="1"/>
  <c r="AM5" i="2" s="1"/>
  <c r="Q5" i="2"/>
  <c r="AU5" i="2" s="1"/>
  <c r="V5" i="2"/>
  <c r="AZ5" i="2" s="1"/>
  <c r="R5" i="2"/>
  <c r="AV5" i="2" s="1"/>
  <c r="AL5" i="2" s="1"/>
  <c r="O10" i="2"/>
  <c r="AS10" i="2" s="1"/>
  <c r="AI10" i="2" s="1"/>
  <c r="X10" i="2"/>
  <c r="BB10" i="2" s="1"/>
  <c r="P10" i="2"/>
  <c r="AT10" i="2" s="1"/>
  <c r="AJ10" i="2" s="1"/>
  <c r="S10" i="2"/>
  <c r="AW10" i="2" s="1"/>
  <c r="T10" i="2"/>
  <c r="AX10" i="2" s="1"/>
  <c r="W10" i="2"/>
  <c r="BA10" i="2" s="1"/>
  <c r="Q10" i="2"/>
  <c r="AU10" i="2" s="1"/>
  <c r="V10" i="2"/>
  <c r="AZ10" i="2" s="1"/>
  <c r="R10" i="2"/>
  <c r="AV10" i="2" s="1"/>
  <c r="AL10" i="2" s="1"/>
  <c r="U10" i="2"/>
  <c r="AY10" i="2" s="1"/>
  <c r="O52" i="2"/>
  <c r="AS52" i="2" s="1"/>
  <c r="AI52" i="2" s="1"/>
  <c r="V52" i="2"/>
  <c r="AZ52" i="2" s="1"/>
  <c r="AP52" i="2" s="1"/>
  <c r="X52" i="2"/>
  <c r="BB52" i="2" s="1"/>
  <c r="W52" i="2"/>
  <c r="BA52" i="2" s="1"/>
  <c r="U52" i="2"/>
  <c r="AY52" i="2" s="1"/>
  <c r="T52" i="2"/>
  <c r="AX52" i="2" s="1"/>
  <c r="R52" i="2"/>
  <c r="AV52" i="2" s="1"/>
  <c r="Q52" i="2"/>
  <c r="AU52" i="2" s="1"/>
  <c r="P52" i="2"/>
  <c r="AT52" i="2" s="1"/>
  <c r="AJ52" i="2" s="1"/>
  <c r="S52" i="2"/>
  <c r="AW52" i="2" s="1"/>
  <c r="AM52" i="2" s="1"/>
  <c r="O47" i="2"/>
  <c r="AS47" i="2" s="1"/>
  <c r="AI47" i="2" s="1"/>
  <c r="S47" i="2"/>
  <c r="AW47" i="2" s="1"/>
  <c r="V47" i="2"/>
  <c r="AZ47" i="2" s="1"/>
  <c r="P47" i="2"/>
  <c r="AT47" i="2" s="1"/>
  <c r="T47" i="2"/>
  <c r="AX47" i="2" s="1"/>
  <c r="AN47" i="2" s="1"/>
  <c r="X47" i="2"/>
  <c r="BB47" i="2" s="1"/>
  <c r="U47" i="2"/>
  <c r="AY47" i="2" s="1"/>
  <c r="AO47" i="2" s="1"/>
  <c r="W47" i="2"/>
  <c r="BA47" i="2" s="1"/>
  <c r="AQ47" i="2" s="1"/>
  <c r="R47" i="2"/>
  <c r="AV47" i="2" s="1"/>
  <c r="Q47" i="2"/>
  <c r="AU47" i="2" s="1"/>
  <c r="AJ16" i="2"/>
  <c r="AR16" i="2"/>
  <c r="O7" i="2"/>
  <c r="AS7" i="2" s="1"/>
  <c r="AI7" i="2" s="1"/>
  <c r="V7" i="2"/>
  <c r="AZ7" i="2" s="1"/>
  <c r="T7" i="2"/>
  <c r="AX7" i="2" s="1"/>
  <c r="R7" i="2"/>
  <c r="AV7" i="2" s="1"/>
  <c r="AL7" i="2" s="1"/>
  <c r="S7" i="2"/>
  <c r="AW7" i="2" s="1"/>
  <c r="Q7" i="2"/>
  <c r="AU7" i="2" s="1"/>
  <c r="P7" i="2"/>
  <c r="AT7" i="2" s="1"/>
  <c r="W7" i="2"/>
  <c r="BA7" i="2" s="1"/>
  <c r="AQ7" i="2" s="1"/>
  <c r="U7" i="2"/>
  <c r="AY7" i="2" s="1"/>
  <c r="X7" i="2"/>
  <c r="BB7" i="2" s="1"/>
  <c r="O29" i="2"/>
  <c r="AS29" i="2" s="1"/>
  <c r="AI29" i="2" s="1"/>
  <c r="S29" i="2"/>
  <c r="AW29" i="2" s="1"/>
  <c r="AM29" i="2" s="1"/>
  <c r="X29" i="2"/>
  <c r="BB29" i="2" s="1"/>
  <c r="AR29" i="2" s="1"/>
  <c r="V29" i="2"/>
  <c r="AZ29" i="2" s="1"/>
  <c r="W29" i="2"/>
  <c r="BA29" i="2" s="1"/>
  <c r="AQ29" i="2" s="1"/>
  <c r="Q29" i="2"/>
  <c r="AU29" i="2" s="1"/>
  <c r="AK29" i="2" s="1"/>
  <c r="R29" i="2"/>
  <c r="AV29" i="2" s="1"/>
  <c r="U29" i="2"/>
  <c r="AY29" i="2" s="1"/>
  <c r="P29" i="2"/>
  <c r="AT29" i="2" s="1"/>
  <c r="T29" i="2"/>
  <c r="AX29" i="2" s="1"/>
  <c r="W39" i="2"/>
  <c r="BA39" i="2" s="1"/>
  <c r="S39" i="2"/>
  <c r="AW39" i="2" s="1"/>
  <c r="R39" i="2"/>
  <c r="AV39" i="2" s="1"/>
  <c r="X39" i="2"/>
  <c r="BB39" i="2" s="1"/>
  <c r="AR39" i="2" s="1"/>
  <c r="V39" i="2"/>
  <c r="AZ39" i="2" s="1"/>
  <c r="AP39" i="2" s="1"/>
  <c r="T39" i="2"/>
  <c r="AX39" i="2" s="1"/>
  <c r="O39" i="2"/>
  <c r="AS39" i="2" s="1"/>
  <c r="AI39" i="2" s="1"/>
  <c r="Q39" i="2"/>
  <c r="AU39" i="2" s="1"/>
  <c r="AK39" i="2" s="1"/>
  <c r="U39" i="2"/>
  <c r="AY39" i="2" s="1"/>
  <c r="AO39" i="2" s="1"/>
  <c r="P39" i="2"/>
  <c r="AT39" i="2" s="1"/>
  <c r="O11" i="2"/>
  <c r="AS11" i="2" s="1"/>
  <c r="AI11" i="2" s="1"/>
  <c r="X11" i="2"/>
  <c r="BB11" i="2" s="1"/>
  <c r="AR11" i="2" s="1"/>
  <c r="R11" i="2"/>
  <c r="AV11" i="2" s="1"/>
  <c r="Q11" i="2"/>
  <c r="AU11" i="2" s="1"/>
  <c r="S11" i="2"/>
  <c r="AW11" i="2" s="1"/>
  <c r="AM11" i="2" s="1"/>
  <c r="T11" i="2"/>
  <c r="AX11" i="2" s="1"/>
  <c r="AN11" i="2" s="1"/>
  <c r="U11" i="2"/>
  <c r="AY11" i="2" s="1"/>
  <c r="AO11" i="2" s="1"/>
  <c r="V11" i="2"/>
  <c r="AZ11" i="2" s="1"/>
  <c r="W11" i="2"/>
  <c r="BA11" i="2" s="1"/>
  <c r="AQ11" i="2" s="1"/>
  <c r="P11" i="2"/>
  <c r="AT11" i="2" s="1"/>
  <c r="AJ11" i="2" s="1"/>
  <c r="O3" i="2"/>
  <c r="AS3" i="2" s="1"/>
  <c r="AI3" i="2" s="1"/>
  <c r="W3" i="2"/>
  <c r="BA3" i="2" s="1"/>
  <c r="Q3" i="2"/>
  <c r="AU3" i="2" s="1"/>
  <c r="V3" i="2"/>
  <c r="AZ3" i="2" s="1"/>
  <c r="S3" i="2"/>
  <c r="AW3" i="2" s="1"/>
  <c r="T3" i="2"/>
  <c r="AX3" i="2" s="1"/>
  <c r="AN3" i="2" s="1"/>
  <c r="U3" i="2"/>
  <c r="AY3" i="2" s="1"/>
  <c r="AO3" i="2" s="1"/>
  <c r="P3" i="2"/>
  <c r="AT3" i="2" s="1"/>
  <c r="AJ3" i="2" s="1"/>
  <c r="X3" i="2"/>
  <c r="BB3" i="2" s="1"/>
  <c r="AR3" i="2" s="1"/>
  <c r="R3" i="2"/>
  <c r="AV3" i="2" s="1"/>
  <c r="O43" i="2"/>
  <c r="AS43" i="2" s="1"/>
  <c r="AI43" i="2" s="1"/>
  <c r="R43" i="2"/>
  <c r="AV43" i="2" s="1"/>
  <c r="AL43" i="2" s="1"/>
  <c r="P43" i="2"/>
  <c r="AT43" i="2" s="1"/>
  <c r="W43" i="2"/>
  <c r="BA43" i="2" s="1"/>
  <c r="Q43" i="2"/>
  <c r="AU43" i="2" s="1"/>
  <c r="AK43" i="2" s="1"/>
  <c r="T43" i="2"/>
  <c r="AX43" i="2" s="1"/>
  <c r="V43" i="2"/>
  <c r="AZ43" i="2" s="1"/>
  <c r="X43" i="2"/>
  <c r="BB43" i="2" s="1"/>
  <c r="U43" i="2"/>
  <c r="AY43" i="2" s="1"/>
  <c r="S43" i="2"/>
  <c r="AW43" i="2" s="1"/>
  <c r="AM43" i="2" s="1"/>
  <c r="O19" i="2"/>
  <c r="AS19" i="2" s="1"/>
  <c r="AI19" i="2" s="1"/>
  <c r="S19" i="2"/>
  <c r="AW19" i="2" s="1"/>
  <c r="Q19" i="2"/>
  <c r="AU19" i="2" s="1"/>
  <c r="AK19" i="2" s="1"/>
  <c r="W19" i="2"/>
  <c r="BA19" i="2" s="1"/>
  <c r="P19" i="2"/>
  <c r="AT19" i="2" s="1"/>
  <c r="X19" i="2"/>
  <c r="BB19" i="2" s="1"/>
  <c r="R19" i="2"/>
  <c r="AV19" i="2" s="1"/>
  <c r="AL19" i="2" s="1"/>
  <c r="T19" i="2"/>
  <c r="AX19" i="2" s="1"/>
  <c r="AN19" i="2" s="1"/>
  <c r="V19" i="2"/>
  <c r="AZ19" i="2" s="1"/>
  <c r="U19" i="2"/>
  <c r="AY19" i="2" s="1"/>
  <c r="O31" i="2"/>
  <c r="AS31" i="2" s="1"/>
  <c r="AI31" i="2" s="1"/>
  <c r="S31" i="2"/>
  <c r="AW31" i="2" s="1"/>
  <c r="R31" i="2"/>
  <c r="AV31" i="2" s="1"/>
  <c r="AL31" i="2" s="1"/>
  <c r="U31" i="2"/>
  <c r="AY31" i="2" s="1"/>
  <c r="W31" i="2"/>
  <c r="BA31" i="2" s="1"/>
  <c r="V31" i="2"/>
  <c r="AZ31" i="2" s="1"/>
  <c r="AP31" i="2" s="1"/>
  <c r="T31" i="2"/>
  <c r="AX31" i="2" s="1"/>
  <c r="Q31" i="2"/>
  <c r="AU31" i="2" s="1"/>
  <c r="X31" i="2"/>
  <c r="BB31" i="2" s="1"/>
  <c r="AR31" i="2" s="1"/>
  <c r="P31" i="2"/>
  <c r="AT31" i="2" s="1"/>
  <c r="O13" i="2"/>
  <c r="AS13" i="2" s="1"/>
  <c r="AI13" i="2" s="1"/>
  <c r="U13" i="2"/>
  <c r="AY13" i="2" s="1"/>
  <c r="AO13" i="2" s="1"/>
  <c r="S13" i="2"/>
  <c r="AW13" i="2" s="1"/>
  <c r="W13" i="2"/>
  <c r="BA13" i="2" s="1"/>
  <c r="AQ13" i="2" s="1"/>
  <c r="R13" i="2"/>
  <c r="AV13" i="2" s="1"/>
  <c r="AL13" i="2" s="1"/>
  <c r="T13" i="2"/>
  <c r="AX13" i="2" s="1"/>
  <c r="V13" i="2"/>
  <c r="AZ13" i="2" s="1"/>
  <c r="X13" i="2"/>
  <c r="BB13" i="2" s="1"/>
  <c r="P13" i="2"/>
  <c r="AT13" i="2" s="1"/>
  <c r="Q13" i="2"/>
  <c r="AU13" i="2" s="1"/>
  <c r="AP16" i="2"/>
  <c r="O26" i="2"/>
  <c r="AS26" i="2" s="1"/>
  <c r="AI26" i="2" s="1"/>
  <c r="P26" i="2"/>
  <c r="AT26" i="2" s="1"/>
  <c r="S26" i="2"/>
  <c r="AW26" i="2" s="1"/>
  <c r="AM26" i="2" s="1"/>
  <c r="X26" i="2"/>
  <c r="BB26" i="2" s="1"/>
  <c r="Q26" i="2"/>
  <c r="AU26" i="2" s="1"/>
  <c r="AK26" i="2" s="1"/>
  <c r="W26" i="2"/>
  <c r="BA26" i="2" s="1"/>
  <c r="AQ26" i="2" s="1"/>
  <c r="R26" i="2"/>
  <c r="AV26" i="2" s="1"/>
  <c r="U26" i="2"/>
  <c r="AY26" i="2" s="1"/>
  <c r="T26" i="2"/>
  <c r="AX26" i="2" s="1"/>
  <c r="V26" i="2"/>
  <c r="AZ26" i="2" s="1"/>
  <c r="Q8" i="2"/>
  <c r="AU8" i="2" s="1"/>
  <c r="O8" i="2"/>
  <c r="AS8" i="2" s="1"/>
  <c r="AI8" i="2" s="1"/>
  <c r="V8" i="2"/>
  <c r="AZ8" i="2" s="1"/>
  <c r="R8" i="2"/>
  <c r="AV8" i="2" s="1"/>
  <c r="U8" i="2"/>
  <c r="AY8" i="2" s="1"/>
  <c r="P8" i="2"/>
  <c r="AT8" i="2" s="1"/>
  <c r="S8" i="2"/>
  <c r="AW8" i="2" s="1"/>
  <c r="AM8" i="2" s="1"/>
  <c r="T8" i="2"/>
  <c r="AX8" i="2" s="1"/>
  <c r="AN8" i="2" s="1"/>
  <c r="W8" i="2"/>
  <c r="BA8" i="2" s="1"/>
  <c r="X8" i="2"/>
  <c r="BB8" i="2" s="1"/>
  <c r="AR8" i="2" s="1"/>
  <c r="W50" i="2"/>
  <c r="BA50" i="2" s="1"/>
  <c r="AQ50" i="2" s="1"/>
  <c r="O50" i="2"/>
  <c r="AS50" i="2" s="1"/>
  <c r="AI50" i="2" s="1"/>
  <c r="T50" i="2"/>
  <c r="AX50" i="2" s="1"/>
  <c r="V50" i="2"/>
  <c r="AZ50" i="2" s="1"/>
  <c r="S50" i="2"/>
  <c r="AW50" i="2" s="1"/>
  <c r="P50" i="2"/>
  <c r="AT50" i="2" s="1"/>
  <c r="AJ50" i="2" s="1"/>
  <c r="Q50" i="2"/>
  <c r="AU50" i="2" s="1"/>
  <c r="AK50" i="2" s="1"/>
  <c r="X50" i="2"/>
  <c r="BB50" i="2" s="1"/>
  <c r="R50" i="2"/>
  <c r="AV50" i="2" s="1"/>
  <c r="AL50" i="2" s="1"/>
  <c r="U50" i="2"/>
  <c r="AY50" i="2" s="1"/>
  <c r="AO50" i="2" s="1"/>
  <c r="O41" i="2"/>
  <c r="AS41" i="2" s="1"/>
  <c r="AI41" i="2" s="1"/>
  <c r="U41" i="2"/>
  <c r="AY41" i="2" s="1"/>
  <c r="X41" i="2"/>
  <c r="BB41" i="2" s="1"/>
  <c r="P41" i="2"/>
  <c r="AT41" i="2" s="1"/>
  <c r="Q41" i="2"/>
  <c r="AU41" i="2" s="1"/>
  <c r="V41" i="2"/>
  <c r="AZ41" i="2" s="1"/>
  <c r="S41" i="2"/>
  <c r="AW41" i="2" s="1"/>
  <c r="T41" i="2"/>
  <c r="AX41" i="2" s="1"/>
  <c r="R41" i="2"/>
  <c r="AV41" i="2" s="1"/>
  <c r="W41" i="2"/>
  <c r="BA41" i="2" s="1"/>
  <c r="P56" i="2"/>
  <c r="AT56" i="2" s="1"/>
  <c r="O56" i="2"/>
  <c r="AS56" i="2" s="1"/>
  <c r="AI56" i="2" s="1"/>
  <c r="U56" i="2"/>
  <c r="AY56" i="2" s="1"/>
  <c r="T56" i="2"/>
  <c r="AX56" i="2" s="1"/>
  <c r="S56" i="2"/>
  <c r="AW56" i="2" s="1"/>
  <c r="AM56" i="2" s="1"/>
  <c r="Q56" i="2"/>
  <c r="AU56" i="2" s="1"/>
  <c r="R56" i="2"/>
  <c r="AV56" i="2" s="1"/>
  <c r="X56" i="2"/>
  <c r="BB56" i="2" s="1"/>
  <c r="V56" i="2"/>
  <c r="AZ56" i="2" s="1"/>
  <c r="AP56" i="2" s="1"/>
  <c r="W56" i="2"/>
  <c r="BA56" i="2" s="1"/>
  <c r="W35" i="2"/>
  <c r="BA35" i="2" s="1"/>
  <c r="O35" i="2"/>
  <c r="AS35" i="2" s="1"/>
  <c r="AI35" i="2" s="1"/>
  <c r="V35" i="2"/>
  <c r="AZ35" i="2" s="1"/>
  <c r="AP35" i="2" s="1"/>
  <c r="X35" i="2"/>
  <c r="BB35" i="2" s="1"/>
  <c r="AR35" i="2" s="1"/>
  <c r="Q35" i="2"/>
  <c r="AU35" i="2" s="1"/>
  <c r="S35" i="2"/>
  <c r="AW35" i="2" s="1"/>
  <c r="R35" i="2"/>
  <c r="AV35" i="2" s="1"/>
  <c r="AL35" i="2" s="1"/>
  <c r="T35" i="2"/>
  <c r="AX35" i="2" s="1"/>
  <c r="U35" i="2"/>
  <c r="AY35" i="2" s="1"/>
  <c r="P35" i="2"/>
  <c r="AT35" i="2" s="1"/>
  <c r="O44" i="2"/>
  <c r="AS44" i="2" s="1"/>
  <c r="AI44" i="2" s="1"/>
  <c r="P44" i="2"/>
  <c r="AT44" i="2" s="1"/>
  <c r="X44" i="2"/>
  <c r="BB44" i="2" s="1"/>
  <c r="V44" i="2"/>
  <c r="AZ44" i="2" s="1"/>
  <c r="AP44" i="2" s="1"/>
  <c r="S44" i="2"/>
  <c r="AW44" i="2" s="1"/>
  <c r="AM44" i="2" s="1"/>
  <c r="W44" i="2"/>
  <c r="BA44" i="2" s="1"/>
  <c r="AQ44" i="2" s="1"/>
  <c r="R44" i="2"/>
  <c r="AV44" i="2" s="1"/>
  <c r="T44" i="2"/>
  <c r="AX44" i="2" s="1"/>
  <c r="Q44" i="2"/>
  <c r="AU44" i="2" s="1"/>
  <c r="U44" i="2"/>
  <c r="AY44" i="2" s="1"/>
  <c r="O54" i="2"/>
  <c r="AS54" i="2" s="1"/>
  <c r="AI54" i="2" s="1"/>
  <c r="S54" i="2"/>
  <c r="AW54" i="2" s="1"/>
  <c r="Q54" i="2"/>
  <c r="AU54" i="2" s="1"/>
  <c r="V54" i="2"/>
  <c r="AZ54" i="2" s="1"/>
  <c r="P54" i="2"/>
  <c r="AT54" i="2" s="1"/>
  <c r="R54" i="2"/>
  <c r="AV54" i="2" s="1"/>
  <c r="W54" i="2"/>
  <c r="BA54" i="2" s="1"/>
  <c r="AQ54" i="2" s="1"/>
  <c r="T54" i="2"/>
  <c r="AX54" i="2" s="1"/>
  <c r="AN54" i="2" s="1"/>
  <c r="X54" i="2"/>
  <c r="BB54" i="2" s="1"/>
  <c r="U54" i="2"/>
  <c r="AY54" i="2" s="1"/>
  <c r="O4" i="2"/>
  <c r="AS4" i="2" s="1"/>
  <c r="AI4" i="2" s="1"/>
  <c r="T4" i="2"/>
  <c r="AX4" i="2" s="1"/>
  <c r="Q4" i="2"/>
  <c r="AU4" i="2" s="1"/>
  <c r="X4" i="2"/>
  <c r="BB4" i="2" s="1"/>
  <c r="S4" i="2"/>
  <c r="AW4" i="2" s="1"/>
  <c r="W4" i="2"/>
  <c r="BA4" i="2" s="1"/>
  <c r="U4" i="2"/>
  <c r="AY4" i="2" s="1"/>
  <c r="AO4" i="2" s="1"/>
  <c r="R4" i="2"/>
  <c r="AV4" i="2" s="1"/>
  <c r="AL4" i="2" s="1"/>
  <c r="V4" i="2"/>
  <c r="AZ4" i="2" s="1"/>
  <c r="AP4" i="2" s="1"/>
  <c r="P4" i="2"/>
  <c r="AT4" i="2" s="1"/>
  <c r="AJ4" i="2" s="1"/>
  <c r="O34" i="2"/>
  <c r="AS34" i="2" s="1"/>
  <c r="AI34" i="2" s="1"/>
  <c r="T34" i="2"/>
  <c r="AX34" i="2" s="1"/>
  <c r="V34" i="2"/>
  <c r="AZ34" i="2" s="1"/>
  <c r="X34" i="2"/>
  <c r="BB34" i="2" s="1"/>
  <c r="P34" i="2"/>
  <c r="AT34" i="2" s="1"/>
  <c r="R34" i="2"/>
  <c r="AV34" i="2" s="1"/>
  <c r="S34" i="2"/>
  <c r="AW34" i="2" s="1"/>
  <c r="AM34" i="2" s="1"/>
  <c r="U34" i="2"/>
  <c r="AY34" i="2" s="1"/>
  <c r="W34" i="2"/>
  <c r="BA34" i="2" s="1"/>
  <c r="Q34" i="2"/>
  <c r="AU34" i="2" s="1"/>
  <c r="AK34" i="2" s="1"/>
  <c r="T46" i="2"/>
  <c r="AX46" i="2" s="1"/>
  <c r="AN46" i="2" s="1"/>
  <c r="O46" i="2"/>
  <c r="AS46" i="2" s="1"/>
  <c r="AI46" i="2" s="1"/>
  <c r="U46" i="2"/>
  <c r="AY46" i="2" s="1"/>
  <c r="S46" i="2"/>
  <c r="AW46" i="2" s="1"/>
  <c r="W46" i="2"/>
  <c r="BA46" i="2" s="1"/>
  <c r="P46" i="2"/>
  <c r="AT46" i="2" s="1"/>
  <c r="Q46" i="2"/>
  <c r="AU46" i="2" s="1"/>
  <c r="R46" i="2"/>
  <c r="AV46" i="2" s="1"/>
  <c r="AL46" i="2" s="1"/>
  <c r="V46" i="2"/>
  <c r="AZ46" i="2" s="1"/>
  <c r="AP46" i="2" s="1"/>
  <c r="X46" i="2"/>
  <c r="BB46" i="2" s="1"/>
  <c r="O25" i="2"/>
  <c r="AS25" i="2" s="1"/>
  <c r="AI25" i="2" s="1"/>
  <c r="Q25" i="2"/>
  <c r="AU25" i="2" s="1"/>
  <c r="U25" i="2"/>
  <c r="AY25" i="2" s="1"/>
  <c r="AO25" i="2" s="1"/>
  <c r="W25" i="2"/>
  <c r="BA25" i="2" s="1"/>
  <c r="AQ25" i="2" s="1"/>
  <c r="R25" i="2"/>
  <c r="AV25" i="2" s="1"/>
  <c r="V25" i="2"/>
  <c r="AZ25" i="2" s="1"/>
  <c r="X25" i="2"/>
  <c r="BB25" i="2" s="1"/>
  <c r="S25" i="2"/>
  <c r="AW25" i="2" s="1"/>
  <c r="T25" i="2"/>
  <c r="AX25" i="2" s="1"/>
  <c r="P25" i="2"/>
  <c r="AT25" i="2" s="1"/>
  <c r="O24" i="2"/>
  <c r="AS24" i="2" s="1"/>
  <c r="AI24" i="2" s="1"/>
  <c r="R24" i="2"/>
  <c r="AV24" i="2" s="1"/>
  <c r="V24" i="2"/>
  <c r="AZ24" i="2" s="1"/>
  <c r="W24" i="2"/>
  <c r="BA24" i="2" s="1"/>
  <c r="AQ24" i="2" s="1"/>
  <c r="S24" i="2"/>
  <c r="AW24" i="2" s="1"/>
  <c r="AM24" i="2" s="1"/>
  <c r="U24" i="2"/>
  <c r="AY24" i="2" s="1"/>
  <c r="AO24" i="2" s="1"/>
  <c r="P24" i="2"/>
  <c r="AT24" i="2" s="1"/>
  <c r="X24" i="2"/>
  <c r="BB24" i="2" s="1"/>
  <c r="Q24" i="2"/>
  <c r="AU24" i="2" s="1"/>
  <c r="AK24" i="2" s="1"/>
  <c r="T24" i="2"/>
  <c r="AX24" i="2" s="1"/>
  <c r="O9" i="2"/>
  <c r="AS9" i="2" s="1"/>
  <c r="AI9" i="2" s="1"/>
  <c r="X9" i="2"/>
  <c r="BB9" i="2" s="1"/>
  <c r="U9" i="2"/>
  <c r="AY9" i="2" s="1"/>
  <c r="Q9" i="2"/>
  <c r="AU9" i="2" s="1"/>
  <c r="R9" i="2"/>
  <c r="AV9" i="2" s="1"/>
  <c r="AL9" i="2" s="1"/>
  <c r="P9" i="2"/>
  <c r="AT9" i="2" s="1"/>
  <c r="AJ9" i="2" s="1"/>
  <c r="W9" i="2"/>
  <c r="BA9" i="2" s="1"/>
  <c r="AQ9" i="2" s="1"/>
  <c r="T9" i="2"/>
  <c r="AX9" i="2" s="1"/>
  <c r="AN9" i="2" s="1"/>
  <c r="S9" i="2"/>
  <c r="AW9" i="2" s="1"/>
  <c r="V9" i="2"/>
  <c r="AZ9" i="2" s="1"/>
  <c r="AM25" i="2" l="1"/>
  <c r="AJ41" i="2"/>
  <c r="AR52" i="2"/>
  <c r="AO32" i="2"/>
  <c r="AO14" i="2"/>
  <c r="AP57" i="2"/>
  <c r="AP48" i="2"/>
  <c r="AQ40" i="2"/>
  <c r="AP36" i="2"/>
  <c r="AM27" i="2"/>
  <c r="AM46" i="2"/>
  <c r="AP55" i="2"/>
  <c r="AP29" i="2"/>
  <c r="AR51" i="2"/>
  <c r="AR23" i="2"/>
  <c r="AK25" i="2"/>
  <c r="AR50" i="2"/>
  <c r="AK10" i="2"/>
  <c r="AR6" i="2"/>
  <c r="AL28" i="2"/>
  <c r="AM21" i="2"/>
  <c r="AR43" i="2"/>
  <c r="AK11" i="2"/>
  <c r="AK47" i="2"/>
  <c r="AO49" i="2"/>
  <c r="AL53" i="2"/>
  <c r="AR48" i="2"/>
  <c r="AQ21" i="2"/>
  <c r="AM18" i="2"/>
  <c r="AJ51" i="2"/>
  <c r="AL54" i="2"/>
  <c r="AQ41" i="2"/>
  <c r="AO43" i="2"/>
  <c r="AL39" i="2"/>
  <c r="AQ14" i="2"/>
  <c r="AQ36" i="2"/>
  <c r="AK18" i="2"/>
  <c r="AQ34" i="2"/>
  <c r="AJ54" i="2"/>
  <c r="AL41" i="2"/>
  <c r="AO19" i="2"/>
  <c r="AR7" i="2"/>
  <c r="AP20" i="2"/>
  <c r="AO15" i="2"/>
  <c r="AR22" i="2"/>
  <c r="AJ57" i="2"/>
  <c r="AL24" i="2"/>
  <c r="AR46" i="2"/>
  <c r="AO34" i="2"/>
  <c r="AP54" i="2"/>
  <c r="AJ44" i="2"/>
  <c r="AQ56" i="2"/>
  <c r="AN41" i="2"/>
  <c r="AL8" i="2"/>
  <c r="AJ26" i="2"/>
  <c r="AM3" i="2"/>
  <c r="AO7" i="2"/>
  <c r="AN10" i="2"/>
  <c r="AR55" i="2"/>
  <c r="AO40" i="2"/>
  <c r="AJ20" i="2"/>
  <c r="AJ42" i="2"/>
  <c r="AQ27" i="2"/>
  <c r="AL58" i="2"/>
  <c r="AJ28" i="2"/>
  <c r="AP45" i="2"/>
  <c r="AN51" i="2"/>
  <c r="AO37" i="2"/>
  <c r="AN5" i="2"/>
  <c r="AK14" i="2"/>
  <c r="AK8" i="2"/>
  <c r="AJ8" i="2"/>
  <c r="AM13" i="2"/>
  <c r="AP24" i="2"/>
  <c r="AM39" i="2"/>
  <c r="AO5" i="2"/>
  <c r="AQ37" i="2"/>
  <c r="AP19" i="2"/>
  <c r="AL47" i="2"/>
  <c r="AJ15" i="2"/>
  <c r="AJ49" i="2"/>
  <c r="AM53" i="2"/>
  <c r="AM4" i="2"/>
  <c r="AK54" i="2"/>
  <c r="AM41" i="2"/>
  <c r="AM50" i="2"/>
  <c r="AN43" i="2"/>
  <c r="AN52" i="2"/>
  <c r="AM10" i="2"/>
  <c r="AP40" i="2"/>
  <c r="AQ42" i="2"/>
  <c r="AO58" i="2"/>
  <c r="AK28" i="2"/>
  <c r="AR9" i="2"/>
  <c r="AJ25" i="2"/>
  <c r="AL34" i="2"/>
  <c r="AR4" i="2"/>
  <c r="AM54" i="2"/>
  <c r="AJ35" i="2"/>
  <c r="AR56" i="2"/>
  <c r="AP41" i="2"/>
  <c r="AP50" i="2"/>
  <c r="AK3" i="2"/>
  <c r="AJ29" i="2"/>
  <c r="AJ7" i="2"/>
  <c r="AO52" i="2"/>
  <c r="AR14" i="2"/>
  <c r="AR40" i="2"/>
  <c r="AK42" i="2"/>
  <c r="AN23" i="2"/>
  <c r="AK53" i="2"/>
  <c r="AQ6" i="2"/>
  <c r="AL30" i="2"/>
  <c r="AR28" i="2"/>
  <c r="AJ18" i="2"/>
  <c r="AL51" i="2"/>
  <c r="AR37" i="2"/>
  <c r="AN25" i="2"/>
  <c r="AK46" i="2"/>
  <c r="AJ34" i="2"/>
  <c r="AK4" i="2"/>
  <c r="AO35" i="2"/>
  <c r="AL56" i="2"/>
  <c r="AK41" i="2"/>
  <c r="AN50" i="2"/>
  <c r="AK13" i="2"/>
  <c r="AK31" i="2"/>
  <c r="AR19" i="2"/>
  <c r="AQ43" i="2"/>
  <c r="AQ3" i="2"/>
  <c r="AJ39" i="2"/>
  <c r="AO29" i="2"/>
  <c r="AK7" i="2"/>
  <c r="AR47" i="2"/>
  <c r="AQ52" i="2"/>
  <c r="AR10" i="2"/>
  <c r="AN32" i="2"/>
  <c r="AN14" i="2"/>
  <c r="AO55" i="2"/>
  <c r="AN40" i="2"/>
  <c r="AO20" i="2"/>
  <c r="AL49" i="2"/>
  <c r="AP22" i="2"/>
  <c r="AL23" i="2"/>
  <c r="AP53" i="2"/>
  <c r="AO57" i="2"/>
  <c r="AJ6" i="2"/>
  <c r="AQ48" i="2"/>
  <c r="AM30" i="2"/>
  <c r="AR27" i="2"/>
  <c r="AQ58" i="2"/>
  <c r="AO28" i="2"/>
  <c r="AP18" i="2"/>
  <c r="AQ51" i="2"/>
  <c r="AK37" i="2"/>
  <c r="AO8" i="2"/>
  <c r="AP43" i="2"/>
  <c r="AQ39" i="2"/>
  <c r="AL52" i="2"/>
  <c r="AR36" i="2"/>
  <c r="AP8" i="2"/>
  <c r="AJ31" i="2"/>
  <c r="AP3" i="2"/>
  <c r="AN29" i="2"/>
  <c r="AR20" i="2"/>
  <c r="AK15" i="2"/>
  <c r="AJ53" i="2"/>
  <c r="AL6" i="2"/>
  <c r="AN24" i="2"/>
  <c r="AJ46" i="2"/>
  <c r="AR34" i="2"/>
  <c r="AN4" i="2"/>
  <c r="AO44" i="2"/>
  <c r="AN35" i="2"/>
  <c r="AK56" i="2"/>
  <c r="AP26" i="2"/>
  <c r="AJ13" i="2"/>
  <c r="AN31" i="2"/>
  <c r="AJ19" i="2"/>
  <c r="AJ43" i="2"/>
  <c r="AI59" i="2"/>
  <c r="AL29" i="2"/>
  <c r="AM7" i="2"/>
  <c r="AL55" i="2"/>
  <c r="AL40" i="2"/>
  <c r="AM20" i="2"/>
  <c r="AM42" i="2"/>
  <c r="AO22" i="2"/>
  <c r="AO23" i="2"/>
  <c r="AR53" i="2"/>
  <c r="AQ53" i="2"/>
  <c r="AP30" i="2"/>
  <c r="AK27" i="2"/>
  <c r="AP58" i="2"/>
  <c r="AN28" i="2"/>
  <c r="AO21" i="2"/>
  <c r="AN18" i="2"/>
  <c r="AM51" i="2"/>
  <c r="AR26" i="2"/>
  <c r="AQ35" i="2"/>
  <c r="AR5" i="2"/>
  <c r="AR25" i="2"/>
  <c r="AJ47" i="2"/>
  <c r="AL48" i="2"/>
  <c r="AK51" i="2"/>
  <c r="AM37" i="2"/>
  <c r="AM31" i="2"/>
  <c r="AK40" i="2"/>
  <c r="AL45" i="2"/>
  <c r="AL11" i="2"/>
  <c r="AP34" i="2"/>
  <c r="AR41" i="2"/>
  <c r="AN26" i="2"/>
  <c r="AJ55" i="2"/>
  <c r="AN15" i="2"/>
  <c r="AR24" i="2"/>
  <c r="AP25" i="2"/>
  <c r="AN34" i="2"/>
  <c r="AO54" i="2"/>
  <c r="AN44" i="2"/>
  <c r="AM35" i="2"/>
  <c r="AN56" i="2"/>
  <c r="AO41" i="2"/>
  <c r="AO26" i="2"/>
  <c r="AP13" i="2"/>
  <c r="AQ31" i="2"/>
  <c r="AN7" i="2"/>
  <c r="AP47" i="2"/>
  <c r="AP5" i="2"/>
  <c r="AR32" i="2"/>
  <c r="AL14" i="2"/>
  <c r="AK20" i="2"/>
  <c r="AL15" i="2"/>
  <c r="AN49" i="2"/>
  <c r="AK23" i="2"/>
  <c r="AL57" i="2"/>
  <c r="AO27" i="2"/>
  <c r="AM45" i="2"/>
  <c r="AR21" i="2"/>
  <c r="AL18" i="2"/>
  <c r="AO51" i="2"/>
  <c r="AJ37" i="2"/>
  <c r="AJ56" i="2"/>
  <c r="AQ10" i="2"/>
  <c r="AP10" i="2"/>
  <c r="AK48" i="2"/>
  <c r="AR44" i="2"/>
  <c r="AK52" i="2"/>
  <c r="AO42" i="2"/>
  <c r="AK36" i="2"/>
  <c r="AK9" i="2"/>
  <c r="AQ4" i="2"/>
  <c r="AO9" i="2"/>
  <c r="AQ46" i="2"/>
  <c r="AK44" i="2"/>
  <c r="AR13" i="2"/>
  <c r="AQ19" i="2"/>
  <c r="AM32" i="2"/>
  <c r="AP49" i="2"/>
  <c r="AN53" i="2"/>
  <c r="AP9" i="2"/>
  <c r="AM9" i="2"/>
  <c r="AJ24" i="2"/>
  <c r="AL25" i="2"/>
  <c r="AO46" i="2"/>
  <c r="AR54" i="2"/>
  <c r="AL44" i="2"/>
  <c r="AK35" i="2"/>
  <c r="AO56" i="2"/>
  <c r="AQ8" i="2"/>
  <c r="AL26" i="2"/>
  <c r="AN13" i="2"/>
  <c r="AO31" i="2"/>
  <c r="AM19" i="2"/>
  <c r="AL3" i="2"/>
  <c r="AP11" i="2"/>
  <c r="AN39" i="2"/>
  <c r="AP7" i="2"/>
  <c r="AM47" i="2"/>
  <c r="AO10" i="2"/>
  <c r="AK5" i="2"/>
  <c r="AJ32" i="2"/>
  <c r="AM55" i="2"/>
  <c r="AR42" i="2"/>
  <c r="AP15" i="2"/>
  <c r="AQ49" i="2"/>
  <c r="AL22" i="2"/>
  <c r="AP23" i="2"/>
  <c r="AO53" i="2"/>
  <c r="AN6" i="2"/>
  <c r="AM36" i="2"/>
  <c r="AN48" i="2"/>
  <c r="AJ30" i="2"/>
  <c r="AQ45" i="2"/>
  <c r="AK21" i="2"/>
  <c r="AR18" i="2"/>
  <c r="AN37" i="2"/>
  <c r="AO59" i="2" l="1"/>
  <c r="AJ59" i="2"/>
  <c r="AR59" i="2"/>
  <c r="AM59" i="2"/>
  <c r="AN59" i="2"/>
  <c r="AQ59" i="2"/>
  <c r="AL59" i="2"/>
  <c r="AP59" i="2"/>
  <c r="AK59" i="2"/>
  <c r="B12" i="1" s="1"/>
</calcChain>
</file>

<file path=xl/sharedStrings.xml><?xml version="1.0" encoding="utf-8"?>
<sst xmlns="http://schemas.openxmlformats.org/spreadsheetml/2006/main" count="346" uniqueCount="277">
  <si>
    <t>coverage chain (ford, anc4, or anc1)</t>
  </si>
  <si>
    <t>iso3</t>
  </si>
  <si>
    <t>country</t>
  </si>
  <si>
    <t>anc1</t>
  </si>
  <si>
    <t>anc4</t>
  </si>
  <si>
    <t>dtp1</t>
  </si>
  <si>
    <t>window_1to3</t>
  </si>
  <si>
    <t>window_4plus</t>
  </si>
  <si>
    <t>stillbirth_rate</t>
  </si>
  <si>
    <t>share_4plus</t>
  </si>
  <si>
    <t>share_vaccinated</t>
  </si>
  <si>
    <t>intro_year</t>
  </si>
  <si>
    <t>ramp_years</t>
  </si>
  <si>
    <t>share_of_year</t>
  </si>
  <si>
    <t>pregnancy_factor</t>
  </si>
  <si>
    <t>scaleup_2028</t>
  </si>
  <si>
    <t>scaleup_2029</t>
  </si>
  <si>
    <t>scaleup_2030</t>
  </si>
  <si>
    <t>scaleup_2031</t>
  </si>
  <si>
    <t>scaleup_2032</t>
  </si>
  <si>
    <t>scaleup_2033</t>
  </si>
  <si>
    <t>scaleup_2034</t>
  </si>
  <si>
    <t>scaleup_2035</t>
  </si>
  <si>
    <t>scaleup_2036</t>
  </si>
  <si>
    <t>scaleup_2037</t>
  </si>
  <si>
    <t>births_2028</t>
  </si>
  <si>
    <t>births_2029</t>
  </si>
  <si>
    <t>births_2030</t>
  </si>
  <si>
    <t>births_2031</t>
  </si>
  <si>
    <t>births_2032</t>
  </si>
  <si>
    <t>births_2033</t>
  </si>
  <si>
    <t>births_2034</t>
  </si>
  <si>
    <t>births_2035</t>
  </si>
  <si>
    <t>births_2036</t>
  </si>
  <si>
    <t>births_2037</t>
  </si>
  <si>
    <t>doses_2028</t>
  </si>
  <si>
    <t>doses_2029</t>
  </si>
  <si>
    <t>doses_2030</t>
  </si>
  <si>
    <t>doses_2031</t>
  </si>
  <si>
    <t>doses_2032</t>
  </si>
  <si>
    <t>doses_2033</t>
  </si>
  <si>
    <t>doses_2034</t>
  </si>
  <si>
    <t>doses_2035</t>
  </si>
  <si>
    <t>doses_2036</t>
  </si>
  <si>
    <t>doses_2037</t>
  </si>
  <si>
    <t>AFG</t>
  </si>
  <si>
    <t>Afghanistan</t>
  </si>
  <si>
    <t>AGO</t>
  </si>
  <si>
    <t>Angola</t>
  </si>
  <si>
    <t>BDI</t>
  </si>
  <si>
    <t>Burundi</t>
  </si>
  <si>
    <t>BEN</t>
  </si>
  <si>
    <t>Benin</t>
  </si>
  <si>
    <t>BFA</t>
  </si>
  <si>
    <t>Burkina Faso</t>
  </si>
  <si>
    <t>BGD</t>
  </si>
  <si>
    <t>Bangladesh</t>
  </si>
  <si>
    <t>CAF</t>
  </si>
  <si>
    <t>Central African Republic</t>
  </si>
  <si>
    <t>CIV</t>
  </si>
  <si>
    <t>Côte d'Ivoire</t>
  </si>
  <si>
    <t>CMR</t>
  </si>
  <si>
    <t>Cameroon</t>
  </si>
  <si>
    <t>COD</t>
  </si>
  <si>
    <t>Democratic Republic of the Congo</t>
  </si>
  <si>
    <t>COG</t>
  </si>
  <si>
    <t>Congo</t>
  </si>
  <si>
    <t>COM</t>
  </si>
  <si>
    <t>Comoros</t>
  </si>
  <si>
    <t>DJI</t>
  </si>
  <si>
    <t>Djibouti</t>
  </si>
  <si>
    <t>ERI</t>
  </si>
  <si>
    <t>Eritrea</t>
  </si>
  <si>
    <t>ETH</t>
  </si>
  <si>
    <t>Ethiopia</t>
  </si>
  <si>
    <t>GHA</t>
  </si>
  <si>
    <t>Ghana</t>
  </si>
  <si>
    <t>GIN</t>
  </si>
  <si>
    <t>Guinea</t>
  </si>
  <si>
    <t>GMB</t>
  </si>
  <si>
    <t>Gambia</t>
  </si>
  <si>
    <t>GNB</t>
  </si>
  <si>
    <t>Guinea-Bissau</t>
  </si>
  <si>
    <t>HTI</t>
  </si>
  <si>
    <t>Haiti</t>
  </si>
  <si>
    <t>KEN</t>
  </si>
  <si>
    <t>Kenya</t>
  </si>
  <si>
    <t>KGZ</t>
  </si>
  <si>
    <t>Kyrgyzstan</t>
  </si>
  <si>
    <t>KHM</t>
  </si>
  <si>
    <t>Cambodia</t>
  </si>
  <si>
    <t>LAO</t>
  </si>
  <si>
    <t>Lao People's Democratic Republic</t>
  </si>
  <si>
    <t>LBR</t>
  </si>
  <si>
    <t>Liberia</t>
  </si>
  <si>
    <t>LSO</t>
  </si>
  <si>
    <t>Lesotho</t>
  </si>
  <si>
    <t>MDG</t>
  </si>
  <si>
    <t>Madagascar</t>
  </si>
  <si>
    <t>MLI</t>
  </si>
  <si>
    <t>Mali</t>
  </si>
  <si>
    <t>MMR</t>
  </si>
  <si>
    <t>Myanmar</t>
  </si>
  <si>
    <t>MOZ</t>
  </si>
  <si>
    <t>Mozambique</t>
  </si>
  <si>
    <t>MRT</t>
  </si>
  <si>
    <t>Mauritania</t>
  </si>
  <si>
    <t>MWI</t>
  </si>
  <si>
    <t>Malawi</t>
  </si>
  <si>
    <t>NER</t>
  </si>
  <si>
    <t>Niger</t>
  </si>
  <si>
    <t>NGA</t>
  </si>
  <si>
    <t>Nigeria</t>
  </si>
  <si>
    <t>NPL</t>
  </si>
  <si>
    <t>Nepal</t>
  </si>
  <si>
    <t>PAK</t>
  </si>
  <si>
    <t>Pakistan</t>
  </si>
  <si>
    <t>PNG</t>
  </si>
  <si>
    <t>Papua New Guinea</t>
  </si>
  <si>
    <t>PRK</t>
  </si>
  <si>
    <t>Democratic People's Republic of Korea</t>
  </si>
  <si>
    <t>RWA</t>
  </si>
  <si>
    <t>Rwanda</t>
  </si>
  <si>
    <t>SDN</t>
  </si>
  <si>
    <t>Sudan</t>
  </si>
  <si>
    <t>SEN</t>
  </si>
  <si>
    <t>Senegal</t>
  </si>
  <si>
    <t>SLB</t>
  </si>
  <si>
    <t>Solomon Islands</t>
  </si>
  <si>
    <t>SLE</t>
  </si>
  <si>
    <t>Sierra Leone</t>
  </si>
  <si>
    <t>SOM</t>
  </si>
  <si>
    <t>Somalia</t>
  </si>
  <si>
    <t>SSD</t>
  </si>
  <si>
    <t>South Sudan</t>
  </si>
  <si>
    <t>STP</t>
  </si>
  <si>
    <t>Sao Tome and Principe</t>
  </si>
  <si>
    <t>SYR</t>
  </si>
  <si>
    <t>Syrian Arab Republic</t>
  </si>
  <si>
    <t>TCD</t>
  </si>
  <si>
    <t>Chad</t>
  </si>
  <si>
    <t>TGO</t>
  </si>
  <si>
    <t>Togo</t>
  </si>
  <si>
    <t>TJK</t>
  </si>
  <si>
    <t>Tajikistan</t>
  </si>
  <si>
    <t>TLS</t>
  </si>
  <si>
    <t>Timor-Leste</t>
  </si>
  <si>
    <t>TZA</t>
  </si>
  <si>
    <t>UR Tanzania</t>
  </si>
  <si>
    <t>UGA</t>
  </si>
  <si>
    <t>Uganda</t>
  </si>
  <si>
    <t>YEM</t>
  </si>
  <si>
    <t>Yemen</t>
  </si>
  <si>
    <t>ZMB</t>
  </si>
  <si>
    <t>Zambia</t>
  </si>
  <si>
    <t>ZWE</t>
  </si>
  <si>
    <t>Zimbabwe</t>
  </si>
  <si>
    <t>Total</t>
  </si>
  <si>
    <t>pcv_year</t>
  </si>
  <si>
    <t>rota_year</t>
  </si>
  <si>
    <t>hpv_year</t>
  </si>
  <si>
    <t>wastage factor (doses issued per dose administered)</t>
  </si>
  <si>
    <t>buffer stock as share of demand</t>
  </si>
  <si>
    <t>coverage in first year when years to full coverage is 2</t>
  </si>
  <si>
    <t>delay added to every start year (years)</t>
  </si>
  <si>
    <t>buffer method (increase or annual)</t>
  </si>
  <si>
    <t>PCV date</t>
  </si>
  <si>
    <t>rotavirus date</t>
  </si>
  <si>
    <t>HPV date</t>
  </si>
  <si>
    <t>readiness network (1 = member)</t>
  </si>
  <si>
    <t>start year named by Gavi</t>
  </si>
  <si>
    <t>baseline sort key</t>
  </si>
  <si>
    <t>baseline position</t>
  </si>
  <si>
    <t>historic sort key</t>
  </si>
  <si>
    <t>historic position</t>
  </si>
  <si>
    <t>Country</t>
  </si>
  <si>
    <t>PCV: date</t>
  </si>
  <si>
    <t>Rotavirus: date</t>
  </si>
  <si>
    <t>HPV: date</t>
  </si>
  <si>
    <t>first introduction among the 56</t>
  </si>
  <si>
    <t>Gavi baseline: new introductions per year (investment case, Annex B)</t>
  </si>
  <si>
    <t>year</t>
  </si>
  <si>
    <t>new introductions (Gavi)</t>
  </si>
  <si>
    <t>named by Gavi this year</t>
  </si>
  <si>
    <t>open slots</t>
  </si>
  <si>
    <t>first open position</t>
  </si>
  <si>
    <t>after 2040</t>
  </si>
  <si>
    <t>demand_2028</t>
  </si>
  <si>
    <t>demand_2029</t>
  </si>
  <si>
    <t>demand_2030</t>
  </si>
  <si>
    <t>demand_2031</t>
  </si>
  <si>
    <t>demand_2032</t>
  </si>
  <si>
    <t>demand_2033</t>
  </si>
  <si>
    <t>demand_2034</t>
  </si>
  <si>
    <t>demand_2035</t>
  </si>
  <si>
    <t>demand_2036</t>
  </si>
  <si>
    <t>demand_2037</t>
  </si>
  <si>
    <t>ford</t>
  </si>
  <si>
    <t>increase</t>
  </si>
  <si>
    <t>invest</t>
  </si>
  <si>
    <t>maximum coverage</t>
  </si>
  <si>
    <t>initial coverage target below which coverage rises 3 points a year</t>
  </si>
  <si>
    <t>annual coverage increase below that target</t>
  </si>
  <si>
    <t>annual coverage increase at or above that target</t>
  </si>
  <si>
    <t>first year of the analysis period</t>
  </si>
  <si>
    <t>schedule (invest, hist, pcv, rota, or hpv)</t>
  </si>
  <si>
    <t>years to reach initial coverage target, Ethiopia, Pakistan, and the Democratic Republic of the Congo (3 at baseline, 5 with slower coverage scale-up)</t>
  </si>
  <si>
    <t>years to reach initial coverage target, other countries (2 at baseline, 3 with slower coverage scale-up)</t>
  </si>
  <si>
    <t>total doses, 2028–2037 (millions)</t>
  </si>
  <si>
    <t>censor date for introduction intervals (VIEW-hub export date)</t>
  </si>
  <si>
    <t>source</t>
  </si>
  <si>
    <t>Gavi RSV investment case, Annex B, accessed September 29, 2026</t>
  </si>
  <si>
    <t>VIEW-hub, accessed September 29, 2026</t>
  </si>
  <si>
    <t>PCV interval (years)</t>
  </si>
  <si>
    <t>rotavirus interval (years)</t>
  </si>
  <si>
    <t>HPV interval (years)</t>
  </si>
  <si>
    <t>start year, schedule built from Gavi's investment case</t>
  </si>
  <si>
    <t>start year, ordered by introduction history only</t>
  </si>
  <si>
    <t>Scenario settings and Gavi investment case assumptions</t>
  </si>
  <si>
    <t>setting</t>
  </si>
  <si>
    <t>value</t>
  </si>
  <si>
    <t>Pasted as values from Gavi56_introduction_intervals_JRO_2026-10-24.xlsx, sheet Intervals, A10:F66.</t>
  </si>
  <si>
    <t>RSV maternal demand workbook, Gavi56</t>
  </si>
  <si>
    <t>Project</t>
  </si>
  <si>
    <t>Estimated additional infant RSV deaths when maternal RSV vaccination in Gavi-eligible countries starts late or scales up slowly</t>
  </si>
  <si>
    <t>Authors</t>
  </si>
  <si>
    <t>Allison M LaRocco, Amanda J Driscoll, Kayla S Bae, Jack Mason, Jean-Paul Courneya, Meagan C Fitzpatrick, Justin R Ortiz</t>
  </si>
  <si>
    <t>Prepared by</t>
  </si>
  <si>
    <t>Justin R Ortiz, Center for Vaccine Development and Global Health, University of Maryland School of Medicine</t>
  </si>
  <si>
    <t>Contact</t>
  </si>
  <si>
    <t>jortiz@som.umaryland.edu</t>
  </si>
  <si>
    <t>Citation</t>
  </si>
  <si>
    <t>Research Square preprint of the project above, 2026. The DOI is listed in the GitHub repository below.</t>
  </si>
  <si>
    <t>Analysis code</t>
  </si>
  <si>
    <t>https://github.com/justin-ortiz/rsv-maternal-delay-gavi</t>
  </si>
  <si>
    <t>Version</t>
  </si>
  <si>
    <t>Purpose</t>
  </si>
  <si>
    <t>Calculates annual maternal RSV vaccine doses, women vaccinated, and country start years for 56 Gavi-eligible countries, 2028–2037, for each scenario in the project.</t>
  </si>
  <si>
    <t>Settings</t>
  </si>
  <si>
    <t>Scenario switches and Gavi investment case assumptions. Total doses, millions, in B12.</t>
  </si>
  <si>
    <t>Demand</t>
  </si>
  <si>
    <t>One row per country: inputs, initial coverage target, coverage by year, and doses by year. Saved as a CSV file for each scenario and read by the R code.</t>
  </si>
  <si>
    <t>Schedule</t>
  </si>
  <si>
    <t>Introduction intervals and start years for each schedule.</t>
  </si>
  <si>
    <t>Introductions</t>
  </si>
  <si>
    <t>PCV, rotavirus, and HPV introduction dates pasted as values from the introduction intervals workbook.</t>
  </si>
  <si>
    <t>Inputs</t>
  </si>
  <si>
    <t>Light yellow cells are inputs.</t>
  </si>
  <si>
    <t>Births</t>
  </si>
  <si>
    <t>UN World Population Prospects 2024, medium variant, accessed October 9, 2026</t>
  </si>
  <si>
    <t>Stillbirth rates</t>
  </si>
  <si>
    <t>UN Inter-agency Group for Child Mortality Estimation, accessed September 29 and October 19, 2026</t>
  </si>
  <si>
    <t>ANC1+ and ANC4+</t>
  </si>
  <si>
    <t>UNICEF, accessed July 10, 2026, or Our World in Data, accessed October 13, 2026</t>
  </si>
  <si>
    <t>Contact probability at 28–36 weeks</t>
  </si>
  <si>
    <t>Ford et al., AJOG Glob Rep 2025</t>
  </si>
  <si>
    <t>DTP1 coverage</t>
  </si>
  <si>
    <t>WHO/UNICEF estimates of national immunization coverage, 2024, accessed September 7, 2026</t>
  </si>
  <si>
    <t>Introduction dates</t>
  </si>
  <si>
    <t>Introduction counts, wastage, buffer stock, coverage increases</t>
  </si>
  <si>
    <t>Intervals</t>
  </si>
  <si>
    <t>Days between dates divided by 365.25. Start years use Excel ROUND, which rounds halves up.</t>
  </si>
  <si>
    <t>Baseline settings</t>
  </si>
  <si>
    <t>B4 3, B5 2, B9 invest, B11 0</t>
  </si>
  <si>
    <t>01_Baseline.csv</t>
  </si>
  <si>
    <t>02–06 delay files</t>
  </si>
  <si>
    <t>B11 set to 1, 2, 3, 4, or 5</t>
  </si>
  <si>
    <t>07_Slower_scale_up.csv</t>
  </si>
  <si>
    <t>B4 5, B5 3</t>
  </si>
  <si>
    <t>08–09 slower scale-up delay files</t>
  </si>
  <si>
    <t>B4 5, B5 3, B11 set to 1 or 2</t>
  </si>
  <si>
    <t>10–12 historical introduction files</t>
  </si>
  <si>
    <t>B9 set to pcv, rota, or hpv</t>
  </si>
  <si>
    <t>13_Historic_order_only.csv</t>
  </si>
  <si>
    <t>B9 set to hist</t>
  </si>
  <si>
    <t>3-year uptake (1 = yes)</t>
  </si>
  <si>
    <t>mean lag, 3 vaccines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</si>
</sst>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yyyy\-mm\-dd;@"/>
    <numFmt numFmtId="166" formatCode="mmmm\ d\,\ yyyy"/>
  </numFmts>
  <fonts count="7">
    <font>
      <sz val="11"/>
      <color theme="1"/>
      <name val="Calibri"/>
      <family val="2"/>
      <charset val="1"/>
    </font>
    <font>
      <b/>
      <sz val="11"/>
      <name val="Cambria"/>
      <charset val="1"/>
    </font>
    <font>
      <b/>
      <sz val="11"/>
      <name val="Cambria"/>
      <family val="1"/>
    </font>
    <font>
      <b/>
      <sz val="11"/>
      <color theme="1"/>
      <name val="Calibri"/>
      <family val="2"/>
      <charset val="1"/>
    </font>
    <font>
      <b/>
      <sz val="11"/>
      <color theme="1"/>
      <name val="Calibri"/>
      <family val="2"/>
    </font>
    <font>
      <sz val="11"/>
      <color rgb="FF3333FF"/>
      <name val="Calibri"/>
      <family val="2"/>
      <charset val="1"/>
    </font>
    <font>
      <sz val="10"/>
      <color theme="1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0" fillId="0" borderId="0" xfId="0" applyNumberFormat="1"/>
    <xf numFmtId="165" fontId="0" fillId="0" borderId="0" xfId="0" applyNumberFormat="1"/>
    <xf numFmtId="165" fontId="5" fillId="0" borderId="0" xfId="0" applyNumberFormat="1" applyFont="1"/>
    <xf numFmtId="0" fontId="6" fillId="0" borderId="0" xfId="0" applyFont="1" applyAlignment="1">
      <alignment vertical="center"/>
    </xf>
    <xf numFmtId="0" fontId="0" fillId="2" borderId="0" xfId="0" applyFill="1"/>
    <xf numFmtId="2" fontId="0" fillId="2" borderId="0" xfId="0" applyNumberFormat="1" applyFill="1"/>
    <xf numFmtId="166" fontId="0" fillId="2" borderId="0" xfId="0" applyNumberFormat="1" applyFill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5" fontId="0" fillId="0" borderId="0" xfId="0" applyNumberForma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8E6DE-185E-4228-919C-52B204AB9CF7}">
  <dimension ref="A1:B29"/>
  <sheetViews>
    <sheetView tabSelected="1" workbookViewId="0">
      <selection activeCell="B29" sqref="B2:B29"/>
    </sheetView>
  </sheetViews>
  <sheetFormatPr defaultColWidth="71.28515625" defaultRowHeight="15"/>
  <cols>
    <col min="1" max="1" width="57.140625" customWidth="1"/>
    <col min="2" max="2" width="124.140625" style="12" customWidth="1"/>
  </cols>
  <sheetData>
    <row r="1" spans="1:2">
      <c r="A1" t="s">
        <v>222</v>
      </c>
    </row>
    <row r="2" spans="1:2">
      <c r="A2" t="s">
        <v>223</v>
      </c>
      <c r="B2" s="13" t="s">
        <v>224</v>
      </c>
    </row>
    <row r="3" spans="1:2">
      <c r="A3" t="s">
        <v>225</v>
      </c>
      <c r="B3" s="13" t="s">
        <v>226</v>
      </c>
    </row>
    <row r="4" spans="1:2">
      <c r="A4" t="s">
        <v>227</v>
      </c>
      <c r="B4" s="13" t="s">
        <v>228</v>
      </c>
    </row>
    <row r="5" spans="1:2">
      <c r="A5" t="s">
        <v>229</v>
      </c>
      <c r="B5" s="13" t="s">
        <v>230</v>
      </c>
    </row>
    <row r="6" spans="1:2">
      <c r="A6" t="s">
        <v>231</v>
      </c>
      <c r="B6" s="13" t="s">
        <v>232</v>
      </c>
    </row>
    <row r="7" spans="1:2">
      <c r="A7" t="s">
        <v>233</v>
      </c>
      <c r="B7" s="13" t="s">
        <v>234</v>
      </c>
    </row>
    <row r="8" spans="1:2">
      <c r="A8" t="s">
        <v>235</v>
      </c>
      <c r="B8" s="14">
        <v>46319</v>
      </c>
    </row>
    <row r="9" spans="1:2" ht="30">
      <c r="A9" t="s">
        <v>236</v>
      </c>
      <c r="B9" s="13" t="s">
        <v>237</v>
      </c>
    </row>
    <row r="10" spans="1:2">
      <c r="A10" t="s">
        <v>238</v>
      </c>
      <c r="B10" s="13" t="s">
        <v>239</v>
      </c>
    </row>
    <row r="11" spans="1:2" ht="30">
      <c r="A11" t="s">
        <v>240</v>
      </c>
      <c r="B11" s="13" t="s">
        <v>241</v>
      </c>
    </row>
    <row r="12" spans="1:2">
      <c r="A12" t="s">
        <v>242</v>
      </c>
      <c r="B12" s="13" t="s">
        <v>243</v>
      </c>
    </row>
    <row r="13" spans="1:2">
      <c r="A13" t="s">
        <v>244</v>
      </c>
      <c r="B13" s="13" t="s">
        <v>245</v>
      </c>
    </row>
    <row r="14" spans="1:2">
      <c r="A14" t="s">
        <v>246</v>
      </c>
      <c r="B14" s="13" t="s">
        <v>247</v>
      </c>
    </row>
    <row r="15" spans="1:2">
      <c r="A15" t="s">
        <v>248</v>
      </c>
      <c r="B15" s="13" t="s">
        <v>249</v>
      </c>
    </row>
    <row r="16" spans="1:2">
      <c r="A16" t="s">
        <v>250</v>
      </c>
      <c r="B16" s="13" t="s">
        <v>251</v>
      </c>
    </row>
    <row r="17" spans="1:2">
      <c r="A17" t="s">
        <v>252</v>
      </c>
      <c r="B17" s="13" t="s">
        <v>253</v>
      </c>
    </row>
    <row r="18" spans="1:2">
      <c r="A18" t="s">
        <v>254</v>
      </c>
      <c r="B18" s="13" t="s">
        <v>255</v>
      </c>
    </row>
    <row r="19" spans="1:2">
      <c r="A19" t="s">
        <v>256</v>
      </c>
      <c r="B19" s="13" t="s">
        <v>257</v>
      </c>
    </row>
    <row r="20" spans="1:2">
      <c r="A20" t="s">
        <v>258</v>
      </c>
      <c r="B20" s="13" t="s">
        <v>212</v>
      </c>
    </row>
    <row r="21" spans="1:2">
      <c r="A21" t="s">
        <v>259</v>
      </c>
      <c r="B21" s="13" t="s">
        <v>211</v>
      </c>
    </row>
    <row r="22" spans="1:2">
      <c r="A22" t="s">
        <v>260</v>
      </c>
      <c r="B22" s="13" t="s">
        <v>261</v>
      </c>
    </row>
    <row r="23" spans="1:2">
      <c r="A23" t="s">
        <v>262</v>
      </c>
      <c r="B23" s="13" t="s">
        <v>263</v>
      </c>
    </row>
    <row r="24" spans="1:2">
      <c r="A24" t="s">
        <v>264</v>
      </c>
      <c r="B24" s="13" t="s">
        <v>262</v>
      </c>
    </row>
    <row r="25" spans="1:2">
      <c r="A25" t="s">
        <v>265</v>
      </c>
      <c r="B25" s="13" t="s">
        <v>266</v>
      </c>
    </row>
    <row r="26" spans="1:2">
      <c r="A26" t="s">
        <v>267</v>
      </c>
      <c r="B26" s="13" t="s">
        <v>268</v>
      </c>
    </row>
    <row r="27" spans="1:2">
      <c r="A27" t="s">
        <v>269</v>
      </c>
      <c r="B27" s="13" t="s">
        <v>270</v>
      </c>
    </row>
    <row r="28" spans="1:2">
      <c r="A28" t="s">
        <v>271</v>
      </c>
      <c r="B28" s="13" t="s">
        <v>272</v>
      </c>
    </row>
    <row r="29" spans="1:2">
      <c r="A29" t="s">
        <v>273</v>
      </c>
      <c r="B29" s="13" t="s">
        <v>274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zoomScaleNormal="100" workbookViewId="0">
      <selection activeCell="A25" sqref="A25"/>
    </sheetView>
  </sheetViews>
  <sheetFormatPr defaultColWidth="8.7109375" defaultRowHeight="15"/>
  <cols>
    <col min="1" max="1" width="61.42578125" customWidth="1"/>
    <col min="2" max="2" width="24.5703125" customWidth="1"/>
  </cols>
  <sheetData>
    <row r="1" spans="1:3" ht="15" customHeight="1">
      <c r="A1" t="s">
        <v>218</v>
      </c>
    </row>
    <row r="2" spans="1:3" ht="15" customHeight="1"/>
    <row r="3" spans="1:3" ht="15" customHeight="1">
      <c r="A3" t="s">
        <v>219</v>
      </c>
      <c r="B3" t="s">
        <v>220</v>
      </c>
      <c r="C3" t="s">
        <v>210</v>
      </c>
    </row>
    <row r="4" spans="1:3" ht="15" customHeight="1">
      <c r="A4" t="s">
        <v>206</v>
      </c>
      <c r="B4" s="9">
        <v>3</v>
      </c>
      <c r="C4" t="s">
        <v>211</v>
      </c>
    </row>
    <row r="5" spans="1:3" ht="15" customHeight="1">
      <c r="A5" t="s">
        <v>207</v>
      </c>
      <c r="B5" s="9">
        <v>2</v>
      </c>
      <c r="C5" t="s">
        <v>211</v>
      </c>
    </row>
    <row r="6" spans="1:3" ht="15" customHeight="1">
      <c r="A6" t="s">
        <v>161</v>
      </c>
      <c r="B6" s="9">
        <v>1.1299999999999999</v>
      </c>
      <c r="C6" t="s">
        <v>211</v>
      </c>
    </row>
    <row r="7" spans="1:3" ht="15" customHeight="1">
      <c r="A7" t="s">
        <v>162</v>
      </c>
      <c r="B7" s="9">
        <v>0.25</v>
      </c>
      <c r="C7" t="s">
        <v>211</v>
      </c>
    </row>
    <row r="8" spans="1:3" ht="15" customHeight="1">
      <c r="A8" t="s">
        <v>163</v>
      </c>
      <c r="B8" s="10">
        <v>0.8</v>
      </c>
      <c r="C8" t="s">
        <v>211</v>
      </c>
    </row>
    <row r="9" spans="1:3" ht="15" customHeight="1">
      <c r="A9" t="s">
        <v>205</v>
      </c>
      <c r="B9" s="9" t="s">
        <v>199</v>
      </c>
    </row>
    <row r="10" spans="1:3" ht="15" customHeight="1">
      <c r="A10" t="s">
        <v>0</v>
      </c>
      <c r="B10" s="9" t="s">
        <v>197</v>
      </c>
    </row>
    <row r="11" spans="1:3">
      <c r="A11" t="s">
        <v>164</v>
      </c>
      <c r="B11" s="9">
        <v>0</v>
      </c>
    </row>
    <row r="12" spans="1:3">
      <c r="A12" t="s">
        <v>208</v>
      </c>
      <c r="B12" s="5">
        <f>SUM(Demand!AI59:AR59)/1000000</f>
        <v>186.55438365368255</v>
      </c>
    </row>
    <row r="13" spans="1:3">
      <c r="A13" t="s">
        <v>165</v>
      </c>
      <c r="B13" s="9" t="s">
        <v>198</v>
      </c>
    </row>
    <row r="14" spans="1:3">
      <c r="A14" t="s">
        <v>209</v>
      </c>
      <c r="B14" s="11">
        <v>46294</v>
      </c>
      <c r="C14" t="s">
        <v>212</v>
      </c>
    </row>
    <row r="15" spans="1:3">
      <c r="A15" t="s">
        <v>200</v>
      </c>
      <c r="B15" s="9">
        <v>0.9</v>
      </c>
      <c r="C15" t="s">
        <v>211</v>
      </c>
    </row>
    <row r="16" spans="1:3">
      <c r="A16" t="s">
        <v>201</v>
      </c>
      <c r="B16" s="9">
        <v>0.7</v>
      </c>
      <c r="C16" t="s">
        <v>211</v>
      </c>
    </row>
    <row r="17" spans="1:3">
      <c r="A17" t="s">
        <v>202</v>
      </c>
      <c r="B17" s="9">
        <v>0.03</v>
      </c>
      <c r="C17" t="s">
        <v>211</v>
      </c>
    </row>
    <row r="18" spans="1:3">
      <c r="A18" t="s">
        <v>203</v>
      </c>
      <c r="B18" s="9">
        <v>0.01</v>
      </c>
      <c r="C18" t="s">
        <v>211</v>
      </c>
    </row>
    <row r="19" spans="1:3">
      <c r="A19" t="s">
        <v>204</v>
      </c>
      <c r="B19" s="9">
        <v>2028</v>
      </c>
    </row>
  </sheetData>
  <dataValidations count="3">
    <dataValidation type="list" allowBlank="1" showInputMessage="1" showErrorMessage="1" sqref="B9" xr:uid="{ED25BE23-9DA4-40B7-81E0-62226E062539}">
      <formula1>"invest,hist,pcv,rota,hpv"</formula1>
    </dataValidation>
    <dataValidation type="list" allowBlank="1" showInputMessage="1" showErrorMessage="1" sqref="B10" xr:uid="{E0BBC74F-B301-42E3-BCA8-503C8A61A656}">
      <formula1>"ford,anc4,anc1"</formula1>
    </dataValidation>
    <dataValidation type="list" allowBlank="1" showInputMessage="1" showErrorMessage="1" sqref="B13" xr:uid="{6AE867DF-FD61-492C-A37E-0B6C296DFB6B}">
      <formula1>"increase,annual"</formula1>
    </dataValidation>
  </dataValidations>
  <pageMargins left="0.75" right="0.75" top="1" bottom="1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59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8.7109375" defaultRowHeight="15"/>
  <cols>
    <col min="2" max="2" width="32" customWidth="1"/>
  </cols>
  <sheetData>
    <row r="1" spans="1:54" s="3" customFormat="1" ht="1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24</v>
      </c>
      <c r="Y1" s="2" t="s">
        <v>25</v>
      </c>
      <c r="Z1" s="2" t="s">
        <v>26</v>
      </c>
      <c r="AA1" s="2" t="s">
        <v>27</v>
      </c>
      <c r="AB1" s="2" t="s">
        <v>28</v>
      </c>
      <c r="AC1" s="2" t="s">
        <v>29</v>
      </c>
      <c r="AD1" s="2" t="s">
        <v>30</v>
      </c>
      <c r="AE1" s="2" t="s">
        <v>31</v>
      </c>
      <c r="AF1" s="2" t="s">
        <v>32</v>
      </c>
      <c r="AG1" s="2" t="s">
        <v>33</v>
      </c>
      <c r="AH1" s="2" t="s">
        <v>34</v>
      </c>
      <c r="AI1" s="2" t="s">
        <v>35</v>
      </c>
      <c r="AJ1" s="2" t="s">
        <v>36</v>
      </c>
      <c r="AK1" s="2" t="s">
        <v>37</v>
      </c>
      <c r="AL1" s="2" t="s">
        <v>38</v>
      </c>
      <c r="AM1" s="2" t="s">
        <v>39</v>
      </c>
      <c r="AN1" s="2" t="s">
        <v>40</v>
      </c>
      <c r="AO1" s="2" t="s">
        <v>41</v>
      </c>
      <c r="AP1" s="2" t="s">
        <v>42</v>
      </c>
      <c r="AQ1" s="2" t="s">
        <v>43</v>
      </c>
      <c r="AR1" s="2" t="s">
        <v>44</v>
      </c>
      <c r="AS1" s="3" t="s">
        <v>187</v>
      </c>
      <c r="AT1" s="3" t="s">
        <v>188</v>
      </c>
      <c r="AU1" s="3" t="s">
        <v>189</v>
      </c>
      <c r="AV1" s="3" t="s">
        <v>190</v>
      </c>
      <c r="AW1" s="3" t="s">
        <v>191</v>
      </c>
      <c r="AX1" s="3" t="s">
        <v>192</v>
      </c>
      <c r="AY1" s="3" t="s">
        <v>193</v>
      </c>
      <c r="AZ1" s="3" t="s">
        <v>194</v>
      </c>
      <c r="BA1" s="3" t="s">
        <v>195</v>
      </c>
      <c r="BB1" s="3" t="s">
        <v>196</v>
      </c>
    </row>
    <row r="2" spans="1:54" ht="15" customHeight="1">
      <c r="O2">
        <v>2028</v>
      </c>
      <c r="P2">
        <v>2029</v>
      </c>
      <c r="Q2">
        <v>2030</v>
      </c>
      <c r="R2">
        <v>2031</v>
      </c>
      <c r="S2">
        <v>2032</v>
      </c>
      <c r="T2">
        <v>2033</v>
      </c>
      <c r="U2">
        <v>2034</v>
      </c>
      <c r="V2">
        <v>2035</v>
      </c>
      <c r="W2">
        <v>2036</v>
      </c>
      <c r="X2">
        <v>2037</v>
      </c>
      <c r="Y2">
        <v>2028</v>
      </c>
      <c r="Z2">
        <v>2029</v>
      </c>
      <c r="AA2">
        <v>2030</v>
      </c>
      <c r="AB2">
        <v>2031</v>
      </c>
      <c r="AC2">
        <v>2032</v>
      </c>
      <c r="AD2">
        <v>2033</v>
      </c>
      <c r="AE2">
        <v>2034</v>
      </c>
      <c r="AF2">
        <v>2035</v>
      </c>
      <c r="AG2">
        <v>2036</v>
      </c>
      <c r="AH2">
        <v>2037</v>
      </c>
      <c r="AI2">
        <v>2028</v>
      </c>
      <c r="AJ2">
        <v>2029</v>
      </c>
      <c r="AK2">
        <v>2030</v>
      </c>
      <c r="AL2">
        <v>2031</v>
      </c>
      <c r="AM2">
        <v>2032</v>
      </c>
      <c r="AN2">
        <v>2033</v>
      </c>
      <c r="AO2">
        <v>2034</v>
      </c>
      <c r="AP2">
        <v>2035</v>
      </c>
      <c r="AQ2">
        <v>2036</v>
      </c>
      <c r="AR2">
        <v>2037</v>
      </c>
    </row>
    <row r="3" spans="1:54" ht="15" customHeight="1">
      <c r="A3" t="s">
        <v>45</v>
      </c>
      <c r="B3" t="s">
        <v>46</v>
      </c>
      <c r="C3" s="9">
        <v>0.76400000000000001</v>
      </c>
      <c r="D3" s="9">
        <v>0.33400000000000002</v>
      </c>
      <c r="E3" s="9">
        <v>0.66</v>
      </c>
      <c r="F3" s="9">
        <v>0.52600000000000002</v>
      </c>
      <c r="G3" s="9">
        <v>0.84299999999999997</v>
      </c>
      <c r="H3" s="9">
        <v>28</v>
      </c>
      <c r="I3">
        <f t="shared" ref="I3:I34" si="0">MIN(1,D3/C3)</f>
        <v>0.43717277486910999</v>
      </c>
      <c r="J3">
        <f>IF(Settings!$B$10="anc4",D3*E3,IF(Settings!$B$10="anc1",C3*E3,C3*(G3*I3+F3*(1-I3))*E3))</f>
        <v>0.33510972000000011</v>
      </c>
      <c r="K3">
        <f>IF(Settings!$B$9="invest",Schedule!R3,IF(Settings!$B$9="hist",Schedule!U3,IF(Settings!$B$9="pcv",Schedule!M3,IF(Settings!$B$9="rota",Schedule!N3,Schedule!O3))))+Settings!$B$11</f>
        <v>2041</v>
      </c>
      <c r="L3">
        <f>IF(Schedule!H3=1,Settings!$B$4,Settings!$B$5)</f>
        <v>2</v>
      </c>
      <c r="M3" s="9">
        <v>1</v>
      </c>
      <c r="N3">
        <f t="shared" ref="N3:N34" si="1">1+H3/(1000-H3)</f>
        <v>1.0288065843621399</v>
      </c>
      <c r="O3">
        <f>IF(O$2&lt;$K3,0,IF(O$2-$K3+1&lt;$L3,IF($L3=2,Settings!$B$8,(O$2-$K3+1)/$L3),IF($J3*$M3&gt;=Settings!$B$15,1,MIN(Settings!$B$15,$J3*$M3+IF($J3*$M3&lt;Settings!$B$16,Settings!$B$17,Settings!$B$18)*(O$2-$K3-$L3+1))/($J3*$M3))))</f>
        <v>0</v>
      </c>
      <c r="P3">
        <f>IF(P$2&lt;$K3,0,IF(AND(P$2=$K3,$L3=2),Settings!$B$8,IF(P$2-$K3+1&lt;$L3,(P$2-$K3+1)/$L3,IF($J3*$M3&gt;=0.9,1,MIN(0.9,$J3*$M3+IF($J3*$M3&lt;0.7,0.03,0.01)*(P$2-$K3-$L3+1))/($J3*$M3)))))</f>
        <v>0</v>
      </c>
      <c r="Q3">
        <f>IF(Q$2&lt;$K3,0,IF(AND(Q$2=$K3,$L3=2),Settings!$B$8,IF(Q$2-$K3+1&lt;$L3,(Q$2-$K3+1)/$L3,IF($J3*$M3&gt;=0.9,1,MIN(0.9,$J3*$M3+IF($J3*$M3&lt;0.7,0.03,0.01)*(Q$2-$K3-$L3+1))/($J3*$M3)))))</f>
        <v>0</v>
      </c>
      <c r="R3">
        <f>IF(R$2&lt;$K3,0,IF(AND(R$2=$K3,$L3=2),Settings!$B$8,IF(R$2-$K3+1&lt;$L3,(R$2-$K3+1)/$L3,IF($J3*$M3&gt;=0.9,1,MIN(0.9,$J3*$M3+IF($J3*$M3&lt;0.7,0.03,0.01)*(R$2-$K3-$L3+1))/($J3*$M3)))))</f>
        <v>0</v>
      </c>
      <c r="S3">
        <f>IF(S$2&lt;$K3,0,IF(AND(S$2=$K3,$L3=2),Settings!$B$8,IF(S$2-$K3+1&lt;$L3,(S$2-$K3+1)/$L3,IF($J3*$M3&gt;=0.9,1,MIN(0.9,$J3*$M3+IF($J3*$M3&lt;0.7,0.03,0.01)*(S$2-$K3-$L3+1))/($J3*$M3)))))</f>
        <v>0</v>
      </c>
      <c r="T3">
        <f>IF(T$2&lt;$K3,0,IF(AND(T$2=$K3,$L3=2),Settings!$B$8,IF(T$2-$K3+1&lt;$L3,(T$2-$K3+1)/$L3,IF($J3*$M3&gt;=0.9,1,MIN(0.9,$J3*$M3+IF($J3*$M3&lt;0.7,0.03,0.01)*(T$2-$K3-$L3+1))/($J3*$M3)))))</f>
        <v>0</v>
      </c>
      <c r="U3">
        <f>IF(U$2&lt;$K3,0,IF(AND(U$2=$K3,$L3=2),Settings!$B$8,IF(U$2-$K3+1&lt;$L3,(U$2-$K3+1)/$L3,IF($J3*$M3&gt;=0.9,1,MIN(0.9,$J3*$M3+IF($J3*$M3&lt;0.7,0.03,0.01)*(U$2-$K3-$L3+1))/($J3*$M3)))))</f>
        <v>0</v>
      </c>
      <c r="V3">
        <f>IF(V$2&lt;$K3,0,IF(AND(V$2=$K3,$L3=2),Settings!$B$8,IF(V$2-$K3+1&lt;$L3,(V$2-$K3+1)/$L3,IF($J3*$M3&gt;=0.9,1,MIN(0.9,$J3*$M3+IF($J3*$M3&lt;0.7,0.03,0.01)*(V$2-$K3-$L3+1))/($J3*$M3)))))</f>
        <v>0</v>
      </c>
      <c r="W3">
        <f>IF(W$2&lt;$K3,0,IF(AND(W$2=$K3,$L3=2),Settings!$B$8,IF(W$2-$K3+1&lt;$L3,(W$2-$K3+1)/$L3,IF($J3*$M3&gt;=0.9,1,MIN(0.9,$J3*$M3+IF($J3*$M3&lt;0.7,0.03,0.01)*(W$2-$K3-$L3+1))/($J3*$M3)))))</f>
        <v>0</v>
      </c>
      <c r="X3">
        <f>IF(X$2&lt;$K3,0,IF(AND(X$2=$K3,$L3=2),Settings!$B$8,IF(X$2-$K3+1&lt;$L3,(X$2-$K3+1)/$L3,IF($J3*$M3&gt;=0.9,1,MIN(0.9,$J3*$M3+IF($J3*$M3&lt;0.7,0.03,0.01)*(X$2-$K3-$L3+1))/($J3*$M3)))))</f>
        <v>0</v>
      </c>
      <c r="Y3" s="9">
        <v>1554632</v>
      </c>
      <c r="Z3" s="9">
        <v>1560605</v>
      </c>
      <c r="AA3" s="9">
        <v>1576409</v>
      </c>
      <c r="AB3" s="9">
        <v>1593560</v>
      </c>
      <c r="AC3" s="9">
        <v>1608833</v>
      </c>
      <c r="AD3" s="9">
        <v>1623192</v>
      </c>
      <c r="AE3" s="9">
        <v>1644283</v>
      </c>
      <c r="AF3" s="9">
        <v>1656175</v>
      </c>
      <c r="AG3" s="9">
        <v>1667402</v>
      </c>
      <c r="AH3" s="9">
        <v>1676947</v>
      </c>
      <c r="AI3">
        <f>AS3*(1+Settings!$B$7)</f>
        <v>0</v>
      </c>
      <c r="AJ3">
        <f>IF(Settings!$B$13="annual",AT3*(1+Settings!$B$7),AT3+Settings!$B$7*IF(AT3&gt;AS3,AT3-AS3,0))</f>
        <v>0</v>
      </c>
      <c r="AK3">
        <f>IF(Settings!$B$13="annual",AU3*(1+Settings!$B$7),AU3+Settings!$B$7*IF(AU3&gt;AT3,AU3-AT3,0))</f>
        <v>0</v>
      </c>
      <c r="AL3">
        <f>IF(Settings!$B$13="annual",AV3*(1+Settings!$B$7),AV3+Settings!$B$7*IF(AV3&gt;AU3,AV3-AU3,0))</f>
        <v>0</v>
      </c>
      <c r="AM3">
        <f>IF(Settings!$B$13="annual",AW3*(1+Settings!$B$7),AW3+Settings!$B$7*IF(AW3&gt;AV3,AW3-AV3,0))</f>
        <v>0</v>
      </c>
      <c r="AN3">
        <f>IF(Settings!$B$13="annual",AX3*(1+Settings!$B$7),AX3+Settings!$B$7*IF(AX3&gt;AW3,AX3-AW3,0))</f>
        <v>0</v>
      </c>
      <c r="AO3">
        <f>IF(Settings!$B$13="annual",AY3*(1+Settings!$B$7),AY3+Settings!$B$7*IF(AY3&gt;AX3,AY3-AX3,0))</f>
        <v>0</v>
      </c>
      <c r="AP3">
        <f>IF(Settings!$B$13="annual",AZ3*(1+Settings!$B$7),AZ3+Settings!$B$7*IF(AZ3&gt;AY3,AZ3-AY3,0))</f>
        <v>0</v>
      </c>
      <c r="AQ3">
        <f>IF(Settings!$B$13="annual",BA3*(1+Settings!$B$7),BA3+Settings!$B$7*IF(BA3&gt;AZ3,BA3-AZ3,0))</f>
        <v>0</v>
      </c>
      <c r="AR3">
        <f>IF(Settings!$B$13="annual",BB3*(1+Settings!$B$7),BB3+Settings!$B$7*IF(BB3&gt;BA3,BB3-BA3,0))</f>
        <v>0</v>
      </c>
      <c r="AS3">
        <f>Y3*$N3*$J3*$M3*O3*Settings!$B$6</f>
        <v>0</v>
      </c>
      <c r="AT3">
        <f>Z3*$N3*$J3*$M3*P3*Settings!$B$6</f>
        <v>0</v>
      </c>
      <c r="AU3">
        <f>AA3*$N3*$J3*$M3*Q3*Settings!$B$6</f>
        <v>0</v>
      </c>
      <c r="AV3">
        <f>AB3*$N3*$J3*$M3*R3*Settings!$B$6</f>
        <v>0</v>
      </c>
      <c r="AW3">
        <f>AC3*$N3*$J3*$M3*S3*Settings!$B$6</f>
        <v>0</v>
      </c>
      <c r="AX3">
        <f>AD3*$N3*$J3*$M3*T3*Settings!$B$6</f>
        <v>0</v>
      </c>
      <c r="AY3">
        <f>AE3*$N3*$J3*$M3*U3*Settings!$B$6</f>
        <v>0</v>
      </c>
      <c r="AZ3">
        <f>AF3*$N3*$J3*$M3*V3*Settings!$B$6</f>
        <v>0</v>
      </c>
      <c r="BA3">
        <f>AG3*$N3*$J3*$M3*W3*Settings!$B$6</f>
        <v>0</v>
      </c>
      <c r="BB3">
        <f>AH3*$N3*$J3*$M3*X3*Settings!$B$6</f>
        <v>0</v>
      </c>
    </row>
    <row r="4" spans="1:54" ht="15" customHeight="1">
      <c r="A4" t="s">
        <v>47</v>
      </c>
      <c r="B4" t="s">
        <v>48</v>
      </c>
      <c r="C4" s="9">
        <v>0.77300000000000002</v>
      </c>
      <c r="D4" s="9">
        <v>0.51200000000000001</v>
      </c>
      <c r="E4" s="9">
        <v>0.7</v>
      </c>
      <c r="F4" s="9">
        <v>0.52600000000000002</v>
      </c>
      <c r="G4" s="9">
        <v>0.84299999999999997</v>
      </c>
      <c r="H4" s="9">
        <v>19.899999999999999</v>
      </c>
      <c r="I4">
        <f t="shared" si="0"/>
        <v>0.66235446313065971</v>
      </c>
      <c r="J4">
        <f>IF(Settings!$B$10="anc4",D4*E4,IF(Settings!$B$10="anc1",C4*E4,C4*(G4*I4+F4*(1-I4))*E4))</f>
        <v>0.39823140000000001</v>
      </c>
      <c r="K4">
        <f>IF(Settings!$B$9="invest",Schedule!R4,IF(Settings!$B$9="hist",Schedule!U4,IF(Settings!$B$9="pcv",Schedule!M4,IF(Settings!$B$9="rota",Schedule!N4,Schedule!O4))))+Settings!$B$11</f>
        <v>2036</v>
      </c>
      <c r="L4">
        <f>IF(Schedule!H4=1,Settings!$B$4,Settings!$B$5)</f>
        <v>2</v>
      </c>
      <c r="M4" s="9">
        <v>1</v>
      </c>
      <c r="N4">
        <f t="shared" si="1"/>
        <v>1.0203040506070808</v>
      </c>
      <c r="O4">
        <f>IF(O$2&lt;$K4,0,IF(O$2-$K4+1&lt;$L4,IF($L4=2,Settings!$B$8,(O$2-$K4+1)/$L4),IF($J4*$M4&gt;=Settings!$B$15,1,MIN(Settings!$B$15,$J4*$M4+IF($J4*$M4&lt;Settings!$B$16,Settings!$B$17,Settings!$B$18)*(O$2-$K4-$L4+1))/($J4*$M4))))</f>
        <v>0</v>
      </c>
      <c r="P4">
        <f>IF(P$2&lt;$K4,0,IF(AND(P$2=$K4,$L4=2),Settings!$B$8,IF(P$2-$K4+1&lt;$L4,(P$2-$K4+1)/$L4,IF($J4*$M4&gt;=0.9,1,MIN(0.9,$J4*$M4+IF($J4*$M4&lt;0.7,0.03,0.01)*(P$2-$K4-$L4+1))/($J4*$M4)))))</f>
        <v>0</v>
      </c>
      <c r="Q4">
        <f>IF(Q$2&lt;$K4,0,IF(AND(Q$2=$K4,$L4=2),Settings!$B$8,IF(Q$2-$K4+1&lt;$L4,(Q$2-$K4+1)/$L4,IF($J4*$M4&gt;=0.9,1,MIN(0.9,$J4*$M4+IF($J4*$M4&lt;0.7,0.03,0.01)*(Q$2-$K4-$L4+1))/($J4*$M4)))))</f>
        <v>0</v>
      </c>
      <c r="R4">
        <f>IF(R$2&lt;$K4,0,IF(AND(R$2=$K4,$L4=2),Settings!$B$8,IF(R$2-$K4+1&lt;$L4,(R$2-$K4+1)/$L4,IF($J4*$M4&gt;=0.9,1,MIN(0.9,$J4*$M4+IF($J4*$M4&lt;0.7,0.03,0.01)*(R$2-$K4-$L4+1))/($J4*$M4)))))</f>
        <v>0</v>
      </c>
      <c r="S4">
        <f>IF(S$2&lt;$K4,0,IF(AND(S$2=$K4,$L4=2),Settings!$B$8,IF(S$2-$K4+1&lt;$L4,(S$2-$K4+1)/$L4,IF($J4*$M4&gt;=0.9,1,MIN(0.9,$J4*$M4+IF($J4*$M4&lt;0.7,0.03,0.01)*(S$2-$K4-$L4+1))/($J4*$M4)))))</f>
        <v>0</v>
      </c>
      <c r="T4">
        <f>IF(T$2&lt;$K4,0,IF(AND(T$2=$K4,$L4=2),Settings!$B$8,IF(T$2-$K4+1&lt;$L4,(T$2-$K4+1)/$L4,IF($J4*$M4&gt;=0.9,1,MIN(0.9,$J4*$M4+IF($J4*$M4&lt;0.7,0.03,0.01)*(T$2-$K4-$L4+1))/($J4*$M4)))))</f>
        <v>0</v>
      </c>
      <c r="U4">
        <f>IF(U$2&lt;$K4,0,IF(AND(U$2=$K4,$L4=2),Settings!$B$8,IF(U$2-$K4+1&lt;$L4,(U$2-$K4+1)/$L4,IF($J4*$M4&gt;=0.9,1,MIN(0.9,$J4*$M4+IF($J4*$M4&lt;0.7,0.03,0.01)*(U$2-$K4-$L4+1))/($J4*$M4)))))</f>
        <v>0</v>
      </c>
      <c r="V4">
        <f>IF(V$2&lt;$K4,0,IF(AND(V$2=$K4,$L4=2),Settings!$B$8,IF(V$2-$K4+1&lt;$L4,(V$2-$K4+1)/$L4,IF($J4*$M4&gt;=0.9,1,MIN(0.9,$J4*$M4+IF($J4*$M4&lt;0.7,0.03,0.01)*(V$2-$K4-$L4+1))/($J4*$M4)))))</f>
        <v>0</v>
      </c>
      <c r="W4">
        <f>IF(W$2&lt;$K4,0,IF(AND(W$2=$K4,$L4=2),Settings!$B$8,IF(W$2-$K4+1&lt;$L4,(W$2-$K4+1)/$L4,IF($J4*$M4&gt;=0.9,1,MIN(0.9,$J4*$M4+IF($J4*$M4&lt;0.7,0.03,0.01)*(W$2-$K4-$L4+1))/($J4*$M4)))))</f>
        <v>0.8</v>
      </c>
      <c r="X4">
        <f>IF(X$2&lt;$K4,0,IF(AND(X$2=$K4,$L4=2),Settings!$B$8,IF(X$2-$K4+1&lt;$L4,(X$2-$K4+1)/$L4,IF($J4*$M4&gt;=0.9,1,MIN(0.9,$J4*$M4+IF($J4*$M4&lt;0.7,0.03,0.01)*(X$2-$K4-$L4+1))/($J4*$M4)))))</f>
        <v>1</v>
      </c>
      <c r="Y4" s="9">
        <v>1519386</v>
      </c>
      <c r="Z4" s="9">
        <v>1549300</v>
      </c>
      <c r="AA4" s="9">
        <v>1569908</v>
      </c>
      <c r="AB4" s="9">
        <v>1595378</v>
      </c>
      <c r="AC4" s="9">
        <v>1618620</v>
      </c>
      <c r="AD4" s="9">
        <v>1645853</v>
      </c>
      <c r="AE4" s="9">
        <v>1672818</v>
      </c>
      <c r="AF4" s="9">
        <v>1699567</v>
      </c>
      <c r="AG4" s="9">
        <v>1724828</v>
      </c>
      <c r="AH4" s="9">
        <v>1740656</v>
      </c>
      <c r="AI4">
        <f>AS4*(1+Settings!$B$7)</f>
        <v>0</v>
      </c>
      <c r="AJ4">
        <f>IF(Settings!$B$13="annual",AT4*(1+Settings!$B$7),AT4+Settings!$B$7*IF(AT4&gt;AS4,AT4-AS4,0))</f>
        <v>0</v>
      </c>
      <c r="AK4">
        <f>IF(Settings!$B$13="annual",AU4*(1+Settings!$B$7),AU4+Settings!$B$7*IF(AU4&gt;AT4,AU4-AT4,0))</f>
        <v>0</v>
      </c>
      <c r="AL4">
        <f>IF(Settings!$B$13="annual",AV4*(1+Settings!$B$7),AV4+Settings!$B$7*IF(AV4&gt;AU4,AV4-AU4,0))</f>
        <v>0</v>
      </c>
      <c r="AM4">
        <f>IF(Settings!$B$13="annual",AW4*(1+Settings!$B$7),AW4+Settings!$B$7*IF(AW4&gt;AV4,AW4-AV4,0))</f>
        <v>0</v>
      </c>
      <c r="AN4">
        <f>IF(Settings!$B$13="annual",AX4*(1+Settings!$B$7),AX4+Settings!$B$7*IF(AX4&gt;AW4,AX4-AW4,0))</f>
        <v>0</v>
      </c>
      <c r="AO4">
        <f>IF(Settings!$B$13="annual",AY4*(1+Settings!$B$7),AY4+Settings!$B$7*IF(AY4&gt;AX4,AY4-AX4,0))</f>
        <v>0</v>
      </c>
      <c r="AP4">
        <f>IF(Settings!$B$13="annual",AZ4*(1+Settings!$B$7),AZ4+Settings!$B$7*IF(AZ4&gt;AY4,AZ4-AY4,0))</f>
        <v>0</v>
      </c>
      <c r="AQ4">
        <f>IF(Settings!$B$13="annual",BA4*(1+Settings!$B$7),BA4+Settings!$B$7*IF(BA4&gt;AZ4,BA4-AZ4,0))</f>
        <v>791934.65584644012</v>
      </c>
      <c r="AR4">
        <f>IF(Settings!$B$13="annual",BB4*(1+Settings!$B$7),BB4+Settings!$B$7*IF(BB4&gt;BA4,BB4-BA4,0))</f>
        <v>840615.44059404219</v>
      </c>
      <c r="AS4">
        <f>Y4*$N4*$J4*$M4*O4*Settings!$B$6</f>
        <v>0</v>
      </c>
      <c r="AT4">
        <f>Z4*$N4*$J4*$M4*P4*Settings!$B$6</f>
        <v>0</v>
      </c>
      <c r="AU4">
        <f>AA4*$N4*$J4*$M4*Q4*Settings!$B$6</f>
        <v>0</v>
      </c>
      <c r="AV4">
        <f>AB4*$N4*$J4*$M4*R4*Settings!$B$6</f>
        <v>0</v>
      </c>
      <c r="AW4">
        <f>AC4*$N4*$J4*$M4*S4*Settings!$B$6</f>
        <v>0</v>
      </c>
      <c r="AX4">
        <f>AD4*$N4*$J4*$M4*T4*Settings!$B$6</f>
        <v>0</v>
      </c>
      <c r="AY4">
        <f>AE4*$N4*$J4*$M4*U4*Settings!$B$6</f>
        <v>0</v>
      </c>
      <c r="AZ4">
        <f>AF4*$N4*$J4*$M4*V4*Settings!$B$6</f>
        <v>0</v>
      </c>
      <c r="BA4">
        <f>AG4*$N4*$J4*$M4*W4*Settings!$B$6</f>
        <v>633547.72467715212</v>
      </c>
      <c r="BB4">
        <f>AH4*$N4*$J4*$M4*X4*Settings!$B$6</f>
        <v>799201.89741066413</v>
      </c>
    </row>
    <row r="5" spans="1:54" ht="15" customHeight="1">
      <c r="A5" t="s">
        <v>49</v>
      </c>
      <c r="B5" t="s">
        <v>50</v>
      </c>
      <c r="C5" s="9">
        <v>0.99199999999999999</v>
      </c>
      <c r="D5" s="9">
        <v>0.36099999999999999</v>
      </c>
      <c r="E5" s="9">
        <v>0.89</v>
      </c>
      <c r="F5" s="9">
        <v>0.52600000000000002</v>
      </c>
      <c r="G5" s="9">
        <v>0.84299999999999997</v>
      </c>
      <c r="H5" s="9">
        <v>18</v>
      </c>
      <c r="I5">
        <f t="shared" si="0"/>
        <v>0.36391129032258063</v>
      </c>
      <c r="J5">
        <f>IF(Settings!$B$10="anc4",D5*E5,IF(Settings!$B$10="anc1",C5*E5,C5*(G5*I5+F5*(1-I5))*E5))</f>
        <v>0.56624381000000001</v>
      </c>
      <c r="K5">
        <f>IF(Settings!$B$9="invest",Schedule!R5,IF(Settings!$B$9="hist",Schedule!U5,IF(Settings!$B$9="pcv",Schedule!M5,IF(Settings!$B$9="rota",Schedule!N5,Schedule!O5))))+Settings!$B$11</f>
        <v>2035</v>
      </c>
      <c r="L5">
        <f>IF(Schedule!H5=1,Settings!$B$4,Settings!$B$5)</f>
        <v>2</v>
      </c>
      <c r="M5" s="9">
        <v>1</v>
      </c>
      <c r="N5">
        <f t="shared" si="1"/>
        <v>1.0183299389002036</v>
      </c>
      <c r="O5">
        <f>IF(O$2&lt;$K5,0,IF(O$2-$K5+1&lt;$L5,IF($L5=2,Settings!$B$8,(O$2-$K5+1)/$L5),IF($J5*$M5&gt;=Settings!$B$15,1,MIN(Settings!$B$15,$J5*$M5+IF($J5*$M5&lt;Settings!$B$16,Settings!$B$17,Settings!$B$18)*(O$2-$K5-$L5+1))/($J5*$M5))))</f>
        <v>0</v>
      </c>
      <c r="P5">
        <f>IF(P$2&lt;$K5,0,IF(AND(P$2=$K5,$L5=2),Settings!$B$8,IF(P$2-$K5+1&lt;$L5,(P$2-$K5+1)/$L5,IF($J5*$M5&gt;=0.9,1,MIN(0.9,$J5*$M5+IF($J5*$M5&lt;0.7,0.03,0.01)*(P$2-$K5-$L5+1))/($J5*$M5)))))</f>
        <v>0</v>
      </c>
      <c r="Q5">
        <f>IF(Q$2&lt;$K5,0,IF(AND(Q$2=$K5,$L5=2),Settings!$B$8,IF(Q$2-$K5+1&lt;$L5,(Q$2-$K5+1)/$L5,IF($J5*$M5&gt;=0.9,1,MIN(0.9,$J5*$M5+IF($J5*$M5&lt;0.7,0.03,0.01)*(Q$2-$K5-$L5+1))/($J5*$M5)))))</f>
        <v>0</v>
      </c>
      <c r="R5">
        <f>IF(R$2&lt;$K5,0,IF(AND(R$2=$K5,$L5=2),Settings!$B$8,IF(R$2-$K5+1&lt;$L5,(R$2-$K5+1)/$L5,IF($J5*$M5&gt;=0.9,1,MIN(0.9,$J5*$M5+IF($J5*$M5&lt;0.7,0.03,0.01)*(R$2-$K5-$L5+1))/($J5*$M5)))))</f>
        <v>0</v>
      </c>
      <c r="S5">
        <f>IF(S$2&lt;$K5,0,IF(AND(S$2=$K5,$L5=2),Settings!$B$8,IF(S$2-$K5+1&lt;$L5,(S$2-$K5+1)/$L5,IF($J5*$M5&gt;=0.9,1,MIN(0.9,$J5*$M5+IF($J5*$M5&lt;0.7,0.03,0.01)*(S$2-$K5-$L5+1))/($J5*$M5)))))</f>
        <v>0</v>
      </c>
      <c r="T5">
        <f>IF(T$2&lt;$K5,0,IF(AND(T$2=$K5,$L5=2),Settings!$B$8,IF(T$2-$K5+1&lt;$L5,(T$2-$K5+1)/$L5,IF($J5*$M5&gt;=0.9,1,MIN(0.9,$J5*$M5+IF($J5*$M5&lt;0.7,0.03,0.01)*(T$2-$K5-$L5+1))/($J5*$M5)))))</f>
        <v>0</v>
      </c>
      <c r="U5">
        <f>IF(U$2&lt;$K5,0,IF(AND(U$2=$K5,$L5=2),Settings!$B$8,IF(U$2-$K5+1&lt;$L5,(U$2-$K5+1)/$L5,IF($J5*$M5&gt;=0.9,1,MIN(0.9,$J5*$M5+IF($J5*$M5&lt;0.7,0.03,0.01)*(U$2-$K5-$L5+1))/($J5*$M5)))))</f>
        <v>0</v>
      </c>
      <c r="V5">
        <f>IF(V$2&lt;$K5,0,IF(AND(V$2=$K5,$L5=2),Settings!$B$8,IF(V$2-$K5+1&lt;$L5,(V$2-$K5+1)/$L5,IF($J5*$M5&gt;=0.9,1,MIN(0.9,$J5*$M5+IF($J5*$M5&lt;0.7,0.03,0.01)*(V$2-$K5-$L5+1))/($J5*$M5)))))</f>
        <v>0.8</v>
      </c>
      <c r="W5">
        <f>IF(W$2&lt;$K5,0,IF(AND(W$2=$K5,$L5=2),Settings!$B$8,IF(W$2-$K5+1&lt;$L5,(W$2-$K5+1)/$L5,IF($J5*$M5&gt;=0.9,1,MIN(0.9,$J5*$M5+IF($J5*$M5&lt;0.7,0.03,0.01)*(W$2-$K5-$L5+1))/($J5*$M5)))))</f>
        <v>1</v>
      </c>
      <c r="X5">
        <f>IF(X$2&lt;$K5,0,IF(AND(X$2=$K5,$L5=2),Settings!$B$8,IF(X$2-$K5+1&lt;$L5,(X$2-$K5+1)/$L5,IF($J5*$M5&gt;=0.9,1,MIN(0.9,$J5*$M5+IF($J5*$M5&lt;0.7,0.03,0.01)*(X$2-$K5-$L5+1))/($J5*$M5)))))</f>
        <v>1.0529807116125474</v>
      </c>
      <c r="Y5" s="9">
        <v>483050</v>
      </c>
      <c r="Z5" s="9">
        <v>491467</v>
      </c>
      <c r="AA5" s="9">
        <v>500615</v>
      </c>
      <c r="AB5" s="9">
        <v>509471</v>
      </c>
      <c r="AC5" s="9">
        <v>518798</v>
      </c>
      <c r="AD5" s="9">
        <v>528490</v>
      </c>
      <c r="AE5" s="9">
        <v>532618</v>
      </c>
      <c r="AF5" s="9">
        <v>541539</v>
      </c>
      <c r="AG5" s="9">
        <v>545734</v>
      </c>
      <c r="AH5" s="9">
        <v>552393</v>
      </c>
      <c r="AI5">
        <f>AS5*(1+Settings!$B$7)</f>
        <v>0</v>
      </c>
      <c r="AJ5">
        <f>IF(Settings!$B$13="annual",AT5*(1+Settings!$B$7),AT5+Settings!$B$7*IF(AT5&gt;AS5,AT5-AS5,0))</f>
        <v>0</v>
      </c>
      <c r="AK5">
        <f>IF(Settings!$B$13="annual",AU5*(1+Settings!$B$7),AU5+Settings!$B$7*IF(AU5&gt;AT5,AU5-AT5,0))</f>
        <v>0</v>
      </c>
      <c r="AL5">
        <f>IF(Settings!$B$13="annual",AV5*(1+Settings!$B$7),AV5+Settings!$B$7*IF(AV5&gt;AU5,AV5-AU5,0))</f>
        <v>0</v>
      </c>
      <c r="AM5">
        <f>IF(Settings!$B$13="annual",AW5*(1+Settings!$B$7),AW5+Settings!$B$7*IF(AW5&gt;AV5,AW5-AV5,0))</f>
        <v>0</v>
      </c>
      <c r="AN5">
        <f>IF(Settings!$B$13="annual",AX5*(1+Settings!$B$7),AX5+Settings!$B$7*IF(AX5&gt;AW5,AX5-AW5,0))</f>
        <v>0</v>
      </c>
      <c r="AO5">
        <f>IF(Settings!$B$13="annual",AY5*(1+Settings!$B$7),AY5+Settings!$B$7*IF(AY5&gt;AX5,AY5-AX5,0))</f>
        <v>0</v>
      </c>
      <c r="AP5">
        <f>IF(Settings!$B$13="annual",AZ5*(1+Settings!$B$7),AZ5+Settings!$B$7*IF(AZ5&gt;AY5,AZ5-AY5,0))</f>
        <v>352858.15731635096</v>
      </c>
      <c r="AQ5">
        <f>IF(Settings!$B$13="annual",BA5*(1+Settings!$B$7),BA5+Settings!$B$7*IF(BA5&gt;AZ5,BA5-AZ5,0))</f>
        <v>373917.80887454824</v>
      </c>
      <c r="AR5">
        <f>IF(Settings!$B$13="annual",BB5*(1+Settings!$B$7),BB5+Settings!$B$7*IF(BB5&gt;BA5,BB5-BA5,0))</f>
        <v>384851.88896805601</v>
      </c>
      <c r="AS5">
        <f>Y5*$N5*$J5*$M5*O5*Settings!$B$6</f>
        <v>0</v>
      </c>
      <c r="AT5">
        <f>Z5*$N5*$J5*$M5*P5*Settings!$B$6</f>
        <v>0</v>
      </c>
      <c r="AU5">
        <f>AA5*$N5*$J5*$M5*Q5*Settings!$B$6</f>
        <v>0</v>
      </c>
      <c r="AV5">
        <f>AB5*$N5*$J5*$M5*R5*Settings!$B$6</f>
        <v>0</v>
      </c>
      <c r="AW5">
        <f>AC5*$N5*$J5*$M5*S5*Settings!$B$6</f>
        <v>0</v>
      </c>
      <c r="AX5">
        <f>AD5*$N5*$J5*$M5*T5*Settings!$B$6</f>
        <v>0</v>
      </c>
      <c r="AY5">
        <f>AE5*$N5*$J5*$M5*U5*Settings!$B$6</f>
        <v>0</v>
      </c>
      <c r="AZ5">
        <f>AF5*$N5*$J5*$M5*V5*Settings!$B$6</f>
        <v>282286.52585308079</v>
      </c>
      <c r="BA5">
        <f>AG5*$N5*$J5*$M5*W5*Settings!$B$6</f>
        <v>355591.55227025476</v>
      </c>
      <c r="BB5">
        <f>AH5*$N5*$J5*$M5*X5*Settings!$B$6</f>
        <v>378999.82162849576</v>
      </c>
    </row>
    <row r="6" spans="1:54" ht="15" customHeight="1">
      <c r="A6" t="s">
        <v>51</v>
      </c>
      <c r="B6" t="s">
        <v>52</v>
      </c>
      <c r="C6" s="9">
        <v>0.78100000000000003</v>
      </c>
      <c r="D6" s="9">
        <v>0.52600000000000002</v>
      </c>
      <c r="E6" s="9">
        <v>0.76</v>
      </c>
      <c r="F6" s="9">
        <v>0.52600000000000002</v>
      </c>
      <c r="G6" s="9">
        <v>0.84299999999999997</v>
      </c>
      <c r="H6" s="9">
        <v>18.600000000000001</v>
      </c>
      <c r="I6">
        <f t="shared" si="0"/>
        <v>0.67349551856594114</v>
      </c>
      <c r="J6">
        <f>IF(Settings!$B$10="anc4",D6*E6,IF(Settings!$B$10="anc1",C6*E6,C6*(G6*I6+F6*(1-I6))*E6))</f>
        <v>0.43893648000000007</v>
      </c>
      <c r="K6">
        <f>IF(Settings!$B$9="invest",Schedule!R6,IF(Settings!$B$9="hist",Schedule!U6,IF(Settings!$B$9="pcv",Schedule!M6,IF(Settings!$B$9="rota",Schedule!N6,Schedule!O6))))+Settings!$B$11</f>
        <v>2041</v>
      </c>
      <c r="L6">
        <f>IF(Schedule!H6=1,Settings!$B$4,Settings!$B$5)</f>
        <v>2</v>
      </c>
      <c r="M6" s="9">
        <v>1</v>
      </c>
      <c r="N6">
        <f t="shared" si="1"/>
        <v>1.0189525168127165</v>
      </c>
      <c r="O6">
        <f>IF(O$2&lt;$K6,0,IF(O$2-$K6+1&lt;$L6,IF($L6=2,Settings!$B$8,(O$2-$K6+1)/$L6),IF($J6*$M6&gt;=Settings!$B$15,1,MIN(Settings!$B$15,$J6*$M6+IF($J6*$M6&lt;Settings!$B$16,Settings!$B$17,Settings!$B$18)*(O$2-$K6-$L6+1))/($J6*$M6))))</f>
        <v>0</v>
      </c>
      <c r="P6">
        <f>IF(P$2&lt;$K6,0,IF(AND(P$2=$K6,$L6=2),Settings!$B$8,IF(P$2-$K6+1&lt;$L6,(P$2-$K6+1)/$L6,IF($J6*$M6&gt;=0.9,1,MIN(0.9,$J6*$M6+IF($J6*$M6&lt;0.7,0.03,0.01)*(P$2-$K6-$L6+1))/($J6*$M6)))))</f>
        <v>0</v>
      </c>
      <c r="Q6">
        <f>IF(Q$2&lt;$K6,0,IF(AND(Q$2=$K6,$L6=2),Settings!$B$8,IF(Q$2-$K6+1&lt;$L6,(Q$2-$K6+1)/$L6,IF($J6*$M6&gt;=0.9,1,MIN(0.9,$J6*$M6+IF($J6*$M6&lt;0.7,0.03,0.01)*(Q$2-$K6-$L6+1))/($J6*$M6)))))</f>
        <v>0</v>
      </c>
      <c r="R6">
        <f>IF(R$2&lt;$K6,0,IF(AND(R$2=$K6,$L6=2),Settings!$B$8,IF(R$2-$K6+1&lt;$L6,(R$2-$K6+1)/$L6,IF($J6*$M6&gt;=0.9,1,MIN(0.9,$J6*$M6+IF($J6*$M6&lt;0.7,0.03,0.01)*(R$2-$K6-$L6+1))/($J6*$M6)))))</f>
        <v>0</v>
      </c>
      <c r="S6">
        <f>IF(S$2&lt;$K6,0,IF(AND(S$2=$K6,$L6=2),Settings!$B$8,IF(S$2-$K6+1&lt;$L6,(S$2-$K6+1)/$L6,IF($J6*$M6&gt;=0.9,1,MIN(0.9,$J6*$M6+IF($J6*$M6&lt;0.7,0.03,0.01)*(S$2-$K6-$L6+1))/($J6*$M6)))))</f>
        <v>0</v>
      </c>
      <c r="T6">
        <f>IF(T$2&lt;$K6,0,IF(AND(T$2=$K6,$L6=2),Settings!$B$8,IF(T$2-$K6+1&lt;$L6,(T$2-$K6+1)/$L6,IF($J6*$M6&gt;=0.9,1,MIN(0.9,$J6*$M6+IF($J6*$M6&lt;0.7,0.03,0.01)*(T$2-$K6-$L6+1))/($J6*$M6)))))</f>
        <v>0</v>
      </c>
      <c r="U6">
        <f>IF(U$2&lt;$K6,0,IF(AND(U$2=$K6,$L6=2),Settings!$B$8,IF(U$2-$K6+1&lt;$L6,(U$2-$K6+1)/$L6,IF($J6*$M6&gt;=0.9,1,MIN(0.9,$J6*$M6+IF($J6*$M6&lt;0.7,0.03,0.01)*(U$2-$K6-$L6+1))/($J6*$M6)))))</f>
        <v>0</v>
      </c>
      <c r="V6">
        <f>IF(V$2&lt;$K6,0,IF(AND(V$2=$K6,$L6=2),Settings!$B$8,IF(V$2-$K6+1&lt;$L6,(V$2-$K6+1)/$L6,IF($J6*$M6&gt;=0.9,1,MIN(0.9,$J6*$M6+IF($J6*$M6&lt;0.7,0.03,0.01)*(V$2-$K6-$L6+1))/($J6*$M6)))))</f>
        <v>0</v>
      </c>
      <c r="W6">
        <f>IF(W$2&lt;$K6,0,IF(AND(W$2=$K6,$L6=2),Settings!$B$8,IF(W$2-$K6+1&lt;$L6,(W$2-$K6+1)/$L6,IF($J6*$M6&gt;=0.9,1,MIN(0.9,$J6*$M6+IF($J6*$M6&lt;0.7,0.03,0.01)*(W$2-$K6-$L6+1))/($J6*$M6)))))</f>
        <v>0</v>
      </c>
      <c r="X6">
        <f>IF(X$2&lt;$K6,0,IF(AND(X$2=$K6,$L6=2),Settings!$B$8,IF(X$2-$K6+1&lt;$L6,(X$2-$K6+1)/$L6,IF($J6*$M6&gt;=0.9,1,MIN(0.9,$J6*$M6+IF($J6*$M6&lt;0.7,0.03,0.01)*(X$2-$K6-$L6+1))/($J6*$M6)))))</f>
        <v>0</v>
      </c>
      <c r="Y6" s="9">
        <v>503257</v>
      </c>
      <c r="Z6" s="9">
        <v>509581</v>
      </c>
      <c r="AA6" s="9">
        <v>514343</v>
      </c>
      <c r="AB6" s="9">
        <v>519475</v>
      </c>
      <c r="AC6" s="9">
        <v>523267</v>
      </c>
      <c r="AD6" s="9">
        <v>530674</v>
      </c>
      <c r="AE6" s="9">
        <v>536859</v>
      </c>
      <c r="AF6" s="9">
        <v>544104</v>
      </c>
      <c r="AG6" s="9">
        <v>548965</v>
      </c>
      <c r="AH6" s="9">
        <v>554196</v>
      </c>
      <c r="AI6">
        <f>AS6*(1+Settings!$B$7)</f>
        <v>0</v>
      </c>
      <c r="AJ6">
        <f>IF(Settings!$B$13="annual",AT6*(1+Settings!$B$7),AT6+Settings!$B$7*IF(AT6&gt;AS6,AT6-AS6,0))</f>
        <v>0</v>
      </c>
      <c r="AK6">
        <f>IF(Settings!$B$13="annual",AU6*(1+Settings!$B$7),AU6+Settings!$B$7*IF(AU6&gt;AT6,AU6-AT6,0))</f>
        <v>0</v>
      </c>
      <c r="AL6">
        <f>IF(Settings!$B$13="annual",AV6*(1+Settings!$B$7),AV6+Settings!$B$7*IF(AV6&gt;AU6,AV6-AU6,0))</f>
        <v>0</v>
      </c>
      <c r="AM6">
        <f>IF(Settings!$B$13="annual",AW6*(1+Settings!$B$7),AW6+Settings!$B$7*IF(AW6&gt;AV6,AW6-AV6,0))</f>
        <v>0</v>
      </c>
      <c r="AN6">
        <f>IF(Settings!$B$13="annual",AX6*(1+Settings!$B$7),AX6+Settings!$B$7*IF(AX6&gt;AW6,AX6-AW6,0))</f>
        <v>0</v>
      </c>
      <c r="AO6">
        <f>IF(Settings!$B$13="annual",AY6*(1+Settings!$B$7),AY6+Settings!$B$7*IF(AY6&gt;AX6,AY6-AX6,0))</f>
        <v>0</v>
      </c>
      <c r="AP6">
        <f>IF(Settings!$B$13="annual",AZ6*(1+Settings!$B$7),AZ6+Settings!$B$7*IF(AZ6&gt;AY6,AZ6-AY6,0))</f>
        <v>0</v>
      </c>
      <c r="AQ6">
        <f>IF(Settings!$B$13="annual",BA6*(1+Settings!$B$7),BA6+Settings!$B$7*IF(BA6&gt;AZ6,BA6-AZ6,0))</f>
        <v>0</v>
      </c>
      <c r="AR6">
        <f>IF(Settings!$B$13="annual",BB6*(1+Settings!$B$7),BB6+Settings!$B$7*IF(BB6&gt;BA6,BB6-BA6,0))</f>
        <v>0</v>
      </c>
      <c r="AS6">
        <f>Y6*$N6*$J6*$M6*O6*Settings!$B$6</f>
        <v>0</v>
      </c>
      <c r="AT6">
        <f>Z6*$N6*$J6*$M6*P6*Settings!$B$6</f>
        <v>0</v>
      </c>
      <c r="AU6">
        <f>AA6*$N6*$J6*$M6*Q6*Settings!$B$6</f>
        <v>0</v>
      </c>
      <c r="AV6">
        <f>AB6*$N6*$J6*$M6*R6*Settings!$B$6</f>
        <v>0</v>
      </c>
      <c r="AW6">
        <f>AC6*$N6*$J6*$M6*S6*Settings!$B$6</f>
        <v>0</v>
      </c>
      <c r="AX6">
        <f>AD6*$N6*$J6*$M6*T6*Settings!$B$6</f>
        <v>0</v>
      </c>
      <c r="AY6">
        <f>AE6*$N6*$J6*$M6*U6*Settings!$B$6</f>
        <v>0</v>
      </c>
      <c r="AZ6">
        <f>AF6*$N6*$J6*$M6*V6*Settings!$B$6</f>
        <v>0</v>
      </c>
      <c r="BA6">
        <f>AG6*$N6*$J6*$M6*W6*Settings!$B$6</f>
        <v>0</v>
      </c>
      <c r="BB6">
        <f>AH6*$N6*$J6*$M6*X6*Settings!$B$6</f>
        <v>0</v>
      </c>
    </row>
    <row r="7" spans="1:54" ht="15" customHeight="1">
      <c r="A7" t="s">
        <v>53</v>
      </c>
      <c r="B7" t="s">
        <v>54</v>
      </c>
      <c r="C7" s="9">
        <v>0.79600000000000004</v>
      </c>
      <c r="D7" s="9">
        <v>0.49299999999999999</v>
      </c>
      <c r="E7" s="9">
        <v>0.95</v>
      </c>
      <c r="F7" s="9">
        <v>0.52600000000000002</v>
      </c>
      <c r="G7" s="9">
        <v>0.84299999999999997</v>
      </c>
      <c r="H7" s="9">
        <v>18.899999999999999</v>
      </c>
      <c r="I7">
        <f t="shared" si="0"/>
        <v>0.6193467336683417</v>
      </c>
      <c r="J7">
        <f>IF(Settings!$B$10="anc4",D7*E7,IF(Settings!$B$10="anc1",C7*E7,C7*(G7*I7+F7*(1-I7))*E7))</f>
        <v>0.54622814999999991</v>
      </c>
      <c r="K7">
        <f>IF(Settings!$B$9="invest",Schedule!R7,IF(Settings!$B$9="hist",Schedule!U7,IF(Settings!$B$9="pcv",Schedule!M7,IF(Settings!$B$9="rota",Schedule!N7,Schedule!O7))))+Settings!$B$11</f>
        <v>2029</v>
      </c>
      <c r="L7">
        <f>IF(Schedule!H7=1,Settings!$B$4,Settings!$B$5)</f>
        <v>2</v>
      </c>
      <c r="M7" s="9">
        <v>1</v>
      </c>
      <c r="N7">
        <f t="shared" si="1"/>
        <v>1.0192640913260627</v>
      </c>
      <c r="O7">
        <f>IF(O$2&lt;$K7,0,IF(O$2-$K7+1&lt;$L7,IF($L7=2,Settings!$B$8,(O$2-$K7+1)/$L7),IF($J7*$M7&gt;=Settings!$B$15,1,MIN(Settings!$B$15,$J7*$M7+IF($J7*$M7&lt;Settings!$B$16,Settings!$B$17,Settings!$B$18)*(O$2-$K7-$L7+1))/($J7*$M7))))</f>
        <v>0</v>
      </c>
      <c r="P7">
        <f>IF(P$2&lt;$K7,0,IF(AND(P$2=$K7,$L7=2),Settings!$B$8,IF(P$2-$K7+1&lt;$L7,(P$2-$K7+1)/$L7,IF($J7*$M7&gt;=0.9,1,MIN(0.9,$J7*$M7+IF($J7*$M7&lt;0.7,0.03,0.01)*(P$2-$K7-$L7+1))/($J7*$M7)))))</f>
        <v>0.8</v>
      </c>
      <c r="Q7">
        <f>IF(Q$2&lt;$K7,0,IF(AND(Q$2=$K7,$L7=2),Settings!$B$8,IF(Q$2-$K7+1&lt;$L7,(Q$2-$K7+1)/$L7,IF($J7*$M7&gt;=0.9,1,MIN(0.9,$J7*$M7+IF($J7*$M7&lt;0.7,0.03,0.01)*(Q$2-$K7-$L7+1))/($J7*$M7)))))</f>
        <v>1</v>
      </c>
      <c r="R7">
        <f>IF(R$2&lt;$K7,0,IF(AND(R$2=$K7,$L7=2),Settings!$B$8,IF(R$2-$K7+1&lt;$L7,(R$2-$K7+1)/$L7,IF($J7*$M7&gt;=0.9,1,MIN(0.9,$J7*$M7+IF($J7*$M7&lt;0.7,0.03,0.01)*(R$2-$K7-$L7+1))/($J7*$M7)))))</f>
        <v>1.0549221053510334</v>
      </c>
      <c r="S7">
        <f>IF(S$2&lt;$K7,0,IF(AND(S$2=$K7,$L7=2),Settings!$B$8,IF(S$2-$K7+1&lt;$L7,(S$2-$K7+1)/$L7,IF($J7*$M7&gt;=0.9,1,MIN(0.9,$J7*$M7+IF($J7*$M7&lt;0.7,0.03,0.01)*(S$2-$K7-$L7+1))/($J7*$M7)))))</f>
        <v>1.1098442107020667</v>
      </c>
      <c r="T7">
        <f>IF(T$2&lt;$K7,0,IF(AND(T$2=$K7,$L7=2),Settings!$B$8,IF(T$2-$K7+1&lt;$L7,(T$2-$K7+1)/$L7,IF($J7*$M7&gt;=0.9,1,MIN(0.9,$J7*$M7+IF($J7*$M7&lt;0.7,0.03,0.01)*(T$2-$K7-$L7+1))/($J7*$M7)))))</f>
        <v>1.1647663160530997</v>
      </c>
      <c r="U7">
        <f>IF(U$2&lt;$K7,0,IF(AND(U$2=$K7,$L7=2),Settings!$B$8,IF(U$2-$K7+1&lt;$L7,(U$2-$K7+1)/$L7,IF($J7*$M7&gt;=0.9,1,MIN(0.9,$J7*$M7+IF($J7*$M7&lt;0.7,0.03,0.01)*(U$2-$K7-$L7+1))/($J7*$M7)))))</f>
        <v>1.219688421404133</v>
      </c>
      <c r="V7">
        <f>IF(V$2&lt;$K7,0,IF(AND(V$2=$K7,$L7=2),Settings!$B$8,IF(V$2-$K7+1&lt;$L7,(V$2-$K7+1)/$L7,IF($J7*$M7&gt;=0.9,1,MIN(0.9,$J7*$M7+IF($J7*$M7&lt;0.7,0.03,0.01)*(V$2-$K7-$L7+1))/($J7*$M7)))))</f>
        <v>1.2746105267551664</v>
      </c>
      <c r="W7">
        <f>IF(W$2&lt;$K7,0,IF(AND(W$2=$K7,$L7=2),Settings!$B$8,IF(W$2-$K7+1&lt;$L7,(W$2-$K7+1)/$L7,IF($J7*$M7&gt;=0.9,1,MIN(0.9,$J7*$M7+IF($J7*$M7&lt;0.7,0.03,0.01)*(W$2-$K7-$L7+1))/($J7*$M7)))))</f>
        <v>1.3295326321061995</v>
      </c>
      <c r="X7">
        <f>IF(X$2&lt;$K7,0,IF(AND(X$2=$K7,$L7=2),Settings!$B$8,IF(X$2-$K7+1&lt;$L7,(X$2-$K7+1)/$L7,IF($J7*$M7&gt;=0.9,1,MIN(0.9,$J7*$M7+IF($J7*$M7&lt;0.7,0.03,0.01)*(X$2-$K7-$L7+1))/($J7*$M7)))))</f>
        <v>1.3844547374572329</v>
      </c>
      <c r="Y7" s="9">
        <v>759062</v>
      </c>
      <c r="Z7" s="9">
        <v>763843</v>
      </c>
      <c r="AA7" s="9">
        <v>771658</v>
      </c>
      <c r="AB7" s="9">
        <v>778963</v>
      </c>
      <c r="AC7" s="9">
        <v>786181</v>
      </c>
      <c r="AD7" s="9">
        <v>795935</v>
      </c>
      <c r="AE7" s="9">
        <v>801330</v>
      </c>
      <c r="AF7" s="9">
        <v>803539</v>
      </c>
      <c r="AG7" s="9">
        <v>805573</v>
      </c>
      <c r="AH7" s="9">
        <v>807162</v>
      </c>
      <c r="AI7">
        <f>AS7*(1+Settings!$B$7)</f>
        <v>0</v>
      </c>
      <c r="AJ7">
        <f>IF(Settings!$B$13="annual",AT7*(1+Settings!$B$7),AT7+Settings!$B$7*IF(AT7&gt;AS7,AT7-AS7,0))</f>
        <v>480555.27481592953</v>
      </c>
      <c r="AK7">
        <f>IF(Settings!$B$13="annual",AU7*(1+Settings!$B$7),AU7+Settings!$B$7*IF(AU7&gt;AT7,AU7-AT7,0))</f>
        <v>510728.83597957087</v>
      </c>
      <c r="AL7">
        <f>IF(Settings!$B$13="annual",AV7*(1+Settings!$B$7),AV7+Settings!$B$7*IF(AV7&gt;AU7,AV7-AU7,0))</f>
        <v>524861.07784746494</v>
      </c>
      <c r="AM7">
        <f>IF(Settings!$B$13="annual",AW7*(1+Settings!$B$7),AW7+Settings!$B$7*IF(AW7&gt;AV7,AW7-AV7,0))</f>
        <v>556927.50205153623</v>
      </c>
      <c r="AN7">
        <f>IF(Settings!$B$13="annual",AX7*(1+Settings!$B$7),AX7+Settings!$B$7*IF(AX7&gt;AW7,AX7-AW7,0))</f>
        <v>591829.35401880345</v>
      </c>
      <c r="AO7">
        <f>IF(Settings!$B$13="annual",AY7*(1+Settings!$B$7),AY7+Settings!$B$7*IF(AY7&gt;AX7,AY7-AX7,0))</f>
        <v>622803.44613922946</v>
      </c>
      <c r="AP7">
        <f>IF(Settings!$B$13="annual",AZ7*(1+Settings!$B$7),AZ7+Settings!$B$7*IF(AZ7&gt;AY7,AZ7-AY7,0))</f>
        <v>651717.72542362334</v>
      </c>
      <c r="AQ7">
        <f>IF(Settings!$B$13="annual",BA7*(1+Settings!$B$7),BA7+Settings!$B$7*IF(BA7&gt;AZ7,BA7-AZ7,0))</f>
        <v>681185.35262814618</v>
      </c>
      <c r="AR7">
        <f>IF(Settings!$B$13="annual",BB7*(1+Settings!$B$7),BB7+Settings!$B$7*IF(BB7&gt;BA7,BB7-BA7,0))</f>
        <v>710342.61921461928</v>
      </c>
      <c r="AS7">
        <f>Y7*$N7*$J7*$M7*O7*Settings!$B$6</f>
        <v>0</v>
      </c>
      <c r="AT7">
        <f>Z7*$N7*$J7*$M7*P7*Settings!$B$6</f>
        <v>384444.21985274361</v>
      </c>
      <c r="AU7">
        <f>AA7*$N7*$J7*$M7*Q7*Settings!$B$6</f>
        <v>485471.9127542054</v>
      </c>
      <c r="AV7">
        <f>AB7*$N7*$J7*$M7*R7*Settings!$B$6</f>
        <v>516983.24482881307</v>
      </c>
      <c r="AW7">
        <f>AC7*$N7*$J7*$M7*S7*Settings!$B$6</f>
        <v>548938.65060699161</v>
      </c>
      <c r="AX7">
        <f>AD7*$N7*$J7*$M7*T7*Settings!$B$6</f>
        <v>583251.21333644108</v>
      </c>
      <c r="AY7">
        <f>AE7*$N7*$J7*$M7*U7*Settings!$B$6</f>
        <v>614892.99957867176</v>
      </c>
      <c r="AZ7">
        <f>AF7*$N7*$J7*$M7*V7*Settings!$B$6</f>
        <v>644352.78025463305</v>
      </c>
      <c r="BA7">
        <f>AG7*$N7*$J7*$M7*W7*Settings!$B$6</f>
        <v>673818.83815344353</v>
      </c>
      <c r="BB7">
        <f>AH7*$N7*$J7*$M7*X7*Settings!$B$6</f>
        <v>703037.86300238408</v>
      </c>
    </row>
    <row r="8" spans="1:54" ht="15" customHeight="1">
      <c r="A8" t="s">
        <v>55</v>
      </c>
      <c r="B8" t="s">
        <v>56</v>
      </c>
      <c r="C8" s="9">
        <v>0.93</v>
      </c>
      <c r="D8" s="9">
        <v>0.38300000000000001</v>
      </c>
      <c r="E8" s="9">
        <v>0.99</v>
      </c>
      <c r="F8" s="9">
        <v>0.39800000000000002</v>
      </c>
      <c r="G8" s="9">
        <v>0.88200000000000001</v>
      </c>
      <c r="H8" s="9">
        <v>20.399999999999999</v>
      </c>
      <c r="I8">
        <f t="shared" si="0"/>
        <v>0.41182795698924729</v>
      </c>
      <c r="J8">
        <f>IF(Settings!$B$10="anc4",D8*E8,IF(Settings!$B$10="anc1",C8*E8,C8*(G8*I8+F8*(1-I8))*E8))</f>
        <v>0.54995687999999987</v>
      </c>
      <c r="K8">
        <f>IF(Settings!$B$9="invest",Schedule!R8,IF(Settings!$B$9="hist",Schedule!U8,IF(Settings!$B$9="pcv",Schedule!M8,IF(Settings!$B$9="rota",Schedule!N8,Schedule!O8))))+Settings!$B$11</f>
        <v>2030</v>
      </c>
      <c r="L8">
        <f>IF(Schedule!H8=1,Settings!$B$4,Settings!$B$5)</f>
        <v>2</v>
      </c>
      <c r="M8" s="9">
        <v>1</v>
      </c>
      <c r="N8">
        <f t="shared" si="1"/>
        <v>1.0208248264597795</v>
      </c>
      <c r="O8">
        <f>IF(O$2&lt;$K8,0,IF(O$2-$K8+1&lt;$L8,IF($L8=2,Settings!$B$8,(O$2-$K8+1)/$L8),IF($J8*$M8&gt;=Settings!$B$15,1,MIN(Settings!$B$15,$J8*$M8+IF($J8*$M8&lt;Settings!$B$16,Settings!$B$17,Settings!$B$18)*(O$2-$K8-$L8+1))/($J8*$M8))))</f>
        <v>0</v>
      </c>
      <c r="P8">
        <f>IF(P$2&lt;$K8,0,IF(AND(P$2=$K8,$L8=2),Settings!$B$8,IF(P$2-$K8+1&lt;$L8,(P$2-$K8+1)/$L8,IF($J8*$M8&gt;=0.9,1,MIN(0.9,$J8*$M8+IF($J8*$M8&lt;0.7,0.03,0.01)*(P$2-$K8-$L8+1))/($J8*$M8)))))</f>
        <v>0</v>
      </c>
      <c r="Q8">
        <f>IF(Q$2&lt;$K8,0,IF(AND(Q$2=$K8,$L8=2),Settings!$B$8,IF(Q$2-$K8+1&lt;$L8,(Q$2-$K8+1)/$L8,IF($J8*$M8&gt;=0.9,1,MIN(0.9,$J8*$M8+IF($J8*$M8&lt;0.7,0.03,0.01)*(Q$2-$K8-$L8+1))/($J8*$M8)))))</f>
        <v>0.8</v>
      </c>
      <c r="R8">
        <f>IF(R$2&lt;$K8,0,IF(AND(R$2=$K8,$L8=2),Settings!$B$8,IF(R$2-$K8+1&lt;$L8,(R$2-$K8+1)/$L8,IF($J8*$M8&gt;=0.9,1,MIN(0.9,$J8*$M8+IF($J8*$M8&lt;0.7,0.03,0.01)*(R$2-$K8-$L8+1))/($J8*$M8)))))</f>
        <v>1</v>
      </c>
      <c r="S8">
        <f>IF(S$2&lt;$K8,0,IF(AND(S$2=$K8,$L8=2),Settings!$B$8,IF(S$2-$K8+1&lt;$L8,(S$2-$K8+1)/$L8,IF($J8*$M8&gt;=0.9,1,MIN(0.9,$J8*$M8+IF($J8*$M8&lt;0.7,0.03,0.01)*(S$2-$K8-$L8+1))/($J8*$M8)))))</f>
        <v>1.0545497312443841</v>
      </c>
      <c r="T8">
        <f>IF(T$2&lt;$K8,0,IF(AND(T$2=$K8,$L8=2),Settings!$B$8,IF(T$2-$K8+1&lt;$L8,(T$2-$K8+1)/$L8,IF($J8*$M8&gt;=0.9,1,MIN(0.9,$J8*$M8+IF($J8*$M8&lt;0.7,0.03,0.01)*(T$2-$K8-$L8+1))/($J8*$M8)))))</f>
        <v>1.1090994624887682</v>
      </c>
      <c r="U8">
        <f>IF(U$2&lt;$K8,0,IF(AND(U$2=$K8,$L8=2),Settings!$B$8,IF(U$2-$K8+1&lt;$L8,(U$2-$K8+1)/$L8,IF($J8*$M8&gt;=0.9,1,MIN(0.9,$J8*$M8+IF($J8*$M8&lt;0.7,0.03,0.01)*(U$2-$K8-$L8+1))/($J8*$M8)))))</f>
        <v>1.1636491937331523</v>
      </c>
      <c r="V8">
        <f>IF(V$2&lt;$K8,0,IF(AND(V$2=$K8,$L8=2),Settings!$B$8,IF(V$2-$K8+1&lt;$L8,(V$2-$K8+1)/$L8,IF($J8*$M8&gt;=0.9,1,MIN(0.9,$J8*$M8+IF($J8*$M8&lt;0.7,0.03,0.01)*(V$2-$K8-$L8+1))/($J8*$M8)))))</f>
        <v>1.2181989249775365</v>
      </c>
      <c r="W8">
        <f>IF(W$2&lt;$K8,0,IF(AND(W$2=$K8,$L8=2),Settings!$B$8,IF(W$2-$K8+1&lt;$L8,(W$2-$K8+1)/$L8,IF($J8*$M8&gt;=0.9,1,MIN(0.9,$J8*$M8+IF($J8*$M8&lt;0.7,0.03,0.01)*(W$2-$K8-$L8+1))/($J8*$M8)))))</f>
        <v>1.2727486562219206</v>
      </c>
      <c r="X8">
        <f>IF(X$2&lt;$K8,0,IF(AND(X$2=$K8,$L8=2),Settings!$B$8,IF(X$2-$K8+1&lt;$L8,(X$2-$K8+1)/$L8,IF($J8*$M8&gt;=0.9,1,MIN(0.9,$J8*$M8+IF($J8*$M8&lt;0.7,0.03,0.01)*(X$2-$K8-$L8+1))/($J8*$M8)))))</f>
        <v>1.3272983874663047</v>
      </c>
      <c r="Y8" s="9">
        <v>3334941</v>
      </c>
      <c r="Z8" s="9">
        <v>3295323</v>
      </c>
      <c r="AA8" s="9">
        <v>3252258</v>
      </c>
      <c r="AB8" s="9">
        <v>3206837</v>
      </c>
      <c r="AC8" s="9">
        <v>3162891</v>
      </c>
      <c r="AD8" s="9">
        <v>3113922</v>
      </c>
      <c r="AE8" s="9">
        <v>3066964</v>
      </c>
      <c r="AF8" s="9">
        <v>3020757</v>
      </c>
      <c r="AG8" s="9">
        <v>2975679</v>
      </c>
      <c r="AH8" s="9">
        <v>2934551</v>
      </c>
      <c r="AI8">
        <f>AS8*(1+Settings!$B$7)</f>
        <v>0</v>
      </c>
      <c r="AJ8">
        <f>IF(Settings!$B$13="annual",AT8*(1+Settings!$B$7),AT8+Settings!$B$7*IF(AT8&gt;AS8,AT8-AS8,0))</f>
        <v>0</v>
      </c>
      <c r="AK8">
        <f>IF(Settings!$B$13="annual",AU8*(1+Settings!$B$7),AU8+Settings!$B$7*IF(AU8&gt;AT8,AU8-AT8,0))</f>
        <v>2063209.3495075486</v>
      </c>
      <c r="AL8">
        <f>IF(Settings!$B$13="annual",AV8*(1+Settings!$B$7),AV8+Settings!$B$7*IF(AV8&gt;AU8,AV8-AU8,0))</f>
        <v>2130351.3676993889</v>
      </c>
      <c r="AM8">
        <f>IF(Settings!$B$13="annual",AW8*(1+Settings!$B$7),AW8+Settings!$B$7*IF(AW8&gt;AV8,AW8-AV8,0))</f>
        <v>2136364.4083677968</v>
      </c>
      <c r="AN8">
        <f>IF(Settings!$B$13="annual",AX8*(1+Settings!$B$7),AX8+Settings!$B$7*IF(AX8&gt;AW8,AX8-AW8,0))</f>
        <v>2209720.520307445</v>
      </c>
      <c r="AO8">
        <f>IF(Settings!$B$13="annual",AY8*(1+Settings!$B$7),AY8+Settings!$B$7*IF(AY8&gt;AX8,AY8-AX8,0))</f>
        <v>2282339.7097826689</v>
      </c>
      <c r="AP8">
        <f>IF(Settings!$B$13="annual",AZ8*(1+Settings!$B$7),AZ8+Settings!$B$7*IF(AZ8&gt;AY8,AZ8-AY8,0))</f>
        <v>2352097.9883050937</v>
      </c>
      <c r="AQ8">
        <f>IF(Settings!$B$13="annual",BA8*(1+Settings!$B$7),BA8+Settings!$B$7*IF(BA8&gt;AZ8,BA8-AZ8,0))</f>
        <v>2419665.5649688295</v>
      </c>
      <c r="AR8">
        <f>IF(Settings!$B$13="annual",BB8*(1+Settings!$B$7),BB8+Settings!$B$7*IF(BB8&gt;BA8,BB8-BA8,0))</f>
        <v>2488062.3630700414</v>
      </c>
      <c r="AS8">
        <f>Y8*$N8*$J8*$M8*O8*Settings!$B$6</f>
        <v>0</v>
      </c>
      <c r="AT8">
        <f>Z8*$N8*$J8*$M8*P8*Settings!$B$6</f>
        <v>0</v>
      </c>
      <c r="AU8">
        <f>AA8*$N8*$J8*$M8*Q8*Settings!$B$6</f>
        <v>1650567.4796060389</v>
      </c>
      <c r="AV8">
        <f>AB8*$N8*$J8*$M8*R8*Settings!$B$6</f>
        <v>2034394.5900807187</v>
      </c>
      <c r="AW8">
        <f>AC8*$N8*$J8*$M8*S8*Settings!$B$6</f>
        <v>2115970.4447103813</v>
      </c>
      <c r="AX8">
        <f>AD8*$N8*$J8*$M8*T8*Settings!$B$6</f>
        <v>2190970.5051880321</v>
      </c>
      <c r="AY8">
        <f>AE8*$N8*$J8*$M8*U8*Settings!$B$6</f>
        <v>2264065.8688637414</v>
      </c>
      <c r="AZ8">
        <f>AF8*$N8*$J8*$M8*V8*Settings!$B$6</f>
        <v>2334491.5644168234</v>
      </c>
      <c r="BA8">
        <f>AG8*$N8*$J8*$M8*W8*Settings!$B$6</f>
        <v>2402630.7648584284</v>
      </c>
      <c r="BB8">
        <f>AH8*$N8*$J8*$M8*X8*Settings!$B$6</f>
        <v>2470976.0434277188</v>
      </c>
    </row>
    <row r="9" spans="1:54" ht="15" customHeight="1">
      <c r="A9" t="s">
        <v>57</v>
      </c>
      <c r="B9" t="s">
        <v>58</v>
      </c>
      <c r="C9" s="9">
        <v>0.51800000000000002</v>
      </c>
      <c r="D9" s="9">
        <v>0.41399999999999998</v>
      </c>
      <c r="E9" s="9">
        <v>0.52</v>
      </c>
      <c r="F9" s="9">
        <v>0.52600000000000002</v>
      </c>
      <c r="G9" s="9">
        <v>0.84299999999999997</v>
      </c>
      <c r="H9" s="9">
        <v>32.299999999999997</v>
      </c>
      <c r="I9">
        <f t="shared" si="0"/>
        <v>0.79922779922779918</v>
      </c>
      <c r="J9">
        <f>IF(Settings!$B$10="anc4",D9*E9,IF(Settings!$B$10="anc1",C9*E9,C9*(G9*I9+F9*(1-I9))*E9))</f>
        <v>0.20992712000000002</v>
      </c>
      <c r="K9">
        <f>IF(Settings!$B$9="invest",Schedule!R9,IF(Settings!$B$9="hist",Schedule!U9,IF(Settings!$B$9="pcv",Schedule!M9,IF(Settings!$B$9="rota",Schedule!N9,Schedule!O9))))+Settings!$B$11</f>
        <v>2041</v>
      </c>
      <c r="L9">
        <f>IF(Schedule!H9=1,Settings!$B$4,Settings!$B$5)</f>
        <v>2</v>
      </c>
      <c r="M9" s="9">
        <v>1</v>
      </c>
      <c r="N9">
        <f t="shared" si="1"/>
        <v>1.0333781130515656</v>
      </c>
      <c r="O9">
        <f>IF(O$2&lt;$K9,0,IF(O$2-$K9+1&lt;$L9,IF($L9=2,Settings!$B$8,(O$2-$K9+1)/$L9),IF($J9*$M9&gt;=Settings!$B$15,1,MIN(Settings!$B$15,$J9*$M9+IF($J9*$M9&lt;Settings!$B$16,Settings!$B$17,Settings!$B$18)*(O$2-$K9-$L9+1))/($J9*$M9))))</f>
        <v>0</v>
      </c>
      <c r="P9">
        <f>IF(P$2&lt;$K9,0,IF(AND(P$2=$K9,$L9=2),Settings!$B$8,IF(P$2-$K9+1&lt;$L9,(P$2-$K9+1)/$L9,IF($J9*$M9&gt;=0.9,1,MIN(0.9,$J9*$M9+IF($J9*$M9&lt;0.7,0.03,0.01)*(P$2-$K9-$L9+1))/($J9*$M9)))))</f>
        <v>0</v>
      </c>
      <c r="Q9">
        <f>IF(Q$2&lt;$K9,0,IF(AND(Q$2=$K9,$L9=2),Settings!$B$8,IF(Q$2-$K9+1&lt;$L9,(Q$2-$K9+1)/$L9,IF($J9*$M9&gt;=0.9,1,MIN(0.9,$J9*$M9+IF($J9*$M9&lt;0.7,0.03,0.01)*(Q$2-$K9-$L9+1))/($J9*$M9)))))</f>
        <v>0</v>
      </c>
      <c r="R9">
        <f>IF(R$2&lt;$K9,0,IF(AND(R$2=$K9,$L9=2),Settings!$B$8,IF(R$2-$K9+1&lt;$L9,(R$2-$K9+1)/$L9,IF($J9*$M9&gt;=0.9,1,MIN(0.9,$J9*$M9+IF($J9*$M9&lt;0.7,0.03,0.01)*(R$2-$K9-$L9+1))/($J9*$M9)))))</f>
        <v>0</v>
      </c>
      <c r="S9">
        <f>IF(S$2&lt;$K9,0,IF(AND(S$2=$K9,$L9=2),Settings!$B$8,IF(S$2-$K9+1&lt;$L9,(S$2-$K9+1)/$L9,IF($J9*$M9&gt;=0.9,1,MIN(0.9,$J9*$M9+IF($J9*$M9&lt;0.7,0.03,0.01)*(S$2-$K9-$L9+1))/($J9*$M9)))))</f>
        <v>0</v>
      </c>
      <c r="T9">
        <f>IF(T$2&lt;$K9,0,IF(AND(T$2=$K9,$L9=2),Settings!$B$8,IF(T$2-$K9+1&lt;$L9,(T$2-$K9+1)/$L9,IF($J9*$M9&gt;=0.9,1,MIN(0.9,$J9*$M9+IF($J9*$M9&lt;0.7,0.03,0.01)*(T$2-$K9-$L9+1))/($J9*$M9)))))</f>
        <v>0</v>
      </c>
      <c r="U9">
        <f>IF(U$2&lt;$K9,0,IF(AND(U$2=$K9,$L9=2),Settings!$B$8,IF(U$2-$K9+1&lt;$L9,(U$2-$K9+1)/$L9,IF($J9*$M9&gt;=0.9,1,MIN(0.9,$J9*$M9+IF($J9*$M9&lt;0.7,0.03,0.01)*(U$2-$K9-$L9+1))/($J9*$M9)))))</f>
        <v>0</v>
      </c>
      <c r="V9">
        <f>IF(V$2&lt;$K9,0,IF(AND(V$2=$K9,$L9=2),Settings!$B$8,IF(V$2-$K9+1&lt;$L9,(V$2-$K9+1)/$L9,IF($J9*$M9&gt;=0.9,1,MIN(0.9,$J9*$M9+IF($J9*$M9&lt;0.7,0.03,0.01)*(V$2-$K9-$L9+1))/($J9*$M9)))))</f>
        <v>0</v>
      </c>
      <c r="W9">
        <f>IF(W$2&lt;$K9,0,IF(AND(W$2=$K9,$L9=2),Settings!$B$8,IF(W$2-$K9+1&lt;$L9,(W$2-$K9+1)/$L9,IF($J9*$M9&gt;=0.9,1,MIN(0.9,$J9*$M9+IF($J9*$M9&lt;0.7,0.03,0.01)*(W$2-$K9-$L9+1))/($J9*$M9)))))</f>
        <v>0</v>
      </c>
      <c r="X9">
        <f>IF(X$2&lt;$K9,0,IF(AND(X$2=$K9,$L9=2),Settings!$B$8,IF(X$2-$K9+1&lt;$L9,(X$2-$K9+1)/$L9,IF($J9*$M9&gt;=0.9,1,MIN(0.9,$J9*$M9+IF($J9*$M9&lt;0.7,0.03,0.01)*(X$2-$K9-$L9+1))/($J9*$M9)))))</f>
        <v>0</v>
      </c>
      <c r="Y9" s="9">
        <v>265018</v>
      </c>
      <c r="Z9" s="9">
        <v>269576</v>
      </c>
      <c r="AA9" s="9">
        <v>273535</v>
      </c>
      <c r="AB9" s="9">
        <v>276643</v>
      </c>
      <c r="AC9" s="9">
        <v>279748</v>
      </c>
      <c r="AD9" s="9">
        <v>280487</v>
      </c>
      <c r="AE9" s="9">
        <v>281211</v>
      </c>
      <c r="AF9" s="9">
        <v>282225</v>
      </c>
      <c r="AG9" s="9">
        <v>282704</v>
      </c>
      <c r="AH9" s="9">
        <v>283829</v>
      </c>
      <c r="AI9">
        <f>AS9*(1+Settings!$B$7)</f>
        <v>0</v>
      </c>
      <c r="AJ9">
        <f>IF(Settings!$B$13="annual",AT9*(1+Settings!$B$7),AT9+Settings!$B$7*IF(AT9&gt;AS9,AT9-AS9,0))</f>
        <v>0</v>
      </c>
      <c r="AK9">
        <f>IF(Settings!$B$13="annual",AU9*(1+Settings!$B$7),AU9+Settings!$B$7*IF(AU9&gt;AT9,AU9-AT9,0))</f>
        <v>0</v>
      </c>
      <c r="AL9">
        <f>IF(Settings!$B$13="annual",AV9*(1+Settings!$B$7),AV9+Settings!$B$7*IF(AV9&gt;AU9,AV9-AU9,0))</f>
        <v>0</v>
      </c>
      <c r="AM9">
        <f>IF(Settings!$B$13="annual",AW9*(1+Settings!$B$7),AW9+Settings!$B$7*IF(AW9&gt;AV9,AW9-AV9,0))</f>
        <v>0</v>
      </c>
      <c r="AN9">
        <f>IF(Settings!$B$13="annual",AX9*(1+Settings!$B$7),AX9+Settings!$B$7*IF(AX9&gt;AW9,AX9-AW9,0))</f>
        <v>0</v>
      </c>
      <c r="AO9">
        <f>IF(Settings!$B$13="annual",AY9*(1+Settings!$B$7),AY9+Settings!$B$7*IF(AY9&gt;AX9,AY9-AX9,0))</f>
        <v>0</v>
      </c>
      <c r="AP9">
        <f>IF(Settings!$B$13="annual",AZ9*(1+Settings!$B$7),AZ9+Settings!$B$7*IF(AZ9&gt;AY9,AZ9-AY9,0))</f>
        <v>0</v>
      </c>
      <c r="AQ9">
        <f>IF(Settings!$B$13="annual",BA9*(1+Settings!$B$7),BA9+Settings!$B$7*IF(BA9&gt;AZ9,BA9-AZ9,0))</f>
        <v>0</v>
      </c>
      <c r="AR9">
        <f>IF(Settings!$B$13="annual",BB9*(1+Settings!$B$7),BB9+Settings!$B$7*IF(BB9&gt;BA9,BB9-BA9,0))</f>
        <v>0</v>
      </c>
      <c r="AS9">
        <f>Y9*$N9*$J9*$M9*O9*Settings!$B$6</f>
        <v>0</v>
      </c>
      <c r="AT9">
        <f>Z9*$N9*$J9*$M9*P9*Settings!$B$6</f>
        <v>0</v>
      </c>
      <c r="AU9">
        <f>AA9*$N9*$J9*$M9*Q9*Settings!$B$6</f>
        <v>0</v>
      </c>
      <c r="AV9">
        <f>AB9*$N9*$J9*$M9*R9*Settings!$B$6</f>
        <v>0</v>
      </c>
      <c r="AW9">
        <f>AC9*$N9*$J9*$M9*S9*Settings!$B$6</f>
        <v>0</v>
      </c>
      <c r="AX9">
        <f>AD9*$N9*$J9*$M9*T9*Settings!$B$6</f>
        <v>0</v>
      </c>
      <c r="AY9">
        <f>AE9*$N9*$J9*$M9*U9*Settings!$B$6</f>
        <v>0</v>
      </c>
      <c r="AZ9">
        <f>AF9*$N9*$J9*$M9*V9*Settings!$B$6</f>
        <v>0</v>
      </c>
      <c r="BA9">
        <f>AG9*$N9*$J9*$M9*W9*Settings!$B$6</f>
        <v>0</v>
      </c>
      <c r="BB9">
        <f>AH9*$N9*$J9*$M9*X9*Settings!$B$6</f>
        <v>0</v>
      </c>
    </row>
    <row r="10" spans="1:54" ht="15" customHeight="1">
      <c r="A10" t="s">
        <v>59</v>
      </c>
      <c r="B10" t="s">
        <v>60</v>
      </c>
      <c r="C10" s="9">
        <v>0.95199999999999996</v>
      </c>
      <c r="D10" s="9">
        <v>0.56299999999999994</v>
      </c>
      <c r="E10" s="9">
        <v>0.8</v>
      </c>
      <c r="F10" s="9">
        <v>0.52600000000000002</v>
      </c>
      <c r="G10" s="9">
        <v>0.84299999999999997</v>
      </c>
      <c r="H10" s="9">
        <v>22.6</v>
      </c>
      <c r="I10">
        <f t="shared" si="0"/>
        <v>0.59138655462184875</v>
      </c>
      <c r="J10">
        <f>IF(Settings!$B$10="anc4",D10*E10,IF(Settings!$B$10="anc1",C10*E10,C10*(G10*I10+F10*(1-I10))*E10))</f>
        <v>0.54337839999999993</v>
      </c>
      <c r="K10">
        <f>IF(Settings!$B$9="invest",Schedule!R10,IF(Settings!$B$9="hist",Schedule!U10,IF(Settings!$B$9="pcv",Schedule!M10,IF(Settings!$B$9="rota",Schedule!N10,Schedule!O10))))+Settings!$B$11</f>
        <v>2034</v>
      </c>
      <c r="L10">
        <f>IF(Schedule!H10=1,Settings!$B$4,Settings!$B$5)</f>
        <v>2</v>
      </c>
      <c r="M10" s="9">
        <v>1</v>
      </c>
      <c r="N10">
        <f t="shared" si="1"/>
        <v>1.023122570083896</v>
      </c>
      <c r="O10">
        <f>IF(O$2&lt;$K10,0,IF(O$2-$K10+1&lt;$L10,IF($L10=2,Settings!$B$8,(O$2-$K10+1)/$L10),IF($J10*$M10&gt;=Settings!$B$15,1,MIN(Settings!$B$15,$J10*$M10+IF($J10*$M10&lt;Settings!$B$16,Settings!$B$17,Settings!$B$18)*(O$2-$K10-$L10+1))/($J10*$M10))))</f>
        <v>0</v>
      </c>
      <c r="P10">
        <f>IF(P$2&lt;$K10,0,IF(AND(P$2=$K10,$L10=2),Settings!$B$8,IF(P$2-$K10+1&lt;$L10,(P$2-$K10+1)/$L10,IF($J10*$M10&gt;=0.9,1,MIN(0.9,$J10*$M10+IF($J10*$M10&lt;0.7,0.03,0.01)*(P$2-$K10-$L10+1))/($J10*$M10)))))</f>
        <v>0</v>
      </c>
      <c r="Q10">
        <f>IF(Q$2&lt;$K10,0,IF(AND(Q$2=$K10,$L10=2),Settings!$B$8,IF(Q$2-$K10+1&lt;$L10,(Q$2-$K10+1)/$L10,IF($J10*$M10&gt;=0.9,1,MIN(0.9,$J10*$M10+IF($J10*$M10&lt;0.7,0.03,0.01)*(Q$2-$K10-$L10+1))/($J10*$M10)))))</f>
        <v>0</v>
      </c>
      <c r="R10">
        <f>IF(R$2&lt;$K10,0,IF(AND(R$2=$K10,$L10=2),Settings!$B$8,IF(R$2-$K10+1&lt;$L10,(R$2-$K10+1)/$L10,IF($J10*$M10&gt;=0.9,1,MIN(0.9,$J10*$M10+IF($J10*$M10&lt;0.7,0.03,0.01)*(R$2-$K10-$L10+1))/($J10*$M10)))))</f>
        <v>0</v>
      </c>
      <c r="S10">
        <f>IF(S$2&lt;$K10,0,IF(AND(S$2=$K10,$L10=2),Settings!$B$8,IF(S$2-$K10+1&lt;$L10,(S$2-$K10+1)/$L10,IF($J10*$M10&gt;=0.9,1,MIN(0.9,$J10*$M10+IF($J10*$M10&lt;0.7,0.03,0.01)*(S$2-$K10-$L10+1))/($J10*$M10)))))</f>
        <v>0</v>
      </c>
      <c r="T10">
        <f>IF(T$2&lt;$K10,0,IF(AND(T$2=$K10,$L10=2),Settings!$B$8,IF(T$2-$K10+1&lt;$L10,(T$2-$K10+1)/$L10,IF($J10*$M10&gt;=0.9,1,MIN(0.9,$J10*$M10+IF($J10*$M10&lt;0.7,0.03,0.01)*(T$2-$K10-$L10+1))/($J10*$M10)))))</f>
        <v>0</v>
      </c>
      <c r="U10">
        <f>IF(U$2&lt;$K10,0,IF(AND(U$2=$K10,$L10=2),Settings!$B$8,IF(U$2-$K10+1&lt;$L10,(U$2-$K10+1)/$L10,IF($J10*$M10&gt;=0.9,1,MIN(0.9,$J10*$M10+IF($J10*$M10&lt;0.7,0.03,0.01)*(U$2-$K10-$L10+1))/($J10*$M10)))))</f>
        <v>0.8</v>
      </c>
      <c r="V10">
        <f>IF(V$2&lt;$K10,0,IF(AND(V$2=$K10,$L10=2),Settings!$B$8,IF(V$2-$K10+1&lt;$L10,(V$2-$K10+1)/$L10,IF($J10*$M10&gt;=0.9,1,MIN(0.9,$J10*$M10+IF($J10*$M10&lt;0.7,0.03,0.01)*(V$2-$K10-$L10+1))/($J10*$M10)))))</f>
        <v>1</v>
      </c>
      <c r="W10">
        <f>IF(W$2&lt;$K10,0,IF(AND(W$2=$K10,$L10=2),Settings!$B$8,IF(W$2-$K10+1&lt;$L10,(W$2-$K10+1)/$L10,IF($J10*$M10&gt;=0.9,1,MIN(0.9,$J10*$M10+IF($J10*$M10&lt;0.7,0.03,0.01)*(W$2-$K10-$L10+1))/($J10*$M10)))))</f>
        <v>1.055210144532797</v>
      </c>
      <c r="X10">
        <f>IF(X$2&lt;$K10,0,IF(AND(X$2=$K10,$L10=2),Settings!$B$8,IF(X$2-$K10+1&lt;$L10,(X$2-$K10+1)/$L10,IF($J10*$M10&gt;=0.9,1,MIN(0.9,$J10*$M10+IF($J10*$M10&lt;0.7,0.03,0.01)*(X$2-$K10-$L10+1))/($J10*$M10)))))</f>
        <v>1.1104202890655941</v>
      </c>
      <c r="Y10" s="9">
        <v>1055085</v>
      </c>
      <c r="Z10" s="9">
        <v>1069933</v>
      </c>
      <c r="AA10" s="9">
        <v>1088187</v>
      </c>
      <c r="AB10" s="9">
        <v>1106867</v>
      </c>
      <c r="AC10" s="9">
        <v>1126737</v>
      </c>
      <c r="AD10" s="9">
        <v>1153644</v>
      </c>
      <c r="AE10" s="9">
        <v>1171556</v>
      </c>
      <c r="AF10" s="9">
        <v>1193345</v>
      </c>
      <c r="AG10" s="9">
        <v>1216114</v>
      </c>
      <c r="AH10" s="9">
        <v>1239170</v>
      </c>
      <c r="AI10">
        <f>AS10*(1+Settings!$B$7)</f>
        <v>0</v>
      </c>
      <c r="AJ10">
        <f>IF(Settings!$B$13="annual",AT10*(1+Settings!$B$7),AT10+Settings!$B$7*IF(AT10&gt;AS10,AT10-AS10,0))</f>
        <v>0</v>
      </c>
      <c r="AK10">
        <f>IF(Settings!$B$13="annual",AU10*(1+Settings!$B$7),AU10+Settings!$B$7*IF(AU10&gt;AT10,AU10-AT10,0))</f>
        <v>0</v>
      </c>
      <c r="AL10">
        <f>IF(Settings!$B$13="annual",AV10*(1+Settings!$B$7),AV10+Settings!$B$7*IF(AV10&gt;AU10,AV10-AU10,0))</f>
        <v>0</v>
      </c>
      <c r="AM10">
        <f>IF(Settings!$B$13="annual",AW10*(1+Settings!$B$7),AW10+Settings!$B$7*IF(AW10&gt;AV10,AW10-AV10,0))</f>
        <v>0</v>
      </c>
      <c r="AN10">
        <f>IF(Settings!$B$13="annual",AX10*(1+Settings!$B$7),AX10+Settings!$B$7*IF(AX10&gt;AW10,AX10-AW10,0))</f>
        <v>0</v>
      </c>
      <c r="AO10">
        <f>IF(Settings!$B$13="annual",AY10*(1+Settings!$B$7),AY10+Settings!$B$7*IF(AY10&gt;AX10,AY10-AX10,0))</f>
        <v>735989.35339999152</v>
      </c>
      <c r="AP10">
        <f>IF(Settings!$B$13="annual",AZ10*(1+Settings!$B$7),AZ10+Settings!$B$7*IF(AZ10&gt;AY10,AZ10-AY10,0))</f>
        <v>789899.04885811277</v>
      </c>
      <c r="AQ10">
        <f>IF(Settings!$B$13="annual",BA10*(1+Settings!$B$7),BA10+Settings!$B$7*IF(BA10&gt;AZ10,BA10-AZ10,0))</f>
        <v>820281.72934883321</v>
      </c>
      <c r="AR10">
        <f>IF(Settings!$B$13="annual",BB10*(1+Settings!$B$7),BB10+Settings!$B$7*IF(BB10&gt;BA10,BB10-BA10,0))</f>
        <v>878989.63395634107</v>
      </c>
      <c r="AS10">
        <f>Y10*$N10*$J10*$M10*O10*Settings!$B$6</f>
        <v>0</v>
      </c>
      <c r="AT10">
        <f>Z10*$N10*$J10*$M10*P10*Settings!$B$6</f>
        <v>0</v>
      </c>
      <c r="AU10">
        <f>AA10*$N10*$J10*$M10*Q10*Settings!$B$6</f>
        <v>0</v>
      </c>
      <c r="AV10">
        <f>AB10*$N10*$J10*$M10*R10*Settings!$B$6</f>
        <v>0</v>
      </c>
      <c r="AW10">
        <f>AC10*$N10*$J10*$M10*S10*Settings!$B$6</f>
        <v>0</v>
      </c>
      <c r="AX10">
        <f>AD10*$N10*$J10*$M10*T10*Settings!$B$6</f>
        <v>0</v>
      </c>
      <c r="AY10">
        <f>AE10*$N10*$J10*$M10*U10*Settings!$B$6</f>
        <v>588791.48271999322</v>
      </c>
      <c r="AZ10">
        <f>AF10*$N10*$J10*$M10*V10*Settings!$B$6</f>
        <v>749677.53563048888</v>
      </c>
      <c r="BA10">
        <f>AG10*$N10*$J10*$M10*W10*Settings!$B$6</f>
        <v>806160.89060516434</v>
      </c>
      <c r="BB10">
        <f>AH10*$N10*$J10*$M10*X10*Settings!$B$6</f>
        <v>864423.88528610568</v>
      </c>
    </row>
    <row r="11" spans="1:54" ht="15" customHeight="1">
      <c r="A11" t="s">
        <v>61</v>
      </c>
      <c r="B11" t="s">
        <v>62</v>
      </c>
      <c r="C11" s="9">
        <v>0.88700000000000001</v>
      </c>
      <c r="D11" s="9">
        <v>0.64600000000000002</v>
      </c>
      <c r="E11" s="9">
        <v>0.82</v>
      </c>
      <c r="F11" s="9">
        <v>0.52600000000000002</v>
      </c>
      <c r="G11" s="9">
        <v>0.84299999999999997</v>
      </c>
      <c r="H11" s="9">
        <v>18.3</v>
      </c>
      <c r="I11">
        <f t="shared" si="0"/>
        <v>0.72829763246899659</v>
      </c>
      <c r="J11">
        <f>IF(Settings!$B$10="anc4",D11*E11,IF(Settings!$B$10="anc1",C11*E11,C11*(G11*I11+F11*(1-I11))*E11))</f>
        <v>0.55050207999999989</v>
      </c>
      <c r="K11">
        <f>IF(Settings!$B$9="invest",Schedule!R11,IF(Settings!$B$9="hist",Schedule!U11,IF(Settings!$B$9="pcv",Schedule!M11,IF(Settings!$B$9="rota",Schedule!N11,Schedule!O11))))+Settings!$B$11</f>
        <v>2031</v>
      </c>
      <c r="L11">
        <f>IF(Schedule!H11=1,Settings!$B$4,Settings!$B$5)</f>
        <v>2</v>
      </c>
      <c r="M11" s="9">
        <v>1</v>
      </c>
      <c r="N11">
        <f t="shared" si="1"/>
        <v>1.0186411327289395</v>
      </c>
      <c r="O11">
        <f>IF(O$2&lt;$K11,0,IF(O$2-$K11+1&lt;$L11,IF($L11=2,Settings!$B$8,(O$2-$K11+1)/$L11),IF($J11*$M11&gt;=Settings!$B$15,1,MIN(Settings!$B$15,$J11*$M11+IF($J11*$M11&lt;Settings!$B$16,Settings!$B$17,Settings!$B$18)*(O$2-$K11-$L11+1))/($J11*$M11))))</f>
        <v>0</v>
      </c>
      <c r="P11">
        <f>IF(P$2&lt;$K11,0,IF(AND(P$2=$K11,$L11=2),Settings!$B$8,IF(P$2-$K11+1&lt;$L11,(P$2-$K11+1)/$L11,IF($J11*$M11&gt;=0.9,1,MIN(0.9,$J11*$M11+IF($J11*$M11&lt;0.7,0.03,0.01)*(P$2-$K11-$L11+1))/($J11*$M11)))))</f>
        <v>0</v>
      </c>
      <c r="Q11">
        <f>IF(Q$2&lt;$K11,0,IF(AND(Q$2=$K11,$L11=2),Settings!$B$8,IF(Q$2-$K11+1&lt;$L11,(Q$2-$K11+1)/$L11,IF($J11*$M11&gt;=0.9,1,MIN(0.9,$J11*$M11+IF($J11*$M11&lt;0.7,0.03,0.01)*(Q$2-$K11-$L11+1))/($J11*$M11)))))</f>
        <v>0</v>
      </c>
      <c r="R11">
        <f>IF(R$2&lt;$K11,0,IF(AND(R$2=$K11,$L11=2),Settings!$B$8,IF(R$2-$K11+1&lt;$L11,(R$2-$K11+1)/$L11,IF($J11*$M11&gt;=0.9,1,MIN(0.9,$J11*$M11+IF($J11*$M11&lt;0.7,0.03,0.01)*(R$2-$K11-$L11+1))/($J11*$M11)))))</f>
        <v>0.8</v>
      </c>
      <c r="S11">
        <f>IF(S$2&lt;$K11,0,IF(AND(S$2=$K11,$L11=2),Settings!$B$8,IF(S$2-$K11+1&lt;$L11,(S$2-$K11+1)/$L11,IF($J11*$M11&gt;=0.9,1,MIN(0.9,$J11*$M11+IF($J11*$M11&lt;0.7,0.03,0.01)*(S$2-$K11-$L11+1))/($J11*$M11)))))</f>
        <v>1</v>
      </c>
      <c r="T11">
        <f>IF(T$2&lt;$K11,0,IF(AND(T$2=$K11,$L11=2),Settings!$B$8,IF(T$2-$K11+1&lt;$L11,(T$2-$K11+1)/$L11,IF($J11*$M11&gt;=0.9,1,MIN(0.9,$J11*$M11+IF($J11*$M11&lt;0.7,0.03,0.01)*(T$2-$K11-$L11+1))/($J11*$M11)))))</f>
        <v>1.0544957069008714</v>
      </c>
      <c r="U11">
        <f>IF(U$2&lt;$K11,0,IF(AND(U$2=$K11,$L11=2),Settings!$B$8,IF(U$2-$K11+1&lt;$L11,(U$2-$K11+1)/$L11,IF($J11*$M11&gt;=0.9,1,MIN(0.9,$J11*$M11+IF($J11*$M11&lt;0.7,0.03,0.01)*(U$2-$K11-$L11+1))/($J11*$M11)))))</f>
        <v>1.1089914138017425</v>
      </c>
      <c r="V11">
        <f>IF(V$2&lt;$K11,0,IF(AND(V$2=$K11,$L11=2),Settings!$B$8,IF(V$2-$K11+1&lt;$L11,(V$2-$K11+1)/$L11,IF($J11*$M11&gt;=0.9,1,MIN(0.9,$J11*$M11+IF($J11*$M11&lt;0.7,0.03,0.01)*(V$2-$K11-$L11+1))/($J11*$M11)))))</f>
        <v>1.1634871207026138</v>
      </c>
      <c r="W11">
        <f>IF(W$2&lt;$K11,0,IF(AND(W$2=$K11,$L11=2),Settings!$B$8,IF(W$2-$K11+1&lt;$L11,(W$2-$K11+1)/$L11,IF($J11*$M11&gt;=0.9,1,MIN(0.9,$J11*$M11+IF($J11*$M11&lt;0.7,0.03,0.01)*(W$2-$K11-$L11+1))/($J11*$M11)))))</f>
        <v>1.2179828276034852</v>
      </c>
      <c r="X11">
        <f>IF(X$2&lt;$K11,0,IF(AND(X$2=$K11,$L11=2),Settings!$B$8,IF(X$2-$K11+1&lt;$L11,(X$2-$K11+1)/$L11,IF($J11*$M11&gt;=0.9,1,MIN(0.9,$J11*$M11+IF($J11*$M11&lt;0.7,0.03,0.01)*(X$2-$K11-$L11+1))/($J11*$M11)))))</f>
        <v>1.2724785345043566</v>
      </c>
      <c r="Y11" s="9">
        <v>1017055</v>
      </c>
      <c r="Z11" s="9">
        <v>1026453</v>
      </c>
      <c r="AA11" s="9">
        <v>1038634</v>
      </c>
      <c r="AB11" s="9">
        <v>1048295</v>
      </c>
      <c r="AC11" s="9">
        <v>1061036</v>
      </c>
      <c r="AD11" s="9">
        <v>1072048</v>
      </c>
      <c r="AE11" s="9">
        <v>1085974</v>
      </c>
      <c r="AF11" s="9">
        <v>1094051</v>
      </c>
      <c r="AG11" s="9">
        <v>1110352</v>
      </c>
      <c r="AH11" s="9">
        <v>1123293</v>
      </c>
      <c r="AI11">
        <f>AS11*(1+Settings!$B$7)</f>
        <v>0</v>
      </c>
      <c r="AJ11">
        <f>IF(Settings!$B$13="annual",AT11*(1+Settings!$B$7),AT11+Settings!$B$7*IF(AT11&gt;AS11,AT11-AS11,0))</f>
        <v>0</v>
      </c>
      <c r="AK11">
        <f>IF(Settings!$B$13="annual",AU11*(1+Settings!$B$7),AU11+Settings!$B$7*IF(AU11&gt;AT11,AU11-AT11,0))</f>
        <v>0</v>
      </c>
      <c r="AL11">
        <f>IF(Settings!$B$13="annual",AV11*(1+Settings!$B$7),AV11+Settings!$B$7*IF(AV11&gt;AU11,AV11-AU11,0))</f>
        <v>664266.16388669424</v>
      </c>
      <c r="AM11">
        <f>IF(Settings!$B$13="annual",AW11*(1+Settings!$B$7),AW11+Settings!$B$7*IF(AW11&gt;AV11,AW11-AV11,0))</f>
        <v>707571.35365310602</v>
      </c>
      <c r="AN11">
        <f>IF(Settings!$B$13="annual",AX11*(1+Settings!$B$7),AX11+Settings!$B$7*IF(AX11&gt;AW11,AX11-AW11,0))</f>
        <v>727336.90972524206</v>
      </c>
      <c r="AO11">
        <f>IF(Settings!$B$13="annual",AY11*(1+Settings!$B$7),AY11+Settings!$B$7*IF(AY11&gt;AX11,AY11-AX11,0))</f>
        <v>774845.05038576643</v>
      </c>
      <c r="AP11">
        <f>IF(Settings!$B$13="annual",AZ11*(1+Settings!$B$7),AZ11+Settings!$B$7*IF(AZ11&gt;AY11,AZ11-AY11,0))</f>
        <v>817463.06442371919</v>
      </c>
      <c r="AQ11">
        <f>IF(Settings!$B$13="annual",BA11*(1+Settings!$B$7),BA11+Settings!$B$7*IF(BA11&gt;AZ11,BA11-AZ11,0))</f>
        <v>869549.98874000018</v>
      </c>
      <c r="AR11">
        <f>IF(Settings!$B$13="annual",BB11*(1+Settings!$B$7),BB11+Settings!$B$7*IF(BB11&gt;BA11,BB11-BA11,0))</f>
        <v>917931.3590743083</v>
      </c>
      <c r="AS11">
        <f>Y11*$N11*$J11*$M11*O11*Settings!$B$6</f>
        <v>0</v>
      </c>
      <c r="AT11">
        <f>Z11*$N11*$J11*$M11*P11*Settings!$B$6</f>
        <v>0</v>
      </c>
      <c r="AU11">
        <f>AA11*$N11*$J11*$M11*Q11*Settings!$B$6</f>
        <v>0</v>
      </c>
      <c r="AV11">
        <f>AB11*$N11*$J11*$M11*R11*Settings!$B$6</f>
        <v>531412.93110935541</v>
      </c>
      <c r="AW11">
        <f>AC11*$N11*$J11*$M11*S11*Settings!$B$6</f>
        <v>672339.66914435592</v>
      </c>
      <c r="AX11">
        <f>AD11*$N11*$J11*$M11*T11*Settings!$B$6</f>
        <v>716337.46160906483</v>
      </c>
      <c r="AY11">
        <f>AE11*$N11*$J11*$M11*U11*Settings!$B$6</f>
        <v>763143.53263042611</v>
      </c>
      <c r="AZ11">
        <f>AF11*$N11*$J11*$M11*V11*Settings!$B$6</f>
        <v>806599.15806506062</v>
      </c>
      <c r="BA11">
        <f>AG11*$N11*$J11*$M11*W11*Settings!$B$6</f>
        <v>856959.82260501222</v>
      </c>
      <c r="BB11">
        <f>AH11*$N11*$J11*$M11*X11*Settings!$B$6</f>
        <v>905737.05178044911</v>
      </c>
    </row>
    <row r="12" spans="1:54" ht="15" customHeight="1">
      <c r="A12" t="s">
        <v>63</v>
      </c>
      <c r="B12" t="s">
        <v>64</v>
      </c>
      <c r="C12" s="9">
        <v>0.84</v>
      </c>
      <c r="D12" s="9">
        <v>0.44900000000000001</v>
      </c>
      <c r="E12" s="9">
        <v>0.82</v>
      </c>
      <c r="F12" s="9">
        <v>0.52600000000000002</v>
      </c>
      <c r="G12" s="9">
        <v>0.84299999999999997</v>
      </c>
      <c r="H12" s="9">
        <v>25.9</v>
      </c>
      <c r="I12">
        <f t="shared" si="0"/>
        <v>0.53452380952380951</v>
      </c>
      <c r="J12">
        <f>IF(Settings!$B$10="anc4",D12*E12,IF(Settings!$B$10="anc1",C12*E12,C12*(G12*I12+F12*(1-I12))*E12))</f>
        <v>0.47902185999999991</v>
      </c>
      <c r="K12">
        <f>IF(Settings!$B$9="invest",Schedule!R12,IF(Settings!$B$9="hist",Schedule!U12,IF(Settings!$B$9="pcv",Schedule!M12,IF(Settings!$B$9="rota",Schedule!N12,Schedule!O12))))+Settings!$B$11</f>
        <v>2037</v>
      </c>
      <c r="L12">
        <f>IF(Schedule!H12=1,Settings!$B$4,Settings!$B$5)</f>
        <v>3</v>
      </c>
      <c r="M12" s="9">
        <v>1</v>
      </c>
      <c r="N12">
        <f t="shared" si="1"/>
        <v>1.0265886459295761</v>
      </c>
      <c r="O12">
        <f>IF(O$2&lt;$K12,0,IF(O$2-$K12+1&lt;$L12,IF($L12=2,Settings!$B$8,(O$2-$K12+1)/$L12),IF($J12*$M12&gt;=Settings!$B$15,1,MIN(Settings!$B$15,$J12*$M12+IF($J12*$M12&lt;Settings!$B$16,Settings!$B$17,Settings!$B$18)*(O$2-$K12-$L12+1))/($J12*$M12))))</f>
        <v>0</v>
      </c>
      <c r="P12">
        <f>IF(P$2&lt;$K12,0,IF(AND(P$2=$K12,$L12=2),Settings!$B$8,IF(P$2-$K12+1&lt;$L12,(P$2-$K12+1)/$L12,IF($J12*$M12&gt;=0.9,1,MIN(0.9,$J12*$M12+IF($J12*$M12&lt;0.7,0.03,0.01)*(P$2-$K12-$L12+1))/($J12*$M12)))))</f>
        <v>0</v>
      </c>
      <c r="Q12">
        <f>IF(Q$2&lt;$K12,0,IF(AND(Q$2=$K12,$L12=2),Settings!$B$8,IF(Q$2-$K12+1&lt;$L12,(Q$2-$K12+1)/$L12,IF($J12*$M12&gt;=0.9,1,MIN(0.9,$J12*$M12+IF($J12*$M12&lt;0.7,0.03,0.01)*(Q$2-$K12-$L12+1))/($J12*$M12)))))</f>
        <v>0</v>
      </c>
      <c r="R12">
        <f>IF(R$2&lt;$K12,0,IF(AND(R$2=$K12,$L12=2),Settings!$B$8,IF(R$2-$K12+1&lt;$L12,(R$2-$K12+1)/$L12,IF($J12*$M12&gt;=0.9,1,MIN(0.9,$J12*$M12+IF($J12*$M12&lt;0.7,0.03,0.01)*(R$2-$K12-$L12+1))/($J12*$M12)))))</f>
        <v>0</v>
      </c>
      <c r="S12">
        <f>IF(S$2&lt;$K12,0,IF(AND(S$2=$K12,$L12=2),Settings!$B$8,IF(S$2-$K12+1&lt;$L12,(S$2-$K12+1)/$L12,IF($J12*$M12&gt;=0.9,1,MIN(0.9,$J12*$M12+IF($J12*$M12&lt;0.7,0.03,0.01)*(S$2-$K12-$L12+1))/($J12*$M12)))))</f>
        <v>0</v>
      </c>
      <c r="T12">
        <f>IF(T$2&lt;$K12,0,IF(AND(T$2=$K12,$L12=2),Settings!$B$8,IF(T$2-$K12+1&lt;$L12,(T$2-$K12+1)/$L12,IF($J12*$M12&gt;=0.9,1,MIN(0.9,$J12*$M12+IF($J12*$M12&lt;0.7,0.03,0.01)*(T$2-$K12-$L12+1))/($J12*$M12)))))</f>
        <v>0</v>
      </c>
      <c r="U12">
        <f>IF(U$2&lt;$K12,0,IF(AND(U$2=$K12,$L12=2),Settings!$B$8,IF(U$2-$K12+1&lt;$L12,(U$2-$K12+1)/$L12,IF($J12*$M12&gt;=0.9,1,MIN(0.9,$J12*$M12+IF($J12*$M12&lt;0.7,0.03,0.01)*(U$2-$K12-$L12+1))/($J12*$M12)))))</f>
        <v>0</v>
      </c>
      <c r="V12">
        <f>IF(V$2&lt;$K12,0,IF(AND(V$2=$K12,$L12=2),Settings!$B$8,IF(V$2-$K12+1&lt;$L12,(V$2-$K12+1)/$L12,IF($J12*$M12&gt;=0.9,1,MIN(0.9,$J12*$M12+IF($J12*$M12&lt;0.7,0.03,0.01)*(V$2-$K12-$L12+1))/($J12*$M12)))))</f>
        <v>0</v>
      </c>
      <c r="W12">
        <f>IF(W$2&lt;$K12,0,IF(AND(W$2=$K12,$L12=2),Settings!$B$8,IF(W$2-$K12+1&lt;$L12,(W$2-$K12+1)/$L12,IF($J12*$M12&gt;=0.9,1,MIN(0.9,$J12*$M12+IF($J12*$M12&lt;0.7,0.03,0.01)*(W$2-$K12-$L12+1))/($J12*$M12)))))</f>
        <v>0</v>
      </c>
      <c r="X12">
        <f>IF(X$2&lt;$K12,0,IF(AND(X$2=$K12,$L12=2),Settings!$B$8,IF(X$2-$K12+1&lt;$L12,(X$2-$K12+1)/$L12,IF($J12*$M12&gt;=0.9,1,MIN(0.9,$J12*$M12+IF($J12*$M12&lt;0.7,0.03,0.01)*(X$2-$K12-$L12+1))/($J12*$M12)))))</f>
        <v>0.33333333333333331</v>
      </c>
      <c r="Y12" s="9">
        <v>4802949</v>
      </c>
      <c r="Z12" s="9">
        <v>4875683</v>
      </c>
      <c r="AA12" s="9">
        <v>4954791</v>
      </c>
      <c r="AB12" s="9">
        <v>5028909</v>
      </c>
      <c r="AC12" s="9">
        <v>5084137</v>
      </c>
      <c r="AD12" s="9">
        <v>5153880</v>
      </c>
      <c r="AE12" s="9">
        <v>5219840</v>
      </c>
      <c r="AF12" s="9">
        <v>5266779</v>
      </c>
      <c r="AG12" s="9">
        <v>5334716</v>
      </c>
      <c r="AH12" s="9">
        <v>5370091</v>
      </c>
      <c r="AI12">
        <f>AS12*(1+Settings!$B$7)</f>
        <v>0</v>
      </c>
      <c r="AJ12">
        <f>IF(Settings!$B$13="annual",AT12*(1+Settings!$B$7),AT12+Settings!$B$7*IF(AT12&gt;AS12,AT12-AS12,0))</f>
        <v>0</v>
      </c>
      <c r="AK12">
        <f>IF(Settings!$B$13="annual",AU12*(1+Settings!$B$7),AU12+Settings!$B$7*IF(AU12&gt;AT12,AU12-AT12,0))</f>
        <v>0</v>
      </c>
      <c r="AL12">
        <f>IF(Settings!$B$13="annual",AV12*(1+Settings!$B$7),AV12+Settings!$B$7*IF(AV12&gt;AU12,AV12-AU12,0))</f>
        <v>0</v>
      </c>
      <c r="AM12">
        <f>IF(Settings!$B$13="annual",AW12*(1+Settings!$B$7),AW12+Settings!$B$7*IF(AW12&gt;AV12,AW12-AV12,0))</f>
        <v>0</v>
      </c>
      <c r="AN12">
        <f>IF(Settings!$B$13="annual",AX12*(1+Settings!$B$7),AX12+Settings!$B$7*IF(AX12&gt;AW12,AX12-AW12,0))</f>
        <v>0</v>
      </c>
      <c r="AO12">
        <f>IF(Settings!$B$13="annual",AY12*(1+Settings!$B$7),AY12+Settings!$B$7*IF(AY12&gt;AX12,AY12-AX12,0))</f>
        <v>0</v>
      </c>
      <c r="AP12">
        <f>IF(Settings!$B$13="annual",AZ12*(1+Settings!$B$7),AZ12+Settings!$B$7*IF(AZ12&gt;AY12,AZ12-AY12,0))</f>
        <v>0</v>
      </c>
      <c r="AQ12">
        <f>IF(Settings!$B$13="annual",BA12*(1+Settings!$B$7),BA12+Settings!$B$7*IF(BA12&gt;AZ12,BA12-AZ12,0))</f>
        <v>0</v>
      </c>
      <c r="AR12">
        <f>IF(Settings!$B$13="annual",BB12*(1+Settings!$B$7),BB12+Settings!$B$7*IF(BB12&gt;BA12,BB12-BA12,0))</f>
        <v>1243370.7210432976</v>
      </c>
      <c r="AS12">
        <f>Y12*$N12*$J12*$M12*O12*Settings!$B$6</f>
        <v>0</v>
      </c>
      <c r="AT12">
        <f>Z12*$N12*$J12*$M12*P12*Settings!$B$6</f>
        <v>0</v>
      </c>
      <c r="AU12">
        <f>AA12*$N12*$J12*$M12*Q12*Settings!$B$6</f>
        <v>0</v>
      </c>
      <c r="AV12">
        <f>AB12*$N12*$J12*$M12*R12*Settings!$B$6</f>
        <v>0</v>
      </c>
      <c r="AW12">
        <f>AC12*$N12*$J12*$M12*S12*Settings!$B$6</f>
        <v>0</v>
      </c>
      <c r="AX12">
        <f>AD12*$N12*$J12*$M12*T12*Settings!$B$6</f>
        <v>0</v>
      </c>
      <c r="AY12">
        <f>AE12*$N12*$J12*$M12*U12*Settings!$B$6</f>
        <v>0</v>
      </c>
      <c r="AZ12">
        <f>AF12*$N12*$J12*$M12*V12*Settings!$B$6</f>
        <v>0</v>
      </c>
      <c r="BA12">
        <f>AG12*$N12*$J12*$M12*W12*Settings!$B$6</f>
        <v>0</v>
      </c>
      <c r="BB12">
        <f>AH12*$N12*$J12*$M12*X12*Settings!$B$6</f>
        <v>994696.57683463814</v>
      </c>
    </row>
    <row r="13" spans="1:54" ht="15" customHeight="1">
      <c r="A13" t="s">
        <v>65</v>
      </c>
      <c r="B13" t="s">
        <v>66</v>
      </c>
      <c r="C13" s="9">
        <v>0.93500000000000005</v>
      </c>
      <c r="D13" s="9">
        <v>0.79</v>
      </c>
      <c r="E13" s="9">
        <v>0.82</v>
      </c>
      <c r="F13" s="9">
        <v>0.52600000000000002</v>
      </c>
      <c r="G13" s="9">
        <v>0.84299999999999997</v>
      </c>
      <c r="H13" s="9">
        <v>14.5</v>
      </c>
      <c r="I13">
        <f t="shared" si="0"/>
        <v>0.84491978609625662</v>
      </c>
      <c r="J13">
        <f>IF(Settings!$B$10="anc4",D13*E13,IF(Settings!$B$10="anc1",C13*E13,C13*(G13*I13+F13*(1-I13))*E13))</f>
        <v>0.60863679999999998</v>
      </c>
      <c r="K13">
        <f>IF(Settings!$B$9="invest",Schedule!R13,IF(Settings!$B$9="hist",Schedule!U13,IF(Settings!$B$9="pcv",Schedule!M13,IF(Settings!$B$9="rota",Schedule!N13,Schedule!O13))))+Settings!$B$11</f>
        <v>2036</v>
      </c>
      <c r="L13">
        <f>IF(Schedule!H13=1,Settings!$B$4,Settings!$B$5)</f>
        <v>2</v>
      </c>
      <c r="M13" s="9">
        <v>1</v>
      </c>
      <c r="N13">
        <f t="shared" si="1"/>
        <v>1.0147133434804667</v>
      </c>
      <c r="O13">
        <f>IF(O$2&lt;$K13,0,IF(O$2-$K13+1&lt;$L13,IF($L13=2,Settings!$B$8,(O$2-$K13+1)/$L13),IF($J13*$M13&gt;=Settings!$B$15,1,MIN(Settings!$B$15,$J13*$M13+IF($J13*$M13&lt;Settings!$B$16,Settings!$B$17,Settings!$B$18)*(O$2-$K13-$L13+1))/($J13*$M13))))</f>
        <v>0</v>
      </c>
      <c r="P13">
        <f>IF(P$2&lt;$K13,0,IF(AND(P$2=$K13,$L13=2),Settings!$B$8,IF(P$2-$K13+1&lt;$L13,(P$2-$K13+1)/$L13,IF($J13*$M13&gt;=0.9,1,MIN(0.9,$J13*$M13+IF($J13*$M13&lt;0.7,0.03,0.01)*(P$2-$K13-$L13+1))/($J13*$M13)))))</f>
        <v>0</v>
      </c>
      <c r="Q13">
        <f>IF(Q$2&lt;$K13,0,IF(AND(Q$2=$K13,$L13=2),Settings!$B$8,IF(Q$2-$K13+1&lt;$L13,(Q$2-$K13+1)/$L13,IF($J13*$M13&gt;=0.9,1,MIN(0.9,$J13*$M13+IF($J13*$M13&lt;0.7,0.03,0.01)*(Q$2-$K13-$L13+1))/($J13*$M13)))))</f>
        <v>0</v>
      </c>
      <c r="R13">
        <f>IF(R$2&lt;$K13,0,IF(AND(R$2=$K13,$L13=2),Settings!$B$8,IF(R$2-$K13+1&lt;$L13,(R$2-$K13+1)/$L13,IF($J13*$M13&gt;=0.9,1,MIN(0.9,$J13*$M13+IF($J13*$M13&lt;0.7,0.03,0.01)*(R$2-$K13-$L13+1))/($J13*$M13)))))</f>
        <v>0</v>
      </c>
      <c r="S13">
        <f>IF(S$2&lt;$K13,0,IF(AND(S$2=$K13,$L13=2),Settings!$B$8,IF(S$2-$K13+1&lt;$L13,(S$2-$K13+1)/$L13,IF($J13*$M13&gt;=0.9,1,MIN(0.9,$J13*$M13+IF($J13*$M13&lt;0.7,0.03,0.01)*(S$2-$K13-$L13+1))/($J13*$M13)))))</f>
        <v>0</v>
      </c>
      <c r="T13">
        <f>IF(T$2&lt;$K13,0,IF(AND(T$2=$K13,$L13=2),Settings!$B$8,IF(T$2-$K13+1&lt;$L13,(T$2-$K13+1)/$L13,IF($J13*$M13&gt;=0.9,1,MIN(0.9,$J13*$M13+IF($J13*$M13&lt;0.7,0.03,0.01)*(T$2-$K13-$L13+1))/($J13*$M13)))))</f>
        <v>0</v>
      </c>
      <c r="U13">
        <f>IF(U$2&lt;$K13,0,IF(AND(U$2=$K13,$L13=2),Settings!$B$8,IF(U$2-$K13+1&lt;$L13,(U$2-$K13+1)/$L13,IF($J13*$M13&gt;=0.9,1,MIN(0.9,$J13*$M13+IF($J13*$M13&lt;0.7,0.03,0.01)*(U$2-$K13-$L13+1))/($J13*$M13)))))</f>
        <v>0</v>
      </c>
      <c r="V13">
        <f>IF(V$2&lt;$K13,0,IF(AND(V$2=$K13,$L13=2),Settings!$B$8,IF(V$2-$K13+1&lt;$L13,(V$2-$K13+1)/$L13,IF($J13*$M13&gt;=0.9,1,MIN(0.9,$J13*$M13+IF($J13*$M13&lt;0.7,0.03,0.01)*(V$2-$K13-$L13+1))/($J13*$M13)))))</f>
        <v>0</v>
      </c>
      <c r="W13">
        <f>IF(W$2&lt;$K13,0,IF(AND(W$2=$K13,$L13=2),Settings!$B$8,IF(W$2-$K13+1&lt;$L13,(W$2-$K13+1)/$L13,IF($J13*$M13&gt;=0.9,1,MIN(0.9,$J13*$M13+IF($J13*$M13&lt;0.7,0.03,0.01)*(W$2-$K13-$L13+1))/($J13*$M13)))))</f>
        <v>0.8</v>
      </c>
      <c r="X13">
        <f>IF(X$2&lt;$K13,0,IF(AND(X$2=$K13,$L13=2),Settings!$B$8,IF(X$2-$K13+1&lt;$L13,(X$2-$K13+1)/$L13,IF($J13*$M13&gt;=0.9,1,MIN(0.9,$J13*$M13+IF($J13*$M13&lt;0.7,0.03,0.01)*(X$2-$K13-$L13+1))/($J13*$M13)))))</f>
        <v>1</v>
      </c>
      <c r="Y13" s="9">
        <v>205841</v>
      </c>
      <c r="Z13" s="9">
        <v>209899</v>
      </c>
      <c r="AA13" s="9">
        <v>213924</v>
      </c>
      <c r="AB13" s="9">
        <v>217582</v>
      </c>
      <c r="AC13" s="9">
        <v>221481</v>
      </c>
      <c r="AD13" s="9">
        <v>224918</v>
      </c>
      <c r="AE13" s="9">
        <v>227964</v>
      </c>
      <c r="AF13" s="9">
        <v>230963</v>
      </c>
      <c r="AG13" s="9">
        <v>233956</v>
      </c>
      <c r="AH13" s="9">
        <v>237021</v>
      </c>
      <c r="AI13">
        <f>AS13*(1+Settings!$B$7)</f>
        <v>0</v>
      </c>
      <c r="AJ13">
        <f>IF(Settings!$B$13="annual",AT13*(1+Settings!$B$7),AT13+Settings!$B$7*IF(AT13&gt;AS13,AT13-AS13,0))</f>
        <v>0</v>
      </c>
      <c r="AK13">
        <f>IF(Settings!$B$13="annual",AU13*(1+Settings!$B$7),AU13+Settings!$B$7*IF(AU13&gt;AT13,AU13-AT13,0))</f>
        <v>0</v>
      </c>
      <c r="AL13">
        <f>IF(Settings!$B$13="annual",AV13*(1+Settings!$B$7),AV13+Settings!$B$7*IF(AV13&gt;AU13,AV13-AU13,0))</f>
        <v>0</v>
      </c>
      <c r="AM13">
        <f>IF(Settings!$B$13="annual",AW13*(1+Settings!$B$7),AW13+Settings!$B$7*IF(AW13&gt;AV13,AW13-AV13,0))</f>
        <v>0</v>
      </c>
      <c r="AN13">
        <f>IF(Settings!$B$13="annual",AX13*(1+Settings!$B$7),AX13+Settings!$B$7*IF(AX13&gt;AW13,AX13-AW13,0))</f>
        <v>0</v>
      </c>
      <c r="AO13">
        <f>IF(Settings!$B$13="annual",AY13*(1+Settings!$B$7),AY13+Settings!$B$7*IF(AY13&gt;AX13,AY13-AX13,0))</f>
        <v>0</v>
      </c>
      <c r="AP13">
        <f>IF(Settings!$B$13="annual",AZ13*(1+Settings!$B$7),AZ13+Settings!$B$7*IF(AZ13&gt;AY13,AZ13-AY13,0))</f>
        <v>0</v>
      </c>
      <c r="AQ13">
        <f>IF(Settings!$B$13="annual",BA13*(1+Settings!$B$7),BA13+Settings!$B$7*IF(BA13&gt;AZ13,BA13-AZ13,0))</f>
        <v>163272.93884759411</v>
      </c>
      <c r="AR13">
        <f>IF(Settings!$B$13="annual",BB13*(1+Settings!$B$7),BB13+Settings!$B$7*IF(BB13&gt;BA13,BB13-BA13,0))</f>
        <v>174110.33404588449</v>
      </c>
      <c r="AS13">
        <f>Y13*$N13*$J13*$M13*O13*Settings!$B$6</f>
        <v>0</v>
      </c>
      <c r="AT13">
        <f>Z13*$N13*$J13*$M13*P13*Settings!$B$6</f>
        <v>0</v>
      </c>
      <c r="AU13">
        <f>AA13*$N13*$J13*$M13*Q13*Settings!$B$6</f>
        <v>0</v>
      </c>
      <c r="AV13">
        <f>AB13*$N13*$J13*$M13*R13*Settings!$B$6</f>
        <v>0</v>
      </c>
      <c r="AW13">
        <f>AC13*$N13*$J13*$M13*S13*Settings!$B$6</f>
        <v>0</v>
      </c>
      <c r="AX13">
        <f>AD13*$N13*$J13*$M13*T13*Settings!$B$6</f>
        <v>0</v>
      </c>
      <c r="AY13">
        <f>AE13*$N13*$J13*$M13*U13*Settings!$B$6</f>
        <v>0</v>
      </c>
      <c r="AZ13">
        <f>AF13*$N13*$J13*$M13*V13*Settings!$B$6</f>
        <v>0</v>
      </c>
      <c r="BA13">
        <f>AG13*$N13*$J13*$M13*W13*Settings!$B$6</f>
        <v>130618.35107807528</v>
      </c>
      <c r="BB13">
        <f>AH13*$N13*$J13*$M13*X13*Settings!$B$6</f>
        <v>165411.93745232266</v>
      </c>
    </row>
    <row r="14" spans="1:54" ht="15" customHeight="1">
      <c r="A14" t="s">
        <v>67</v>
      </c>
      <c r="B14" t="s">
        <v>68</v>
      </c>
      <c r="C14" s="9">
        <v>0.94599999999999995</v>
      </c>
      <c r="D14" s="9">
        <v>0.64300000000000002</v>
      </c>
      <c r="E14" s="9">
        <v>0.8</v>
      </c>
      <c r="F14" s="9">
        <v>0.52600000000000002</v>
      </c>
      <c r="G14" s="9">
        <v>0.84299999999999997</v>
      </c>
      <c r="H14" s="9">
        <v>21</v>
      </c>
      <c r="I14">
        <f t="shared" si="0"/>
        <v>0.67970401691331928</v>
      </c>
      <c r="J14">
        <f>IF(Settings!$B$10="anc4",D14*E14,IF(Settings!$B$10="anc1",C14*E14,C14*(G14*I14+F14*(1-I14))*E14))</f>
        <v>0.56114160000000002</v>
      </c>
      <c r="K14">
        <f>IF(Settings!$B$9="invest",Schedule!R14,IF(Settings!$B$9="hist",Schedule!U14,IF(Settings!$B$9="pcv",Schedule!M14,IF(Settings!$B$9="rota",Schedule!N14,Schedule!O14))))+Settings!$B$11</f>
        <v>2041</v>
      </c>
      <c r="L14">
        <f>IF(Schedule!H14=1,Settings!$B$4,Settings!$B$5)</f>
        <v>2</v>
      </c>
      <c r="M14" s="9">
        <v>1</v>
      </c>
      <c r="N14">
        <f t="shared" si="1"/>
        <v>1.0214504596527068</v>
      </c>
      <c r="O14">
        <f>IF(O$2&lt;$K14,0,IF(O$2-$K14+1&lt;$L14,IF($L14=2,Settings!$B$8,(O$2-$K14+1)/$L14),IF($J14*$M14&gt;=Settings!$B$15,1,MIN(Settings!$B$15,$J14*$M14+IF($J14*$M14&lt;Settings!$B$16,Settings!$B$17,Settings!$B$18)*(O$2-$K14-$L14+1))/($J14*$M14))))</f>
        <v>0</v>
      </c>
      <c r="P14">
        <f>IF(P$2&lt;$K14,0,IF(AND(P$2=$K14,$L14=2),Settings!$B$8,IF(P$2-$K14+1&lt;$L14,(P$2-$K14+1)/$L14,IF($J14*$M14&gt;=0.9,1,MIN(0.9,$J14*$M14+IF($J14*$M14&lt;0.7,0.03,0.01)*(P$2-$K14-$L14+1))/($J14*$M14)))))</f>
        <v>0</v>
      </c>
      <c r="Q14">
        <f>IF(Q$2&lt;$K14,0,IF(AND(Q$2=$K14,$L14=2),Settings!$B$8,IF(Q$2-$K14+1&lt;$L14,(Q$2-$K14+1)/$L14,IF($J14*$M14&gt;=0.9,1,MIN(0.9,$J14*$M14+IF($J14*$M14&lt;0.7,0.03,0.01)*(Q$2-$K14-$L14+1))/($J14*$M14)))))</f>
        <v>0</v>
      </c>
      <c r="R14">
        <f>IF(R$2&lt;$K14,0,IF(AND(R$2=$K14,$L14=2),Settings!$B$8,IF(R$2-$K14+1&lt;$L14,(R$2-$K14+1)/$L14,IF($J14*$M14&gt;=0.9,1,MIN(0.9,$J14*$M14+IF($J14*$M14&lt;0.7,0.03,0.01)*(R$2-$K14-$L14+1))/($J14*$M14)))))</f>
        <v>0</v>
      </c>
      <c r="S14">
        <f>IF(S$2&lt;$K14,0,IF(AND(S$2=$K14,$L14=2),Settings!$B$8,IF(S$2-$K14+1&lt;$L14,(S$2-$K14+1)/$L14,IF($J14*$M14&gt;=0.9,1,MIN(0.9,$J14*$M14+IF($J14*$M14&lt;0.7,0.03,0.01)*(S$2-$K14-$L14+1))/($J14*$M14)))))</f>
        <v>0</v>
      </c>
      <c r="T14">
        <f>IF(T$2&lt;$K14,0,IF(AND(T$2=$K14,$L14=2),Settings!$B$8,IF(T$2-$K14+1&lt;$L14,(T$2-$K14+1)/$L14,IF($J14*$M14&gt;=0.9,1,MIN(0.9,$J14*$M14+IF($J14*$M14&lt;0.7,0.03,0.01)*(T$2-$K14-$L14+1))/($J14*$M14)))))</f>
        <v>0</v>
      </c>
      <c r="U14">
        <f>IF(U$2&lt;$K14,0,IF(AND(U$2=$K14,$L14=2),Settings!$B$8,IF(U$2-$K14+1&lt;$L14,(U$2-$K14+1)/$L14,IF($J14*$M14&gt;=0.9,1,MIN(0.9,$J14*$M14+IF($J14*$M14&lt;0.7,0.03,0.01)*(U$2-$K14-$L14+1))/($J14*$M14)))))</f>
        <v>0</v>
      </c>
      <c r="V14">
        <f>IF(V$2&lt;$K14,0,IF(AND(V$2=$K14,$L14=2),Settings!$B$8,IF(V$2-$K14+1&lt;$L14,(V$2-$K14+1)/$L14,IF($J14*$M14&gt;=0.9,1,MIN(0.9,$J14*$M14+IF($J14*$M14&lt;0.7,0.03,0.01)*(V$2-$K14-$L14+1))/($J14*$M14)))))</f>
        <v>0</v>
      </c>
      <c r="W14">
        <f>IF(W$2&lt;$K14,0,IF(AND(W$2=$K14,$L14=2),Settings!$B$8,IF(W$2-$K14+1&lt;$L14,(W$2-$K14+1)/$L14,IF($J14*$M14&gt;=0.9,1,MIN(0.9,$J14*$M14+IF($J14*$M14&lt;0.7,0.03,0.01)*(W$2-$K14-$L14+1))/($J14*$M14)))))</f>
        <v>0</v>
      </c>
      <c r="X14">
        <f>IF(X$2&lt;$K14,0,IF(AND(X$2=$K14,$L14=2),Settings!$B$8,IF(X$2-$K14+1&lt;$L14,(X$2-$K14+1)/$L14,IF($J14*$M14&gt;=0.9,1,MIN(0.9,$J14*$M14+IF($J14*$M14&lt;0.7,0.03,0.01)*(X$2-$K14-$L14+1))/($J14*$M14)))))</f>
        <v>0</v>
      </c>
      <c r="Y14" s="9">
        <v>24821</v>
      </c>
      <c r="Z14" s="9">
        <v>24933</v>
      </c>
      <c r="AA14" s="9">
        <v>25061</v>
      </c>
      <c r="AB14" s="9">
        <v>25182</v>
      </c>
      <c r="AC14" s="9">
        <v>25343</v>
      </c>
      <c r="AD14" s="9">
        <v>25529</v>
      </c>
      <c r="AE14" s="9">
        <v>25711</v>
      </c>
      <c r="AF14" s="9">
        <v>25890</v>
      </c>
      <c r="AG14" s="9">
        <v>26075</v>
      </c>
      <c r="AH14" s="9">
        <v>26244</v>
      </c>
      <c r="AI14">
        <f>AS14*(1+Settings!$B$7)</f>
        <v>0</v>
      </c>
      <c r="AJ14">
        <f>IF(Settings!$B$13="annual",AT14*(1+Settings!$B$7),AT14+Settings!$B$7*IF(AT14&gt;AS14,AT14-AS14,0))</f>
        <v>0</v>
      </c>
      <c r="AK14">
        <f>IF(Settings!$B$13="annual",AU14*(1+Settings!$B$7),AU14+Settings!$B$7*IF(AU14&gt;AT14,AU14-AT14,0))</f>
        <v>0</v>
      </c>
      <c r="AL14">
        <f>IF(Settings!$B$13="annual",AV14*(1+Settings!$B$7),AV14+Settings!$B$7*IF(AV14&gt;AU14,AV14-AU14,0))</f>
        <v>0</v>
      </c>
      <c r="AM14">
        <f>IF(Settings!$B$13="annual",AW14*(1+Settings!$B$7),AW14+Settings!$B$7*IF(AW14&gt;AV14,AW14-AV14,0))</f>
        <v>0</v>
      </c>
      <c r="AN14">
        <f>IF(Settings!$B$13="annual",AX14*(1+Settings!$B$7),AX14+Settings!$B$7*IF(AX14&gt;AW14,AX14-AW14,0))</f>
        <v>0</v>
      </c>
      <c r="AO14">
        <f>IF(Settings!$B$13="annual",AY14*(1+Settings!$B$7),AY14+Settings!$B$7*IF(AY14&gt;AX14,AY14-AX14,0))</f>
        <v>0</v>
      </c>
      <c r="AP14">
        <f>IF(Settings!$B$13="annual",AZ14*(1+Settings!$B$7),AZ14+Settings!$B$7*IF(AZ14&gt;AY14,AZ14-AY14,0))</f>
        <v>0</v>
      </c>
      <c r="AQ14">
        <f>IF(Settings!$B$13="annual",BA14*(1+Settings!$B$7),BA14+Settings!$B$7*IF(BA14&gt;AZ14,BA14-AZ14,0))</f>
        <v>0</v>
      </c>
      <c r="AR14">
        <f>IF(Settings!$B$13="annual",BB14*(1+Settings!$B$7),BB14+Settings!$B$7*IF(BB14&gt;BA14,BB14-BA14,0))</f>
        <v>0</v>
      </c>
      <c r="AS14">
        <f>Y14*$N14*$J14*$M14*O14*Settings!$B$6</f>
        <v>0</v>
      </c>
      <c r="AT14">
        <f>Z14*$N14*$J14*$M14*P14*Settings!$B$6</f>
        <v>0</v>
      </c>
      <c r="AU14">
        <f>AA14*$N14*$J14*$M14*Q14*Settings!$B$6</f>
        <v>0</v>
      </c>
      <c r="AV14">
        <f>AB14*$N14*$J14*$M14*R14*Settings!$B$6</f>
        <v>0</v>
      </c>
      <c r="AW14">
        <f>AC14*$N14*$J14*$M14*S14*Settings!$B$6</f>
        <v>0</v>
      </c>
      <c r="AX14">
        <f>AD14*$N14*$J14*$M14*T14*Settings!$B$6</f>
        <v>0</v>
      </c>
      <c r="AY14">
        <f>AE14*$N14*$J14*$M14*U14*Settings!$B$6</f>
        <v>0</v>
      </c>
      <c r="AZ14">
        <f>AF14*$N14*$J14*$M14*V14*Settings!$B$6</f>
        <v>0</v>
      </c>
      <c r="BA14">
        <f>AG14*$N14*$J14*$M14*W14*Settings!$B$6</f>
        <v>0</v>
      </c>
      <c r="BB14">
        <f>AH14*$N14*$J14*$M14*X14*Settings!$B$6</f>
        <v>0</v>
      </c>
    </row>
    <row r="15" spans="1:54" ht="15" customHeight="1">
      <c r="A15" t="s">
        <v>69</v>
      </c>
      <c r="B15" t="s">
        <v>70</v>
      </c>
      <c r="C15" s="9">
        <v>0.877</v>
      </c>
      <c r="D15" s="9">
        <v>0.25700000000000001</v>
      </c>
      <c r="E15" s="9">
        <v>0.82</v>
      </c>
      <c r="F15" s="9">
        <v>0.52600000000000002</v>
      </c>
      <c r="G15" s="9">
        <v>0.84299999999999997</v>
      </c>
      <c r="H15" s="9">
        <v>29.7</v>
      </c>
      <c r="I15">
        <f t="shared" si="0"/>
        <v>0.29304446978335236</v>
      </c>
      <c r="J15">
        <f>IF(Settings!$B$10="anc4",D15*E15,IF(Settings!$B$10="anc1",C15*E15,C15*(G15*I15+F15*(1-I15))*E15))</f>
        <v>0.44507221999999996</v>
      </c>
      <c r="K15">
        <f>IF(Settings!$B$9="invest",Schedule!R15,IF(Settings!$B$9="hist",Schedule!U15,IF(Settings!$B$9="pcv",Schedule!M15,IF(Settings!$B$9="rota",Schedule!N15,Schedule!O15))))+Settings!$B$11</f>
        <v>2035</v>
      </c>
      <c r="L15">
        <f>IF(Schedule!H15=1,Settings!$B$4,Settings!$B$5)</f>
        <v>2</v>
      </c>
      <c r="M15" s="9">
        <v>1</v>
      </c>
      <c r="N15">
        <f t="shared" si="1"/>
        <v>1.0306090899721736</v>
      </c>
      <c r="O15">
        <f>IF(O$2&lt;$K15,0,IF(O$2-$K15+1&lt;$L15,IF($L15=2,Settings!$B$8,(O$2-$K15+1)/$L15),IF($J15*$M15&gt;=Settings!$B$15,1,MIN(Settings!$B$15,$J15*$M15+IF($J15*$M15&lt;Settings!$B$16,Settings!$B$17,Settings!$B$18)*(O$2-$K15-$L15+1))/($J15*$M15))))</f>
        <v>0</v>
      </c>
      <c r="P15">
        <f>IF(P$2&lt;$K15,0,IF(AND(P$2=$K15,$L15=2),Settings!$B$8,IF(P$2-$K15+1&lt;$L15,(P$2-$K15+1)/$L15,IF($J15*$M15&gt;=0.9,1,MIN(0.9,$J15*$M15+IF($J15*$M15&lt;0.7,0.03,0.01)*(P$2-$K15-$L15+1))/($J15*$M15)))))</f>
        <v>0</v>
      </c>
      <c r="Q15">
        <f>IF(Q$2&lt;$K15,0,IF(AND(Q$2=$K15,$L15=2),Settings!$B$8,IF(Q$2-$K15+1&lt;$L15,(Q$2-$K15+1)/$L15,IF($J15*$M15&gt;=0.9,1,MIN(0.9,$J15*$M15+IF($J15*$M15&lt;0.7,0.03,0.01)*(Q$2-$K15-$L15+1))/($J15*$M15)))))</f>
        <v>0</v>
      </c>
      <c r="R15">
        <f>IF(R$2&lt;$K15,0,IF(AND(R$2=$K15,$L15=2),Settings!$B$8,IF(R$2-$K15+1&lt;$L15,(R$2-$K15+1)/$L15,IF($J15*$M15&gt;=0.9,1,MIN(0.9,$J15*$M15+IF($J15*$M15&lt;0.7,0.03,0.01)*(R$2-$K15-$L15+1))/($J15*$M15)))))</f>
        <v>0</v>
      </c>
      <c r="S15">
        <f>IF(S$2&lt;$K15,0,IF(AND(S$2=$K15,$L15=2),Settings!$B$8,IF(S$2-$K15+1&lt;$L15,(S$2-$K15+1)/$L15,IF($J15*$M15&gt;=0.9,1,MIN(0.9,$J15*$M15+IF($J15*$M15&lt;0.7,0.03,0.01)*(S$2-$K15-$L15+1))/($J15*$M15)))))</f>
        <v>0</v>
      </c>
      <c r="T15">
        <f>IF(T$2&lt;$K15,0,IF(AND(T$2=$K15,$L15=2),Settings!$B$8,IF(T$2-$K15+1&lt;$L15,(T$2-$K15+1)/$L15,IF($J15*$M15&gt;=0.9,1,MIN(0.9,$J15*$M15+IF($J15*$M15&lt;0.7,0.03,0.01)*(T$2-$K15-$L15+1))/($J15*$M15)))))</f>
        <v>0</v>
      </c>
      <c r="U15">
        <f>IF(U$2&lt;$K15,0,IF(AND(U$2=$K15,$L15=2),Settings!$B$8,IF(U$2-$K15+1&lt;$L15,(U$2-$K15+1)/$L15,IF($J15*$M15&gt;=0.9,1,MIN(0.9,$J15*$M15+IF($J15*$M15&lt;0.7,0.03,0.01)*(U$2-$K15-$L15+1))/($J15*$M15)))))</f>
        <v>0</v>
      </c>
      <c r="V15">
        <f>IF(V$2&lt;$K15,0,IF(AND(V$2=$K15,$L15=2),Settings!$B$8,IF(V$2-$K15+1&lt;$L15,(V$2-$K15+1)/$L15,IF($J15*$M15&gt;=0.9,1,MIN(0.9,$J15*$M15+IF($J15*$M15&lt;0.7,0.03,0.01)*(V$2-$K15-$L15+1))/($J15*$M15)))))</f>
        <v>0.8</v>
      </c>
      <c r="W15">
        <f>IF(W$2&lt;$K15,0,IF(AND(W$2=$K15,$L15=2),Settings!$B$8,IF(W$2-$K15+1&lt;$L15,(W$2-$K15+1)/$L15,IF($J15*$M15&gt;=0.9,1,MIN(0.9,$J15*$M15+IF($J15*$M15&lt;0.7,0.03,0.01)*(W$2-$K15-$L15+1))/($J15*$M15)))))</f>
        <v>1</v>
      </c>
      <c r="X15">
        <f>IF(X$2&lt;$K15,0,IF(AND(X$2=$K15,$L15=2),Settings!$B$8,IF(X$2-$K15+1&lt;$L15,(X$2-$K15+1)/$L15,IF($J15*$M15&gt;=0.9,1,MIN(0.9,$J15*$M15+IF($J15*$M15&lt;0.7,0.03,0.01)*(X$2-$K15-$L15+1))/($J15*$M15)))))</f>
        <v>1.067404791069638</v>
      </c>
      <c r="Y15" s="9">
        <v>24621</v>
      </c>
      <c r="Z15" s="9">
        <v>24710</v>
      </c>
      <c r="AA15" s="9">
        <v>24808</v>
      </c>
      <c r="AB15" s="9">
        <v>24882</v>
      </c>
      <c r="AC15" s="9">
        <v>24911</v>
      </c>
      <c r="AD15" s="9">
        <v>24928</v>
      </c>
      <c r="AE15" s="9">
        <v>24933</v>
      </c>
      <c r="AF15" s="9">
        <v>24909</v>
      </c>
      <c r="AG15" s="9">
        <v>24923</v>
      </c>
      <c r="AH15" s="9">
        <v>24860</v>
      </c>
      <c r="AI15">
        <f>AS15*(1+Settings!$B$7)</f>
        <v>0</v>
      </c>
      <c r="AJ15">
        <f>IF(Settings!$B$13="annual",AT15*(1+Settings!$B$7),AT15+Settings!$B$7*IF(AT15&gt;AS15,AT15-AS15,0))</f>
        <v>0</v>
      </c>
      <c r="AK15">
        <f>IF(Settings!$B$13="annual",AU15*(1+Settings!$B$7),AU15+Settings!$B$7*IF(AU15&gt;AT15,AU15-AT15,0))</f>
        <v>0</v>
      </c>
      <c r="AL15">
        <f>IF(Settings!$B$13="annual",AV15*(1+Settings!$B$7),AV15+Settings!$B$7*IF(AV15&gt;AU15,AV15-AU15,0))</f>
        <v>0</v>
      </c>
      <c r="AM15">
        <f>IF(Settings!$B$13="annual",AW15*(1+Settings!$B$7),AW15+Settings!$B$7*IF(AW15&gt;AV15,AW15-AV15,0))</f>
        <v>0</v>
      </c>
      <c r="AN15">
        <f>IF(Settings!$B$13="annual",AX15*(1+Settings!$B$7),AX15+Settings!$B$7*IF(AX15&gt;AW15,AX15-AW15,0))</f>
        <v>0</v>
      </c>
      <c r="AO15">
        <f>IF(Settings!$B$13="annual",AY15*(1+Settings!$B$7),AY15+Settings!$B$7*IF(AY15&gt;AX15,AY15-AX15,0))</f>
        <v>0</v>
      </c>
      <c r="AP15">
        <f>IF(Settings!$B$13="annual",AZ15*(1+Settings!$B$7),AZ15+Settings!$B$7*IF(AZ15&gt;AY15,AZ15-AY15,0))</f>
        <v>12910.979530678551</v>
      </c>
      <c r="AQ15">
        <f>IF(Settings!$B$13="annual",BA15*(1+Settings!$B$7),BA15+Settings!$B$7*IF(BA15&gt;AZ15,BA15-AZ15,0))</f>
        <v>13565.599210242988</v>
      </c>
      <c r="AR15">
        <f>IF(Settings!$B$13="annual",BB15*(1+Settings!$B$7),BB15+Settings!$B$7*IF(BB15&gt;BA15,BB15-BA15,0))</f>
        <v>13963.105345728689</v>
      </c>
      <c r="AS15">
        <f>Y15*$N15*$J15*$M15*O15*Settings!$B$6</f>
        <v>0</v>
      </c>
      <c r="AT15">
        <f>Z15*$N15*$J15*$M15*P15*Settings!$B$6</f>
        <v>0</v>
      </c>
      <c r="AU15">
        <f>AA15*$N15*$J15*$M15*Q15*Settings!$B$6</f>
        <v>0</v>
      </c>
      <c r="AV15">
        <f>AB15*$N15*$J15*$M15*R15*Settings!$B$6</f>
        <v>0</v>
      </c>
      <c r="AW15">
        <f>AC15*$N15*$J15*$M15*S15*Settings!$B$6</f>
        <v>0</v>
      </c>
      <c r="AX15">
        <f>AD15*$N15*$J15*$M15*T15*Settings!$B$6</f>
        <v>0</v>
      </c>
      <c r="AY15">
        <f>AE15*$N15*$J15*$M15*U15*Settings!$B$6</f>
        <v>0</v>
      </c>
      <c r="AZ15">
        <f>AF15*$N15*$J15*$M15*V15*Settings!$B$6</f>
        <v>10328.783624542841</v>
      </c>
      <c r="BA15">
        <f>AG15*$N15*$J15*$M15*W15*Settings!$B$6</f>
        <v>12918.236093102958</v>
      </c>
      <c r="BB15">
        <f>AH15*$N15*$J15*$M15*X15*Settings!$B$6</f>
        <v>13754.131495203543</v>
      </c>
    </row>
    <row r="16" spans="1:54" ht="15" customHeight="1">
      <c r="A16" t="s">
        <v>71</v>
      </c>
      <c r="B16" t="s">
        <v>72</v>
      </c>
      <c r="C16" s="9">
        <v>0.88500000000000001</v>
      </c>
      <c r="D16" s="9">
        <v>0.57399999999999995</v>
      </c>
      <c r="E16" s="9">
        <v>0.97</v>
      </c>
      <c r="F16" s="9">
        <v>0.52600000000000002</v>
      </c>
      <c r="G16" s="9">
        <v>0.84299999999999997</v>
      </c>
      <c r="H16" s="9">
        <v>15.2</v>
      </c>
      <c r="I16">
        <f t="shared" si="0"/>
        <v>0.64858757062146888</v>
      </c>
      <c r="J16">
        <f>IF(Settings!$B$10="anc4",D16*E16,IF(Settings!$B$10="anc1",C16*E16,C16*(G16*I16+F16*(1-I16))*E16))</f>
        <v>0.62804395999999996</v>
      </c>
      <c r="K16">
        <f>IF(Settings!$B$9="invest",Schedule!R16,IF(Settings!$B$9="hist",Schedule!U16,IF(Settings!$B$9="pcv",Schedule!M16,IF(Settings!$B$9="rota",Schedule!N16,Schedule!O16))))+Settings!$B$11</f>
        <v>2035</v>
      </c>
      <c r="L16">
        <f>IF(Schedule!H16=1,Settings!$B$4,Settings!$B$5)</f>
        <v>2</v>
      </c>
      <c r="M16" s="9">
        <v>1</v>
      </c>
      <c r="N16">
        <f t="shared" si="1"/>
        <v>1.0154346060113728</v>
      </c>
      <c r="O16">
        <f>IF(O$2&lt;$K16,0,IF(O$2-$K16+1&lt;$L16,IF($L16=2,Settings!$B$8,(O$2-$K16+1)/$L16),IF($J16*$M16&gt;=Settings!$B$15,1,MIN(Settings!$B$15,$J16*$M16+IF($J16*$M16&lt;Settings!$B$16,Settings!$B$17,Settings!$B$18)*(O$2-$K16-$L16+1))/($J16*$M16))))</f>
        <v>0</v>
      </c>
      <c r="P16">
        <f>IF(P$2&lt;$K16,0,IF(AND(P$2=$K16,$L16=2),Settings!$B$8,IF(P$2-$K16+1&lt;$L16,(P$2-$K16+1)/$L16,IF($J16*$M16&gt;=0.9,1,MIN(0.9,$J16*$M16+IF($J16*$M16&lt;0.7,0.03,0.01)*(P$2-$K16-$L16+1))/($J16*$M16)))))</f>
        <v>0</v>
      </c>
      <c r="Q16">
        <f>IF(Q$2&lt;$K16,0,IF(AND(Q$2=$K16,$L16=2),Settings!$B$8,IF(Q$2-$K16+1&lt;$L16,(Q$2-$K16+1)/$L16,IF($J16*$M16&gt;=0.9,1,MIN(0.9,$J16*$M16+IF($J16*$M16&lt;0.7,0.03,0.01)*(Q$2-$K16-$L16+1))/($J16*$M16)))))</f>
        <v>0</v>
      </c>
      <c r="R16">
        <f>IF(R$2&lt;$K16,0,IF(AND(R$2=$K16,$L16=2),Settings!$B$8,IF(R$2-$K16+1&lt;$L16,(R$2-$K16+1)/$L16,IF($J16*$M16&gt;=0.9,1,MIN(0.9,$J16*$M16+IF($J16*$M16&lt;0.7,0.03,0.01)*(R$2-$K16-$L16+1))/($J16*$M16)))))</f>
        <v>0</v>
      </c>
      <c r="S16">
        <f>IF(S$2&lt;$K16,0,IF(AND(S$2=$K16,$L16=2),Settings!$B$8,IF(S$2-$K16+1&lt;$L16,(S$2-$K16+1)/$L16,IF($J16*$M16&gt;=0.9,1,MIN(0.9,$J16*$M16+IF($J16*$M16&lt;0.7,0.03,0.01)*(S$2-$K16-$L16+1))/($J16*$M16)))))</f>
        <v>0</v>
      </c>
      <c r="T16">
        <f>IF(T$2&lt;$K16,0,IF(AND(T$2=$K16,$L16=2),Settings!$B$8,IF(T$2-$K16+1&lt;$L16,(T$2-$K16+1)/$L16,IF($J16*$M16&gt;=0.9,1,MIN(0.9,$J16*$M16+IF($J16*$M16&lt;0.7,0.03,0.01)*(T$2-$K16-$L16+1))/($J16*$M16)))))</f>
        <v>0</v>
      </c>
      <c r="U16">
        <f>IF(U$2&lt;$K16,0,IF(AND(U$2=$K16,$L16=2),Settings!$B$8,IF(U$2-$K16+1&lt;$L16,(U$2-$K16+1)/$L16,IF($J16*$M16&gt;=0.9,1,MIN(0.9,$J16*$M16+IF($J16*$M16&lt;0.7,0.03,0.01)*(U$2-$K16-$L16+1))/($J16*$M16)))))</f>
        <v>0</v>
      </c>
      <c r="V16">
        <f>IF(V$2&lt;$K16,0,IF(AND(V$2=$K16,$L16=2),Settings!$B$8,IF(V$2-$K16+1&lt;$L16,(V$2-$K16+1)/$L16,IF($J16*$M16&gt;=0.9,1,MIN(0.9,$J16*$M16+IF($J16*$M16&lt;0.7,0.03,0.01)*(V$2-$K16-$L16+1))/($J16*$M16)))))</f>
        <v>0.8</v>
      </c>
      <c r="W16">
        <f>IF(W$2&lt;$K16,0,IF(AND(W$2=$K16,$L16=2),Settings!$B$8,IF(W$2-$K16+1&lt;$L16,(W$2-$K16+1)/$L16,IF($J16*$M16&gt;=0.9,1,MIN(0.9,$J16*$M16+IF($J16*$M16&lt;0.7,0.03,0.01)*(W$2-$K16-$L16+1))/($J16*$M16)))))</f>
        <v>1</v>
      </c>
      <c r="X16">
        <f>IF(X$2&lt;$K16,0,IF(AND(X$2=$K16,$L16=2),Settings!$B$8,IF(X$2-$K16+1&lt;$L16,(X$2-$K16+1)/$L16,IF($J16*$M16&gt;=0.9,1,MIN(0.9,$J16*$M16+IF($J16*$M16&lt;0.7,0.03,0.01)*(X$2-$K16-$L16+1))/($J16*$M16)))))</f>
        <v>1.0477673569219581</v>
      </c>
      <c r="Y16" s="9">
        <v>108939</v>
      </c>
      <c r="Z16" s="9">
        <v>110592</v>
      </c>
      <c r="AA16" s="9">
        <v>111972</v>
      </c>
      <c r="AB16" s="9">
        <v>113263</v>
      </c>
      <c r="AC16" s="9">
        <v>114267</v>
      </c>
      <c r="AD16" s="9">
        <v>115028</v>
      </c>
      <c r="AE16" s="9">
        <v>115558</v>
      </c>
      <c r="AF16" s="9">
        <v>115985</v>
      </c>
      <c r="AG16" s="9">
        <v>116206</v>
      </c>
      <c r="AH16" s="9">
        <v>116694</v>
      </c>
      <c r="AI16">
        <f>AS16*(1+Settings!$B$7)</f>
        <v>0</v>
      </c>
      <c r="AJ16">
        <f>IF(Settings!$B$13="annual",AT16*(1+Settings!$B$7),AT16+Settings!$B$7*IF(AT16&gt;AS16,AT16-AS16,0))</f>
        <v>0</v>
      </c>
      <c r="AK16">
        <f>IF(Settings!$B$13="annual",AU16*(1+Settings!$B$7),AU16+Settings!$B$7*IF(AU16&gt;AT16,AU16-AT16,0))</f>
        <v>0</v>
      </c>
      <c r="AL16">
        <f>IF(Settings!$B$13="annual",AV16*(1+Settings!$B$7),AV16+Settings!$B$7*IF(AV16&gt;AU16,AV16-AU16,0))</f>
        <v>0</v>
      </c>
      <c r="AM16">
        <f>IF(Settings!$B$13="annual",AW16*(1+Settings!$B$7),AW16+Settings!$B$7*IF(AW16&gt;AV16,AW16-AV16,0))</f>
        <v>0</v>
      </c>
      <c r="AN16">
        <f>IF(Settings!$B$13="annual",AX16*(1+Settings!$B$7),AX16+Settings!$B$7*IF(AX16&gt;AW16,AX16-AW16,0))</f>
        <v>0</v>
      </c>
      <c r="AO16">
        <f>IF(Settings!$B$13="annual",AY16*(1+Settings!$B$7),AY16+Settings!$B$7*IF(AY16&gt;AX16,AY16-AX16,0))</f>
        <v>0</v>
      </c>
      <c r="AP16">
        <f>IF(Settings!$B$13="annual",AZ16*(1+Settings!$B$7),AZ16+Settings!$B$7*IF(AZ16&gt;AY16,AZ16-AY16,0))</f>
        <v>83583.831165391952</v>
      </c>
      <c r="AQ16">
        <f>IF(Settings!$B$13="annual",BA16*(1+Settings!$B$7),BA16+Settings!$B$7*IF(BA16&gt;AZ16,BA16-AZ16,0))</f>
        <v>87962.100478193941</v>
      </c>
      <c r="AR16">
        <f>IF(Settings!$B$13="annual",BB16*(1+Settings!$B$7),BB16+Settings!$B$7*IF(BB16&gt;BA16,BB16-BA16,0))</f>
        <v>89203.916837364712</v>
      </c>
      <c r="AS16">
        <f>Y16*$N16*$J16*$M16*O16*Settings!$B$6</f>
        <v>0</v>
      </c>
      <c r="AT16">
        <f>Z16*$N16*$J16*$M16*P16*Settings!$B$6</f>
        <v>0</v>
      </c>
      <c r="AU16">
        <f>AA16*$N16*$J16*$M16*Q16*Settings!$B$6</f>
        <v>0</v>
      </c>
      <c r="AV16">
        <f>AB16*$N16*$J16*$M16*R16*Settings!$B$6</f>
        <v>0</v>
      </c>
      <c r="AW16">
        <f>AC16*$N16*$J16*$M16*S16*Settings!$B$6</f>
        <v>0</v>
      </c>
      <c r="AX16">
        <f>AD16*$N16*$J16*$M16*T16*Settings!$B$6</f>
        <v>0</v>
      </c>
      <c r="AY16">
        <f>AE16*$N16*$J16*$M16*U16*Settings!$B$6</f>
        <v>0</v>
      </c>
      <c r="AZ16">
        <f>AF16*$N16*$J16*$M16*V16*Settings!$B$6</f>
        <v>66867.064932313559</v>
      </c>
      <c r="BA16">
        <f>AG16*$N16*$J16*$M16*W16*Settings!$B$6</f>
        <v>83743.093369017864</v>
      </c>
      <c r="BB16">
        <f>AH16*$N16*$J16*$M16*X16*Settings!$B$6</f>
        <v>88111.752143695339</v>
      </c>
    </row>
    <row r="17" spans="1:54" ht="15" customHeight="1">
      <c r="A17" t="s">
        <v>73</v>
      </c>
      <c r="B17" t="s">
        <v>74</v>
      </c>
      <c r="C17" s="9">
        <v>0.73599999999999999</v>
      </c>
      <c r="D17" s="9">
        <v>0.43</v>
      </c>
      <c r="E17" s="9">
        <v>0.81</v>
      </c>
      <c r="F17" s="9">
        <v>0.52600000000000002</v>
      </c>
      <c r="G17" s="9">
        <v>0.84299999999999997</v>
      </c>
      <c r="H17" s="9">
        <v>29.7</v>
      </c>
      <c r="I17">
        <f t="shared" si="0"/>
        <v>0.58423913043478259</v>
      </c>
      <c r="J17">
        <f>IF(Settings!$B$10="anc4",D17*E17,IF(Settings!$B$10="anc1",C17*E17,C17*(G17*I17+F17*(1-I17))*E17))</f>
        <v>0.42399125999999998</v>
      </c>
      <c r="K17">
        <f>IF(Settings!$B$9="invest",Schedule!R17,IF(Settings!$B$9="hist",Schedule!U17,IF(Settings!$B$9="pcv",Schedule!M17,IF(Settings!$B$9="rota",Schedule!N17,Schedule!O17))))+Settings!$B$11</f>
        <v>2032</v>
      </c>
      <c r="L17">
        <f>IF(Schedule!H17=1,Settings!$B$4,Settings!$B$5)</f>
        <v>3</v>
      </c>
      <c r="M17" s="9">
        <v>1</v>
      </c>
      <c r="N17">
        <f t="shared" si="1"/>
        <v>1.0306090899721736</v>
      </c>
      <c r="O17">
        <f>IF(O$2&lt;$K17,0,IF(O$2-$K17+1&lt;$L17,IF($L17=2,Settings!$B$8,(O$2-$K17+1)/$L17),IF($J17*$M17&gt;=Settings!$B$15,1,MIN(Settings!$B$15,$J17*$M17+IF($J17*$M17&lt;Settings!$B$16,Settings!$B$17,Settings!$B$18)*(O$2-$K17-$L17+1))/($J17*$M17))))</f>
        <v>0</v>
      </c>
      <c r="P17">
        <f>IF(P$2&lt;$K17,0,IF(AND(P$2=$K17,$L17=2),Settings!$B$8,IF(P$2-$K17+1&lt;$L17,(P$2-$K17+1)/$L17,IF($J17*$M17&gt;=0.9,1,MIN(0.9,$J17*$M17+IF($J17*$M17&lt;0.7,0.03,0.01)*(P$2-$K17-$L17+1))/($J17*$M17)))))</f>
        <v>0</v>
      </c>
      <c r="Q17">
        <f>IF(Q$2&lt;$K17,0,IF(AND(Q$2=$K17,$L17=2),Settings!$B$8,IF(Q$2-$K17+1&lt;$L17,(Q$2-$K17+1)/$L17,IF($J17*$M17&gt;=0.9,1,MIN(0.9,$J17*$M17+IF($J17*$M17&lt;0.7,0.03,0.01)*(Q$2-$K17-$L17+1))/($J17*$M17)))))</f>
        <v>0</v>
      </c>
      <c r="R17">
        <f>IF(R$2&lt;$K17,0,IF(AND(R$2=$K17,$L17=2),Settings!$B$8,IF(R$2-$K17+1&lt;$L17,(R$2-$K17+1)/$L17,IF($J17*$M17&gt;=0.9,1,MIN(0.9,$J17*$M17+IF($J17*$M17&lt;0.7,0.03,0.01)*(R$2-$K17-$L17+1))/($J17*$M17)))))</f>
        <v>0</v>
      </c>
      <c r="S17">
        <f>IF(S$2&lt;$K17,0,IF(AND(S$2=$K17,$L17=2),Settings!$B$8,IF(S$2-$K17+1&lt;$L17,(S$2-$K17+1)/$L17,IF($J17*$M17&gt;=0.9,1,MIN(0.9,$J17*$M17+IF($J17*$M17&lt;0.7,0.03,0.01)*(S$2-$K17-$L17+1))/($J17*$M17)))))</f>
        <v>0.33333333333333331</v>
      </c>
      <c r="T17">
        <f>IF(T$2&lt;$K17,0,IF(AND(T$2=$K17,$L17=2),Settings!$B$8,IF(T$2-$K17+1&lt;$L17,(T$2-$K17+1)/$L17,IF($J17*$M17&gt;=0.9,1,MIN(0.9,$J17*$M17+IF($J17*$M17&lt;0.7,0.03,0.01)*(T$2-$K17-$L17+1))/($J17*$M17)))))</f>
        <v>0.66666666666666663</v>
      </c>
      <c r="U17">
        <f>IF(U$2&lt;$K17,0,IF(AND(U$2=$K17,$L17=2),Settings!$B$8,IF(U$2-$K17+1&lt;$L17,(U$2-$K17+1)/$L17,IF($J17*$M17&gt;=0.9,1,MIN(0.9,$J17*$M17+IF($J17*$M17&lt;0.7,0.03,0.01)*(U$2-$K17-$L17+1))/($J17*$M17)))))</f>
        <v>1</v>
      </c>
      <c r="V17">
        <f>IF(V$2&lt;$K17,0,IF(AND(V$2=$K17,$L17=2),Settings!$B$8,IF(V$2-$K17+1&lt;$L17,(V$2-$K17+1)/$L17,IF($J17*$M17&gt;=0.9,1,MIN(0.9,$J17*$M17+IF($J17*$M17&lt;0.7,0.03,0.01)*(V$2-$K17-$L17+1))/($J17*$M17)))))</f>
        <v>1.0707561754928627</v>
      </c>
      <c r="W17">
        <f>IF(W$2&lt;$K17,0,IF(AND(W$2=$K17,$L17=2),Settings!$B$8,IF(W$2-$K17+1&lt;$L17,(W$2-$K17+1)/$L17,IF($J17*$M17&gt;=0.9,1,MIN(0.9,$J17*$M17+IF($J17*$M17&lt;0.7,0.03,0.01)*(W$2-$K17-$L17+1))/($J17*$M17)))))</f>
        <v>1.1415123509857255</v>
      </c>
      <c r="X17">
        <f>IF(X$2&lt;$K17,0,IF(AND(X$2=$K17,$L17=2),Settings!$B$8,IF(X$2-$K17+1&lt;$L17,(X$2-$K17+1)/$L17,IF($J17*$M17&gt;=0.9,1,MIN(0.9,$J17*$M17+IF($J17*$M17&lt;0.7,0.03,0.01)*(X$2-$K17-$L17+1))/($J17*$M17)))))</f>
        <v>1.2122685264785882</v>
      </c>
      <c r="Y17" s="9">
        <v>4275105</v>
      </c>
      <c r="Z17" s="9">
        <v>4302505</v>
      </c>
      <c r="AA17" s="9">
        <v>4325563</v>
      </c>
      <c r="AB17" s="9">
        <v>4344291</v>
      </c>
      <c r="AC17" s="9">
        <v>4361174</v>
      </c>
      <c r="AD17" s="9">
        <v>4378051</v>
      </c>
      <c r="AE17" s="9">
        <v>4392231</v>
      </c>
      <c r="AF17" s="9">
        <v>4410060</v>
      </c>
      <c r="AG17" s="9">
        <v>4427476</v>
      </c>
      <c r="AH17" s="9">
        <v>4451135</v>
      </c>
      <c r="AI17">
        <f>AS17*(1+Settings!$B$7)</f>
        <v>0</v>
      </c>
      <c r="AJ17">
        <f>IF(Settings!$B$13="annual",AT17*(1+Settings!$B$7),AT17+Settings!$B$7*IF(AT17&gt;AS17,AT17-AS17,0))</f>
        <v>0</v>
      </c>
      <c r="AK17">
        <f>IF(Settings!$B$13="annual",AU17*(1+Settings!$B$7),AU17+Settings!$B$7*IF(AU17&gt;AT17,AU17-AT17,0))</f>
        <v>0</v>
      </c>
      <c r="AL17">
        <f>IF(Settings!$B$13="annual",AV17*(1+Settings!$B$7),AV17+Settings!$B$7*IF(AV17&gt;AU17,AV17-AU17,0))</f>
        <v>0</v>
      </c>
      <c r="AM17">
        <f>IF(Settings!$B$13="annual",AW17*(1+Settings!$B$7),AW17+Settings!$B$7*IF(AW17&gt;AV17,AW17-AV17,0))</f>
        <v>897266.57350533362</v>
      </c>
      <c r="AN17">
        <f>IF(Settings!$B$13="annual",AX17*(1+Settings!$B$7),AX17+Settings!$B$7*IF(AX17&gt;AW17,AX17-AW17,0))</f>
        <v>1622024.3697029951</v>
      </c>
      <c r="AO17">
        <f>IF(Settings!$B$13="annual",AY17*(1+Settings!$B$7),AY17+Settings!$B$7*IF(AY17&gt;AX17,AY17-AX17,0))</f>
        <v>2350673.1560082394</v>
      </c>
      <c r="AP17">
        <f>IF(Settings!$B$13="annual",AZ17*(1+Settings!$B$7),AZ17+Settings!$B$7*IF(AZ17&gt;AY17,AZ17-AY17,0))</f>
        <v>2372375.7586980676</v>
      </c>
      <c r="AQ17">
        <f>IF(Settings!$B$13="annual",BA17*(1+Settings!$B$7),BA17+Settings!$B$7*IF(BA17&gt;AZ17,BA17-AZ17,0))</f>
        <v>2536522.6759358482</v>
      </c>
      <c r="AR17">
        <f>IF(Settings!$B$13="annual",BB17*(1+Settings!$B$7),BB17+Settings!$B$7*IF(BB17&gt;BA17,BB17-BA17,0))</f>
        <v>2706608.7562406044</v>
      </c>
      <c r="AS17">
        <f>Y17*$N17*$J17*$M17*O17*Settings!$B$6</f>
        <v>0</v>
      </c>
      <c r="AT17">
        <f>Z17*$N17*$J17*$M17*P17*Settings!$B$6</f>
        <v>0</v>
      </c>
      <c r="AU17">
        <f>AA17*$N17*$J17*$M17*Q17*Settings!$B$6</f>
        <v>0</v>
      </c>
      <c r="AV17">
        <f>AB17*$N17*$J17*$M17*R17*Settings!$B$6</f>
        <v>0</v>
      </c>
      <c r="AW17">
        <f>AC17*$N17*$J17*$M17*S17*Settings!$B$6</f>
        <v>717813.25880426692</v>
      </c>
      <c r="AX17">
        <f>AD17*$N17*$J17*$M17*T17*Settings!$B$6</f>
        <v>1441182.1475232495</v>
      </c>
      <c r="AY17">
        <f>AE17*$N17*$J17*$M17*U17*Settings!$B$6</f>
        <v>2168774.9543112414</v>
      </c>
      <c r="AZ17">
        <f>AF17*$N17*$J17*$M17*V17*Settings!$B$6</f>
        <v>2331655.5978207025</v>
      </c>
      <c r="BA17">
        <f>AG17*$N17*$J17*$M17*W17*Settings!$B$6</f>
        <v>2495549.2603128189</v>
      </c>
      <c r="BB17">
        <f>AH17*$N17*$J17*$M17*X17*Settings!$B$6</f>
        <v>2664396.8570550475</v>
      </c>
    </row>
    <row r="18" spans="1:54" ht="15" customHeight="1">
      <c r="A18" t="s">
        <v>75</v>
      </c>
      <c r="B18" t="s">
        <v>76</v>
      </c>
      <c r="C18" s="9">
        <v>0.97799999999999998</v>
      </c>
      <c r="D18" s="9">
        <v>0.878</v>
      </c>
      <c r="E18" s="9">
        <v>0.99</v>
      </c>
      <c r="F18" s="9">
        <v>0.52600000000000002</v>
      </c>
      <c r="G18" s="9">
        <v>0.84299999999999997</v>
      </c>
      <c r="H18" s="9">
        <v>19.399999999999999</v>
      </c>
      <c r="I18">
        <f t="shared" si="0"/>
        <v>0.89775051124744376</v>
      </c>
      <c r="J18">
        <f>IF(Settings!$B$10="anc4",D18*E18,IF(Settings!$B$10="anc1",C18*E18,C18*(G18*I18+F18*(1-I18))*E18))</f>
        <v>0.78482646</v>
      </c>
      <c r="K18">
        <f>IF(Settings!$B$9="invest",Schedule!R18,IF(Settings!$B$9="hist",Schedule!U18,IF(Settings!$B$9="pcv",Schedule!M18,IF(Settings!$B$9="rota",Schedule!N18,Schedule!O18))))+Settings!$B$11</f>
        <v>2029</v>
      </c>
      <c r="L18">
        <f>IF(Schedule!H18=1,Settings!$B$4,Settings!$B$5)</f>
        <v>2</v>
      </c>
      <c r="M18" s="9">
        <v>1</v>
      </c>
      <c r="N18">
        <f t="shared" si="1"/>
        <v>1.0197838058331634</v>
      </c>
      <c r="O18">
        <f>IF(O$2&lt;$K18,0,IF(O$2-$K18+1&lt;$L18,IF($L18=2,Settings!$B$8,(O$2-$K18+1)/$L18),IF($J18*$M18&gt;=Settings!$B$15,1,MIN(Settings!$B$15,$J18*$M18+IF($J18*$M18&lt;Settings!$B$16,Settings!$B$17,Settings!$B$18)*(O$2-$K18-$L18+1))/($J18*$M18))))</f>
        <v>0</v>
      </c>
      <c r="P18">
        <f>IF(P$2&lt;$K18,0,IF(AND(P$2=$K18,$L18=2),Settings!$B$8,IF(P$2-$K18+1&lt;$L18,(P$2-$K18+1)/$L18,IF($J18*$M18&gt;=0.9,1,MIN(0.9,$J18*$M18+IF($J18*$M18&lt;0.7,0.03,0.01)*(P$2-$K18-$L18+1))/($J18*$M18)))))</f>
        <v>0.8</v>
      </c>
      <c r="Q18">
        <f>IF(Q$2&lt;$K18,0,IF(AND(Q$2=$K18,$L18=2),Settings!$B$8,IF(Q$2-$K18+1&lt;$L18,(Q$2-$K18+1)/$L18,IF($J18*$M18&gt;=0.9,1,MIN(0.9,$J18*$M18+IF($J18*$M18&lt;0.7,0.03,0.01)*(Q$2-$K18-$L18+1))/($J18*$M18)))))</f>
        <v>1</v>
      </c>
      <c r="R18">
        <f>IF(R$2&lt;$K18,0,IF(AND(R$2=$K18,$L18=2),Settings!$B$8,IF(R$2-$K18+1&lt;$L18,(R$2-$K18+1)/$L18,IF($J18*$M18&gt;=0.9,1,MIN(0.9,$J18*$M18+IF($J18*$M18&lt;0.7,0.03,0.01)*(R$2-$K18-$L18+1))/($J18*$M18)))))</f>
        <v>1.0127416703050507</v>
      </c>
      <c r="S18">
        <f>IF(S$2&lt;$K18,0,IF(AND(S$2=$K18,$L18=2),Settings!$B$8,IF(S$2-$K18+1&lt;$L18,(S$2-$K18+1)/$L18,IF($J18*$M18&gt;=0.9,1,MIN(0.9,$J18*$M18+IF($J18*$M18&lt;0.7,0.03,0.01)*(S$2-$K18-$L18+1))/($J18*$M18)))))</f>
        <v>1.0254833406101012</v>
      </c>
      <c r="T18">
        <f>IF(T$2&lt;$K18,0,IF(AND(T$2=$K18,$L18=2),Settings!$B$8,IF(T$2-$K18+1&lt;$L18,(T$2-$K18+1)/$L18,IF($J18*$M18&gt;=0.9,1,MIN(0.9,$J18*$M18+IF($J18*$M18&lt;0.7,0.03,0.01)*(T$2-$K18-$L18+1))/($J18*$M18)))))</f>
        <v>1.0382250109151518</v>
      </c>
      <c r="U18">
        <f>IF(U$2&lt;$K18,0,IF(AND(U$2=$K18,$L18=2),Settings!$B$8,IF(U$2-$K18+1&lt;$L18,(U$2-$K18+1)/$L18,IF($J18*$M18&gt;=0.9,1,MIN(0.9,$J18*$M18+IF($J18*$M18&lt;0.7,0.03,0.01)*(U$2-$K18-$L18+1))/($J18*$M18)))))</f>
        <v>1.0509666812202025</v>
      </c>
      <c r="V18">
        <f>IF(V$2&lt;$K18,0,IF(AND(V$2=$K18,$L18=2),Settings!$B$8,IF(V$2-$K18+1&lt;$L18,(V$2-$K18+1)/$L18,IF($J18*$M18&gt;=0.9,1,MIN(0.9,$J18*$M18+IF($J18*$M18&lt;0.7,0.03,0.01)*(V$2-$K18-$L18+1))/($J18*$M18)))))</f>
        <v>1.0637083515252532</v>
      </c>
      <c r="W18">
        <f>IF(W$2&lt;$K18,0,IF(AND(W$2=$K18,$L18=2),Settings!$B$8,IF(W$2-$K18+1&lt;$L18,(W$2-$K18+1)/$L18,IF($J18*$M18&gt;=0.9,1,MIN(0.9,$J18*$M18+IF($J18*$M18&lt;0.7,0.03,0.01)*(W$2-$K18-$L18+1))/($J18*$M18)))))</f>
        <v>1.0764500218303037</v>
      </c>
      <c r="X18">
        <f>IF(X$2&lt;$K18,0,IF(AND(X$2=$K18,$L18=2),Settings!$B$8,IF(X$2-$K18+1&lt;$L18,(X$2-$K18+1)/$L18,IF($J18*$M18&gt;=0.9,1,MIN(0.9,$J18*$M18+IF($J18*$M18&lt;0.7,0.03,0.01)*(X$2-$K18-$L18+1))/($J18*$M18)))))</f>
        <v>1.0891916921353544</v>
      </c>
      <c r="Y18" s="9">
        <v>916518</v>
      </c>
      <c r="Z18" s="9">
        <v>922887</v>
      </c>
      <c r="AA18" s="9">
        <v>929534</v>
      </c>
      <c r="AB18" s="9">
        <v>936417</v>
      </c>
      <c r="AC18" s="9">
        <v>943362</v>
      </c>
      <c r="AD18" s="9">
        <v>951814</v>
      </c>
      <c r="AE18" s="9">
        <v>958775</v>
      </c>
      <c r="AF18" s="9">
        <v>965553</v>
      </c>
      <c r="AG18" s="9">
        <v>971416</v>
      </c>
      <c r="AH18" s="9">
        <v>975956</v>
      </c>
      <c r="AI18">
        <f>AS18*(1+Settings!$B$7)</f>
        <v>0</v>
      </c>
      <c r="AJ18">
        <f>IF(Settings!$B$13="annual",AT18*(1+Settings!$B$7),AT18+Settings!$B$7*IF(AT18&gt;AS18,AT18-AS18,0))</f>
        <v>834658.30616431031</v>
      </c>
      <c r="AK18">
        <f>IF(Settings!$B$13="annual",AU18*(1+Settings!$B$7),AU18+Settings!$B$7*IF(AU18&gt;AT18,AU18-AT18,0))</f>
        <v>883905.64870071586</v>
      </c>
      <c r="AL18">
        <f>IF(Settings!$B$13="annual",AV18*(1+Settings!$B$7),AV18+Settings!$B$7*IF(AV18&gt;AU18,AV18-AU18,0))</f>
        <v>861939.64130338316</v>
      </c>
      <c r="AM18">
        <f>IF(Settings!$B$13="annual",AW18*(1+Settings!$B$7),AW18+Settings!$B$7*IF(AW18&gt;AV18,AW18-AV18,0))</f>
        <v>879225.64468861441</v>
      </c>
      <c r="AN18">
        <f>IF(Settings!$B$13="annual",AX18*(1+Settings!$B$7),AX18+Settings!$B$7*IF(AX18&gt;AW18,AX18-AW18,0))</f>
        <v>898426.47667195043</v>
      </c>
      <c r="AO18">
        <f>IF(Settings!$B$13="annual",AY18*(1+Settings!$B$7),AY18+Settings!$B$7*IF(AY18&gt;AX18,AY18-AX18,0))</f>
        <v>915705.54673656123</v>
      </c>
      <c r="AP18">
        <f>IF(Settings!$B$13="annual",AZ18*(1+Settings!$B$7),AZ18+Settings!$B$7*IF(AZ18&gt;AY18,AZ18-AY18,0))</f>
        <v>933270.69199653331</v>
      </c>
      <c r="AQ18">
        <f>IF(Settings!$B$13="annual",BA18*(1+Settings!$B$7),BA18+Settings!$B$7*IF(BA18&gt;AZ18,BA18-AZ18,0))</f>
        <v>949921.52142234193</v>
      </c>
      <c r="AR18">
        <f>IF(Settings!$B$13="annual",BB18*(1+Settings!$B$7),BB18+Settings!$B$7*IF(BB18&gt;BA18,BB18-BA18,0))</f>
        <v>965295.85163112555</v>
      </c>
      <c r="AS18">
        <f>Y18*$N18*$J18*$M18*O18*Settings!$B$6</f>
        <v>0</v>
      </c>
      <c r="AT18">
        <f>Z18*$N18*$J18*$M18*P18*Settings!$B$6</f>
        <v>667726.64493144827</v>
      </c>
      <c r="AU18">
        <f>AA18*$N18*$J18*$M18*Q18*Settings!$B$6</f>
        <v>840669.84794686234</v>
      </c>
      <c r="AV18">
        <f>AB18*$N18*$J18*$M18*R18*Settings!$B$6</f>
        <v>857685.682632079</v>
      </c>
      <c r="AW18">
        <f>AC18*$N18*$J18*$M18*S18*Settings!$B$6</f>
        <v>874917.65227730735</v>
      </c>
      <c r="AX18">
        <f>AD18*$N18*$J18*$M18*T18*Settings!$B$6</f>
        <v>893724.71179302176</v>
      </c>
      <c r="AY18">
        <f>AE18*$N18*$J18*$M18*U18*Settings!$B$6</f>
        <v>911309.37974785338</v>
      </c>
      <c r="AZ18">
        <f>AF18*$N18*$J18*$M18*V18*Settings!$B$6</f>
        <v>928878.4295467973</v>
      </c>
      <c r="BA18">
        <f>AG18*$N18*$J18*$M18*W18*Settings!$B$6</f>
        <v>945712.90304723301</v>
      </c>
      <c r="BB18">
        <f>AH18*$N18*$J18*$M18*X18*Settings!$B$6</f>
        <v>961379.26191434707</v>
      </c>
    </row>
    <row r="19" spans="1:54" ht="15" customHeight="1">
      <c r="A19" t="s">
        <v>77</v>
      </c>
      <c r="B19" t="s">
        <v>78</v>
      </c>
      <c r="C19" s="9">
        <v>0.86</v>
      </c>
      <c r="D19" s="9">
        <v>0.58299999999999996</v>
      </c>
      <c r="E19" s="9">
        <v>0.77</v>
      </c>
      <c r="F19" s="9">
        <v>0.52600000000000002</v>
      </c>
      <c r="G19" s="9">
        <v>0.84299999999999997</v>
      </c>
      <c r="H19" s="9">
        <v>22.7</v>
      </c>
      <c r="I19">
        <f t="shared" si="0"/>
        <v>0.67790697674418599</v>
      </c>
      <c r="J19">
        <f>IF(Settings!$B$10="anc4",D19*E19,IF(Settings!$B$10="anc1",C19*E19,C19*(G19*I19+F19*(1-I19))*E19))</f>
        <v>0.49062167000000007</v>
      </c>
      <c r="K19">
        <f>IF(Settings!$B$9="invest",Schedule!R19,IF(Settings!$B$9="hist",Schedule!U19,IF(Settings!$B$9="pcv",Schedule!M19,IF(Settings!$B$9="rota",Schedule!N19,Schedule!O19))))+Settings!$B$11</f>
        <v>2041</v>
      </c>
      <c r="L19">
        <f>IF(Schedule!H19=1,Settings!$B$4,Settings!$B$5)</f>
        <v>2</v>
      </c>
      <c r="M19" s="9">
        <v>1</v>
      </c>
      <c r="N19">
        <f t="shared" si="1"/>
        <v>1.0232272587741738</v>
      </c>
      <c r="O19">
        <f>IF(O$2&lt;$K19,0,IF(O$2-$K19+1&lt;$L19,IF($L19=2,Settings!$B$8,(O$2-$K19+1)/$L19),IF($J19*$M19&gt;=Settings!$B$15,1,MIN(Settings!$B$15,$J19*$M19+IF($J19*$M19&lt;Settings!$B$16,Settings!$B$17,Settings!$B$18)*(O$2-$K19-$L19+1))/($J19*$M19))))</f>
        <v>0</v>
      </c>
      <c r="P19">
        <f>IF(P$2&lt;$K19,0,IF(AND(P$2=$K19,$L19=2),Settings!$B$8,IF(P$2-$K19+1&lt;$L19,(P$2-$K19+1)/$L19,IF($J19*$M19&gt;=0.9,1,MIN(0.9,$J19*$M19+IF($J19*$M19&lt;0.7,0.03,0.01)*(P$2-$K19-$L19+1))/($J19*$M19)))))</f>
        <v>0</v>
      </c>
      <c r="Q19">
        <f>IF(Q$2&lt;$K19,0,IF(AND(Q$2=$K19,$L19=2),Settings!$B$8,IF(Q$2-$K19+1&lt;$L19,(Q$2-$K19+1)/$L19,IF($J19*$M19&gt;=0.9,1,MIN(0.9,$J19*$M19+IF($J19*$M19&lt;0.7,0.03,0.01)*(Q$2-$K19-$L19+1))/($J19*$M19)))))</f>
        <v>0</v>
      </c>
      <c r="R19">
        <f>IF(R$2&lt;$K19,0,IF(AND(R$2=$K19,$L19=2),Settings!$B$8,IF(R$2-$K19+1&lt;$L19,(R$2-$K19+1)/$L19,IF($J19*$M19&gt;=0.9,1,MIN(0.9,$J19*$M19+IF($J19*$M19&lt;0.7,0.03,0.01)*(R$2-$K19-$L19+1))/($J19*$M19)))))</f>
        <v>0</v>
      </c>
      <c r="S19">
        <f>IF(S$2&lt;$K19,0,IF(AND(S$2=$K19,$L19=2),Settings!$B$8,IF(S$2-$K19+1&lt;$L19,(S$2-$K19+1)/$L19,IF($J19*$M19&gt;=0.9,1,MIN(0.9,$J19*$M19+IF($J19*$M19&lt;0.7,0.03,0.01)*(S$2-$K19-$L19+1))/($J19*$M19)))))</f>
        <v>0</v>
      </c>
      <c r="T19">
        <f>IF(T$2&lt;$K19,0,IF(AND(T$2=$K19,$L19=2),Settings!$B$8,IF(T$2-$K19+1&lt;$L19,(T$2-$K19+1)/$L19,IF($J19*$M19&gt;=0.9,1,MIN(0.9,$J19*$M19+IF($J19*$M19&lt;0.7,0.03,0.01)*(T$2-$K19-$L19+1))/($J19*$M19)))))</f>
        <v>0</v>
      </c>
      <c r="U19">
        <f>IF(U$2&lt;$K19,0,IF(AND(U$2=$K19,$L19=2),Settings!$B$8,IF(U$2-$K19+1&lt;$L19,(U$2-$K19+1)/$L19,IF($J19*$M19&gt;=0.9,1,MIN(0.9,$J19*$M19+IF($J19*$M19&lt;0.7,0.03,0.01)*(U$2-$K19-$L19+1))/($J19*$M19)))))</f>
        <v>0</v>
      </c>
      <c r="V19">
        <f>IF(V$2&lt;$K19,0,IF(AND(V$2=$K19,$L19=2),Settings!$B$8,IF(V$2-$K19+1&lt;$L19,(V$2-$K19+1)/$L19,IF($J19*$M19&gt;=0.9,1,MIN(0.9,$J19*$M19+IF($J19*$M19&lt;0.7,0.03,0.01)*(V$2-$K19-$L19+1))/($J19*$M19)))))</f>
        <v>0</v>
      </c>
      <c r="W19">
        <f>IF(W$2&lt;$K19,0,IF(AND(W$2=$K19,$L19=2),Settings!$B$8,IF(W$2-$K19+1&lt;$L19,(W$2-$K19+1)/$L19,IF($J19*$M19&gt;=0.9,1,MIN(0.9,$J19*$M19+IF($J19*$M19&lt;0.7,0.03,0.01)*(W$2-$K19-$L19+1))/($J19*$M19)))))</f>
        <v>0</v>
      </c>
      <c r="X19">
        <f>IF(X$2&lt;$K19,0,IF(AND(X$2=$K19,$L19=2),Settings!$B$8,IF(X$2-$K19+1&lt;$L19,(X$2-$K19+1)/$L19,IF($J19*$M19&gt;=0.9,1,MIN(0.9,$J19*$M19+IF($J19*$M19&lt;0.7,0.03,0.01)*(X$2-$K19-$L19+1))/($J19*$M19)))))</f>
        <v>0</v>
      </c>
      <c r="Y19" s="9">
        <v>503183</v>
      </c>
      <c r="Z19" s="9">
        <v>504590</v>
      </c>
      <c r="AA19" s="9">
        <v>506566</v>
      </c>
      <c r="AB19" s="9">
        <v>508632</v>
      </c>
      <c r="AC19" s="9">
        <v>510879</v>
      </c>
      <c r="AD19" s="9">
        <v>511286</v>
      </c>
      <c r="AE19" s="9">
        <v>511908</v>
      </c>
      <c r="AF19" s="9">
        <v>512899</v>
      </c>
      <c r="AG19" s="9">
        <v>515764</v>
      </c>
      <c r="AH19" s="9">
        <v>516839</v>
      </c>
      <c r="AI19">
        <f>AS19*(1+Settings!$B$7)</f>
        <v>0</v>
      </c>
      <c r="AJ19">
        <f>IF(Settings!$B$13="annual",AT19*(1+Settings!$B$7),AT19+Settings!$B$7*IF(AT19&gt;AS19,AT19-AS19,0))</f>
        <v>0</v>
      </c>
      <c r="AK19">
        <f>IF(Settings!$B$13="annual",AU19*(1+Settings!$B$7),AU19+Settings!$B$7*IF(AU19&gt;AT19,AU19-AT19,0))</f>
        <v>0</v>
      </c>
      <c r="AL19">
        <f>IF(Settings!$B$13="annual",AV19*(1+Settings!$B$7),AV19+Settings!$B$7*IF(AV19&gt;AU19,AV19-AU19,0))</f>
        <v>0</v>
      </c>
      <c r="AM19">
        <f>IF(Settings!$B$13="annual",AW19*(1+Settings!$B$7),AW19+Settings!$B$7*IF(AW19&gt;AV19,AW19-AV19,0))</f>
        <v>0</v>
      </c>
      <c r="AN19">
        <f>IF(Settings!$B$13="annual",AX19*(1+Settings!$B$7),AX19+Settings!$B$7*IF(AX19&gt;AW19,AX19-AW19,0))</f>
        <v>0</v>
      </c>
      <c r="AO19">
        <f>IF(Settings!$B$13="annual",AY19*(1+Settings!$B$7),AY19+Settings!$B$7*IF(AY19&gt;AX19,AY19-AX19,0))</f>
        <v>0</v>
      </c>
      <c r="AP19">
        <f>IF(Settings!$B$13="annual",AZ19*(1+Settings!$B$7),AZ19+Settings!$B$7*IF(AZ19&gt;AY19,AZ19-AY19,0))</f>
        <v>0</v>
      </c>
      <c r="AQ19">
        <f>IF(Settings!$B$13="annual",BA19*(1+Settings!$B$7),BA19+Settings!$B$7*IF(BA19&gt;AZ19,BA19-AZ19,0))</f>
        <v>0</v>
      </c>
      <c r="AR19">
        <f>IF(Settings!$B$13="annual",BB19*(1+Settings!$B$7),BB19+Settings!$B$7*IF(BB19&gt;BA19,BB19-BA19,0))</f>
        <v>0</v>
      </c>
      <c r="AS19">
        <f>Y19*$N19*$J19*$M19*O19*Settings!$B$6</f>
        <v>0</v>
      </c>
      <c r="AT19">
        <f>Z19*$N19*$J19*$M19*P19*Settings!$B$6</f>
        <v>0</v>
      </c>
      <c r="AU19">
        <f>AA19*$N19*$J19*$M19*Q19*Settings!$B$6</f>
        <v>0</v>
      </c>
      <c r="AV19">
        <f>AB19*$N19*$J19*$M19*R19*Settings!$B$6</f>
        <v>0</v>
      </c>
      <c r="AW19">
        <f>AC19*$N19*$J19*$M19*S19*Settings!$B$6</f>
        <v>0</v>
      </c>
      <c r="AX19">
        <f>AD19*$N19*$J19*$M19*T19*Settings!$B$6</f>
        <v>0</v>
      </c>
      <c r="AY19">
        <f>AE19*$N19*$J19*$M19*U19*Settings!$B$6</f>
        <v>0</v>
      </c>
      <c r="AZ19">
        <f>AF19*$N19*$J19*$M19*V19*Settings!$B$6</f>
        <v>0</v>
      </c>
      <c r="BA19">
        <f>AG19*$N19*$J19*$M19*W19*Settings!$B$6</f>
        <v>0</v>
      </c>
      <c r="BB19">
        <f>AH19*$N19*$J19*$M19*X19*Settings!$B$6</f>
        <v>0</v>
      </c>
    </row>
    <row r="20" spans="1:54" ht="15" customHeight="1">
      <c r="A20" t="s">
        <v>79</v>
      </c>
      <c r="B20" t="s">
        <v>80</v>
      </c>
      <c r="C20" s="9">
        <v>0.97799999999999998</v>
      </c>
      <c r="D20" s="9">
        <v>0.78500000000000003</v>
      </c>
      <c r="E20" s="9">
        <v>0.82</v>
      </c>
      <c r="F20" s="9">
        <v>0.67500000000000004</v>
      </c>
      <c r="G20" s="9">
        <v>0.94799999999999995</v>
      </c>
      <c r="H20" s="9">
        <v>18.5</v>
      </c>
      <c r="I20">
        <f t="shared" si="0"/>
        <v>0.80265848670756657</v>
      </c>
      <c r="J20">
        <f>IF(Settings!$B$10="anc4",D20*E20,IF(Settings!$B$10="anc1",C20*E20,C20*(G20*I20+F20*(1-I20))*E20))</f>
        <v>0.7170531</v>
      </c>
      <c r="K20">
        <f>IF(Settings!$B$9="invest",Schedule!R20,IF(Settings!$B$9="hist",Schedule!U20,IF(Settings!$B$9="pcv",Schedule!M20,IF(Settings!$B$9="rota",Schedule!N20,Schedule!O20))))+Settings!$B$11</f>
        <v>2031</v>
      </c>
      <c r="L20">
        <f>IF(Schedule!H20=1,Settings!$B$4,Settings!$B$5)</f>
        <v>2</v>
      </c>
      <c r="M20" s="9">
        <v>1</v>
      </c>
      <c r="N20">
        <f t="shared" si="1"/>
        <v>1.0188487009679064</v>
      </c>
      <c r="O20">
        <f>IF(O$2&lt;$K20,0,IF(O$2-$K20+1&lt;$L20,IF($L20=2,Settings!$B$8,(O$2-$K20+1)/$L20),IF($J20*$M20&gt;=Settings!$B$15,1,MIN(Settings!$B$15,$J20*$M20+IF($J20*$M20&lt;Settings!$B$16,Settings!$B$17,Settings!$B$18)*(O$2-$K20-$L20+1))/($J20*$M20))))</f>
        <v>0</v>
      </c>
      <c r="P20">
        <f>IF(P$2&lt;$K20,0,IF(AND(P$2=$K20,$L20=2),Settings!$B$8,IF(P$2-$K20+1&lt;$L20,(P$2-$K20+1)/$L20,IF($J20*$M20&gt;=0.9,1,MIN(0.9,$J20*$M20+IF($J20*$M20&lt;0.7,0.03,0.01)*(P$2-$K20-$L20+1))/($J20*$M20)))))</f>
        <v>0</v>
      </c>
      <c r="Q20">
        <f>IF(Q$2&lt;$K20,0,IF(AND(Q$2=$K20,$L20=2),Settings!$B$8,IF(Q$2-$K20+1&lt;$L20,(Q$2-$K20+1)/$L20,IF($J20*$M20&gt;=0.9,1,MIN(0.9,$J20*$M20+IF($J20*$M20&lt;0.7,0.03,0.01)*(Q$2-$K20-$L20+1))/($J20*$M20)))))</f>
        <v>0</v>
      </c>
      <c r="R20">
        <f>IF(R$2&lt;$K20,0,IF(AND(R$2=$K20,$L20=2),Settings!$B$8,IF(R$2-$K20+1&lt;$L20,(R$2-$K20+1)/$L20,IF($J20*$M20&gt;=0.9,1,MIN(0.9,$J20*$M20+IF($J20*$M20&lt;0.7,0.03,0.01)*(R$2-$K20-$L20+1))/($J20*$M20)))))</f>
        <v>0.8</v>
      </c>
      <c r="S20">
        <f>IF(S$2&lt;$K20,0,IF(AND(S$2=$K20,$L20=2),Settings!$B$8,IF(S$2-$K20+1&lt;$L20,(S$2-$K20+1)/$L20,IF($J20*$M20&gt;=0.9,1,MIN(0.9,$J20*$M20+IF($J20*$M20&lt;0.7,0.03,0.01)*(S$2-$K20-$L20+1))/($J20*$M20)))))</f>
        <v>1</v>
      </c>
      <c r="T20">
        <f>IF(T$2&lt;$K20,0,IF(AND(T$2=$K20,$L20=2),Settings!$B$8,IF(T$2-$K20+1&lt;$L20,(T$2-$K20+1)/$L20,IF($J20*$M20&gt;=0.9,1,MIN(0.9,$J20*$M20+IF($J20*$M20&lt;0.7,0.03,0.01)*(T$2-$K20-$L20+1))/($J20*$M20)))))</f>
        <v>1.0139459685761067</v>
      </c>
      <c r="U20">
        <f>IF(U$2&lt;$K20,0,IF(AND(U$2=$K20,$L20=2),Settings!$B$8,IF(U$2-$K20+1&lt;$L20,(U$2-$K20+1)/$L20,IF($J20*$M20&gt;=0.9,1,MIN(0.9,$J20*$M20+IF($J20*$M20&lt;0.7,0.03,0.01)*(U$2-$K20-$L20+1))/($J20*$M20)))))</f>
        <v>1.0278919371522137</v>
      </c>
      <c r="V20">
        <f>IF(V$2&lt;$K20,0,IF(AND(V$2=$K20,$L20=2),Settings!$B$8,IF(V$2-$K20+1&lt;$L20,(V$2-$K20+1)/$L20,IF($J20*$M20&gt;=0.9,1,MIN(0.9,$J20*$M20+IF($J20*$M20&lt;0.7,0.03,0.01)*(V$2-$K20-$L20+1))/($J20*$M20)))))</f>
        <v>1.0418379057283205</v>
      </c>
      <c r="W20">
        <f>IF(W$2&lt;$K20,0,IF(AND(W$2=$K20,$L20=2),Settings!$B$8,IF(W$2-$K20+1&lt;$L20,(W$2-$K20+1)/$L20,IF($J20*$M20&gt;=0.9,1,MIN(0.9,$J20*$M20+IF($J20*$M20&lt;0.7,0.03,0.01)*(W$2-$K20-$L20+1))/($J20*$M20)))))</f>
        <v>1.0557838743044274</v>
      </c>
      <c r="X20">
        <f>IF(X$2&lt;$K20,0,IF(AND(X$2=$K20,$L20=2),Settings!$B$8,IF(X$2-$K20+1&lt;$L20,(X$2-$K20+1)/$L20,IF($J20*$M20&gt;=0.9,1,MIN(0.9,$J20*$M20+IF($J20*$M20&lt;0.7,0.03,0.01)*(X$2-$K20-$L20+1))/($J20*$M20)))))</f>
        <v>1.0697298428805342</v>
      </c>
      <c r="Y20" s="9">
        <v>82773</v>
      </c>
      <c r="Z20" s="9">
        <v>82838</v>
      </c>
      <c r="AA20" s="9">
        <v>82941</v>
      </c>
      <c r="AB20" s="9">
        <v>83035</v>
      </c>
      <c r="AC20" s="9">
        <v>83187</v>
      </c>
      <c r="AD20" s="9">
        <v>83410</v>
      </c>
      <c r="AE20" s="9">
        <v>83596</v>
      </c>
      <c r="AF20" s="9">
        <v>83786</v>
      </c>
      <c r="AG20" s="9">
        <v>83958</v>
      </c>
      <c r="AH20" s="9">
        <v>84189</v>
      </c>
      <c r="AI20">
        <f>AS20*(1+Settings!$B$7)</f>
        <v>0</v>
      </c>
      <c r="AJ20">
        <f>IF(Settings!$B$13="annual",AT20*(1+Settings!$B$7),AT20+Settings!$B$7*IF(AT20&gt;AS20,AT20-AS20,0))</f>
        <v>0</v>
      </c>
      <c r="AK20">
        <f>IF(Settings!$B$13="annual",AU20*(1+Settings!$B$7),AU20+Settings!$B$7*IF(AU20&gt;AT20,AU20-AT20,0))</f>
        <v>0</v>
      </c>
      <c r="AL20">
        <f>IF(Settings!$B$13="annual",AV20*(1+Settings!$B$7),AV20+Settings!$B$7*IF(AV20&gt;AU20,AV20-AU20,0))</f>
        <v>68548.924808053998</v>
      </c>
      <c r="AM20">
        <f>IF(Settings!$B$13="annual",AW20*(1+Settings!$B$7),AW20+Settings!$B$7*IF(AW20&gt;AV20,AW20-AV20,0))</f>
        <v>72133.224131054769</v>
      </c>
      <c r="AN20">
        <f>IF(Settings!$B$13="annual",AX20*(1+Settings!$B$7),AX20+Settings!$B$7*IF(AX20&gt;AW20,AX20-AW20,0))</f>
        <v>70104.900410491318</v>
      </c>
      <c r="AO20">
        <f>IF(Settings!$B$13="annual",AY20*(1+Settings!$B$7),AY20+Settings!$B$7*IF(AY20&gt;AX20,AY20-AX20,0))</f>
        <v>71216.46711760317</v>
      </c>
      <c r="AP20">
        <f>IF(Settings!$B$13="annual",AZ20*(1+Settings!$B$7),AZ20+Settings!$B$7*IF(AZ20&gt;AY20,AZ20-AY20,0))</f>
        <v>72344.253333164001</v>
      </c>
      <c r="AQ20">
        <f>IF(Settings!$B$13="annual",BA20*(1+Settings!$B$7),BA20+Settings!$B$7*IF(BA20&gt;AZ20,BA20-AZ20,0))</f>
        <v>73455.9665532379</v>
      </c>
      <c r="AR20">
        <f>IF(Settings!$B$13="annual",BB20*(1+Settings!$B$7),BB20+Settings!$B$7*IF(BB20&gt;BA20,BB20-BA20,0))</f>
        <v>74640.587977830117</v>
      </c>
      <c r="AS20">
        <f>Y20*$N20*$J20*$M20*O20*Settings!$B$6</f>
        <v>0</v>
      </c>
      <c r="AT20">
        <f>Z20*$N20*$J20*$M20*P20*Settings!$B$6</f>
        <v>0</v>
      </c>
      <c r="AU20">
        <f>AA20*$N20*$J20*$M20*Q20*Settings!$B$6</f>
        <v>0</v>
      </c>
      <c r="AV20">
        <f>AB20*$N20*$J20*$M20*R20*Settings!$B$6</f>
        <v>54839.139846443199</v>
      </c>
      <c r="AW20">
        <f>AC20*$N20*$J20*$M20*S20*Settings!$B$6</f>
        <v>68674.407274132449</v>
      </c>
      <c r="AX20">
        <f>AD20*$N20*$J20*$M20*T20*Settings!$B$6</f>
        <v>69818.801783219547</v>
      </c>
      <c r="AY20">
        <f>AE20*$N20*$J20*$M20*U20*Settings!$B$6</f>
        <v>70936.934050726442</v>
      </c>
      <c r="AZ20">
        <f>AF20*$N20*$J20*$M20*V20*Settings!$B$6</f>
        <v>72062.789476676495</v>
      </c>
      <c r="BA20">
        <f>AG20*$N20*$J20*$M20*W20*Settings!$B$6</f>
        <v>73177.331137925619</v>
      </c>
      <c r="BB20">
        <f>AH20*$N20*$J20*$M20*X20*Settings!$B$6</f>
        <v>74347.936609849217</v>
      </c>
    </row>
    <row r="21" spans="1:54" ht="15" customHeight="1">
      <c r="A21" t="s">
        <v>81</v>
      </c>
      <c r="B21" t="s">
        <v>82</v>
      </c>
      <c r="C21" s="9">
        <v>0.97</v>
      </c>
      <c r="D21" s="9">
        <v>0.80700000000000005</v>
      </c>
      <c r="E21" s="9">
        <v>0.74</v>
      </c>
      <c r="F21" s="9">
        <v>0.52600000000000002</v>
      </c>
      <c r="G21" s="9">
        <v>0.84299999999999997</v>
      </c>
      <c r="H21" s="9">
        <v>29.1</v>
      </c>
      <c r="I21">
        <f t="shared" si="0"/>
        <v>0.83195876288659798</v>
      </c>
      <c r="J21">
        <f>IF(Settings!$B$10="anc4",D21*E21,IF(Settings!$B$10="anc1",C21*E21,C21*(G21*I21+F21*(1-I21))*E21))</f>
        <v>0.56686886000000003</v>
      </c>
      <c r="K21">
        <f>IF(Settings!$B$9="invest",Schedule!R21,IF(Settings!$B$9="hist",Schedule!U21,IF(Settings!$B$9="pcv",Schedule!M21,IF(Settings!$B$9="rota",Schedule!N21,Schedule!O21))))+Settings!$B$11</f>
        <v>2041</v>
      </c>
      <c r="L21">
        <f>IF(Schedule!H21=1,Settings!$B$4,Settings!$B$5)</f>
        <v>2</v>
      </c>
      <c r="M21" s="9">
        <v>1</v>
      </c>
      <c r="N21">
        <f t="shared" si="1"/>
        <v>1.0299721907508497</v>
      </c>
      <c r="O21">
        <f>IF(O$2&lt;$K21,0,IF(O$2-$K21+1&lt;$L21,IF($L21=2,Settings!$B$8,(O$2-$K21+1)/$L21),IF($J21*$M21&gt;=Settings!$B$15,1,MIN(Settings!$B$15,$J21*$M21+IF($J21*$M21&lt;Settings!$B$16,Settings!$B$17,Settings!$B$18)*(O$2-$K21-$L21+1))/($J21*$M21))))</f>
        <v>0</v>
      </c>
      <c r="P21">
        <f>IF(P$2&lt;$K21,0,IF(AND(P$2=$K21,$L21=2),Settings!$B$8,IF(P$2-$K21+1&lt;$L21,(P$2-$K21+1)/$L21,IF($J21*$M21&gt;=0.9,1,MIN(0.9,$J21*$M21+IF($J21*$M21&lt;0.7,0.03,0.01)*(P$2-$K21-$L21+1))/($J21*$M21)))))</f>
        <v>0</v>
      </c>
      <c r="Q21">
        <f>IF(Q$2&lt;$K21,0,IF(AND(Q$2=$K21,$L21=2),Settings!$B$8,IF(Q$2-$K21+1&lt;$L21,(Q$2-$K21+1)/$L21,IF($J21*$M21&gt;=0.9,1,MIN(0.9,$J21*$M21+IF($J21*$M21&lt;0.7,0.03,0.01)*(Q$2-$K21-$L21+1))/($J21*$M21)))))</f>
        <v>0</v>
      </c>
      <c r="R21">
        <f>IF(R$2&lt;$K21,0,IF(AND(R$2=$K21,$L21=2),Settings!$B$8,IF(R$2-$K21+1&lt;$L21,(R$2-$K21+1)/$L21,IF($J21*$M21&gt;=0.9,1,MIN(0.9,$J21*$M21+IF($J21*$M21&lt;0.7,0.03,0.01)*(R$2-$K21-$L21+1))/($J21*$M21)))))</f>
        <v>0</v>
      </c>
      <c r="S21">
        <f>IF(S$2&lt;$K21,0,IF(AND(S$2=$K21,$L21=2),Settings!$B$8,IF(S$2-$K21+1&lt;$L21,(S$2-$K21+1)/$L21,IF($J21*$M21&gt;=0.9,1,MIN(0.9,$J21*$M21+IF($J21*$M21&lt;0.7,0.03,0.01)*(S$2-$K21-$L21+1))/($J21*$M21)))))</f>
        <v>0</v>
      </c>
      <c r="T21">
        <f>IF(T$2&lt;$K21,0,IF(AND(T$2=$K21,$L21=2),Settings!$B$8,IF(T$2-$K21+1&lt;$L21,(T$2-$K21+1)/$L21,IF($J21*$M21&gt;=0.9,1,MIN(0.9,$J21*$M21+IF($J21*$M21&lt;0.7,0.03,0.01)*(T$2-$K21-$L21+1))/($J21*$M21)))))</f>
        <v>0</v>
      </c>
      <c r="U21">
        <f>IF(U$2&lt;$K21,0,IF(AND(U$2=$K21,$L21=2),Settings!$B$8,IF(U$2-$K21+1&lt;$L21,(U$2-$K21+1)/$L21,IF($J21*$M21&gt;=0.9,1,MIN(0.9,$J21*$M21+IF($J21*$M21&lt;0.7,0.03,0.01)*(U$2-$K21-$L21+1))/($J21*$M21)))))</f>
        <v>0</v>
      </c>
      <c r="V21">
        <f>IF(V$2&lt;$K21,0,IF(AND(V$2=$K21,$L21=2),Settings!$B$8,IF(V$2-$K21+1&lt;$L21,(V$2-$K21+1)/$L21,IF($J21*$M21&gt;=0.9,1,MIN(0.9,$J21*$M21+IF($J21*$M21&lt;0.7,0.03,0.01)*(V$2-$K21-$L21+1))/($J21*$M21)))))</f>
        <v>0</v>
      </c>
      <c r="W21">
        <f>IF(W$2&lt;$K21,0,IF(AND(W$2=$K21,$L21=2),Settings!$B$8,IF(W$2-$K21+1&lt;$L21,(W$2-$K21+1)/$L21,IF($J21*$M21&gt;=0.9,1,MIN(0.9,$J21*$M21+IF($J21*$M21&lt;0.7,0.03,0.01)*(W$2-$K21-$L21+1))/($J21*$M21)))))</f>
        <v>0</v>
      </c>
      <c r="X21">
        <f>IF(X$2&lt;$K21,0,IF(AND(X$2=$K21,$L21=2),Settings!$B$8,IF(X$2-$K21+1&lt;$L21,(X$2-$K21+1)/$L21,IF($J21*$M21&gt;=0.9,1,MIN(0.9,$J21*$M21+IF($J21*$M21&lt;0.7,0.03,0.01)*(X$2-$K21-$L21+1))/($J21*$M21)))))</f>
        <v>0</v>
      </c>
      <c r="Y21" s="9">
        <v>67152</v>
      </c>
      <c r="Z21" s="9">
        <v>67621</v>
      </c>
      <c r="AA21" s="9">
        <v>67906</v>
      </c>
      <c r="AB21" s="9">
        <v>68296</v>
      </c>
      <c r="AC21" s="9">
        <v>68610</v>
      </c>
      <c r="AD21" s="9">
        <v>68986</v>
      </c>
      <c r="AE21" s="9">
        <v>69363</v>
      </c>
      <c r="AF21" s="9">
        <v>69429</v>
      </c>
      <c r="AG21" s="9">
        <v>69590</v>
      </c>
      <c r="AH21" s="9">
        <v>69812</v>
      </c>
      <c r="AI21">
        <f>AS21*(1+Settings!$B$7)</f>
        <v>0</v>
      </c>
      <c r="AJ21">
        <f>IF(Settings!$B$13="annual",AT21*(1+Settings!$B$7),AT21+Settings!$B$7*IF(AT21&gt;AS21,AT21-AS21,0))</f>
        <v>0</v>
      </c>
      <c r="AK21">
        <f>IF(Settings!$B$13="annual",AU21*(1+Settings!$B$7),AU21+Settings!$B$7*IF(AU21&gt;AT21,AU21-AT21,0))</f>
        <v>0</v>
      </c>
      <c r="AL21">
        <f>IF(Settings!$B$13="annual",AV21*(1+Settings!$B$7),AV21+Settings!$B$7*IF(AV21&gt;AU21,AV21-AU21,0))</f>
        <v>0</v>
      </c>
      <c r="AM21">
        <f>IF(Settings!$B$13="annual",AW21*(1+Settings!$B$7),AW21+Settings!$B$7*IF(AW21&gt;AV21,AW21-AV21,0))</f>
        <v>0</v>
      </c>
      <c r="AN21">
        <f>IF(Settings!$B$13="annual",AX21*(1+Settings!$B$7),AX21+Settings!$B$7*IF(AX21&gt;AW21,AX21-AW21,0))</f>
        <v>0</v>
      </c>
      <c r="AO21">
        <f>IF(Settings!$B$13="annual",AY21*(1+Settings!$B$7),AY21+Settings!$B$7*IF(AY21&gt;AX21,AY21-AX21,0))</f>
        <v>0</v>
      </c>
      <c r="AP21">
        <f>IF(Settings!$B$13="annual",AZ21*(1+Settings!$B$7),AZ21+Settings!$B$7*IF(AZ21&gt;AY21,AZ21-AY21,0))</f>
        <v>0</v>
      </c>
      <c r="AQ21">
        <f>IF(Settings!$B$13="annual",BA21*(1+Settings!$B$7),BA21+Settings!$B$7*IF(BA21&gt;AZ21,BA21-AZ21,0))</f>
        <v>0</v>
      </c>
      <c r="AR21">
        <f>IF(Settings!$B$13="annual",BB21*(1+Settings!$B$7),BB21+Settings!$B$7*IF(BB21&gt;BA21,BB21-BA21,0))</f>
        <v>0</v>
      </c>
      <c r="AS21">
        <f>Y21*$N21*$J21*$M21*O21*Settings!$B$6</f>
        <v>0</v>
      </c>
      <c r="AT21">
        <f>Z21*$N21*$J21*$M21*P21*Settings!$B$6</f>
        <v>0</v>
      </c>
      <c r="AU21">
        <f>AA21*$N21*$J21*$M21*Q21*Settings!$B$6</f>
        <v>0</v>
      </c>
      <c r="AV21">
        <f>AB21*$N21*$J21*$M21*R21*Settings!$B$6</f>
        <v>0</v>
      </c>
      <c r="AW21">
        <f>AC21*$N21*$J21*$M21*S21*Settings!$B$6</f>
        <v>0</v>
      </c>
      <c r="AX21">
        <f>AD21*$N21*$J21*$M21*T21*Settings!$B$6</f>
        <v>0</v>
      </c>
      <c r="AY21">
        <f>AE21*$N21*$J21*$M21*U21*Settings!$B$6</f>
        <v>0</v>
      </c>
      <c r="AZ21">
        <f>AF21*$N21*$J21*$M21*V21*Settings!$B$6</f>
        <v>0</v>
      </c>
      <c r="BA21">
        <f>AG21*$N21*$J21*$M21*W21*Settings!$B$6</f>
        <v>0</v>
      </c>
      <c r="BB21">
        <f>AH21*$N21*$J21*$M21*X21*Settings!$B$6</f>
        <v>0</v>
      </c>
    </row>
    <row r="22" spans="1:54" ht="15" customHeight="1">
      <c r="A22" t="s">
        <v>83</v>
      </c>
      <c r="B22" t="s">
        <v>84</v>
      </c>
      <c r="C22" s="9">
        <v>0.91</v>
      </c>
      <c r="D22" s="9">
        <v>0.66600000000000004</v>
      </c>
      <c r="E22" s="9">
        <v>0.76</v>
      </c>
      <c r="F22" s="9">
        <v>0.52600000000000002</v>
      </c>
      <c r="G22" s="9">
        <v>0.84299999999999997</v>
      </c>
      <c r="H22" s="9">
        <v>17.8</v>
      </c>
      <c r="I22">
        <f t="shared" si="0"/>
        <v>0.73186813186813193</v>
      </c>
      <c r="J22">
        <f>IF(Settings!$B$10="anc4",D22*E22,IF(Settings!$B$10="anc1",C22*E22,C22*(G22*I22+F22*(1-I22))*E22))</f>
        <v>0.52423432000000003</v>
      </c>
      <c r="K22">
        <f>IF(Settings!$B$9="invest",Schedule!R22,IF(Settings!$B$9="hist",Schedule!U22,IF(Settings!$B$9="pcv",Schedule!M22,IF(Settings!$B$9="rota",Schedule!N22,Schedule!O22))))+Settings!$B$11</f>
        <v>2041</v>
      </c>
      <c r="L22">
        <f>IF(Schedule!H22=1,Settings!$B$4,Settings!$B$5)</f>
        <v>2</v>
      </c>
      <c r="M22" s="9">
        <v>1</v>
      </c>
      <c r="N22">
        <f t="shared" si="1"/>
        <v>1.018122581958868</v>
      </c>
      <c r="O22">
        <f>IF(O$2&lt;$K22,0,IF(O$2-$K22+1&lt;$L22,IF($L22=2,Settings!$B$8,(O$2-$K22+1)/$L22),IF($J22*$M22&gt;=Settings!$B$15,1,MIN(Settings!$B$15,$J22*$M22+IF($J22*$M22&lt;Settings!$B$16,Settings!$B$17,Settings!$B$18)*(O$2-$K22-$L22+1))/($J22*$M22))))</f>
        <v>0</v>
      </c>
      <c r="P22">
        <f>IF(P$2&lt;$K22,0,IF(AND(P$2=$K22,$L22=2),Settings!$B$8,IF(P$2-$K22+1&lt;$L22,(P$2-$K22+1)/$L22,IF($J22*$M22&gt;=0.9,1,MIN(0.9,$J22*$M22+IF($J22*$M22&lt;0.7,0.03,0.01)*(P$2-$K22-$L22+1))/($J22*$M22)))))</f>
        <v>0</v>
      </c>
      <c r="Q22">
        <f>IF(Q$2&lt;$K22,0,IF(AND(Q$2=$K22,$L22=2),Settings!$B$8,IF(Q$2-$K22+1&lt;$L22,(Q$2-$K22+1)/$L22,IF($J22*$M22&gt;=0.9,1,MIN(0.9,$J22*$M22+IF($J22*$M22&lt;0.7,0.03,0.01)*(Q$2-$K22-$L22+1))/($J22*$M22)))))</f>
        <v>0</v>
      </c>
      <c r="R22">
        <f>IF(R$2&lt;$K22,0,IF(AND(R$2=$K22,$L22=2),Settings!$B$8,IF(R$2-$K22+1&lt;$L22,(R$2-$K22+1)/$L22,IF($J22*$M22&gt;=0.9,1,MIN(0.9,$J22*$M22+IF($J22*$M22&lt;0.7,0.03,0.01)*(R$2-$K22-$L22+1))/($J22*$M22)))))</f>
        <v>0</v>
      </c>
      <c r="S22">
        <f>IF(S$2&lt;$K22,0,IF(AND(S$2=$K22,$L22=2),Settings!$B$8,IF(S$2-$K22+1&lt;$L22,(S$2-$K22+1)/$L22,IF($J22*$M22&gt;=0.9,1,MIN(0.9,$J22*$M22+IF($J22*$M22&lt;0.7,0.03,0.01)*(S$2-$K22-$L22+1))/($J22*$M22)))))</f>
        <v>0</v>
      </c>
      <c r="T22">
        <f>IF(T$2&lt;$K22,0,IF(AND(T$2=$K22,$L22=2),Settings!$B$8,IF(T$2-$K22+1&lt;$L22,(T$2-$K22+1)/$L22,IF($J22*$M22&gt;=0.9,1,MIN(0.9,$J22*$M22+IF($J22*$M22&lt;0.7,0.03,0.01)*(T$2-$K22-$L22+1))/($J22*$M22)))))</f>
        <v>0</v>
      </c>
      <c r="U22">
        <f>IF(U$2&lt;$K22,0,IF(AND(U$2=$K22,$L22=2),Settings!$B$8,IF(U$2-$K22+1&lt;$L22,(U$2-$K22+1)/$L22,IF($J22*$M22&gt;=0.9,1,MIN(0.9,$J22*$M22+IF($J22*$M22&lt;0.7,0.03,0.01)*(U$2-$K22-$L22+1))/($J22*$M22)))))</f>
        <v>0</v>
      </c>
      <c r="V22">
        <f>IF(V$2&lt;$K22,0,IF(AND(V$2=$K22,$L22=2),Settings!$B$8,IF(V$2-$K22+1&lt;$L22,(V$2-$K22+1)/$L22,IF($J22*$M22&gt;=0.9,1,MIN(0.9,$J22*$M22+IF($J22*$M22&lt;0.7,0.03,0.01)*(V$2-$K22-$L22+1))/($J22*$M22)))))</f>
        <v>0</v>
      </c>
      <c r="W22">
        <f>IF(W$2&lt;$K22,0,IF(AND(W$2=$K22,$L22=2),Settings!$B$8,IF(W$2-$K22+1&lt;$L22,(W$2-$K22+1)/$L22,IF($J22*$M22&gt;=0.9,1,MIN(0.9,$J22*$M22+IF($J22*$M22&lt;0.7,0.03,0.01)*(W$2-$K22-$L22+1))/($J22*$M22)))))</f>
        <v>0</v>
      </c>
      <c r="X22">
        <f>IF(X$2&lt;$K22,0,IF(AND(X$2=$K22,$L22=2),Settings!$B$8,IF(X$2-$K22+1&lt;$L22,(X$2-$K22+1)/$L22,IF($J22*$M22&gt;=0.9,1,MIN(0.9,$J22*$M22+IF($J22*$M22&lt;0.7,0.03,0.01)*(X$2-$K22-$L22+1))/($J22*$M22)))))</f>
        <v>0</v>
      </c>
      <c r="Y22" s="9">
        <v>255067</v>
      </c>
      <c r="Z22" s="9">
        <v>254578</v>
      </c>
      <c r="AA22" s="9">
        <v>253947</v>
      </c>
      <c r="AB22" s="9">
        <v>253198</v>
      </c>
      <c r="AC22" s="9">
        <v>252417</v>
      </c>
      <c r="AD22" s="9">
        <v>251320</v>
      </c>
      <c r="AE22" s="9">
        <v>250220</v>
      </c>
      <c r="AF22" s="9">
        <v>249231</v>
      </c>
      <c r="AG22" s="9">
        <v>248365</v>
      </c>
      <c r="AH22" s="9">
        <v>247497</v>
      </c>
      <c r="AI22">
        <f>AS22*(1+Settings!$B$7)</f>
        <v>0</v>
      </c>
      <c r="AJ22">
        <f>IF(Settings!$B$13="annual",AT22*(1+Settings!$B$7),AT22+Settings!$B$7*IF(AT22&gt;AS22,AT22-AS22,0))</f>
        <v>0</v>
      </c>
      <c r="AK22">
        <f>IF(Settings!$B$13="annual",AU22*(1+Settings!$B$7),AU22+Settings!$B$7*IF(AU22&gt;AT22,AU22-AT22,0))</f>
        <v>0</v>
      </c>
      <c r="AL22">
        <f>IF(Settings!$B$13="annual",AV22*(1+Settings!$B$7),AV22+Settings!$B$7*IF(AV22&gt;AU22,AV22-AU22,0))</f>
        <v>0</v>
      </c>
      <c r="AM22">
        <f>IF(Settings!$B$13="annual",AW22*(1+Settings!$B$7),AW22+Settings!$B$7*IF(AW22&gt;AV22,AW22-AV22,0))</f>
        <v>0</v>
      </c>
      <c r="AN22">
        <f>IF(Settings!$B$13="annual",AX22*(1+Settings!$B$7),AX22+Settings!$B$7*IF(AX22&gt;AW22,AX22-AW22,0))</f>
        <v>0</v>
      </c>
      <c r="AO22">
        <f>IF(Settings!$B$13="annual",AY22*(1+Settings!$B$7),AY22+Settings!$B$7*IF(AY22&gt;AX22,AY22-AX22,0))</f>
        <v>0</v>
      </c>
      <c r="AP22">
        <f>IF(Settings!$B$13="annual",AZ22*(1+Settings!$B$7),AZ22+Settings!$B$7*IF(AZ22&gt;AY22,AZ22-AY22,0))</f>
        <v>0</v>
      </c>
      <c r="AQ22">
        <f>IF(Settings!$B$13="annual",BA22*(1+Settings!$B$7),BA22+Settings!$B$7*IF(BA22&gt;AZ22,BA22-AZ22,0))</f>
        <v>0</v>
      </c>
      <c r="AR22">
        <f>IF(Settings!$B$13="annual",BB22*(1+Settings!$B$7),BB22+Settings!$B$7*IF(BB22&gt;BA22,BB22-BA22,0))</f>
        <v>0</v>
      </c>
      <c r="AS22">
        <f>Y22*$N22*$J22*$M22*O22*Settings!$B$6</f>
        <v>0</v>
      </c>
      <c r="AT22">
        <f>Z22*$N22*$J22*$M22*P22*Settings!$B$6</f>
        <v>0</v>
      </c>
      <c r="AU22">
        <f>AA22*$N22*$J22*$M22*Q22*Settings!$B$6</f>
        <v>0</v>
      </c>
      <c r="AV22">
        <f>AB22*$N22*$J22*$M22*R22*Settings!$B$6</f>
        <v>0</v>
      </c>
      <c r="AW22">
        <f>AC22*$N22*$J22*$M22*S22*Settings!$B$6</f>
        <v>0</v>
      </c>
      <c r="AX22">
        <f>AD22*$N22*$J22*$M22*T22*Settings!$B$6</f>
        <v>0</v>
      </c>
      <c r="AY22">
        <f>AE22*$N22*$J22*$M22*U22*Settings!$B$6</f>
        <v>0</v>
      </c>
      <c r="AZ22">
        <f>AF22*$N22*$J22*$M22*V22*Settings!$B$6</f>
        <v>0</v>
      </c>
      <c r="BA22">
        <f>AG22*$N22*$J22*$M22*W22*Settings!$B$6</f>
        <v>0</v>
      </c>
      <c r="BB22">
        <f>AH22*$N22*$J22*$M22*X22*Settings!$B$6</f>
        <v>0</v>
      </c>
    </row>
    <row r="23" spans="1:54" ht="15" customHeight="1">
      <c r="A23" t="s">
        <v>85</v>
      </c>
      <c r="B23" t="s">
        <v>86</v>
      </c>
      <c r="C23" s="9">
        <v>0.97899999999999998</v>
      </c>
      <c r="D23" s="9">
        <v>0.66</v>
      </c>
      <c r="E23" s="9">
        <v>0.91</v>
      </c>
      <c r="F23" s="9">
        <v>0.52600000000000002</v>
      </c>
      <c r="G23" s="9">
        <v>0.84299999999999997</v>
      </c>
      <c r="H23" s="9">
        <v>16.3</v>
      </c>
      <c r="I23">
        <f t="shared" si="0"/>
        <v>0.67415730337078661</v>
      </c>
      <c r="J23">
        <f>IF(Settings!$B$10="anc4",D23*E23,IF(Settings!$B$10="anc1",C23*E23,C23*(G23*I23+F23*(1-I23))*E23))</f>
        <v>0.65899834000000002</v>
      </c>
      <c r="K23">
        <f>IF(Settings!$B$9="invest",Schedule!R23,IF(Settings!$B$9="hist",Schedule!U23,IF(Settings!$B$9="pcv",Schedule!M23,IF(Settings!$B$9="rota",Schedule!N23,Schedule!O23))))+Settings!$B$11</f>
        <v>2028</v>
      </c>
      <c r="L23">
        <f>IF(Schedule!H23=1,Settings!$B$4,Settings!$B$5)</f>
        <v>2</v>
      </c>
      <c r="M23" s="9">
        <v>1</v>
      </c>
      <c r="N23">
        <f t="shared" si="1"/>
        <v>1.0165700925078784</v>
      </c>
      <c r="O23">
        <f>IF(O$2&lt;$K23,0,IF(O$2-$K23+1&lt;$L23,IF($L23=2,Settings!$B$8,(O$2-$K23+1)/$L23),IF($J23*$M23&gt;=Settings!$B$15,1,MIN(Settings!$B$15,$J23*$M23+IF($J23*$M23&lt;Settings!$B$16,Settings!$B$17,Settings!$B$18)*(O$2-$K23-$L23+1))/($J23*$M23))))</f>
        <v>0.8</v>
      </c>
      <c r="P23">
        <f>IF(P$2&lt;$K23,0,IF(AND(P$2=$K23,$L23=2),Settings!$B$8,IF(P$2-$K23+1&lt;$L23,(P$2-$K23+1)/$L23,IF($J23*$M23&gt;=0.9,1,MIN(0.9,$J23*$M23+IF($J23*$M23&lt;0.7,0.03,0.01)*(P$2-$K23-$L23+1))/($J23*$M23)))))</f>
        <v>1</v>
      </c>
      <c r="Q23">
        <f>IF(Q$2&lt;$K23,0,IF(AND(Q$2=$K23,$L23=2),Settings!$B$8,IF(Q$2-$K23+1&lt;$L23,(Q$2-$K23+1)/$L23,IF($J23*$M23&gt;=0.9,1,MIN(0.9,$J23*$M23+IF($J23*$M23&lt;0.7,0.03,0.01)*(Q$2-$K23-$L23+1))/($J23*$M23)))))</f>
        <v>1.0455236351581705</v>
      </c>
      <c r="R23">
        <f>IF(R$2&lt;$K23,0,IF(AND(R$2=$K23,$L23=2),Settings!$B$8,IF(R$2-$K23+1&lt;$L23,(R$2-$K23+1)/$L23,IF($J23*$M23&gt;=0.9,1,MIN(0.9,$J23*$M23+IF($J23*$M23&lt;0.7,0.03,0.01)*(R$2-$K23-$L23+1))/($J23*$M23)))))</f>
        <v>1.091047270316341</v>
      </c>
      <c r="S23">
        <f>IF(S$2&lt;$K23,0,IF(AND(S$2=$K23,$L23=2),Settings!$B$8,IF(S$2-$K23+1&lt;$L23,(S$2-$K23+1)/$L23,IF($J23*$M23&gt;=0.9,1,MIN(0.9,$J23*$M23+IF($J23*$M23&lt;0.7,0.03,0.01)*(S$2-$K23-$L23+1))/($J23*$M23)))))</f>
        <v>1.1365709054745115</v>
      </c>
      <c r="T23">
        <f>IF(T$2&lt;$K23,0,IF(AND(T$2=$K23,$L23=2),Settings!$B$8,IF(T$2-$K23+1&lt;$L23,(T$2-$K23+1)/$L23,IF($J23*$M23&gt;=0.9,1,MIN(0.9,$J23*$M23+IF($J23*$M23&lt;0.7,0.03,0.01)*(T$2-$K23-$L23+1))/($J23*$M23)))))</f>
        <v>1.1820945406326819</v>
      </c>
      <c r="U23">
        <f>IF(U$2&lt;$K23,0,IF(AND(U$2=$K23,$L23=2),Settings!$B$8,IF(U$2-$K23+1&lt;$L23,(U$2-$K23+1)/$L23,IF($J23*$M23&gt;=0.9,1,MIN(0.9,$J23*$M23+IF($J23*$M23&lt;0.7,0.03,0.01)*(U$2-$K23-$L23+1))/($J23*$M23)))))</f>
        <v>1.2276181757908526</v>
      </c>
      <c r="V23">
        <f>IF(V$2&lt;$K23,0,IF(AND(V$2=$K23,$L23=2),Settings!$B$8,IF(V$2-$K23+1&lt;$L23,(V$2-$K23+1)/$L23,IF($J23*$M23&gt;=0.9,1,MIN(0.9,$J23*$M23+IF($J23*$M23&lt;0.7,0.03,0.01)*(V$2-$K23-$L23+1))/($J23*$M23)))))</f>
        <v>1.2731418109490231</v>
      </c>
      <c r="W23">
        <f>IF(W$2&lt;$K23,0,IF(AND(W$2=$K23,$L23=2),Settings!$B$8,IF(W$2-$K23+1&lt;$L23,(W$2-$K23+1)/$L23,IF($J23*$M23&gt;=0.9,1,MIN(0.9,$J23*$M23+IF($J23*$M23&lt;0.7,0.03,0.01)*(W$2-$K23-$L23+1))/($J23*$M23)))))</f>
        <v>1.3186654461071934</v>
      </c>
      <c r="X23">
        <f>IF(X$2&lt;$K23,0,IF(AND(X$2=$K23,$L23=2),Settings!$B$8,IF(X$2-$K23+1&lt;$L23,(X$2-$K23+1)/$L23,IF($J23*$M23&gt;=0.9,1,MIN(0.9,$J23*$M23+IF($J23*$M23&lt;0.7,0.03,0.01)*(X$2-$K23-$L23+1))/($J23*$M23)))))</f>
        <v>1.3641890812653641</v>
      </c>
      <c r="Y23" s="9">
        <v>1594194</v>
      </c>
      <c r="Z23" s="9">
        <v>1610345</v>
      </c>
      <c r="AA23" s="9">
        <v>1625044</v>
      </c>
      <c r="AB23" s="9">
        <v>1639890</v>
      </c>
      <c r="AC23" s="9">
        <v>1649800</v>
      </c>
      <c r="AD23" s="9">
        <v>1656460</v>
      </c>
      <c r="AE23" s="9">
        <v>1661012</v>
      </c>
      <c r="AF23" s="9">
        <v>1663821</v>
      </c>
      <c r="AG23" s="9">
        <v>1665421</v>
      </c>
      <c r="AH23" s="9">
        <v>1662888</v>
      </c>
      <c r="AI23">
        <f>AS23*(1+Settings!$B$7)</f>
        <v>1206816.5656103436</v>
      </c>
      <c r="AJ23">
        <f>IF(Settings!$B$13="annual",AT23*(1+Settings!$B$7),AT23+Settings!$B$7*IF(AT23&gt;AS23,AT23-AS23,0))</f>
        <v>1282440.4259051359</v>
      </c>
      <c r="AK23">
        <f>IF(Settings!$B$13="annual",AU23*(1+Settings!$B$7),AU23+Settings!$B$7*IF(AU23&gt;AT23,AU23-AT23,0))</f>
        <v>1302954.3315155725</v>
      </c>
      <c r="AL23">
        <f>IF(Settings!$B$13="annual",AV23*(1+Settings!$B$7),AV23+Settings!$B$7*IF(AV23&gt;AU23,AV23-AU23,0))</f>
        <v>1371501.5508156004</v>
      </c>
      <c r="AM23">
        <f>IF(Settings!$B$13="annual",AW23*(1+Settings!$B$7),AW23+Settings!$B$7*IF(AW23&gt;AV23,AW23-AV23,0))</f>
        <v>1435735.565805495</v>
      </c>
      <c r="AN23">
        <f>IF(Settings!$B$13="annual",AX23*(1+Settings!$B$7),AX23+Settings!$B$7*IF(AX23&gt;AW23,AX23-AW23,0))</f>
        <v>1497993.9396555098</v>
      </c>
      <c r="AO23">
        <f>IF(Settings!$B$13="annual",AY23*(1+Settings!$B$7),AY23+Settings!$B$7*IF(AY23&gt;AX23,AY23-AX23,0))</f>
        <v>1558933.6648765174</v>
      </c>
      <c r="AP23">
        <f>IF(Settings!$B$13="annual",AZ23*(1+Settings!$B$7),AZ23+Settings!$B$7*IF(AZ23&gt;AY23,AZ23-AY23,0))</f>
        <v>1618540.7258460785</v>
      </c>
      <c r="AQ23">
        <f>IF(Settings!$B$13="annual",BA23*(1+Settings!$B$7),BA23+Settings!$B$7*IF(BA23&gt;AZ23,BA23-AZ23,0))</f>
        <v>1677222.7361979953</v>
      </c>
      <c r="AR23">
        <f>IF(Settings!$B$13="annual",BB23*(1+Settings!$B$7),BB23+Settings!$B$7*IF(BB23&gt;BA23,BB23-BA23,0))</f>
        <v>1730960.7174952119</v>
      </c>
      <c r="AS23">
        <f>Y23*$N23*$J23*$M23*O23*Settings!$B$6</f>
        <v>965453.25248827483</v>
      </c>
      <c r="AT23">
        <f>Z23*$N23*$J23*$M23*P23*Settings!$B$6</f>
        <v>1219042.9912217637</v>
      </c>
      <c r="AU23">
        <f>AA23*$N23*$J23*$M23*Q23*Settings!$B$6</f>
        <v>1286172.0634568108</v>
      </c>
      <c r="AV23">
        <f>AB23*$N23*$J23*$M23*R23*Settings!$B$6</f>
        <v>1354435.6533438426</v>
      </c>
      <c r="AW23">
        <f>AC23*$N23*$J23*$M23*S23*Settings!$B$6</f>
        <v>1419475.5833131645</v>
      </c>
      <c r="AX23">
        <f>AD23*$N23*$J23*$M23*T23*Settings!$B$6</f>
        <v>1482290.2683870408</v>
      </c>
      <c r="AY23">
        <f>AE23*$N23*$J23*$M23*U23*Settings!$B$6</f>
        <v>1543604.985578622</v>
      </c>
      <c r="AZ23">
        <f>AF23*$N23*$J23*$M23*V23*Settings!$B$6</f>
        <v>1603553.5777925872</v>
      </c>
      <c r="BA23">
        <f>AG23*$N23*$J23*$M23*W23*Settings!$B$6</f>
        <v>1662488.9045169137</v>
      </c>
      <c r="BB23">
        <f>AH23*$N23*$J23*$M23*X23*Settings!$B$6</f>
        <v>1717266.3548995522</v>
      </c>
    </row>
    <row r="24" spans="1:54" ht="15" customHeight="1">
      <c r="A24" t="s">
        <v>87</v>
      </c>
      <c r="B24" t="s">
        <v>88</v>
      </c>
      <c r="C24" s="9">
        <v>0.98399999999999999</v>
      </c>
      <c r="D24" s="9">
        <v>0.94399999999999995</v>
      </c>
      <c r="E24" s="9">
        <v>0.9</v>
      </c>
      <c r="F24" s="9">
        <v>0.52600000000000002</v>
      </c>
      <c r="G24" s="9">
        <v>0.84299999999999997</v>
      </c>
      <c r="H24" s="9">
        <v>6.3</v>
      </c>
      <c r="I24">
        <f t="shared" si="0"/>
        <v>0.95934959349593496</v>
      </c>
      <c r="J24">
        <f>IF(Settings!$B$10="anc4",D24*E24,IF(Settings!$B$10="anc1",C24*E24,C24*(G24*I24+F24*(1-I24))*E24))</f>
        <v>0.73514879999999994</v>
      </c>
      <c r="K24">
        <f>IF(Settings!$B$9="invest",Schedule!R24,IF(Settings!$B$9="hist",Schedule!U24,IF(Settings!$B$9="pcv",Schedule!M24,IF(Settings!$B$9="rota",Schedule!N24,Schedule!O24))))+Settings!$B$11</f>
        <v>2041</v>
      </c>
      <c r="L24">
        <f>IF(Schedule!H24=1,Settings!$B$4,Settings!$B$5)</f>
        <v>2</v>
      </c>
      <c r="M24" s="9">
        <v>1</v>
      </c>
      <c r="N24">
        <f t="shared" si="1"/>
        <v>1.0063399416322834</v>
      </c>
      <c r="O24">
        <f>IF(O$2&lt;$K24,0,IF(O$2-$K24+1&lt;$L24,IF($L24=2,Settings!$B$8,(O$2-$K24+1)/$L24),IF($J24*$M24&gt;=Settings!$B$15,1,MIN(Settings!$B$15,$J24*$M24+IF($J24*$M24&lt;Settings!$B$16,Settings!$B$17,Settings!$B$18)*(O$2-$K24-$L24+1))/($J24*$M24))))</f>
        <v>0</v>
      </c>
      <c r="P24">
        <f>IF(P$2&lt;$K24,0,IF(AND(P$2=$K24,$L24=2),Settings!$B$8,IF(P$2-$K24+1&lt;$L24,(P$2-$K24+1)/$L24,IF($J24*$M24&gt;=0.9,1,MIN(0.9,$J24*$M24+IF($J24*$M24&lt;0.7,0.03,0.01)*(P$2-$K24-$L24+1))/($J24*$M24)))))</f>
        <v>0</v>
      </c>
      <c r="Q24">
        <f>IF(Q$2&lt;$K24,0,IF(AND(Q$2=$K24,$L24=2),Settings!$B$8,IF(Q$2-$K24+1&lt;$L24,(Q$2-$K24+1)/$L24,IF($J24*$M24&gt;=0.9,1,MIN(0.9,$J24*$M24+IF($J24*$M24&lt;0.7,0.03,0.01)*(Q$2-$K24-$L24+1))/($J24*$M24)))))</f>
        <v>0</v>
      </c>
      <c r="R24">
        <f>IF(R$2&lt;$K24,0,IF(AND(R$2=$K24,$L24=2),Settings!$B$8,IF(R$2-$K24+1&lt;$L24,(R$2-$K24+1)/$L24,IF($J24*$M24&gt;=0.9,1,MIN(0.9,$J24*$M24+IF($J24*$M24&lt;0.7,0.03,0.01)*(R$2-$K24-$L24+1))/($J24*$M24)))))</f>
        <v>0</v>
      </c>
      <c r="S24">
        <f>IF(S$2&lt;$K24,0,IF(AND(S$2=$K24,$L24=2),Settings!$B$8,IF(S$2-$K24+1&lt;$L24,(S$2-$K24+1)/$L24,IF($J24*$M24&gt;=0.9,1,MIN(0.9,$J24*$M24+IF($J24*$M24&lt;0.7,0.03,0.01)*(S$2-$K24-$L24+1))/($J24*$M24)))))</f>
        <v>0</v>
      </c>
      <c r="T24">
        <f>IF(T$2&lt;$K24,0,IF(AND(T$2=$K24,$L24=2),Settings!$B$8,IF(T$2-$K24+1&lt;$L24,(T$2-$K24+1)/$L24,IF($J24*$M24&gt;=0.9,1,MIN(0.9,$J24*$M24+IF($J24*$M24&lt;0.7,0.03,0.01)*(T$2-$K24-$L24+1))/($J24*$M24)))))</f>
        <v>0</v>
      </c>
      <c r="U24">
        <f>IF(U$2&lt;$K24,0,IF(AND(U$2=$K24,$L24=2),Settings!$B$8,IF(U$2-$K24+1&lt;$L24,(U$2-$K24+1)/$L24,IF($J24*$M24&gt;=0.9,1,MIN(0.9,$J24*$M24+IF($J24*$M24&lt;0.7,0.03,0.01)*(U$2-$K24-$L24+1))/($J24*$M24)))))</f>
        <v>0</v>
      </c>
      <c r="V24">
        <f>IF(V$2&lt;$K24,0,IF(AND(V$2=$K24,$L24=2),Settings!$B$8,IF(V$2-$K24+1&lt;$L24,(V$2-$K24+1)/$L24,IF($J24*$M24&gt;=0.9,1,MIN(0.9,$J24*$M24+IF($J24*$M24&lt;0.7,0.03,0.01)*(V$2-$K24-$L24+1))/($J24*$M24)))))</f>
        <v>0</v>
      </c>
      <c r="W24">
        <f>IF(W$2&lt;$K24,0,IF(AND(W$2=$K24,$L24=2),Settings!$B$8,IF(W$2-$K24+1&lt;$L24,(W$2-$K24+1)/$L24,IF($J24*$M24&gt;=0.9,1,MIN(0.9,$J24*$M24+IF($J24*$M24&lt;0.7,0.03,0.01)*(W$2-$K24-$L24+1))/($J24*$M24)))))</f>
        <v>0</v>
      </c>
      <c r="X24">
        <f>IF(X$2&lt;$K24,0,IF(AND(X$2=$K24,$L24=2),Settings!$B$8,IF(X$2-$K24+1&lt;$L24,(X$2-$K24+1)/$L24,IF($J24*$M24&gt;=0.9,1,MIN(0.9,$J24*$M24+IF($J24*$M24&lt;0.7,0.03,0.01)*(X$2-$K24-$L24+1))/($J24*$M24)))))</f>
        <v>0</v>
      </c>
      <c r="Y24" s="9">
        <v>148205</v>
      </c>
      <c r="Z24" s="9">
        <v>148644</v>
      </c>
      <c r="AA24" s="9">
        <v>149390</v>
      </c>
      <c r="AB24" s="9">
        <v>150419</v>
      </c>
      <c r="AC24" s="9">
        <v>151396</v>
      </c>
      <c r="AD24" s="9">
        <v>152829</v>
      </c>
      <c r="AE24" s="9">
        <v>154450</v>
      </c>
      <c r="AF24" s="9">
        <v>155849</v>
      </c>
      <c r="AG24" s="9">
        <v>157473</v>
      </c>
      <c r="AH24" s="9">
        <v>159273</v>
      </c>
      <c r="AI24">
        <f>AS24*(1+Settings!$B$7)</f>
        <v>0</v>
      </c>
      <c r="AJ24">
        <f>IF(Settings!$B$13="annual",AT24*(1+Settings!$B$7),AT24+Settings!$B$7*IF(AT24&gt;AS24,AT24-AS24,0))</f>
        <v>0</v>
      </c>
      <c r="AK24">
        <f>IF(Settings!$B$13="annual",AU24*(1+Settings!$B$7),AU24+Settings!$B$7*IF(AU24&gt;AT24,AU24-AT24,0))</f>
        <v>0</v>
      </c>
      <c r="AL24">
        <f>IF(Settings!$B$13="annual",AV24*(1+Settings!$B$7),AV24+Settings!$B$7*IF(AV24&gt;AU24,AV24-AU24,0))</f>
        <v>0</v>
      </c>
      <c r="AM24">
        <f>IF(Settings!$B$13="annual",AW24*(1+Settings!$B$7),AW24+Settings!$B$7*IF(AW24&gt;AV24,AW24-AV24,0))</f>
        <v>0</v>
      </c>
      <c r="AN24">
        <f>IF(Settings!$B$13="annual",AX24*(1+Settings!$B$7),AX24+Settings!$B$7*IF(AX24&gt;AW24,AX24-AW24,0))</f>
        <v>0</v>
      </c>
      <c r="AO24">
        <f>IF(Settings!$B$13="annual",AY24*(1+Settings!$B$7),AY24+Settings!$B$7*IF(AY24&gt;AX24,AY24-AX24,0))</f>
        <v>0</v>
      </c>
      <c r="AP24">
        <f>IF(Settings!$B$13="annual",AZ24*(1+Settings!$B$7),AZ24+Settings!$B$7*IF(AZ24&gt;AY24,AZ24-AY24,0))</f>
        <v>0</v>
      </c>
      <c r="AQ24">
        <f>IF(Settings!$B$13="annual",BA24*(1+Settings!$B$7),BA24+Settings!$B$7*IF(BA24&gt;AZ24,BA24-AZ24,0))</f>
        <v>0</v>
      </c>
      <c r="AR24">
        <f>IF(Settings!$B$13="annual",BB24*(1+Settings!$B$7),BB24+Settings!$B$7*IF(BB24&gt;BA24,BB24-BA24,0))</f>
        <v>0</v>
      </c>
      <c r="AS24">
        <f>Y24*$N24*$J24*$M24*O24*Settings!$B$6</f>
        <v>0</v>
      </c>
      <c r="AT24">
        <f>Z24*$N24*$J24*$M24*P24*Settings!$B$6</f>
        <v>0</v>
      </c>
      <c r="AU24">
        <f>AA24*$N24*$J24*$M24*Q24*Settings!$B$6</f>
        <v>0</v>
      </c>
      <c r="AV24">
        <f>AB24*$N24*$J24*$M24*R24*Settings!$B$6</f>
        <v>0</v>
      </c>
      <c r="AW24">
        <f>AC24*$N24*$J24*$M24*S24*Settings!$B$6</f>
        <v>0</v>
      </c>
      <c r="AX24">
        <f>AD24*$N24*$J24*$M24*T24*Settings!$B$6</f>
        <v>0</v>
      </c>
      <c r="AY24">
        <f>AE24*$N24*$J24*$M24*U24*Settings!$B$6</f>
        <v>0</v>
      </c>
      <c r="AZ24">
        <f>AF24*$N24*$J24*$M24*V24*Settings!$B$6</f>
        <v>0</v>
      </c>
      <c r="BA24">
        <f>AG24*$N24*$J24*$M24*W24*Settings!$B$6</f>
        <v>0</v>
      </c>
      <c r="BB24">
        <f>AH24*$N24*$J24*$M24*X24*Settings!$B$6</f>
        <v>0</v>
      </c>
    </row>
    <row r="25" spans="1:54" ht="15" customHeight="1">
      <c r="A25" t="s">
        <v>89</v>
      </c>
      <c r="B25" t="s">
        <v>90</v>
      </c>
      <c r="C25" s="9">
        <v>0.98699999999999999</v>
      </c>
      <c r="D25" s="9">
        <v>0.86</v>
      </c>
      <c r="E25" s="9">
        <v>0.9</v>
      </c>
      <c r="F25" s="9">
        <v>0.52600000000000002</v>
      </c>
      <c r="G25" s="9">
        <v>0.84299999999999997</v>
      </c>
      <c r="H25" s="9">
        <v>13.3</v>
      </c>
      <c r="I25">
        <f t="shared" si="0"/>
        <v>0.87132725430597768</v>
      </c>
      <c r="J25">
        <f>IF(Settings!$B$10="anc4",D25*E25,IF(Settings!$B$10="anc1",C25*E25,C25*(G25*I25+F25*(1-I25))*E25))</f>
        <v>0.71260380000000001</v>
      </c>
      <c r="K25">
        <f>IF(Settings!$B$9="invest",Schedule!R25,IF(Settings!$B$9="hist",Schedule!U25,IF(Settings!$B$9="pcv",Schedule!M25,IF(Settings!$B$9="rota",Schedule!N25,Schedule!O25))))+Settings!$B$11</f>
        <v>2041</v>
      </c>
      <c r="L25">
        <f>IF(Schedule!H25=1,Settings!$B$4,Settings!$B$5)</f>
        <v>2</v>
      </c>
      <c r="M25" s="9">
        <v>1</v>
      </c>
      <c r="N25">
        <f t="shared" si="1"/>
        <v>1.0134792743488397</v>
      </c>
      <c r="O25">
        <f>IF(O$2&lt;$K25,0,IF(O$2-$K25+1&lt;$L25,IF($L25=2,Settings!$B$8,(O$2-$K25+1)/$L25),IF($J25*$M25&gt;=Settings!$B$15,1,MIN(Settings!$B$15,$J25*$M25+IF($J25*$M25&lt;Settings!$B$16,Settings!$B$17,Settings!$B$18)*(O$2-$K25-$L25+1))/($J25*$M25))))</f>
        <v>0</v>
      </c>
      <c r="P25">
        <f>IF(P$2&lt;$K25,0,IF(AND(P$2=$K25,$L25=2),Settings!$B$8,IF(P$2-$K25+1&lt;$L25,(P$2-$K25+1)/$L25,IF($J25*$M25&gt;=0.9,1,MIN(0.9,$J25*$M25+IF($J25*$M25&lt;0.7,0.03,0.01)*(P$2-$K25-$L25+1))/($J25*$M25)))))</f>
        <v>0</v>
      </c>
      <c r="Q25">
        <f>IF(Q$2&lt;$K25,0,IF(AND(Q$2=$K25,$L25=2),Settings!$B$8,IF(Q$2-$K25+1&lt;$L25,(Q$2-$K25+1)/$L25,IF($J25*$M25&gt;=0.9,1,MIN(0.9,$J25*$M25+IF($J25*$M25&lt;0.7,0.03,0.01)*(Q$2-$K25-$L25+1))/($J25*$M25)))))</f>
        <v>0</v>
      </c>
      <c r="R25">
        <f>IF(R$2&lt;$K25,0,IF(AND(R$2=$K25,$L25=2),Settings!$B$8,IF(R$2-$K25+1&lt;$L25,(R$2-$K25+1)/$L25,IF($J25*$M25&gt;=0.9,1,MIN(0.9,$J25*$M25+IF($J25*$M25&lt;0.7,0.03,0.01)*(R$2-$K25-$L25+1))/($J25*$M25)))))</f>
        <v>0</v>
      </c>
      <c r="S25">
        <f>IF(S$2&lt;$K25,0,IF(AND(S$2=$K25,$L25=2),Settings!$B$8,IF(S$2-$K25+1&lt;$L25,(S$2-$K25+1)/$L25,IF($J25*$M25&gt;=0.9,1,MIN(0.9,$J25*$M25+IF($J25*$M25&lt;0.7,0.03,0.01)*(S$2-$K25-$L25+1))/($J25*$M25)))))</f>
        <v>0</v>
      </c>
      <c r="T25">
        <f>IF(T$2&lt;$K25,0,IF(AND(T$2=$K25,$L25=2),Settings!$B$8,IF(T$2-$K25+1&lt;$L25,(T$2-$K25+1)/$L25,IF($J25*$M25&gt;=0.9,1,MIN(0.9,$J25*$M25+IF($J25*$M25&lt;0.7,0.03,0.01)*(T$2-$K25-$L25+1))/($J25*$M25)))))</f>
        <v>0</v>
      </c>
      <c r="U25">
        <f>IF(U$2&lt;$K25,0,IF(AND(U$2=$K25,$L25=2),Settings!$B$8,IF(U$2-$K25+1&lt;$L25,(U$2-$K25+1)/$L25,IF($J25*$M25&gt;=0.9,1,MIN(0.9,$J25*$M25+IF($J25*$M25&lt;0.7,0.03,0.01)*(U$2-$K25-$L25+1))/($J25*$M25)))))</f>
        <v>0</v>
      </c>
      <c r="V25">
        <f>IF(V$2&lt;$K25,0,IF(AND(V$2=$K25,$L25=2),Settings!$B$8,IF(V$2-$K25+1&lt;$L25,(V$2-$K25+1)/$L25,IF($J25*$M25&gt;=0.9,1,MIN(0.9,$J25*$M25+IF($J25*$M25&lt;0.7,0.03,0.01)*(V$2-$K25-$L25+1))/($J25*$M25)))))</f>
        <v>0</v>
      </c>
      <c r="W25">
        <f>IF(W$2&lt;$K25,0,IF(AND(W$2=$K25,$L25=2),Settings!$B$8,IF(W$2-$K25+1&lt;$L25,(W$2-$K25+1)/$L25,IF($J25*$M25&gt;=0.9,1,MIN(0.9,$J25*$M25+IF($J25*$M25&lt;0.7,0.03,0.01)*(W$2-$K25-$L25+1))/($J25*$M25)))))</f>
        <v>0</v>
      </c>
      <c r="X25">
        <f>IF(X$2&lt;$K25,0,IF(AND(X$2=$K25,$L25=2),Settings!$B$8,IF(X$2-$K25+1&lt;$L25,(X$2-$K25+1)/$L25,IF($J25*$M25&gt;=0.9,1,MIN(0.9,$J25*$M25+IF($J25*$M25&lt;0.7,0.03,0.01)*(X$2-$K25-$L25+1))/($J25*$M25)))))</f>
        <v>0</v>
      </c>
      <c r="Y25" s="9">
        <v>348401</v>
      </c>
      <c r="Z25" s="9">
        <v>346722</v>
      </c>
      <c r="AA25" s="9">
        <v>345222</v>
      </c>
      <c r="AB25" s="9">
        <v>343866</v>
      </c>
      <c r="AC25" s="9">
        <v>342744</v>
      </c>
      <c r="AD25" s="9">
        <v>342183</v>
      </c>
      <c r="AE25" s="9">
        <v>341952</v>
      </c>
      <c r="AF25" s="9">
        <v>341769</v>
      </c>
      <c r="AG25" s="9">
        <v>341774</v>
      </c>
      <c r="AH25" s="9">
        <v>342107</v>
      </c>
      <c r="AI25">
        <f>AS25*(1+Settings!$B$7)</f>
        <v>0</v>
      </c>
      <c r="AJ25">
        <f>IF(Settings!$B$13="annual",AT25*(1+Settings!$B$7),AT25+Settings!$B$7*IF(AT25&gt;AS25,AT25-AS25,0))</f>
        <v>0</v>
      </c>
      <c r="AK25">
        <f>IF(Settings!$B$13="annual",AU25*(1+Settings!$B$7),AU25+Settings!$B$7*IF(AU25&gt;AT25,AU25-AT25,0))</f>
        <v>0</v>
      </c>
      <c r="AL25">
        <f>IF(Settings!$B$13="annual",AV25*(1+Settings!$B$7),AV25+Settings!$B$7*IF(AV25&gt;AU25,AV25-AU25,0))</f>
        <v>0</v>
      </c>
      <c r="AM25">
        <f>IF(Settings!$B$13="annual",AW25*(1+Settings!$B$7),AW25+Settings!$B$7*IF(AW25&gt;AV25,AW25-AV25,0))</f>
        <v>0</v>
      </c>
      <c r="AN25">
        <f>IF(Settings!$B$13="annual",AX25*(1+Settings!$B$7),AX25+Settings!$B$7*IF(AX25&gt;AW25,AX25-AW25,0))</f>
        <v>0</v>
      </c>
      <c r="AO25">
        <f>IF(Settings!$B$13="annual",AY25*(1+Settings!$B$7),AY25+Settings!$B$7*IF(AY25&gt;AX25,AY25-AX25,0))</f>
        <v>0</v>
      </c>
      <c r="AP25">
        <f>IF(Settings!$B$13="annual",AZ25*(1+Settings!$B$7),AZ25+Settings!$B$7*IF(AZ25&gt;AY25,AZ25-AY25,0))</f>
        <v>0</v>
      </c>
      <c r="AQ25">
        <f>IF(Settings!$B$13="annual",BA25*(1+Settings!$B$7),BA25+Settings!$B$7*IF(BA25&gt;AZ25,BA25-AZ25,0))</f>
        <v>0</v>
      </c>
      <c r="AR25">
        <f>IF(Settings!$B$13="annual",BB25*(1+Settings!$B$7),BB25+Settings!$B$7*IF(BB25&gt;BA25,BB25-BA25,0))</f>
        <v>0</v>
      </c>
      <c r="AS25">
        <f>Y25*$N25*$J25*$M25*O25*Settings!$B$6</f>
        <v>0</v>
      </c>
      <c r="AT25">
        <f>Z25*$N25*$J25*$M25*P25*Settings!$B$6</f>
        <v>0</v>
      </c>
      <c r="AU25">
        <f>AA25*$N25*$J25*$M25*Q25*Settings!$B$6</f>
        <v>0</v>
      </c>
      <c r="AV25">
        <f>AB25*$N25*$J25*$M25*R25*Settings!$B$6</f>
        <v>0</v>
      </c>
      <c r="AW25">
        <f>AC25*$N25*$J25*$M25*S25*Settings!$B$6</f>
        <v>0</v>
      </c>
      <c r="AX25">
        <f>AD25*$N25*$J25*$M25*T25*Settings!$B$6</f>
        <v>0</v>
      </c>
      <c r="AY25">
        <f>AE25*$N25*$J25*$M25*U25*Settings!$B$6</f>
        <v>0</v>
      </c>
      <c r="AZ25">
        <f>AF25*$N25*$J25*$M25*V25*Settings!$B$6</f>
        <v>0</v>
      </c>
      <c r="BA25">
        <f>AG25*$N25*$J25*$M25*W25*Settings!$B$6</f>
        <v>0</v>
      </c>
      <c r="BB25">
        <f>AH25*$N25*$J25*$M25*X25*Settings!$B$6</f>
        <v>0</v>
      </c>
    </row>
    <row r="26" spans="1:54" ht="15" customHeight="1">
      <c r="A26" t="s">
        <v>91</v>
      </c>
      <c r="B26" t="s">
        <v>92</v>
      </c>
      <c r="C26" s="9">
        <v>0.89800000000000002</v>
      </c>
      <c r="D26" s="9">
        <v>0.71599999999999997</v>
      </c>
      <c r="E26" s="9">
        <v>0.76</v>
      </c>
      <c r="F26" s="9">
        <v>0.52600000000000002</v>
      </c>
      <c r="G26" s="9">
        <v>0.84299999999999997</v>
      </c>
      <c r="H26" s="9">
        <v>14.3</v>
      </c>
      <c r="I26">
        <f t="shared" si="0"/>
        <v>0.79732739420935406</v>
      </c>
      <c r="J26">
        <f>IF(Settings!$B$10="anc4",D26*E26,IF(Settings!$B$10="anc1",C26*E26,C26*(G26*I26+F26*(1-I26))*E26))</f>
        <v>0.53148320000000004</v>
      </c>
      <c r="K26">
        <f>IF(Settings!$B$9="invest",Schedule!R26,IF(Settings!$B$9="hist",Schedule!U26,IF(Settings!$B$9="pcv",Schedule!M26,IF(Settings!$B$9="rota",Schedule!N26,Schedule!O26))))+Settings!$B$11</f>
        <v>2041</v>
      </c>
      <c r="L26">
        <f>IF(Schedule!H26=1,Settings!$B$4,Settings!$B$5)</f>
        <v>2</v>
      </c>
      <c r="M26" s="9">
        <v>1</v>
      </c>
      <c r="N26">
        <f t="shared" si="1"/>
        <v>1.0145074566298062</v>
      </c>
      <c r="O26">
        <f>IF(O$2&lt;$K26,0,IF(O$2-$K26+1&lt;$L26,IF($L26=2,Settings!$B$8,(O$2-$K26+1)/$L26),IF($J26*$M26&gt;=Settings!$B$15,1,MIN(Settings!$B$15,$J26*$M26+IF($J26*$M26&lt;Settings!$B$16,Settings!$B$17,Settings!$B$18)*(O$2-$K26-$L26+1))/($J26*$M26))))</f>
        <v>0</v>
      </c>
      <c r="P26">
        <f>IF(P$2&lt;$K26,0,IF(AND(P$2=$K26,$L26=2),Settings!$B$8,IF(P$2-$K26+1&lt;$L26,(P$2-$K26+1)/$L26,IF($J26*$M26&gt;=0.9,1,MIN(0.9,$J26*$M26+IF($J26*$M26&lt;0.7,0.03,0.01)*(P$2-$K26-$L26+1))/($J26*$M26)))))</f>
        <v>0</v>
      </c>
      <c r="Q26">
        <f>IF(Q$2&lt;$K26,0,IF(AND(Q$2=$K26,$L26=2),Settings!$B$8,IF(Q$2-$K26+1&lt;$L26,(Q$2-$K26+1)/$L26,IF($J26*$M26&gt;=0.9,1,MIN(0.9,$J26*$M26+IF($J26*$M26&lt;0.7,0.03,0.01)*(Q$2-$K26-$L26+1))/($J26*$M26)))))</f>
        <v>0</v>
      </c>
      <c r="R26">
        <f>IF(R$2&lt;$K26,0,IF(AND(R$2=$K26,$L26=2),Settings!$B$8,IF(R$2-$K26+1&lt;$L26,(R$2-$K26+1)/$L26,IF($J26*$M26&gt;=0.9,1,MIN(0.9,$J26*$M26+IF($J26*$M26&lt;0.7,0.03,0.01)*(R$2-$K26-$L26+1))/($J26*$M26)))))</f>
        <v>0</v>
      </c>
      <c r="S26">
        <f>IF(S$2&lt;$K26,0,IF(AND(S$2=$K26,$L26=2),Settings!$B$8,IF(S$2-$K26+1&lt;$L26,(S$2-$K26+1)/$L26,IF($J26*$M26&gt;=0.9,1,MIN(0.9,$J26*$M26+IF($J26*$M26&lt;0.7,0.03,0.01)*(S$2-$K26-$L26+1))/($J26*$M26)))))</f>
        <v>0</v>
      </c>
      <c r="T26">
        <f>IF(T$2&lt;$K26,0,IF(AND(T$2=$K26,$L26=2),Settings!$B$8,IF(T$2-$K26+1&lt;$L26,(T$2-$K26+1)/$L26,IF($J26*$M26&gt;=0.9,1,MIN(0.9,$J26*$M26+IF($J26*$M26&lt;0.7,0.03,0.01)*(T$2-$K26-$L26+1))/($J26*$M26)))))</f>
        <v>0</v>
      </c>
      <c r="U26">
        <f>IF(U$2&lt;$K26,0,IF(AND(U$2=$K26,$L26=2),Settings!$B$8,IF(U$2-$K26+1&lt;$L26,(U$2-$K26+1)/$L26,IF($J26*$M26&gt;=0.9,1,MIN(0.9,$J26*$M26+IF($J26*$M26&lt;0.7,0.03,0.01)*(U$2-$K26-$L26+1))/($J26*$M26)))))</f>
        <v>0</v>
      </c>
      <c r="V26">
        <f>IF(V$2&lt;$K26,0,IF(AND(V$2=$K26,$L26=2),Settings!$B$8,IF(V$2-$K26+1&lt;$L26,(V$2-$K26+1)/$L26,IF($J26*$M26&gt;=0.9,1,MIN(0.9,$J26*$M26+IF($J26*$M26&lt;0.7,0.03,0.01)*(V$2-$K26-$L26+1))/($J26*$M26)))))</f>
        <v>0</v>
      </c>
      <c r="W26">
        <f>IF(W$2&lt;$K26,0,IF(AND(W$2=$K26,$L26=2),Settings!$B$8,IF(W$2-$K26+1&lt;$L26,(W$2-$K26+1)/$L26,IF($J26*$M26&gt;=0.9,1,MIN(0.9,$J26*$M26+IF($J26*$M26&lt;0.7,0.03,0.01)*(W$2-$K26-$L26+1))/($J26*$M26)))))</f>
        <v>0</v>
      </c>
      <c r="X26">
        <f>IF(X$2&lt;$K26,0,IF(AND(X$2=$K26,$L26=2),Settings!$B$8,IF(X$2-$K26+1&lt;$L26,(X$2-$K26+1)/$L26,IF($J26*$M26&gt;=0.9,1,MIN(0.9,$J26*$M26+IF($J26*$M26&lt;0.7,0.03,0.01)*(X$2-$K26-$L26+1))/($J26*$M26)))))</f>
        <v>0</v>
      </c>
      <c r="Y26" s="9">
        <v>157497</v>
      </c>
      <c r="Z26" s="9">
        <v>156158</v>
      </c>
      <c r="AA26" s="9">
        <v>154942</v>
      </c>
      <c r="AB26" s="9">
        <v>153936</v>
      </c>
      <c r="AC26" s="9">
        <v>152959</v>
      </c>
      <c r="AD26" s="9">
        <v>152106</v>
      </c>
      <c r="AE26" s="9">
        <v>151237</v>
      </c>
      <c r="AF26" s="9">
        <v>150504</v>
      </c>
      <c r="AG26" s="9">
        <v>149806</v>
      </c>
      <c r="AH26" s="9">
        <v>149078</v>
      </c>
      <c r="AI26">
        <f>AS26*(1+Settings!$B$7)</f>
        <v>0</v>
      </c>
      <c r="AJ26">
        <f>IF(Settings!$B$13="annual",AT26*(1+Settings!$B$7),AT26+Settings!$B$7*IF(AT26&gt;AS26,AT26-AS26,0))</f>
        <v>0</v>
      </c>
      <c r="AK26">
        <f>IF(Settings!$B$13="annual",AU26*(1+Settings!$B$7),AU26+Settings!$B$7*IF(AU26&gt;AT26,AU26-AT26,0))</f>
        <v>0</v>
      </c>
      <c r="AL26">
        <f>IF(Settings!$B$13="annual",AV26*(1+Settings!$B$7),AV26+Settings!$B$7*IF(AV26&gt;AU26,AV26-AU26,0))</f>
        <v>0</v>
      </c>
      <c r="AM26">
        <f>IF(Settings!$B$13="annual",AW26*(1+Settings!$B$7),AW26+Settings!$B$7*IF(AW26&gt;AV26,AW26-AV26,0))</f>
        <v>0</v>
      </c>
      <c r="AN26">
        <f>IF(Settings!$B$13="annual",AX26*(1+Settings!$B$7),AX26+Settings!$B$7*IF(AX26&gt;AW26,AX26-AW26,0))</f>
        <v>0</v>
      </c>
      <c r="AO26">
        <f>IF(Settings!$B$13="annual",AY26*(1+Settings!$B$7),AY26+Settings!$B$7*IF(AY26&gt;AX26,AY26-AX26,0))</f>
        <v>0</v>
      </c>
      <c r="AP26">
        <f>IF(Settings!$B$13="annual",AZ26*(1+Settings!$B$7),AZ26+Settings!$B$7*IF(AZ26&gt;AY26,AZ26-AY26,0))</f>
        <v>0</v>
      </c>
      <c r="AQ26">
        <f>IF(Settings!$B$13="annual",BA26*(1+Settings!$B$7),BA26+Settings!$B$7*IF(BA26&gt;AZ26,BA26-AZ26,0))</f>
        <v>0</v>
      </c>
      <c r="AR26">
        <f>IF(Settings!$B$13="annual",BB26*(1+Settings!$B$7),BB26+Settings!$B$7*IF(BB26&gt;BA26,BB26-BA26,0))</f>
        <v>0</v>
      </c>
      <c r="AS26">
        <f>Y26*$N26*$J26*$M26*O26*Settings!$B$6</f>
        <v>0</v>
      </c>
      <c r="AT26">
        <f>Z26*$N26*$J26*$M26*P26*Settings!$B$6</f>
        <v>0</v>
      </c>
      <c r="AU26">
        <f>AA26*$N26*$J26*$M26*Q26*Settings!$B$6</f>
        <v>0</v>
      </c>
      <c r="AV26">
        <f>AB26*$N26*$J26*$M26*R26*Settings!$B$6</f>
        <v>0</v>
      </c>
      <c r="AW26">
        <f>AC26*$N26*$J26*$M26*S26*Settings!$B$6</f>
        <v>0</v>
      </c>
      <c r="AX26">
        <f>AD26*$N26*$J26*$M26*T26*Settings!$B$6</f>
        <v>0</v>
      </c>
      <c r="AY26">
        <f>AE26*$N26*$J26*$M26*U26*Settings!$B$6</f>
        <v>0</v>
      </c>
      <c r="AZ26">
        <f>AF26*$N26*$J26*$M26*V26*Settings!$B$6</f>
        <v>0</v>
      </c>
      <c r="BA26">
        <f>AG26*$N26*$J26*$M26*W26*Settings!$B$6</f>
        <v>0</v>
      </c>
      <c r="BB26">
        <f>AH26*$N26*$J26*$M26*X26*Settings!$B$6</f>
        <v>0</v>
      </c>
    </row>
    <row r="27" spans="1:54" ht="15" customHeight="1">
      <c r="A27" t="s">
        <v>93</v>
      </c>
      <c r="B27" t="s">
        <v>94</v>
      </c>
      <c r="C27" s="9">
        <v>0.97799999999999998</v>
      </c>
      <c r="D27" s="9">
        <v>0.83799999999999997</v>
      </c>
      <c r="E27" s="9">
        <v>0.91</v>
      </c>
      <c r="F27" s="9">
        <v>0.52600000000000002</v>
      </c>
      <c r="G27" s="9">
        <v>0.84299999999999997</v>
      </c>
      <c r="H27" s="9">
        <v>24.2</v>
      </c>
      <c r="I27">
        <f t="shared" si="0"/>
        <v>0.85685071574642124</v>
      </c>
      <c r="J27">
        <f>IF(Settings!$B$10="anc4",D27*E27,IF(Settings!$B$10="anc1",C27*E27,C27*(G27*I27+F27*(1-I27))*E27))</f>
        <v>0.70986734000000007</v>
      </c>
      <c r="K27">
        <f>IF(Settings!$B$9="invest",Schedule!R27,IF(Settings!$B$9="hist",Schedule!U27,IF(Settings!$B$9="pcv",Schedule!M27,IF(Settings!$B$9="rota",Schedule!N27,Schedule!O27))))+Settings!$B$11</f>
        <v>2033</v>
      </c>
      <c r="L27">
        <f>IF(Schedule!H27=1,Settings!$B$4,Settings!$B$5)</f>
        <v>2</v>
      </c>
      <c r="M27" s="9">
        <v>1</v>
      </c>
      <c r="N27">
        <f t="shared" si="1"/>
        <v>1.0248001639680262</v>
      </c>
      <c r="O27">
        <f>IF(O$2&lt;$K27,0,IF(O$2-$K27+1&lt;$L27,IF($L27=2,Settings!$B$8,(O$2-$K27+1)/$L27),IF($J27*$M27&gt;=Settings!$B$15,1,MIN(Settings!$B$15,$J27*$M27+IF($J27*$M27&lt;Settings!$B$16,Settings!$B$17,Settings!$B$18)*(O$2-$K27-$L27+1))/($J27*$M27))))</f>
        <v>0</v>
      </c>
      <c r="P27">
        <f>IF(P$2&lt;$K27,0,IF(AND(P$2=$K27,$L27=2),Settings!$B$8,IF(P$2-$K27+1&lt;$L27,(P$2-$K27+1)/$L27,IF($J27*$M27&gt;=0.9,1,MIN(0.9,$J27*$M27+IF($J27*$M27&lt;0.7,0.03,0.01)*(P$2-$K27-$L27+1))/($J27*$M27)))))</f>
        <v>0</v>
      </c>
      <c r="Q27">
        <f>IF(Q$2&lt;$K27,0,IF(AND(Q$2=$K27,$L27=2),Settings!$B$8,IF(Q$2-$K27+1&lt;$L27,(Q$2-$K27+1)/$L27,IF($J27*$M27&gt;=0.9,1,MIN(0.9,$J27*$M27+IF($J27*$M27&lt;0.7,0.03,0.01)*(Q$2-$K27-$L27+1))/($J27*$M27)))))</f>
        <v>0</v>
      </c>
      <c r="R27">
        <f>IF(R$2&lt;$K27,0,IF(AND(R$2=$K27,$L27=2),Settings!$B$8,IF(R$2-$K27+1&lt;$L27,(R$2-$K27+1)/$L27,IF($J27*$M27&gt;=0.9,1,MIN(0.9,$J27*$M27+IF($J27*$M27&lt;0.7,0.03,0.01)*(R$2-$K27-$L27+1))/($J27*$M27)))))</f>
        <v>0</v>
      </c>
      <c r="S27">
        <f>IF(S$2&lt;$K27,0,IF(AND(S$2=$K27,$L27=2),Settings!$B$8,IF(S$2-$K27+1&lt;$L27,(S$2-$K27+1)/$L27,IF($J27*$M27&gt;=0.9,1,MIN(0.9,$J27*$M27+IF($J27*$M27&lt;0.7,0.03,0.01)*(S$2-$K27-$L27+1))/($J27*$M27)))))</f>
        <v>0</v>
      </c>
      <c r="T27">
        <f>IF(T$2&lt;$K27,0,IF(AND(T$2=$K27,$L27=2),Settings!$B$8,IF(T$2-$K27+1&lt;$L27,(T$2-$K27+1)/$L27,IF($J27*$M27&gt;=0.9,1,MIN(0.9,$J27*$M27+IF($J27*$M27&lt;0.7,0.03,0.01)*(T$2-$K27-$L27+1))/($J27*$M27)))))</f>
        <v>0.8</v>
      </c>
      <c r="U27">
        <f>IF(U$2&lt;$K27,0,IF(AND(U$2=$K27,$L27=2),Settings!$B$8,IF(U$2-$K27+1&lt;$L27,(U$2-$K27+1)/$L27,IF($J27*$M27&gt;=0.9,1,MIN(0.9,$J27*$M27+IF($J27*$M27&lt;0.7,0.03,0.01)*(U$2-$K27-$L27+1))/($J27*$M27)))))</f>
        <v>1</v>
      </c>
      <c r="V27">
        <f>IF(V$2&lt;$K27,0,IF(AND(V$2=$K27,$L27=2),Settings!$B$8,IF(V$2-$K27+1&lt;$L27,(V$2-$K27+1)/$L27,IF($J27*$M27&gt;=0.9,1,MIN(0.9,$J27*$M27+IF($J27*$M27&lt;0.7,0.03,0.01)*(V$2-$K27-$L27+1))/($J27*$M27)))))</f>
        <v>1.014087139154761</v>
      </c>
      <c r="W27">
        <f>IF(W$2&lt;$K27,0,IF(AND(W$2=$K27,$L27=2),Settings!$B$8,IF(W$2-$K27+1&lt;$L27,(W$2-$K27+1)/$L27,IF($J27*$M27&gt;=0.9,1,MIN(0.9,$J27*$M27+IF($J27*$M27&lt;0.7,0.03,0.01)*(W$2-$K27-$L27+1))/($J27*$M27)))))</f>
        <v>1.028174278309522</v>
      </c>
      <c r="X27">
        <f>IF(X$2&lt;$K27,0,IF(AND(X$2=$K27,$L27=2),Settings!$B$8,IF(X$2-$K27+1&lt;$L27,(X$2-$K27+1)/$L27,IF($J27*$M27&gt;=0.9,1,MIN(0.9,$J27*$M27+IF($J27*$M27&lt;0.7,0.03,0.01)*(X$2-$K27-$L27+1))/($J27*$M27)))))</f>
        <v>1.0422614174642828</v>
      </c>
      <c r="Y27" s="9">
        <v>178928</v>
      </c>
      <c r="Z27" s="9">
        <v>180595</v>
      </c>
      <c r="AA27" s="9">
        <v>181053</v>
      </c>
      <c r="AB27" s="9">
        <v>182505</v>
      </c>
      <c r="AC27" s="9">
        <v>182944</v>
      </c>
      <c r="AD27" s="9">
        <v>184207</v>
      </c>
      <c r="AE27" s="9">
        <v>185411</v>
      </c>
      <c r="AF27" s="9">
        <v>186344</v>
      </c>
      <c r="AG27" s="9">
        <v>187527</v>
      </c>
      <c r="AH27" s="9">
        <v>188731</v>
      </c>
      <c r="AI27">
        <f>AS27*(1+Settings!$B$7)</f>
        <v>0</v>
      </c>
      <c r="AJ27">
        <f>IF(Settings!$B$13="annual",AT27*(1+Settings!$B$7),AT27+Settings!$B$7*IF(AT27&gt;AS27,AT27-AS27,0))</f>
        <v>0</v>
      </c>
      <c r="AK27">
        <f>IF(Settings!$B$13="annual",AU27*(1+Settings!$B$7),AU27+Settings!$B$7*IF(AU27&gt;AT27,AU27-AT27,0))</f>
        <v>0</v>
      </c>
      <c r="AL27">
        <f>IF(Settings!$B$13="annual",AV27*(1+Settings!$B$7),AV27+Settings!$B$7*IF(AV27&gt;AU27,AV27-AU27,0))</f>
        <v>0</v>
      </c>
      <c r="AM27">
        <f>IF(Settings!$B$13="annual",AW27*(1+Settings!$B$7),AW27+Settings!$B$7*IF(AW27&gt;AV27,AW27-AV27,0))</f>
        <v>0</v>
      </c>
      <c r="AN27">
        <f>IF(Settings!$B$13="annual",AX27*(1+Settings!$B$7),AX27+Settings!$B$7*IF(AX27&gt;AW27,AX27-AW27,0))</f>
        <v>151426.17585806458</v>
      </c>
      <c r="AO27">
        <f>IF(Settings!$B$13="annual",AY27*(1+Settings!$B$7),AY27+Settings!$B$7*IF(AY27&gt;AX27,AY27-AX27,0))</f>
        <v>160234.66019080282</v>
      </c>
      <c r="AP27">
        <f>IF(Settings!$B$13="annual",AZ27*(1+Settings!$B$7),AZ27+Settings!$B$7*IF(AZ27&gt;AY27,AZ27-AY27,0))</f>
        <v>156072.01031264293</v>
      </c>
      <c r="AQ27">
        <f>IF(Settings!$B$13="annual",BA27*(1+Settings!$B$7),BA27+Settings!$B$7*IF(BA27&gt;AZ27,BA27-AZ27,0))</f>
        <v>159288.02270486069</v>
      </c>
      <c r="AR27">
        <f>IF(Settings!$B$13="annual",BB27*(1+Settings!$B$7),BB27+Settings!$B$7*IF(BB27&gt;BA27,BB27-BA27,0))</f>
        <v>162502.54681473086</v>
      </c>
      <c r="AS27">
        <f>Y27*$N27*$J27*$M27*O27*Settings!$B$6</f>
        <v>0</v>
      </c>
      <c r="AT27">
        <f>Z27*$N27*$J27*$M27*P27*Settings!$B$6</f>
        <v>0</v>
      </c>
      <c r="AU27">
        <f>AA27*$N27*$J27*$M27*Q27*Settings!$B$6</f>
        <v>0</v>
      </c>
      <c r="AV27">
        <f>AB27*$N27*$J27*$M27*R27*Settings!$B$6</f>
        <v>0</v>
      </c>
      <c r="AW27">
        <f>AC27*$N27*$J27*$M27*S27*Settings!$B$6</f>
        <v>0</v>
      </c>
      <c r="AX27">
        <f>AD27*$N27*$J27*$M27*T27*Settings!$B$6</f>
        <v>121140.94068645166</v>
      </c>
      <c r="AY27">
        <f>AE27*$N27*$J27*$M27*U27*Settings!$B$6</f>
        <v>152415.91628993259</v>
      </c>
      <c r="AZ27">
        <f>AF27*$N27*$J27*$M27*V27*Settings!$B$6</f>
        <v>155340.79150810087</v>
      </c>
      <c r="BA27">
        <f>AG27*$N27*$J27*$M27*W27*Settings!$B$6</f>
        <v>158498.57646550873</v>
      </c>
      <c r="BB27">
        <f>AH27*$N27*$J27*$M27*X27*Settings!$B$6</f>
        <v>161701.75274488644</v>
      </c>
    </row>
    <row r="28" spans="1:54" ht="15" customHeight="1">
      <c r="A28" t="s">
        <v>95</v>
      </c>
      <c r="B28" t="s">
        <v>96</v>
      </c>
      <c r="C28" s="9">
        <v>0.93400000000000005</v>
      </c>
      <c r="D28" s="9">
        <v>0.81899999999999995</v>
      </c>
      <c r="E28" s="9">
        <v>0.86</v>
      </c>
      <c r="F28" s="9">
        <v>0.52600000000000002</v>
      </c>
      <c r="G28" s="9">
        <v>0.84299999999999997</v>
      </c>
      <c r="H28" s="9">
        <v>22.7</v>
      </c>
      <c r="I28">
        <f t="shared" si="0"/>
        <v>0.87687366167023539</v>
      </c>
      <c r="J28">
        <f>IF(Settings!$B$10="anc4",D28*E28,IF(Settings!$B$10="anc1",C28*E28,C28*(G28*I28+F28*(1-I28))*E28))</f>
        <v>0.6457800199999999</v>
      </c>
      <c r="K28">
        <f>IF(Settings!$B$9="invest",Schedule!R28,IF(Settings!$B$9="hist",Schedule!U28,IF(Settings!$B$9="pcv",Schedule!M28,IF(Settings!$B$9="rota",Schedule!N28,Schedule!O28))))+Settings!$B$11</f>
        <v>2036</v>
      </c>
      <c r="L28">
        <f>IF(Schedule!H28=1,Settings!$B$4,Settings!$B$5)</f>
        <v>2</v>
      </c>
      <c r="M28" s="9">
        <v>1</v>
      </c>
      <c r="N28">
        <f t="shared" si="1"/>
        <v>1.0232272587741738</v>
      </c>
      <c r="O28">
        <f>IF(O$2&lt;$K28,0,IF(O$2-$K28+1&lt;$L28,IF($L28=2,Settings!$B$8,(O$2-$K28+1)/$L28),IF($J28*$M28&gt;=Settings!$B$15,1,MIN(Settings!$B$15,$J28*$M28+IF($J28*$M28&lt;Settings!$B$16,Settings!$B$17,Settings!$B$18)*(O$2-$K28-$L28+1))/($J28*$M28))))</f>
        <v>0</v>
      </c>
      <c r="P28">
        <f>IF(P$2&lt;$K28,0,IF(AND(P$2=$K28,$L28=2),Settings!$B$8,IF(P$2-$K28+1&lt;$L28,(P$2-$K28+1)/$L28,IF($J28*$M28&gt;=0.9,1,MIN(0.9,$J28*$M28+IF($J28*$M28&lt;0.7,0.03,0.01)*(P$2-$K28-$L28+1))/($J28*$M28)))))</f>
        <v>0</v>
      </c>
      <c r="Q28">
        <f>IF(Q$2&lt;$K28,0,IF(AND(Q$2=$K28,$L28=2),Settings!$B$8,IF(Q$2-$K28+1&lt;$L28,(Q$2-$K28+1)/$L28,IF($J28*$M28&gt;=0.9,1,MIN(0.9,$J28*$M28+IF($J28*$M28&lt;0.7,0.03,0.01)*(Q$2-$K28-$L28+1))/($J28*$M28)))))</f>
        <v>0</v>
      </c>
      <c r="R28">
        <f>IF(R$2&lt;$K28,0,IF(AND(R$2=$K28,$L28=2),Settings!$B$8,IF(R$2-$K28+1&lt;$L28,(R$2-$K28+1)/$L28,IF($J28*$M28&gt;=0.9,1,MIN(0.9,$J28*$M28+IF($J28*$M28&lt;0.7,0.03,0.01)*(R$2-$K28-$L28+1))/($J28*$M28)))))</f>
        <v>0</v>
      </c>
      <c r="S28">
        <f>IF(S$2&lt;$K28,0,IF(AND(S$2=$K28,$L28=2),Settings!$B$8,IF(S$2-$K28+1&lt;$L28,(S$2-$K28+1)/$L28,IF($J28*$M28&gt;=0.9,1,MIN(0.9,$J28*$M28+IF($J28*$M28&lt;0.7,0.03,0.01)*(S$2-$K28-$L28+1))/($J28*$M28)))))</f>
        <v>0</v>
      </c>
      <c r="T28">
        <f>IF(T$2&lt;$K28,0,IF(AND(T$2=$K28,$L28=2),Settings!$B$8,IF(T$2-$K28+1&lt;$L28,(T$2-$K28+1)/$L28,IF($J28*$M28&gt;=0.9,1,MIN(0.9,$J28*$M28+IF($J28*$M28&lt;0.7,0.03,0.01)*(T$2-$K28-$L28+1))/($J28*$M28)))))</f>
        <v>0</v>
      </c>
      <c r="U28">
        <f>IF(U$2&lt;$K28,0,IF(AND(U$2=$K28,$L28=2),Settings!$B$8,IF(U$2-$K28+1&lt;$L28,(U$2-$K28+1)/$L28,IF($J28*$M28&gt;=0.9,1,MIN(0.9,$J28*$M28+IF($J28*$M28&lt;0.7,0.03,0.01)*(U$2-$K28-$L28+1))/($J28*$M28)))))</f>
        <v>0</v>
      </c>
      <c r="V28">
        <f>IF(V$2&lt;$K28,0,IF(AND(V$2=$K28,$L28=2),Settings!$B$8,IF(V$2-$K28+1&lt;$L28,(V$2-$K28+1)/$L28,IF($J28*$M28&gt;=0.9,1,MIN(0.9,$J28*$M28+IF($J28*$M28&lt;0.7,0.03,0.01)*(V$2-$K28-$L28+1))/($J28*$M28)))))</f>
        <v>0</v>
      </c>
      <c r="W28">
        <f>IF(W$2&lt;$K28,0,IF(AND(W$2=$K28,$L28=2),Settings!$B$8,IF(W$2-$K28+1&lt;$L28,(W$2-$K28+1)/$L28,IF($J28*$M28&gt;=0.9,1,MIN(0.9,$J28*$M28+IF($J28*$M28&lt;0.7,0.03,0.01)*(W$2-$K28-$L28+1))/($J28*$M28)))))</f>
        <v>0.8</v>
      </c>
      <c r="X28">
        <f>IF(X$2&lt;$K28,0,IF(AND(X$2=$K28,$L28=2),Settings!$B$8,IF(X$2-$K28+1&lt;$L28,(X$2-$K28+1)/$L28,IF($J28*$M28&gt;=0.9,1,MIN(0.9,$J28*$M28+IF($J28*$M28&lt;0.7,0.03,0.01)*(X$2-$K28-$L28+1))/($J28*$M28)))))</f>
        <v>1</v>
      </c>
      <c r="Y28" s="9">
        <v>55089</v>
      </c>
      <c r="Z28" s="9">
        <v>55088</v>
      </c>
      <c r="AA28" s="9">
        <v>55096</v>
      </c>
      <c r="AB28" s="9">
        <v>55122</v>
      </c>
      <c r="AC28" s="9">
        <v>55192</v>
      </c>
      <c r="AD28" s="9">
        <v>55270</v>
      </c>
      <c r="AE28" s="9">
        <v>55360</v>
      </c>
      <c r="AF28" s="9">
        <v>55384</v>
      </c>
      <c r="AG28" s="9">
        <v>55433</v>
      </c>
      <c r="AH28" s="9">
        <v>55371</v>
      </c>
      <c r="AI28">
        <f>AS28*(1+Settings!$B$7)</f>
        <v>0</v>
      </c>
      <c r="AJ28">
        <f>IF(Settings!$B$13="annual",AT28*(1+Settings!$B$7),AT28+Settings!$B$7*IF(AT28&gt;AS28,AT28-AS28,0))</f>
        <v>0</v>
      </c>
      <c r="AK28">
        <f>IF(Settings!$B$13="annual",AU28*(1+Settings!$B$7),AU28+Settings!$B$7*IF(AU28&gt;AT28,AU28-AT28,0))</f>
        <v>0</v>
      </c>
      <c r="AL28">
        <f>IF(Settings!$B$13="annual",AV28*(1+Settings!$B$7),AV28+Settings!$B$7*IF(AV28&gt;AU28,AV28-AU28,0))</f>
        <v>0</v>
      </c>
      <c r="AM28">
        <f>IF(Settings!$B$13="annual",AW28*(1+Settings!$B$7),AW28+Settings!$B$7*IF(AW28&gt;AV28,AW28-AV28,0))</f>
        <v>0</v>
      </c>
      <c r="AN28">
        <f>IF(Settings!$B$13="annual",AX28*(1+Settings!$B$7),AX28+Settings!$B$7*IF(AX28&gt;AW28,AX28-AW28,0))</f>
        <v>0</v>
      </c>
      <c r="AO28">
        <f>IF(Settings!$B$13="annual",AY28*(1+Settings!$B$7),AY28+Settings!$B$7*IF(AY28&gt;AX28,AY28-AX28,0))</f>
        <v>0</v>
      </c>
      <c r="AP28">
        <f>IF(Settings!$B$13="annual",AZ28*(1+Settings!$B$7),AZ28+Settings!$B$7*IF(AZ28&gt;AY28,AZ28-AY28,0))</f>
        <v>0</v>
      </c>
      <c r="AQ28">
        <f>IF(Settings!$B$13="annual",BA28*(1+Settings!$B$7),BA28+Settings!$B$7*IF(BA28&gt;AZ28,BA28-AZ28,0))</f>
        <v>41390.772484381247</v>
      </c>
      <c r="AR28">
        <f>IF(Settings!$B$13="annual",BB28*(1+Settings!$B$7),BB28+Settings!$B$7*IF(BB28&gt;BA28,BB28-BA28,0))</f>
        <v>43402.443324653206</v>
      </c>
      <c r="AS28">
        <f>Y28*$N28*$J28*$M28*O28*Settings!$B$6</f>
        <v>0</v>
      </c>
      <c r="AT28">
        <f>Z28*$N28*$J28*$M28*P28*Settings!$B$6</f>
        <v>0</v>
      </c>
      <c r="AU28">
        <f>AA28*$N28*$J28*$M28*Q28*Settings!$B$6</f>
        <v>0</v>
      </c>
      <c r="AV28">
        <f>AB28*$N28*$J28*$M28*R28*Settings!$B$6</f>
        <v>0</v>
      </c>
      <c r="AW28">
        <f>AC28*$N28*$J28*$M28*S28*Settings!$B$6</f>
        <v>0</v>
      </c>
      <c r="AX28">
        <f>AD28*$N28*$J28*$M28*T28*Settings!$B$6</f>
        <v>0</v>
      </c>
      <c r="AY28">
        <f>AE28*$N28*$J28*$M28*U28*Settings!$B$6</f>
        <v>0</v>
      </c>
      <c r="AZ28">
        <f>AF28*$N28*$J28*$M28*V28*Settings!$B$6</f>
        <v>0</v>
      </c>
      <c r="BA28">
        <f>AG28*$N28*$J28*$M28*W28*Settings!$B$6</f>
        <v>33112.617987505</v>
      </c>
      <c r="BB28">
        <f>AH28*$N28*$J28*$M28*X28*Settings!$B$6</f>
        <v>41344.478257223564</v>
      </c>
    </row>
    <row r="29" spans="1:54" ht="15" customHeight="1">
      <c r="A29" t="s">
        <v>97</v>
      </c>
      <c r="B29" t="s">
        <v>98</v>
      </c>
      <c r="C29" s="9">
        <v>0.88900000000000001</v>
      </c>
      <c r="D29" s="9">
        <v>0.59899999999999998</v>
      </c>
      <c r="E29" s="9">
        <v>0.7</v>
      </c>
      <c r="F29" s="9">
        <v>0.52600000000000002</v>
      </c>
      <c r="G29" s="9">
        <v>0.84299999999999997</v>
      </c>
      <c r="H29" s="9">
        <v>18.399999999999999</v>
      </c>
      <c r="I29">
        <f t="shared" si="0"/>
        <v>0.67379077615298089</v>
      </c>
      <c r="J29">
        <f>IF(Settings!$B$10="anc4",D29*E29,IF(Settings!$B$10="anc1",C29*E29,C29*(G29*I29+F29*(1-I29))*E29))</f>
        <v>0.46024789999999999</v>
      </c>
      <c r="K29">
        <f>IF(Settings!$B$9="invest",Schedule!R29,IF(Settings!$B$9="hist",Schedule!U29,IF(Settings!$B$9="pcv",Schedule!M29,IF(Settings!$B$9="rota",Schedule!N29,Schedule!O29))))+Settings!$B$11</f>
        <v>2035</v>
      </c>
      <c r="L29">
        <f>IF(Schedule!H29=1,Settings!$B$4,Settings!$B$5)</f>
        <v>2</v>
      </c>
      <c r="M29" s="9">
        <v>1</v>
      </c>
      <c r="N29">
        <f t="shared" si="1"/>
        <v>1.0187449062754685</v>
      </c>
      <c r="O29">
        <f>IF(O$2&lt;$K29,0,IF(O$2-$K29+1&lt;$L29,IF($L29=2,Settings!$B$8,(O$2-$K29+1)/$L29),IF($J29*$M29&gt;=Settings!$B$15,1,MIN(Settings!$B$15,$J29*$M29+IF($J29*$M29&lt;Settings!$B$16,Settings!$B$17,Settings!$B$18)*(O$2-$K29-$L29+1))/($J29*$M29))))</f>
        <v>0</v>
      </c>
      <c r="P29">
        <f>IF(P$2&lt;$K29,0,IF(AND(P$2=$K29,$L29=2),Settings!$B$8,IF(P$2-$K29+1&lt;$L29,(P$2-$K29+1)/$L29,IF($J29*$M29&gt;=0.9,1,MIN(0.9,$J29*$M29+IF($J29*$M29&lt;0.7,0.03,0.01)*(P$2-$K29-$L29+1))/($J29*$M29)))))</f>
        <v>0</v>
      </c>
      <c r="Q29">
        <f>IF(Q$2&lt;$K29,0,IF(AND(Q$2=$K29,$L29=2),Settings!$B$8,IF(Q$2-$K29+1&lt;$L29,(Q$2-$K29+1)/$L29,IF($J29*$M29&gt;=0.9,1,MIN(0.9,$J29*$M29+IF($J29*$M29&lt;0.7,0.03,0.01)*(Q$2-$K29-$L29+1))/($J29*$M29)))))</f>
        <v>0</v>
      </c>
      <c r="R29">
        <f>IF(R$2&lt;$K29,0,IF(AND(R$2=$K29,$L29=2),Settings!$B$8,IF(R$2-$K29+1&lt;$L29,(R$2-$K29+1)/$L29,IF($J29*$M29&gt;=0.9,1,MIN(0.9,$J29*$M29+IF($J29*$M29&lt;0.7,0.03,0.01)*(R$2-$K29-$L29+1))/($J29*$M29)))))</f>
        <v>0</v>
      </c>
      <c r="S29">
        <f>IF(S$2&lt;$K29,0,IF(AND(S$2=$K29,$L29=2),Settings!$B$8,IF(S$2-$K29+1&lt;$L29,(S$2-$K29+1)/$L29,IF($J29*$M29&gt;=0.9,1,MIN(0.9,$J29*$M29+IF($J29*$M29&lt;0.7,0.03,0.01)*(S$2-$K29-$L29+1))/($J29*$M29)))))</f>
        <v>0</v>
      </c>
      <c r="T29">
        <f>IF(T$2&lt;$K29,0,IF(AND(T$2=$K29,$L29=2),Settings!$B$8,IF(T$2-$K29+1&lt;$L29,(T$2-$K29+1)/$L29,IF($J29*$M29&gt;=0.9,1,MIN(0.9,$J29*$M29+IF($J29*$M29&lt;0.7,0.03,0.01)*(T$2-$K29-$L29+1))/($J29*$M29)))))</f>
        <v>0</v>
      </c>
      <c r="U29">
        <f>IF(U$2&lt;$K29,0,IF(AND(U$2=$K29,$L29=2),Settings!$B$8,IF(U$2-$K29+1&lt;$L29,(U$2-$K29+1)/$L29,IF($J29*$M29&gt;=0.9,1,MIN(0.9,$J29*$M29+IF($J29*$M29&lt;0.7,0.03,0.01)*(U$2-$K29-$L29+1))/($J29*$M29)))))</f>
        <v>0</v>
      </c>
      <c r="V29">
        <f>IF(V$2&lt;$K29,0,IF(AND(V$2=$K29,$L29=2),Settings!$B$8,IF(V$2-$K29+1&lt;$L29,(V$2-$K29+1)/$L29,IF($J29*$M29&gt;=0.9,1,MIN(0.9,$J29*$M29+IF($J29*$M29&lt;0.7,0.03,0.01)*(V$2-$K29-$L29+1))/($J29*$M29)))))</f>
        <v>0.8</v>
      </c>
      <c r="W29">
        <f>IF(W$2&lt;$K29,0,IF(AND(W$2=$K29,$L29=2),Settings!$B$8,IF(W$2-$K29+1&lt;$L29,(W$2-$K29+1)/$L29,IF($J29*$M29&gt;=0.9,1,MIN(0.9,$J29*$M29+IF($J29*$M29&lt;0.7,0.03,0.01)*(W$2-$K29-$L29+1))/($J29*$M29)))))</f>
        <v>1</v>
      </c>
      <c r="X29">
        <f>IF(X$2&lt;$K29,0,IF(AND(X$2=$K29,$L29=2),Settings!$B$8,IF(X$2-$K29+1&lt;$L29,(X$2-$K29+1)/$L29,IF($J29*$M29&gt;=0.9,1,MIN(0.9,$J29*$M29+IF($J29*$M29&lt;0.7,0.03,0.01)*(X$2-$K29-$L29+1))/($J29*$M29)))))</f>
        <v>1.065182263732219</v>
      </c>
      <c r="Y29" s="9">
        <v>1051289</v>
      </c>
      <c r="Z29" s="9">
        <v>1059650</v>
      </c>
      <c r="AA29" s="9">
        <v>1068175</v>
      </c>
      <c r="AB29" s="9">
        <v>1076933</v>
      </c>
      <c r="AC29" s="9">
        <v>1083653</v>
      </c>
      <c r="AD29" s="9">
        <v>1091295</v>
      </c>
      <c r="AE29" s="9">
        <v>1099269</v>
      </c>
      <c r="AF29" s="9">
        <v>1108253</v>
      </c>
      <c r="AG29" s="9">
        <v>1116248</v>
      </c>
      <c r="AH29" s="9">
        <v>1124468</v>
      </c>
      <c r="AI29">
        <f>AS29*(1+Settings!$B$7)</f>
        <v>0</v>
      </c>
      <c r="AJ29">
        <f>IF(Settings!$B$13="annual",AT29*(1+Settings!$B$7),AT29+Settings!$B$7*IF(AT29&gt;AS29,AT29-AS29,0))</f>
        <v>0</v>
      </c>
      <c r="AK29">
        <f>IF(Settings!$B$13="annual",AU29*(1+Settings!$B$7),AU29+Settings!$B$7*IF(AU29&gt;AT29,AU29-AT29,0))</f>
        <v>0</v>
      </c>
      <c r="AL29">
        <f>IF(Settings!$B$13="annual",AV29*(1+Settings!$B$7),AV29+Settings!$B$7*IF(AV29&gt;AU29,AV29-AU29,0))</f>
        <v>0</v>
      </c>
      <c r="AM29">
        <f>IF(Settings!$B$13="annual",AW29*(1+Settings!$B$7),AW29+Settings!$B$7*IF(AW29&gt;AV29,AW29-AV29,0))</f>
        <v>0</v>
      </c>
      <c r="AN29">
        <f>IF(Settings!$B$13="annual",AX29*(1+Settings!$B$7),AX29+Settings!$B$7*IF(AX29&gt;AW29,AX29-AW29,0))</f>
        <v>0</v>
      </c>
      <c r="AO29">
        <f>IF(Settings!$B$13="annual",AY29*(1+Settings!$B$7),AY29+Settings!$B$7*IF(AY29&gt;AX29,AY29-AX29,0))</f>
        <v>0</v>
      </c>
      <c r="AP29">
        <f>IF(Settings!$B$13="annual",AZ29*(1+Settings!$B$7),AZ29+Settings!$B$7*IF(AZ29&gt;AY29,AZ29-AY29,0))</f>
        <v>587184.5568338742</v>
      </c>
      <c r="AQ29">
        <f>IF(Settings!$B$13="annual",BA29*(1+Settings!$B$7),BA29+Settings!$B$7*IF(BA29&gt;AZ29,BA29-AZ29,0))</f>
        <v>621838.76304680482</v>
      </c>
      <c r="AR29">
        <f>IF(Settings!$B$13="annual",BB29*(1+Settings!$B$7),BB29+Settings!$B$7*IF(BB29&gt;BA29,BB29-BA29,0))</f>
        <v>645407.04605584848</v>
      </c>
      <c r="AS29">
        <f>Y29*$N29*$J29*$M29*O29*Settings!$B$6</f>
        <v>0</v>
      </c>
      <c r="AT29">
        <f>Z29*$N29*$J29*$M29*P29*Settings!$B$6</f>
        <v>0</v>
      </c>
      <c r="AU29">
        <f>AA29*$N29*$J29*$M29*Q29*Settings!$B$6</f>
        <v>0</v>
      </c>
      <c r="AV29">
        <f>AB29*$N29*$J29*$M29*R29*Settings!$B$6</f>
        <v>0</v>
      </c>
      <c r="AW29">
        <f>AC29*$N29*$J29*$M29*S29*Settings!$B$6</f>
        <v>0</v>
      </c>
      <c r="AX29">
        <f>AD29*$N29*$J29*$M29*T29*Settings!$B$6</f>
        <v>0</v>
      </c>
      <c r="AY29">
        <f>AE29*$N29*$J29*$M29*U29*Settings!$B$6</f>
        <v>0</v>
      </c>
      <c r="AZ29">
        <f>AF29*$N29*$J29*$M29*V29*Settings!$B$6</f>
        <v>469747.64546709938</v>
      </c>
      <c r="BA29">
        <f>AG29*$N29*$J29*$M29*W29*Settings!$B$6</f>
        <v>591420.53953086375</v>
      </c>
      <c r="BB29">
        <f>AH29*$N29*$J29*$M29*X29*Settings!$B$6</f>
        <v>634609.74475085153</v>
      </c>
    </row>
    <row r="30" spans="1:54" ht="15" customHeight="1">
      <c r="A30" t="s">
        <v>99</v>
      </c>
      <c r="B30" t="s">
        <v>100</v>
      </c>
      <c r="C30" s="9">
        <v>0.69299999999999995</v>
      </c>
      <c r="D30" s="9">
        <v>0.51300000000000001</v>
      </c>
      <c r="E30" s="9">
        <v>0.91</v>
      </c>
      <c r="F30" s="9">
        <v>0.52600000000000002</v>
      </c>
      <c r="G30" s="9">
        <v>0.84299999999999997</v>
      </c>
      <c r="H30" s="9">
        <v>22.7</v>
      </c>
      <c r="I30">
        <f t="shared" si="0"/>
        <v>0.74025974025974028</v>
      </c>
      <c r="J30">
        <f>IF(Settings!$B$10="anc4",D30*E30,IF(Settings!$B$10="anc1",C30*E30,C30*(G30*I30+F30*(1-I30))*E30))</f>
        <v>0.47969649000000003</v>
      </c>
      <c r="K30">
        <f>IF(Settings!$B$9="invest",Schedule!R30,IF(Settings!$B$9="hist",Schedule!U30,IF(Settings!$B$9="pcv",Schedule!M30,IF(Settings!$B$9="rota",Schedule!N30,Schedule!O30))))+Settings!$B$11</f>
        <v>2033</v>
      </c>
      <c r="L30">
        <f>IF(Schedule!H30=1,Settings!$B$4,Settings!$B$5)</f>
        <v>2</v>
      </c>
      <c r="M30" s="9">
        <v>1</v>
      </c>
      <c r="N30">
        <f t="shared" si="1"/>
        <v>1.0232272587741738</v>
      </c>
      <c r="O30">
        <f>IF(O$2&lt;$K30,0,IF(O$2-$K30+1&lt;$L30,IF($L30=2,Settings!$B$8,(O$2-$K30+1)/$L30),IF($J30*$M30&gt;=Settings!$B$15,1,MIN(Settings!$B$15,$J30*$M30+IF($J30*$M30&lt;Settings!$B$16,Settings!$B$17,Settings!$B$18)*(O$2-$K30-$L30+1))/($J30*$M30))))</f>
        <v>0</v>
      </c>
      <c r="P30">
        <f>IF(P$2&lt;$K30,0,IF(AND(P$2=$K30,$L30=2),Settings!$B$8,IF(P$2-$K30+1&lt;$L30,(P$2-$K30+1)/$L30,IF($J30*$M30&gt;=0.9,1,MIN(0.9,$J30*$M30+IF($J30*$M30&lt;0.7,0.03,0.01)*(P$2-$K30-$L30+1))/($J30*$M30)))))</f>
        <v>0</v>
      </c>
      <c r="Q30">
        <f>IF(Q$2&lt;$K30,0,IF(AND(Q$2=$K30,$L30=2),Settings!$B$8,IF(Q$2-$K30+1&lt;$L30,(Q$2-$K30+1)/$L30,IF($J30*$M30&gt;=0.9,1,MIN(0.9,$J30*$M30+IF($J30*$M30&lt;0.7,0.03,0.01)*(Q$2-$K30-$L30+1))/($J30*$M30)))))</f>
        <v>0</v>
      </c>
      <c r="R30">
        <f>IF(R$2&lt;$K30,0,IF(AND(R$2=$K30,$L30=2),Settings!$B$8,IF(R$2-$K30+1&lt;$L30,(R$2-$K30+1)/$L30,IF($J30*$M30&gt;=0.9,1,MIN(0.9,$J30*$M30+IF($J30*$M30&lt;0.7,0.03,0.01)*(R$2-$K30-$L30+1))/($J30*$M30)))))</f>
        <v>0</v>
      </c>
      <c r="S30">
        <f>IF(S$2&lt;$K30,0,IF(AND(S$2=$K30,$L30=2),Settings!$B$8,IF(S$2-$K30+1&lt;$L30,(S$2-$K30+1)/$L30,IF($J30*$M30&gt;=0.9,1,MIN(0.9,$J30*$M30+IF($J30*$M30&lt;0.7,0.03,0.01)*(S$2-$K30-$L30+1))/($J30*$M30)))))</f>
        <v>0</v>
      </c>
      <c r="T30">
        <f>IF(T$2&lt;$K30,0,IF(AND(T$2=$K30,$L30=2),Settings!$B$8,IF(T$2-$K30+1&lt;$L30,(T$2-$K30+1)/$L30,IF($J30*$M30&gt;=0.9,1,MIN(0.9,$J30*$M30+IF($J30*$M30&lt;0.7,0.03,0.01)*(T$2-$K30-$L30+1))/($J30*$M30)))))</f>
        <v>0.8</v>
      </c>
      <c r="U30">
        <f>IF(U$2&lt;$K30,0,IF(AND(U$2=$K30,$L30=2),Settings!$B$8,IF(U$2-$K30+1&lt;$L30,(U$2-$K30+1)/$L30,IF($J30*$M30&gt;=0.9,1,MIN(0.9,$J30*$M30+IF($J30*$M30&lt;0.7,0.03,0.01)*(U$2-$K30-$L30+1))/($J30*$M30)))))</f>
        <v>1</v>
      </c>
      <c r="V30">
        <f>IF(V$2&lt;$K30,0,IF(AND(V$2=$K30,$L30=2),Settings!$B$8,IF(V$2-$K30+1&lt;$L30,(V$2-$K30+1)/$L30,IF($J30*$M30&gt;=0.9,1,MIN(0.9,$J30*$M30+IF($J30*$M30&lt;0.7,0.03,0.01)*(V$2-$K30-$L30+1))/($J30*$M30)))))</f>
        <v>1.0625395445357544</v>
      </c>
      <c r="W30">
        <f>IF(W$2&lt;$K30,0,IF(AND(W$2=$K30,$L30=2),Settings!$B$8,IF(W$2-$K30+1&lt;$L30,(W$2-$K30+1)/$L30,IF($J30*$M30&gt;=0.9,1,MIN(0.9,$J30*$M30+IF($J30*$M30&lt;0.7,0.03,0.01)*(W$2-$K30-$L30+1))/($J30*$M30)))))</f>
        <v>1.1250790890715086</v>
      </c>
      <c r="X30">
        <f>IF(X$2&lt;$K30,0,IF(AND(X$2=$K30,$L30=2),Settings!$B$8,IF(X$2-$K30+1&lt;$L30,(X$2-$K30+1)/$L30,IF($J30*$M30&gt;=0.9,1,MIN(0.9,$J30*$M30+IF($J30*$M30&lt;0.7,0.03,0.01)*(X$2-$K30-$L30+1))/($J30*$M30)))))</f>
        <v>1.1876186336072627</v>
      </c>
      <c r="Y30" s="9">
        <v>1045175</v>
      </c>
      <c r="Z30" s="9">
        <v>1065254</v>
      </c>
      <c r="AA30" s="9">
        <v>1081147</v>
      </c>
      <c r="AB30" s="9">
        <v>1100182</v>
      </c>
      <c r="AC30" s="9">
        <v>1116378</v>
      </c>
      <c r="AD30" s="9">
        <v>1134421</v>
      </c>
      <c r="AE30" s="9">
        <v>1146654</v>
      </c>
      <c r="AF30" s="9">
        <v>1156070</v>
      </c>
      <c r="AG30" s="9">
        <v>1170747</v>
      </c>
      <c r="AH30" s="9">
        <v>1180420</v>
      </c>
      <c r="AI30">
        <f>AS30*(1+Settings!$B$7)</f>
        <v>0</v>
      </c>
      <c r="AJ30">
        <f>IF(Settings!$B$13="annual",AT30*(1+Settings!$B$7),AT30+Settings!$B$7*IF(AT30&gt;AS30,AT30-AS30,0))</f>
        <v>0</v>
      </c>
      <c r="AK30">
        <f>IF(Settings!$B$13="annual",AU30*(1+Settings!$B$7),AU30+Settings!$B$7*IF(AU30&gt;AT30,AU30-AT30,0))</f>
        <v>0</v>
      </c>
      <c r="AL30">
        <f>IF(Settings!$B$13="annual",AV30*(1+Settings!$B$7),AV30+Settings!$B$7*IF(AV30&gt;AU30,AV30-AU30,0))</f>
        <v>0</v>
      </c>
      <c r="AM30">
        <f>IF(Settings!$B$13="annual",AW30*(1+Settings!$B$7),AW30+Settings!$B$7*IF(AW30&gt;AV30,AW30-AV30,0))</f>
        <v>0</v>
      </c>
      <c r="AN30">
        <f>IF(Settings!$B$13="annual",AX30*(1+Settings!$B$7),AX30+Settings!$B$7*IF(AX30&gt;AW30,AX30-AW30,0))</f>
        <v>629203.80868411716</v>
      </c>
      <c r="AO30">
        <f>IF(Settings!$B$13="annual",AY30*(1+Settings!$B$7),AY30+Settings!$B$7*IF(AY30&gt;AX30,AY30-AX30,0))</f>
        <v>669145.25320260122</v>
      </c>
      <c r="AP30">
        <f>IF(Settings!$B$13="annual",AZ30*(1+Settings!$B$7),AZ30+Settings!$B$7*IF(AZ30&gt;AY30,AZ30-AY30,0))</f>
        <v>692643.34744386468</v>
      </c>
      <c r="AQ30">
        <f>IF(Settings!$B$13="annual",BA30*(1+Settings!$B$7),BA30+Settings!$B$7*IF(BA30&gt;AZ30,BA30-AZ30,0))</f>
        <v>742887.24424851919</v>
      </c>
      <c r="AR30">
        <f>IF(Settings!$B$13="annual",BB30*(1+Settings!$B$7),BB30+Settings!$B$7*IF(BB30&gt;BA30,BB30-BA30,0))</f>
        <v>789299.625490534</v>
      </c>
      <c r="AS30">
        <f>Y30*$N30*$J30*$M30*O30*Settings!$B$6</f>
        <v>0</v>
      </c>
      <c r="AT30">
        <f>Z30*$N30*$J30*$M30*P30*Settings!$B$6</f>
        <v>0</v>
      </c>
      <c r="AU30">
        <f>AA30*$N30*$J30*$M30*Q30*Settings!$B$6</f>
        <v>0</v>
      </c>
      <c r="AV30">
        <f>AB30*$N30*$J30*$M30*R30*Settings!$B$6</f>
        <v>0</v>
      </c>
      <c r="AW30">
        <f>AC30*$N30*$J30*$M30*S30*Settings!$B$6</f>
        <v>0</v>
      </c>
      <c r="AX30">
        <f>AD30*$N30*$J30*$M30*T30*Settings!$B$6</f>
        <v>503363.04694729374</v>
      </c>
      <c r="AY30">
        <f>AE30*$N30*$J30*$M30*U30*Settings!$B$6</f>
        <v>635988.81195153971</v>
      </c>
      <c r="AZ30">
        <f>AF30*$N30*$J30*$M30*V30*Settings!$B$6</f>
        <v>681312.44034539966</v>
      </c>
      <c r="BA30">
        <f>AG30*$N30*$J30*$M30*W30*Settings!$B$6</f>
        <v>730572.28346789523</v>
      </c>
      <c r="BB30">
        <f>AH30*$N30*$J30*$M30*X30*Settings!$B$6</f>
        <v>777554.15708600625</v>
      </c>
    </row>
    <row r="31" spans="1:54" ht="15" customHeight="1">
      <c r="A31" t="s">
        <v>101</v>
      </c>
      <c r="B31" t="s">
        <v>102</v>
      </c>
      <c r="C31" s="9">
        <v>0.80700000000000005</v>
      </c>
      <c r="D31" s="9">
        <v>0.58599999999999997</v>
      </c>
      <c r="E31" s="9">
        <v>0.76</v>
      </c>
      <c r="F31" s="9">
        <v>0.52600000000000002</v>
      </c>
      <c r="G31" s="9">
        <v>0.84299999999999997</v>
      </c>
      <c r="H31" s="9">
        <v>12.8</v>
      </c>
      <c r="I31">
        <f t="shared" si="0"/>
        <v>0.72614622057001232</v>
      </c>
      <c r="J31">
        <f>IF(Settings!$B$10="anc4",D31*E31,IF(Settings!$B$10="anc1",C31*E31,C31*(G31*I31+F31*(1-I31))*E31))</f>
        <v>0.46378543999999999</v>
      </c>
      <c r="K31">
        <f>IF(Settings!$B$9="invest",Schedule!R31,IF(Settings!$B$9="hist",Schedule!U31,IF(Settings!$B$9="pcv",Schedule!M31,IF(Settings!$B$9="rota",Schedule!N31,Schedule!O31))))+Settings!$B$11</f>
        <v>2039</v>
      </c>
      <c r="L31">
        <f>IF(Schedule!H31=1,Settings!$B$4,Settings!$B$5)</f>
        <v>2</v>
      </c>
      <c r="M31" s="9">
        <v>1</v>
      </c>
      <c r="N31">
        <f t="shared" si="1"/>
        <v>1.012965964343598</v>
      </c>
      <c r="O31">
        <f>IF(O$2&lt;$K31,0,IF(O$2-$K31+1&lt;$L31,IF($L31=2,Settings!$B$8,(O$2-$K31+1)/$L31),IF($J31*$M31&gt;=Settings!$B$15,1,MIN(Settings!$B$15,$J31*$M31+IF($J31*$M31&lt;Settings!$B$16,Settings!$B$17,Settings!$B$18)*(O$2-$K31-$L31+1))/($J31*$M31))))</f>
        <v>0</v>
      </c>
      <c r="P31">
        <f>IF(P$2&lt;$K31,0,IF(AND(P$2=$K31,$L31=2),Settings!$B$8,IF(P$2-$K31+1&lt;$L31,(P$2-$K31+1)/$L31,IF($J31*$M31&gt;=0.9,1,MIN(0.9,$J31*$M31+IF($J31*$M31&lt;0.7,0.03,0.01)*(P$2-$K31-$L31+1))/($J31*$M31)))))</f>
        <v>0</v>
      </c>
      <c r="Q31">
        <f>IF(Q$2&lt;$K31,0,IF(AND(Q$2=$K31,$L31=2),Settings!$B$8,IF(Q$2-$K31+1&lt;$L31,(Q$2-$K31+1)/$L31,IF($J31*$M31&gt;=0.9,1,MIN(0.9,$J31*$M31+IF($J31*$M31&lt;0.7,0.03,0.01)*(Q$2-$K31-$L31+1))/($J31*$M31)))))</f>
        <v>0</v>
      </c>
      <c r="R31">
        <f>IF(R$2&lt;$K31,0,IF(AND(R$2=$K31,$L31=2),Settings!$B$8,IF(R$2-$K31+1&lt;$L31,(R$2-$K31+1)/$L31,IF($J31*$M31&gt;=0.9,1,MIN(0.9,$J31*$M31+IF($J31*$M31&lt;0.7,0.03,0.01)*(R$2-$K31-$L31+1))/($J31*$M31)))))</f>
        <v>0</v>
      </c>
      <c r="S31">
        <f>IF(S$2&lt;$K31,0,IF(AND(S$2=$K31,$L31=2),Settings!$B$8,IF(S$2-$K31+1&lt;$L31,(S$2-$K31+1)/$L31,IF($J31*$M31&gt;=0.9,1,MIN(0.9,$J31*$M31+IF($J31*$M31&lt;0.7,0.03,0.01)*(S$2-$K31-$L31+1))/($J31*$M31)))))</f>
        <v>0</v>
      </c>
      <c r="T31">
        <f>IF(T$2&lt;$K31,0,IF(AND(T$2=$K31,$L31=2),Settings!$B$8,IF(T$2-$K31+1&lt;$L31,(T$2-$K31+1)/$L31,IF($J31*$M31&gt;=0.9,1,MIN(0.9,$J31*$M31+IF($J31*$M31&lt;0.7,0.03,0.01)*(T$2-$K31-$L31+1))/($J31*$M31)))))</f>
        <v>0</v>
      </c>
      <c r="U31">
        <f>IF(U$2&lt;$K31,0,IF(AND(U$2=$K31,$L31=2),Settings!$B$8,IF(U$2-$K31+1&lt;$L31,(U$2-$K31+1)/$L31,IF($J31*$M31&gt;=0.9,1,MIN(0.9,$J31*$M31+IF($J31*$M31&lt;0.7,0.03,0.01)*(U$2-$K31-$L31+1))/($J31*$M31)))))</f>
        <v>0</v>
      </c>
      <c r="V31">
        <f>IF(V$2&lt;$K31,0,IF(AND(V$2=$K31,$L31=2),Settings!$B$8,IF(V$2-$K31+1&lt;$L31,(V$2-$K31+1)/$L31,IF($J31*$M31&gt;=0.9,1,MIN(0.9,$J31*$M31+IF($J31*$M31&lt;0.7,0.03,0.01)*(V$2-$K31-$L31+1))/($J31*$M31)))))</f>
        <v>0</v>
      </c>
      <c r="W31">
        <f>IF(W$2&lt;$K31,0,IF(AND(W$2=$K31,$L31=2),Settings!$B$8,IF(W$2-$K31+1&lt;$L31,(W$2-$K31+1)/$L31,IF($J31*$M31&gt;=0.9,1,MIN(0.9,$J31*$M31+IF($J31*$M31&lt;0.7,0.03,0.01)*(W$2-$K31-$L31+1))/($J31*$M31)))))</f>
        <v>0</v>
      </c>
      <c r="X31">
        <f>IF(X$2&lt;$K31,0,IF(AND(X$2=$K31,$L31=2),Settings!$B$8,IF(X$2-$K31+1&lt;$L31,(X$2-$K31+1)/$L31,IF($J31*$M31&gt;=0.9,1,MIN(0.9,$J31*$M31+IF($J31*$M31&lt;0.7,0.03,0.01)*(X$2-$K31-$L31+1))/($J31*$M31)))))</f>
        <v>0</v>
      </c>
      <c r="Y31" s="9">
        <v>863619</v>
      </c>
      <c r="Z31" s="9">
        <v>856676</v>
      </c>
      <c r="AA31" s="9">
        <v>848788</v>
      </c>
      <c r="AB31" s="9">
        <v>841617</v>
      </c>
      <c r="AC31" s="9">
        <v>833993</v>
      </c>
      <c r="AD31" s="9">
        <v>826659</v>
      </c>
      <c r="AE31" s="9">
        <v>818676</v>
      </c>
      <c r="AF31" s="9">
        <v>812376</v>
      </c>
      <c r="AG31" s="9">
        <v>806515</v>
      </c>
      <c r="AH31" s="9">
        <v>801863</v>
      </c>
      <c r="AI31">
        <f>AS31*(1+Settings!$B$7)</f>
        <v>0</v>
      </c>
      <c r="AJ31">
        <f>IF(Settings!$B$13="annual",AT31*(1+Settings!$B$7),AT31+Settings!$B$7*IF(AT31&gt;AS31,AT31-AS31,0))</f>
        <v>0</v>
      </c>
      <c r="AK31">
        <f>IF(Settings!$B$13="annual",AU31*(1+Settings!$B$7),AU31+Settings!$B$7*IF(AU31&gt;AT31,AU31-AT31,0))</f>
        <v>0</v>
      </c>
      <c r="AL31">
        <f>IF(Settings!$B$13="annual",AV31*(1+Settings!$B$7),AV31+Settings!$B$7*IF(AV31&gt;AU31,AV31-AU31,0))</f>
        <v>0</v>
      </c>
      <c r="AM31">
        <f>IF(Settings!$B$13="annual",AW31*(1+Settings!$B$7),AW31+Settings!$B$7*IF(AW31&gt;AV31,AW31-AV31,0))</f>
        <v>0</v>
      </c>
      <c r="AN31">
        <f>IF(Settings!$B$13="annual",AX31*(1+Settings!$B$7),AX31+Settings!$B$7*IF(AX31&gt;AW31,AX31-AW31,0))</f>
        <v>0</v>
      </c>
      <c r="AO31">
        <f>IF(Settings!$B$13="annual",AY31*(1+Settings!$B$7),AY31+Settings!$B$7*IF(AY31&gt;AX31,AY31-AX31,0))</f>
        <v>0</v>
      </c>
      <c r="AP31">
        <f>IF(Settings!$B$13="annual",AZ31*(1+Settings!$B$7),AZ31+Settings!$B$7*IF(AZ31&gt;AY31,AZ31-AY31,0))</f>
        <v>0</v>
      </c>
      <c r="AQ31">
        <f>IF(Settings!$B$13="annual",BA31*(1+Settings!$B$7),BA31+Settings!$B$7*IF(BA31&gt;AZ31,BA31-AZ31,0))</f>
        <v>0</v>
      </c>
      <c r="AR31">
        <f>IF(Settings!$B$13="annual",BB31*(1+Settings!$B$7),BB31+Settings!$B$7*IF(BB31&gt;BA31,BB31-BA31,0))</f>
        <v>0</v>
      </c>
      <c r="AS31">
        <f>Y31*$N31*$J31*$M31*O31*Settings!$B$6</f>
        <v>0</v>
      </c>
      <c r="AT31">
        <f>Z31*$N31*$J31*$M31*P31*Settings!$B$6</f>
        <v>0</v>
      </c>
      <c r="AU31">
        <f>AA31*$N31*$J31*$M31*Q31*Settings!$B$6</f>
        <v>0</v>
      </c>
      <c r="AV31">
        <f>AB31*$N31*$J31*$M31*R31*Settings!$B$6</f>
        <v>0</v>
      </c>
      <c r="AW31">
        <f>AC31*$N31*$J31*$M31*S31*Settings!$B$6</f>
        <v>0</v>
      </c>
      <c r="AX31">
        <f>AD31*$N31*$J31*$M31*T31*Settings!$B$6</f>
        <v>0</v>
      </c>
      <c r="AY31">
        <f>AE31*$N31*$J31*$M31*U31*Settings!$B$6</f>
        <v>0</v>
      </c>
      <c r="AZ31">
        <f>AF31*$N31*$J31*$M31*V31*Settings!$B$6</f>
        <v>0</v>
      </c>
      <c r="BA31">
        <f>AG31*$N31*$J31*$M31*W31*Settings!$B$6</f>
        <v>0</v>
      </c>
      <c r="BB31">
        <f>AH31*$N31*$J31*$M31*X31*Settings!$B$6</f>
        <v>0</v>
      </c>
    </row>
    <row r="32" spans="1:54" ht="15" customHeight="1">
      <c r="A32" t="s">
        <v>103</v>
      </c>
      <c r="B32" t="s">
        <v>104</v>
      </c>
      <c r="C32" s="9">
        <v>0.87</v>
      </c>
      <c r="D32" s="9">
        <v>0.48599999999999999</v>
      </c>
      <c r="E32" s="9">
        <v>0.9</v>
      </c>
      <c r="F32" s="9">
        <v>0.52600000000000002</v>
      </c>
      <c r="G32" s="9">
        <v>0.84299999999999997</v>
      </c>
      <c r="H32" s="9">
        <v>18.3</v>
      </c>
      <c r="I32">
        <f t="shared" si="0"/>
        <v>0.55862068965517242</v>
      </c>
      <c r="J32">
        <f>IF(Settings!$B$10="anc4",D32*E32,IF(Settings!$B$10="anc1",C32*E32,C32*(G32*I32+F32*(1-I32))*E32))</f>
        <v>0.55051380000000005</v>
      </c>
      <c r="K32">
        <f>IF(Settings!$B$9="invest",Schedule!R32,IF(Settings!$B$9="hist",Schedule!U32,IF(Settings!$B$9="pcv",Schedule!M32,IF(Settings!$B$9="rota",Schedule!N32,Schedule!O32))))+Settings!$B$11</f>
        <v>2034</v>
      </c>
      <c r="L32">
        <f>IF(Schedule!H32=1,Settings!$B$4,Settings!$B$5)</f>
        <v>2</v>
      </c>
      <c r="M32" s="9">
        <v>1</v>
      </c>
      <c r="N32">
        <f t="shared" si="1"/>
        <v>1.0186411327289395</v>
      </c>
      <c r="O32">
        <f>IF(O$2&lt;$K32,0,IF(O$2-$K32+1&lt;$L32,IF($L32=2,Settings!$B$8,(O$2-$K32+1)/$L32),IF($J32*$M32&gt;=Settings!$B$15,1,MIN(Settings!$B$15,$J32*$M32+IF($J32*$M32&lt;Settings!$B$16,Settings!$B$17,Settings!$B$18)*(O$2-$K32-$L32+1))/($J32*$M32))))</f>
        <v>0</v>
      </c>
      <c r="P32">
        <f>IF(P$2&lt;$K32,0,IF(AND(P$2=$K32,$L32=2),Settings!$B$8,IF(P$2-$K32+1&lt;$L32,(P$2-$K32+1)/$L32,IF($J32*$M32&gt;=0.9,1,MIN(0.9,$J32*$M32+IF($J32*$M32&lt;0.7,0.03,0.01)*(P$2-$K32-$L32+1))/($J32*$M32)))))</f>
        <v>0</v>
      </c>
      <c r="Q32">
        <f>IF(Q$2&lt;$K32,0,IF(AND(Q$2=$K32,$L32=2),Settings!$B$8,IF(Q$2-$K32+1&lt;$L32,(Q$2-$K32+1)/$L32,IF($J32*$M32&gt;=0.9,1,MIN(0.9,$J32*$M32+IF($J32*$M32&lt;0.7,0.03,0.01)*(Q$2-$K32-$L32+1))/($J32*$M32)))))</f>
        <v>0</v>
      </c>
      <c r="R32">
        <f>IF(R$2&lt;$K32,0,IF(AND(R$2=$K32,$L32=2),Settings!$B$8,IF(R$2-$K32+1&lt;$L32,(R$2-$K32+1)/$L32,IF($J32*$M32&gt;=0.9,1,MIN(0.9,$J32*$M32+IF($J32*$M32&lt;0.7,0.03,0.01)*(R$2-$K32-$L32+1))/($J32*$M32)))))</f>
        <v>0</v>
      </c>
      <c r="S32">
        <f>IF(S$2&lt;$K32,0,IF(AND(S$2=$K32,$L32=2),Settings!$B$8,IF(S$2-$K32+1&lt;$L32,(S$2-$K32+1)/$L32,IF($J32*$M32&gt;=0.9,1,MIN(0.9,$J32*$M32+IF($J32*$M32&lt;0.7,0.03,0.01)*(S$2-$K32-$L32+1))/($J32*$M32)))))</f>
        <v>0</v>
      </c>
      <c r="T32">
        <f>IF(T$2&lt;$K32,0,IF(AND(T$2=$K32,$L32=2),Settings!$B$8,IF(T$2-$K32+1&lt;$L32,(T$2-$K32+1)/$L32,IF($J32*$M32&gt;=0.9,1,MIN(0.9,$J32*$M32+IF($J32*$M32&lt;0.7,0.03,0.01)*(T$2-$K32-$L32+1))/($J32*$M32)))))</f>
        <v>0</v>
      </c>
      <c r="U32">
        <f>IF(U$2&lt;$K32,0,IF(AND(U$2=$K32,$L32=2),Settings!$B$8,IF(U$2-$K32+1&lt;$L32,(U$2-$K32+1)/$L32,IF($J32*$M32&gt;=0.9,1,MIN(0.9,$J32*$M32+IF($J32*$M32&lt;0.7,0.03,0.01)*(U$2-$K32-$L32+1))/($J32*$M32)))))</f>
        <v>0.8</v>
      </c>
      <c r="V32">
        <f>IF(V$2&lt;$K32,0,IF(AND(V$2=$K32,$L32=2),Settings!$B$8,IF(V$2-$K32+1&lt;$L32,(V$2-$K32+1)/$L32,IF($J32*$M32&gt;=0.9,1,MIN(0.9,$J32*$M32+IF($J32*$M32&lt;0.7,0.03,0.01)*(V$2-$K32-$L32+1))/($J32*$M32)))))</f>
        <v>1</v>
      </c>
      <c r="W32">
        <f>IF(W$2&lt;$K32,0,IF(AND(W$2=$K32,$L32=2),Settings!$B$8,IF(W$2-$K32+1&lt;$L32,(W$2-$K32+1)/$L32,IF($J32*$M32&gt;=0.9,1,MIN(0.9,$J32*$M32+IF($J32*$M32&lt;0.7,0.03,0.01)*(W$2-$K32-$L32+1))/($J32*$M32)))))</f>
        <v>1.0544945467307087</v>
      </c>
      <c r="X32">
        <f>IF(X$2&lt;$K32,0,IF(AND(X$2=$K32,$L32=2),Settings!$B$8,IF(X$2-$K32+1&lt;$L32,(X$2-$K32+1)/$L32,IF($J32*$M32&gt;=0.9,1,MIN(0.9,$J32*$M32+IF($J32*$M32&lt;0.7,0.03,0.01)*(X$2-$K32-$L32+1))/($J32*$M32)))))</f>
        <v>1.1089890934614175</v>
      </c>
      <c r="Y32" s="9">
        <v>1364647</v>
      </c>
      <c r="Z32" s="9">
        <v>1380622</v>
      </c>
      <c r="AA32" s="9">
        <v>1397804</v>
      </c>
      <c r="AB32" s="9">
        <v>1411194</v>
      </c>
      <c r="AC32" s="9">
        <v>1423875</v>
      </c>
      <c r="AD32" s="9">
        <v>1435315</v>
      </c>
      <c r="AE32" s="9">
        <v>1448713</v>
      </c>
      <c r="AF32" s="9">
        <v>1461495</v>
      </c>
      <c r="AG32" s="9">
        <v>1474883</v>
      </c>
      <c r="AH32" s="9">
        <v>1485738</v>
      </c>
      <c r="AI32">
        <f>AS32*(1+Settings!$B$7)</f>
        <v>0</v>
      </c>
      <c r="AJ32">
        <f>IF(Settings!$B$13="annual",AT32*(1+Settings!$B$7),AT32+Settings!$B$7*IF(AT32&gt;AS32,AT32-AS32,0))</f>
        <v>0</v>
      </c>
      <c r="AK32">
        <f>IF(Settings!$B$13="annual",AU32*(1+Settings!$B$7),AU32+Settings!$B$7*IF(AU32&gt;AT32,AU32-AT32,0))</f>
        <v>0</v>
      </c>
      <c r="AL32">
        <f>IF(Settings!$B$13="annual",AV32*(1+Settings!$B$7),AV32+Settings!$B$7*IF(AV32&gt;AU32,AV32-AU32,0))</f>
        <v>0</v>
      </c>
      <c r="AM32">
        <f>IF(Settings!$B$13="annual",AW32*(1+Settings!$B$7),AW32+Settings!$B$7*IF(AW32&gt;AV32,AW32-AV32,0))</f>
        <v>0</v>
      </c>
      <c r="AN32">
        <f>IF(Settings!$B$13="annual",AX32*(1+Settings!$B$7),AX32+Settings!$B$7*IF(AX32&gt;AW32,AX32-AW32,0))</f>
        <v>0</v>
      </c>
      <c r="AO32">
        <f>IF(Settings!$B$13="annual",AY32*(1+Settings!$B$7),AY32+Settings!$B$7*IF(AY32&gt;AX32,AY32-AX32,0))</f>
        <v>918015.93518948951</v>
      </c>
      <c r="AP32">
        <f>IF(Settings!$B$13="annual",AZ32*(1+Settings!$B$7),AZ32+Settings!$B$7*IF(AZ32&gt;AY32,AZ32-AY32,0))</f>
        <v>974041.30431387702</v>
      </c>
      <c r="AQ32">
        <f>IF(Settings!$B$13="annual",BA32*(1+Settings!$B$7),BA32+Settings!$B$7*IF(BA32&gt;AZ32,BA32-AZ32,0))</f>
        <v>1000383.3794373232</v>
      </c>
      <c r="AR32">
        <f>IF(Settings!$B$13="annual",BB32*(1+Settings!$B$7),BB32+Settings!$B$7*IF(BB32&gt;BA32,BB32-BA32,0))</f>
        <v>1058728.3394675967</v>
      </c>
      <c r="AS32">
        <f>Y32*$N32*$J32*$M32*O32*Settings!$B$6</f>
        <v>0</v>
      </c>
      <c r="AT32">
        <f>Z32*$N32*$J32*$M32*P32*Settings!$B$6</f>
        <v>0</v>
      </c>
      <c r="AU32">
        <f>AA32*$N32*$J32*$M32*Q32*Settings!$B$6</f>
        <v>0</v>
      </c>
      <c r="AV32">
        <f>AB32*$N32*$J32*$M32*R32*Settings!$B$6</f>
        <v>0</v>
      </c>
      <c r="AW32">
        <f>AC32*$N32*$J32*$M32*S32*Settings!$B$6</f>
        <v>0</v>
      </c>
      <c r="AX32">
        <f>AD32*$N32*$J32*$M32*T32*Settings!$B$6</f>
        <v>0</v>
      </c>
      <c r="AY32">
        <f>AE32*$N32*$J32*$M32*U32*Settings!$B$6</f>
        <v>734412.74815159163</v>
      </c>
      <c r="AZ32">
        <f>AF32*$N32*$J32*$M32*V32*Settings!$B$6</f>
        <v>926115.59308141994</v>
      </c>
      <c r="BA32">
        <f>AG32*$N32*$J32*$M32*W32*Settings!$B$6</f>
        <v>985529.82216614252</v>
      </c>
      <c r="BB32">
        <f>AH32*$N32*$J32*$M32*X32*Settings!$B$6</f>
        <v>1044088.6360073058</v>
      </c>
    </row>
    <row r="33" spans="1:54" ht="15" customHeight="1">
      <c r="A33" t="s">
        <v>105</v>
      </c>
      <c r="B33" t="s">
        <v>106</v>
      </c>
      <c r="C33" s="9">
        <v>0.85</v>
      </c>
      <c r="D33" s="9">
        <v>0.38500000000000001</v>
      </c>
      <c r="E33" s="9">
        <v>0.95</v>
      </c>
      <c r="F33" s="9">
        <v>0.52600000000000002</v>
      </c>
      <c r="G33" s="9">
        <v>0.84299999999999997</v>
      </c>
      <c r="H33" s="9">
        <v>16.899999999999999</v>
      </c>
      <c r="I33">
        <f t="shared" si="0"/>
        <v>0.45294117647058824</v>
      </c>
      <c r="J33">
        <f>IF(Settings!$B$10="anc4",D33*E33,IF(Settings!$B$10="anc1",C33*E33,C33*(G33*I33+F33*(1-I33))*E33))</f>
        <v>0.54068775000000002</v>
      </c>
      <c r="K33">
        <f>IF(Settings!$B$9="invest",Schedule!R33,IF(Settings!$B$9="hist",Schedule!U33,IF(Settings!$B$9="pcv",Schedule!M33,IF(Settings!$B$9="rota",Schedule!N33,Schedule!O33))))+Settings!$B$11</f>
        <v>2032</v>
      </c>
      <c r="L33">
        <f>IF(Schedule!H33=1,Settings!$B$4,Settings!$B$5)</f>
        <v>2</v>
      </c>
      <c r="M33" s="9">
        <v>1</v>
      </c>
      <c r="N33">
        <f t="shared" si="1"/>
        <v>1.0171905197843556</v>
      </c>
      <c r="O33">
        <f>IF(O$2&lt;$K33,0,IF(O$2-$K33+1&lt;$L33,IF($L33=2,Settings!$B$8,(O$2-$K33+1)/$L33),IF($J33*$M33&gt;=Settings!$B$15,1,MIN(Settings!$B$15,$J33*$M33+IF($J33*$M33&lt;Settings!$B$16,Settings!$B$17,Settings!$B$18)*(O$2-$K33-$L33+1))/($J33*$M33))))</f>
        <v>0</v>
      </c>
      <c r="P33">
        <f>IF(P$2&lt;$K33,0,IF(AND(P$2=$K33,$L33=2),Settings!$B$8,IF(P$2-$K33+1&lt;$L33,(P$2-$K33+1)/$L33,IF($J33*$M33&gt;=0.9,1,MIN(0.9,$J33*$M33+IF($J33*$M33&lt;0.7,0.03,0.01)*(P$2-$K33-$L33+1))/($J33*$M33)))))</f>
        <v>0</v>
      </c>
      <c r="Q33">
        <f>IF(Q$2&lt;$K33,0,IF(AND(Q$2=$K33,$L33=2),Settings!$B$8,IF(Q$2-$K33+1&lt;$L33,(Q$2-$K33+1)/$L33,IF($J33*$M33&gt;=0.9,1,MIN(0.9,$J33*$M33+IF($J33*$M33&lt;0.7,0.03,0.01)*(Q$2-$K33-$L33+1))/($J33*$M33)))))</f>
        <v>0</v>
      </c>
      <c r="R33">
        <f>IF(R$2&lt;$K33,0,IF(AND(R$2=$K33,$L33=2),Settings!$B$8,IF(R$2-$K33+1&lt;$L33,(R$2-$K33+1)/$L33,IF($J33*$M33&gt;=0.9,1,MIN(0.9,$J33*$M33+IF($J33*$M33&lt;0.7,0.03,0.01)*(R$2-$K33-$L33+1))/($J33*$M33)))))</f>
        <v>0</v>
      </c>
      <c r="S33">
        <f>IF(S$2&lt;$K33,0,IF(AND(S$2=$K33,$L33=2),Settings!$B$8,IF(S$2-$K33+1&lt;$L33,(S$2-$K33+1)/$L33,IF($J33*$M33&gt;=0.9,1,MIN(0.9,$J33*$M33+IF($J33*$M33&lt;0.7,0.03,0.01)*(S$2-$K33-$L33+1))/($J33*$M33)))))</f>
        <v>0.8</v>
      </c>
      <c r="T33">
        <f>IF(T$2&lt;$K33,0,IF(AND(T$2=$K33,$L33=2),Settings!$B$8,IF(T$2-$K33+1&lt;$L33,(T$2-$K33+1)/$L33,IF($J33*$M33&gt;=0.9,1,MIN(0.9,$J33*$M33+IF($J33*$M33&lt;0.7,0.03,0.01)*(T$2-$K33-$L33+1))/($J33*$M33)))))</f>
        <v>1</v>
      </c>
      <c r="U33">
        <f>IF(U$2&lt;$K33,0,IF(AND(U$2=$K33,$L33=2),Settings!$B$8,IF(U$2-$K33+1&lt;$L33,(U$2-$K33+1)/$L33,IF($J33*$M33&gt;=0.9,1,MIN(0.9,$J33*$M33+IF($J33*$M33&lt;0.7,0.03,0.01)*(U$2-$K33-$L33+1))/($J33*$M33)))))</f>
        <v>1.0554848893839375</v>
      </c>
      <c r="V33">
        <f>IF(V$2&lt;$K33,0,IF(AND(V$2=$K33,$L33=2),Settings!$B$8,IF(V$2-$K33+1&lt;$L33,(V$2-$K33+1)/$L33,IF($J33*$M33&gt;=0.9,1,MIN(0.9,$J33*$M33+IF($J33*$M33&lt;0.7,0.03,0.01)*(V$2-$K33-$L33+1))/($J33*$M33)))))</f>
        <v>1.1109697787678749</v>
      </c>
      <c r="W33">
        <f>IF(W$2&lt;$K33,0,IF(AND(W$2=$K33,$L33=2),Settings!$B$8,IF(W$2-$K33+1&lt;$L33,(W$2-$K33+1)/$L33,IF($J33*$M33&gt;=0.9,1,MIN(0.9,$J33*$M33+IF($J33*$M33&lt;0.7,0.03,0.01)*(W$2-$K33-$L33+1))/($J33*$M33)))))</f>
        <v>1.1664546681518122</v>
      </c>
      <c r="X33">
        <f>IF(X$2&lt;$K33,0,IF(AND(X$2=$K33,$L33=2),Settings!$B$8,IF(X$2-$K33+1&lt;$L33,(X$2-$K33+1)/$L33,IF($J33*$M33&gt;=0.9,1,MIN(0.9,$J33*$M33+IF($J33*$M33&lt;0.7,0.03,0.01)*(X$2-$K33-$L33+1))/($J33*$M33)))))</f>
        <v>1.2219395575357497</v>
      </c>
      <c r="Y33" s="9">
        <v>187119</v>
      </c>
      <c r="Z33" s="9">
        <v>189471</v>
      </c>
      <c r="AA33" s="9">
        <v>192446</v>
      </c>
      <c r="AB33" s="9">
        <v>195192</v>
      </c>
      <c r="AC33" s="9">
        <v>197381</v>
      </c>
      <c r="AD33" s="9">
        <v>198760</v>
      </c>
      <c r="AE33" s="9">
        <v>201534</v>
      </c>
      <c r="AF33" s="9">
        <v>203552</v>
      </c>
      <c r="AG33" s="9">
        <v>205259</v>
      </c>
      <c r="AH33" s="9">
        <v>207598</v>
      </c>
      <c r="AI33">
        <f>AS33*(1+Settings!$B$7)</f>
        <v>0</v>
      </c>
      <c r="AJ33">
        <f>IF(Settings!$B$13="annual",AT33*(1+Settings!$B$7),AT33+Settings!$B$7*IF(AT33&gt;AS33,AT33-AS33,0))</f>
        <v>0</v>
      </c>
      <c r="AK33">
        <f>IF(Settings!$B$13="annual",AU33*(1+Settings!$B$7),AU33+Settings!$B$7*IF(AU33&gt;AT33,AU33-AT33,0))</f>
        <v>0</v>
      </c>
      <c r="AL33">
        <f>IF(Settings!$B$13="annual",AV33*(1+Settings!$B$7),AV33+Settings!$B$7*IF(AV33&gt;AU33,AV33-AU33,0))</f>
        <v>0</v>
      </c>
      <c r="AM33">
        <f>IF(Settings!$B$13="annual",AW33*(1+Settings!$B$7),AW33+Settings!$B$7*IF(AW33&gt;AV33,AW33-AV33,0))</f>
        <v>122668.3779112069</v>
      </c>
      <c r="AN33">
        <f>IF(Settings!$B$13="annual",AX33*(1+Settings!$B$7),AX33+Settings!$B$7*IF(AX33&gt;AW33,AX33-AW33,0))</f>
        <v>129873.07325396551</v>
      </c>
      <c r="AO33">
        <f>IF(Settings!$B$13="annual",AY33*(1+Settings!$B$7),AY33+Settings!$B$7*IF(AY33&gt;AX33,AY33-AX33,0))</f>
        <v>134367.19191163793</v>
      </c>
      <c r="AP33">
        <f>IF(Settings!$B$13="annual",AZ33*(1+Settings!$B$7),AZ33+Settings!$B$7*IF(AZ33&gt;AY33,AZ33-AY33,0))</f>
        <v>142627.29294008622</v>
      </c>
      <c r="AQ33">
        <f>IF(Settings!$B$13="annual",BA33*(1+Settings!$B$7),BA33+Settings!$B$7*IF(BA33&gt;AZ33,BA33-AZ33,0))</f>
        <v>150862.21020064651</v>
      </c>
      <c r="AR33">
        <f>IF(Settings!$B$13="annual",BB33*(1+Settings!$B$7),BB33+Settings!$B$7*IF(BB33&gt;BA33,BB33-BA33,0))</f>
        <v>159865.78757047415</v>
      </c>
      <c r="AS33">
        <f>Y33*$N33*$J33*$M33*O33*Settings!$B$6</f>
        <v>0</v>
      </c>
      <c r="AT33">
        <f>Z33*$N33*$J33*$M33*P33*Settings!$B$6</f>
        <v>0</v>
      </c>
      <c r="AU33">
        <f>AA33*$N33*$J33*$M33*Q33*Settings!$B$6</f>
        <v>0</v>
      </c>
      <c r="AV33">
        <f>AB33*$N33*$J33*$M33*R33*Settings!$B$6</f>
        <v>0</v>
      </c>
      <c r="AW33">
        <f>AC33*$N33*$J33*$M33*S33*Settings!$B$6</f>
        <v>98134.702328965519</v>
      </c>
      <c r="AX33">
        <f>AD33*$N33*$J33*$M33*T33*Settings!$B$6</f>
        <v>123525.39906896552</v>
      </c>
      <c r="AY33">
        <f>AE33*$N33*$J33*$M33*U33*Settings!$B$6</f>
        <v>132198.83334310344</v>
      </c>
      <c r="AZ33">
        <f>AF33*$N33*$J33*$M33*V33*Settings!$B$6</f>
        <v>140541.60102068968</v>
      </c>
      <c r="BA33">
        <f>AG33*$N33*$J33*$M33*W33*Settings!$B$6</f>
        <v>148798.08836465515</v>
      </c>
      <c r="BB33">
        <f>AH33*$N33*$J33*$M33*X33*Settings!$B$6</f>
        <v>157652.24772931036</v>
      </c>
    </row>
    <row r="34" spans="1:54" ht="15" customHeight="1">
      <c r="A34" t="s">
        <v>107</v>
      </c>
      <c r="B34" t="s">
        <v>108</v>
      </c>
      <c r="C34" s="9">
        <v>0.96099999999999997</v>
      </c>
      <c r="D34" s="9">
        <v>0.624</v>
      </c>
      <c r="E34" s="9">
        <v>0.94</v>
      </c>
      <c r="F34" s="9">
        <v>0.52600000000000002</v>
      </c>
      <c r="G34" s="9">
        <v>0.84299999999999997</v>
      </c>
      <c r="H34" s="9">
        <v>15.8</v>
      </c>
      <c r="I34">
        <f t="shared" si="0"/>
        <v>0.64932362122788767</v>
      </c>
      <c r="J34">
        <f>IF(Settings!$B$10="anc4",D34*E34,IF(Settings!$B$10="anc1",C34*E34,C34*(G34*I34+F34*(1-I34))*E34))</f>
        <v>0.66109635999999994</v>
      </c>
      <c r="K34">
        <f>IF(Settings!$B$9="invest",Schedule!R34,IF(Settings!$B$9="hist",Schedule!U34,IF(Settings!$B$9="pcv",Schedule!M34,IF(Settings!$B$9="rota",Schedule!N34,Schedule!O34))))+Settings!$B$11</f>
        <v>2031</v>
      </c>
      <c r="L34">
        <f>IF(Schedule!H34=1,Settings!$B$4,Settings!$B$5)</f>
        <v>2</v>
      </c>
      <c r="M34" s="9">
        <v>1</v>
      </c>
      <c r="N34">
        <f t="shared" si="1"/>
        <v>1.016053647632595</v>
      </c>
      <c r="O34">
        <f>IF(O$2&lt;$K34,0,IF(O$2-$K34+1&lt;$L34,IF($L34=2,Settings!$B$8,(O$2-$K34+1)/$L34),IF($J34*$M34&gt;=Settings!$B$15,1,MIN(Settings!$B$15,$J34*$M34+IF($J34*$M34&lt;Settings!$B$16,Settings!$B$17,Settings!$B$18)*(O$2-$K34-$L34+1))/($J34*$M34))))</f>
        <v>0</v>
      </c>
      <c r="P34">
        <f>IF(P$2&lt;$K34,0,IF(AND(P$2=$K34,$L34=2),Settings!$B$8,IF(P$2-$K34+1&lt;$L34,(P$2-$K34+1)/$L34,IF($J34*$M34&gt;=0.9,1,MIN(0.9,$J34*$M34+IF($J34*$M34&lt;0.7,0.03,0.01)*(P$2-$K34-$L34+1))/($J34*$M34)))))</f>
        <v>0</v>
      </c>
      <c r="Q34">
        <f>IF(Q$2&lt;$K34,0,IF(AND(Q$2=$K34,$L34=2),Settings!$B$8,IF(Q$2-$K34+1&lt;$L34,(Q$2-$K34+1)/$L34,IF($J34*$M34&gt;=0.9,1,MIN(0.9,$J34*$M34+IF($J34*$M34&lt;0.7,0.03,0.01)*(Q$2-$K34-$L34+1))/($J34*$M34)))))</f>
        <v>0</v>
      </c>
      <c r="R34">
        <f>IF(R$2&lt;$K34,0,IF(AND(R$2=$K34,$L34=2),Settings!$B$8,IF(R$2-$K34+1&lt;$L34,(R$2-$K34+1)/$L34,IF($J34*$M34&gt;=0.9,1,MIN(0.9,$J34*$M34+IF($J34*$M34&lt;0.7,0.03,0.01)*(R$2-$K34-$L34+1))/($J34*$M34)))))</f>
        <v>0.8</v>
      </c>
      <c r="S34">
        <f>IF(S$2&lt;$K34,0,IF(AND(S$2=$K34,$L34=2),Settings!$B$8,IF(S$2-$K34+1&lt;$L34,(S$2-$K34+1)/$L34,IF($J34*$M34&gt;=0.9,1,MIN(0.9,$J34*$M34+IF($J34*$M34&lt;0.7,0.03,0.01)*(S$2-$K34-$L34+1))/($J34*$M34)))))</f>
        <v>1</v>
      </c>
      <c r="T34">
        <f>IF(T$2&lt;$K34,0,IF(AND(T$2=$K34,$L34=2),Settings!$B$8,IF(T$2-$K34+1&lt;$L34,(T$2-$K34+1)/$L34,IF($J34*$M34&gt;=0.9,1,MIN(0.9,$J34*$M34+IF($J34*$M34&lt;0.7,0.03,0.01)*(T$2-$K34-$L34+1))/($J34*$M34)))))</f>
        <v>1.0453791637878629</v>
      </c>
      <c r="U34">
        <f>IF(U$2&lt;$K34,0,IF(AND(U$2=$K34,$L34=2),Settings!$B$8,IF(U$2-$K34+1&lt;$L34,(U$2-$K34+1)/$L34,IF($J34*$M34&gt;=0.9,1,MIN(0.9,$J34*$M34+IF($J34*$M34&lt;0.7,0.03,0.01)*(U$2-$K34-$L34+1))/($J34*$M34)))))</f>
        <v>1.090758327575726</v>
      </c>
      <c r="V34">
        <f>IF(V$2&lt;$K34,0,IF(AND(V$2=$K34,$L34=2),Settings!$B$8,IF(V$2-$K34+1&lt;$L34,(V$2-$K34+1)/$L34,IF($J34*$M34&gt;=0.9,1,MIN(0.9,$J34*$M34+IF($J34*$M34&lt;0.7,0.03,0.01)*(V$2-$K34-$L34+1))/($J34*$M34)))))</f>
        <v>1.1361374913635889</v>
      </c>
      <c r="W34">
        <f>IF(W$2&lt;$K34,0,IF(AND(W$2=$K34,$L34=2),Settings!$B$8,IF(W$2-$K34+1&lt;$L34,(W$2-$K34+1)/$L34,IF($J34*$M34&gt;=0.9,1,MIN(0.9,$J34*$M34+IF($J34*$M34&lt;0.7,0.03,0.01)*(W$2-$K34-$L34+1))/($J34*$M34)))))</f>
        <v>1.1815166551514518</v>
      </c>
      <c r="X34">
        <f>IF(X$2&lt;$K34,0,IF(AND(X$2=$K34,$L34=2),Settings!$B$8,IF(X$2-$K34+1&lt;$L34,(X$2-$K34+1)/$L34,IF($J34*$M34&gt;=0.9,1,MIN(0.9,$J34*$M34+IF($J34*$M34&lt;0.7,0.03,0.01)*(X$2-$K34-$L34+1))/($J34*$M34)))))</f>
        <v>1.2268958189393147</v>
      </c>
      <c r="Y34" s="9">
        <v>711468</v>
      </c>
      <c r="Z34" s="9">
        <v>722031</v>
      </c>
      <c r="AA34" s="9">
        <v>727191</v>
      </c>
      <c r="AB34" s="9">
        <v>733783</v>
      </c>
      <c r="AC34" s="9">
        <v>739361</v>
      </c>
      <c r="AD34" s="9">
        <v>745029</v>
      </c>
      <c r="AE34" s="9">
        <v>750207</v>
      </c>
      <c r="AF34" s="9">
        <v>754661</v>
      </c>
      <c r="AG34" s="9">
        <v>758574</v>
      </c>
      <c r="AH34" s="9">
        <v>762365</v>
      </c>
      <c r="AI34">
        <f>AS34*(1+Settings!$B$7)</f>
        <v>0</v>
      </c>
      <c r="AJ34">
        <f>IF(Settings!$B$13="annual",AT34*(1+Settings!$B$7),AT34+Settings!$B$7*IF(AT34&gt;AS34,AT34-AS34,0))</f>
        <v>0</v>
      </c>
      <c r="AK34">
        <f>IF(Settings!$B$13="annual",AU34*(1+Settings!$B$7),AU34+Settings!$B$7*IF(AU34&gt;AT34,AU34-AT34,0))</f>
        <v>0</v>
      </c>
      <c r="AL34">
        <f>IF(Settings!$B$13="annual",AV34*(1+Settings!$B$7),AV34+Settings!$B$7*IF(AV34&gt;AU34,AV34-AU34,0))</f>
        <v>556964.4741645644</v>
      </c>
      <c r="AM34">
        <f>IF(Settings!$B$13="annual",AW34*(1+Settings!$B$7),AW34+Settings!$B$7*IF(AW34&gt;AV34,AW34-AV34,0))</f>
        <v>590105.04560517729</v>
      </c>
      <c r="AN34">
        <f>IF(Settings!$B$13="annual",AX34*(1+Settings!$B$7),AX34+Settings!$B$7*IF(AX34&gt;AW34,AX34-AW34,0))</f>
        <v>598653.51836142316</v>
      </c>
      <c r="AO34">
        <f>IF(Settings!$B$13="annual",AY34*(1+Settings!$B$7),AY34+Settings!$B$7*IF(AY34&gt;AX34,AY34-AX34,0))</f>
        <v>628598.62473433267</v>
      </c>
      <c r="AP34">
        <f>IF(Settings!$B$13="annual",AZ34*(1+Settings!$B$7),AZ34+Settings!$B$7*IF(AZ34&gt;AY34,AZ34-AY34,0))</f>
        <v>658212.97716605011</v>
      </c>
      <c r="AQ34">
        <f>IF(Settings!$B$13="annual",BA34*(1+Settings!$B$7),BA34+Settings!$B$7*IF(BA34&gt;AZ34,BA34-AZ34,0))</f>
        <v>687671.31109676394</v>
      </c>
      <c r="AR34">
        <f>IF(Settings!$B$13="annual",BB34*(1+Settings!$B$7),BB34+Settings!$B$7*IF(BB34&gt;BA34,BB34-BA34,0))</f>
        <v>717369.16563223582</v>
      </c>
      <c r="AS34">
        <f>Y34*$N34*$J34*$M34*O34*Settings!$B$6</f>
        <v>0</v>
      </c>
      <c r="AT34">
        <f>Z34*$N34*$J34*$M34*P34*Settings!$B$6</f>
        <v>0</v>
      </c>
      <c r="AU34">
        <f>AA34*$N34*$J34*$M34*Q34*Settings!$B$6</f>
        <v>0</v>
      </c>
      <c r="AV34">
        <f>AB34*$N34*$J34*$M34*R34*Settings!$B$6</f>
        <v>445571.57933165156</v>
      </c>
      <c r="AW34">
        <f>AC34*$N34*$J34*$M34*S34*Settings!$B$6</f>
        <v>561198.35235047212</v>
      </c>
      <c r="AX34">
        <f>AD34*$N34*$J34*$M34*T34*Settings!$B$6</f>
        <v>591162.48515923298</v>
      </c>
      <c r="AY34">
        <f>AE34*$N34*$J34*$M34*U34*Settings!$B$6</f>
        <v>621111.39681931271</v>
      </c>
      <c r="AZ34">
        <f>AF34*$N34*$J34*$M34*V34*Settings!$B$6</f>
        <v>650792.66109670268</v>
      </c>
      <c r="BA34">
        <f>AG34*$N34*$J34*$M34*W34*Settings!$B$6</f>
        <v>680295.58109675173</v>
      </c>
      <c r="BB34">
        <f>AH34*$N34*$J34*$M34*X34*Settings!$B$6</f>
        <v>709954.44872513902</v>
      </c>
    </row>
    <row r="35" spans="1:54" ht="15" customHeight="1">
      <c r="A35" t="s">
        <v>109</v>
      </c>
      <c r="B35" t="s">
        <v>110</v>
      </c>
      <c r="C35" s="9">
        <v>0.84</v>
      </c>
      <c r="D35" s="9">
        <v>0.373</v>
      </c>
      <c r="E35" s="9">
        <v>0.95</v>
      </c>
      <c r="F35" s="9">
        <v>0.52600000000000002</v>
      </c>
      <c r="G35" s="9">
        <v>0.84299999999999997</v>
      </c>
      <c r="H35" s="9">
        <v>21.4</v>
      </c>
      <c r="I35">
        <f t="shared" ref="I35:I58" si="2">MIN(1,D35/C35)</f>
        <v>0.44404761904761908</v>
      </c>
      <c r="J35">
        <f>IF(Settings!$B$10="anc4",D35*E35,IF(Settings!$B$10="anc1",C35*E35,C35*(G35*I35+F35*(1-I35))*E35))</f>
        <v>0.53207694999999999</v>
      </c>
      <c r="K35">
        <f>IF(Settings!$B$9="invest",Schedule!R35,IF(Settings!$B$9="hist",Schedule!U35,IF(Settings!$B$9="pcv",Schedule!M35,IF(Settings!$B$9="rota",Schedule!N35,Schedule!O35))))+Settings!$B$11</f>
        <v>2037</v>
      </c>
      <c r="L35">
        <f>IF(Schedule!H35=1,Settings!$B$4,Settings!$B$5)</f>
        <v>2</v>
      </c>
      <c r="M35" s="9">
        <v>1</v>
      </c>
      <c r="N35">
        <f t="shared" ref="N35:N58" si="3">1+H35/(1000-H35)</f>
        <v>1.0218679746576742</v>
      </c>
      <c r="O35">
        <f>IF(O$2&lt;$K35,0,IF(O$2-$K35+1&lt;$L35,IF($L35=2,Settings!$B$8,(O$2-$K35+1)/$L35),IF($J35*$M35&gt;=Settings!$B$15,1,MIN(Settings!$B$15,$J35*$M35+IF($J35*$M35&lt;Settings!$B$16,Settings!$B$17,Settings!$B$18)*(O$2-$K35-$L35+1))/($J35*$M35))))</f>
        <v>0</v>
      </c>
      <c r="P35">
        <f>IF(P$2&lt;$K35,0,IF(AND(P$2=$K35,$L35=2),Settings!$B$8,IF(P$2-$K35+1&lt;$L35,(P$2-$K35+1)/$L35,IF($J35*$M35&gt;=0.9,1,MIN(0.9,$J35*$M35+IF($J35*$M35&lt;0.7,0.03,0.01)*(P$2-$K35-$L35+1))/($J35*$M35)))))</f>
        <v>0</v>
      </c>
      <c r="Q35">
        <f>IF(Q$2&lt;$K35,0,IF(AND(Q$2=$K35,$L35=2),Settings!$B$8,IF(Q$2-$K35+1&lt;$L35,(Q$2-$K35+1)/$L35,IF($J35*$M35&gt;=0.9,1,MIN(0.9,$J35*$M35+IF($J35*$M35&lt;0.7,0.03,0.01)*(Q$2-$K35-$L35+1))/($J35*$M35)))))</f>
        <v>0</v>
      </c>
      <c r="R35">
        <f>IF(R$2&lt;$K35,0,IF(AND(R$2=$K35,$L35=2),Settings!$B$8,IF(R$2-$K35+1&lt;$L35,(R$2-$K35+1)/$L35,IF($J35*$M35&gt;=0.9,1,MIN(0.9,$J35*$M35+IF($J35*$M35&lt;0.7,0.03,0.01)*(R$2-$K35-$L35+1))/($J35*$M35)))))</f>
        <v>0</v>
      </c>
      <c r="S35">
        <f>IF(S$2&lt;$K35,0,IF(AND(S$2=$K35,$L35=2),Settings!$B$8,IF(S$2-$K35+1&lt;$L35,(S$2-$K35+1)/$L35,IF($J35*$M35&gt;=0.9,1,MIN(0.9,$J35*$M35+IF($J35*$M35&lt;0.7,0.03,0.01)*(S$2-$K35-$L35+1))/($J35*$M35)))))</f>
        <v>0</v>
      </c>
      <c r="T35">
        <f>IF(T$2&lt;$K35,0,IF(AND(T$2=$K35,$L35=2),Settings!$B$8,IF(T$2-$K35+1&lt;$L35,(T$2-$K35+1)/$L35,IF($J35*$M35&gt;=0.9,1,MIN(0.9,$J35*$M35+IF($J35*$M35&lt;0.7,0.03,0.01)*(T$2-$K35-$L35+1))/($J35*$M35)))))</f>
        <v>0</v>
      </c>
      <c r="U35">
        <f>IF(U$2&lt;$K35,0,IF(AND(U$2=$K35,$L35=2),Settings!$B$8,IF(U$2-$K35+1&lt;$L35,(U$2-$K35+1)/$L35,IF($J35*$M35&gt;=0.9,1,MIN(0.9,$J35*$M35+IF($J35*$M35&lt;0.7,0.03,0.01)*(U$2-$K35-$L35+1))/($J35*$M35)))))</f>
        <v>0</v>
      </c>
      <c r="V35">
        <f>IF(V$2&lt;$K35,0,IF(AND(V$2=$K35,$L35=2),Settings!$B$8,IF(V$2-$K35+1&lt;$L35,(V$2-$K35+1)/$L35,IF($J35*$M35&gt;=0.9,1,MIN(0.9,$J35*$M35+IF($J35*$M35&lt;0.7,0.03,0.01)*(V$2-$K35-$L35+1))/($J35*$M35)))))</f>
        <v>0</v>
      </c>
      <c r="W35">
        <f>IF(W$2&lt;$K35,0,IF(AND(W$2=$K35,$L35=2),Settings!$B$8,IF(W$2-$K35+1&lt;$L35,(W$2-$K35+1)/$L35,IF($J35*$M35&gt;=0.9,1,MIN(0.9,$J35*$M35+IF($J35*$M35&lt;0.7,0.03,0.01)*(W$2-$K35-$L35+1))/($J35*$M35)))))</f>
        <v>0</v>
      </c>
      <c r="X35">
        <f>IF(X$2&lt;$K35,0,IF(AND(X$2=$K35,$L35=2),Settings!$B$8,IF(X$2-$K35+1&lt;$L35,(X$2-$K35+1)/$L35,IF($J35*$M35&gt;=0.9,1,MIN(0.9,$J35*$M35+IF($J35*$M35&lt;0.7,0.03,0.01)*(X$2-$K35-$L35+1))/($J35*$M35)))))</f>
        <v>0.8</v>
      </c>
      <c r="Y35" s="9">
        <v>1188298</v>
      </c>
      <c r="Z35" s="9">
        <v>1205973</v>
      </c>
      <c r="AA35" s="9">
        <v>1220549</v>
      </c>
      <c r="AB35" s="9">
        <v>1230762</v>
      </c>
      <c r="AC35" s="9">
        <v>1243485</v>
      </c>
      <c r="AD35" s="9">
        <v>1258842</v>
      </c>
      <c r="AE35" s="9">
        <v>1264319</v>
      </c>
      <c r="AF35" s="9">
        <v>1276278</v>
      </c>
      <c r="AG35" s="9">
        <v>1283239</v>
      </c>
      <c r="AH35" s="9">
        <v>1289857</v>
      </c>
      <c r="AI35">
        <f>AS35*(1+Settings!$B$7)</f>
        <v>0</v>
      </c>
      <c r="AJ35">
        <f>IF(Settings!$B$13="annual",AT35*(1+Settings!$B$7),AT35+Settings!$B$7*IF(AT35&gt;AS35,AT35-AS35,0))</f>
        <v>0</v>
      </c>
      <c r="AK35">
        <f>IF(Settings!$B$13="annual",AU35*(1+Settings!$B$7),AU35+Settings!$B$7*IF(AU35&gt;AT35,AU35-AT35,0))</f>
        <v>0</v>
      </c>
      <c r="AL35">
        <f>IF(Settings!$B$13="annual",AV35*(1+Settings!$B$7),AV35+Settings!$B$7*IF(AV35&gt;AU35,AV35-AU35,0))</f>
        <v>0</v>
      </c>
      <c r="AM35">
        <f>IF(Settings!$B$13="annual",AW35*(1+Settings!$B$7),AW35+Settings!$B$7*IF(AW35&gt;AV35,AW35-AV35,0))</f>
        <v>0</v>
      </c>
      <c r="AN35">
        <f>IF(Settings!$B$13="annual",AX35*(1+Settings!$B$7),AX35+Settings!$B$7*IF(AX35&gt;AW35,AX35-AW35,0))</f>
        <v>0</v>
      </c>
      <c r="AO35">
        <f>IF(Settings!$B$13="annual",AY35*(1+Settings!$B$7),AY35+Settings!$B$7*IF(AY35&gt;AX35,AY35-AX35,0))</f>
        <v>0</v>
      </c>
      <c r="AP35">
        <f>IF(Settings!$B$13="annual",AZ35*(1+Settings!$B$7),AZ35+Settings!$B$7*IF(AZ35&gt;AY35,AZ35-AY35,0))</f>
        <v>0</v>
      </c>
      <c r="AQ35">
        <f>IF(Settings!$B$13="annual",BA35*(1+Settings!$B$7),BA35+Settings!$B$7*IF(BA35&gt;AZ35,BA35-AZ35,0))</f>
        <v>0</v>
      </c>
      <c r="AR35">
        <f>IF(Settings!$B$13="annual",BB35*(1+Settings!$B$7),BB35+Settings!$B$7*IF(BB35&gt;BA35,BB35-BA35,0))</f>
        <v>792481.70008241304</v>
      </c>
      <c r="AS35">
        <f>Y35*$N35*$J35*$M35*O35*Settings!$B$6</f>
        <v>0</v>
      </c>
      <c r="AT35">
        <f>Z35*$N35*$J35*$M35*P35*Settings!$B$6</f>
        <v>0</v>
      </c>
      <c r="AU35">
        <f>AA35*$N35*$J35*$M35*Q35*Settings!$B$6</f>
        <v>0</v>
      </c>
      <c r="AV35">
        <f>AB35*$N35*$J35*$M35*R35*Settings!$B$6</f>
        <v>0</v>
      </c>
      <c r="AW35">
        <f>AC35*$N35*$J35*$M35*S35*Settings!$B$6</f>
        <v>0</v>
      </c>
      <c r="AX35">
        <f>AD35*$N35*$J35*$M35*T35*Settings!$B$6</f>
        <v>0</v>
      </c>
      <c r="AY35">
        <f>AE35*$N35*$J35*$M35*U35*Settings!$B$6</f>
        <v>0</v>
      </c>
      <c r="AZ35">
        <f>AF35*$N35*$J35*$M35*V35*Settings!$B$6</f>
        <v>0</v>
      </c>
      <c r="BA35">
        <f>AG35*$N35*$J35*$M35*W35*Settings!$B$6</f>
        <v>0</v>
      </c>
      <c r="BB35">
        <f>AH35*$N35*$J35*$M35*X35*Settings!$B$6</f>
        <v>633985.36006593041</v>
      </c>
    </row>
    <row r="36" spans="1:54" ht="15" customHeight="1">
      <c r="A36" t="s">
        <v>111</v>
      </c>
      <c r="B36" t="s">
        <v>112</v>
      </c>
      <c r="C36" s="9">
        <v>0.625</v>
      </c>
      <c r="D36" s="9">
        <v>0.52400000000000002</v>
      </c>
      <c r="E36" s="9">
        <v>0.71</v>
      </c>
      <c r="F36" s="9">
        <v>0.437</v>
      </c>
      <c r="G36" s="9">
        <v>0.83099999999999996</v>
      </c>
      <c r="H36" s="9">
        <v>23.9</v>
      </c>
      <c r="I36">
        <f t="shared" si="2"/>
        <v>0.83840000000000003</v>
      </c>
      <c r="J36">
        <f>IF(Settings!$B$10="anc4",D36*E36,IF(Settings!$B$10="anc1",C36*E36,C36*(G36*I36+F36*(1-I36))*E36))</f>
        <v>0.34050250999999998</v>
      </c>
      <c r="K36">
        <f>IF(Settings!$B$9="invest",Schedule!R36,IF(Settings!$B$9="hist",Schedule!U36,IF(Settings!$B$9="pcv",Schedule!M36,IF(Settings!$B$9="rota",Schedule!N36,Schedule!O36))))+Settings!$B$11</f>
        <v>2030</v>
      </c>
      <c r="L36">
        <f>IF(Schedule!H36=1,Settings!$B$4,Settings!$B$5)</f>
        <v>2</v>
      </c>
      <c r="M36" s="9">
        <v>1</v>
      </c>
      <c r="N36">
        <f t="shared" si="3"/>
        <v>1.024485196188915</v>
      </c>
      <c r="O36">
        <f>IF(O$2&lt;$K36,0,IF(O$2-$K36+1&lt;$L36,IF($L36=2,Settings!$B$8,(O$2-$K36+1)/$L36),IF($J36*$M36&gt;=Settings!$B$15,1,MIN(Settings!$B$15,$J36*$M36+IF($J36*$M36&lt;Settings!$B$16,Settings!$B$17,Settings!$B$18)*(O$2-$K36-$L36+1))/($J36*$M36))))</f>
        <v>0</v>
      </c>
      <c r="P36">
        <f>IF(P$2&lt;$K36,0,IF(AND(P$2=$K36,$L36=2),Settings!$B$8,IF(P$2-$K36+1&lt;$L36,(P$2-$K36+1)/$L36,IF($J36*$M36&gt;=0.9,1,MIN(0.9,$J36*$M36+IF($J36*$M36&lt;0.7,0.03,0.01)*(P$2-$K36-$L36+1))/($J36*$M36)))))</f>
        <v>0</v>
      </c>
      <c r="Q36">
        <f>IF(Q$2&lt;$K36,0,IF(AND(Q$2=$K36,$L36=2),Settings!$B$8,IF(Q$2-$K36+1&lt;$L36,(Q$2-$K36+1)/$L36,IF($J36*$M36&gt;=0.9,1,MIN(0.9,$J36*$M36+IF($J36*$M36&lt;0.7,0.03,0.01)*(Q$2-$K36-$L36+1))/($J36*$M36)))))</f>
        <v>0.8</v>
      </c>
      <c r="R36">
        <f>IF(R$2&lt;$K36,0,IF(AND(R$2=$K36,$L36=2),Settings!$B$8,IF(R$2-$K36+1&lt;$L36,(R$2-$K36+1)/$L36,IF($J36*$M36&gt;=0.9,1,MIN(0.9,$J36*$M36+IF($J36*$M36&lt;0.7,0.03,0.01)*(R$2-$K36-$L36+1))/($J36*$M36)))))</f>
        <v>1</v>
      </c>
      <c r="S36">
        <f>IF(S$2&lt;$K36,0,IF(AND(S$2=$K36,$L36=2),Settings!$B$8,IF(S$2-$K36+1&lt;$L36,(S$2-$K36+1)/$L36,IF($J36*$M36&gt;=0.9,1,MIN(0.9,$J36*$M36+IF($J36*$M36&lt;0.7,0.03,0.01)*(S$2-$K36-$L36+1))/($J36*$M36)))))</f>
        <v>1.0881050774045691</v>
      </c>
      <c r="T36">
        <f>IF(T$2&lt;$K36,0,IF(AND(T$2=$K36,$L36=2),Settings!$B$8,IF(T$2-$K36+1&lt;$L36,(T$2-$K36+1)/$L36,IF($J36*$M36&gt;=0.9,1,MIN(0.9,$J36*$M36+IF($J36*$M36&lt;0.7,0.03,0.01)*(T$2-$K36-$L36+1))/($J36*$M36)))))</f>
        <v>1.1762101548091379</v>
      </c>
      <c r="U36">
        <f>IF(U$2&lt;$K36,0,IF(AND(U$2=$K36,$L36=2),Settings!$B$8,IF(U$2-$K36+1&lt;$L36,(U$2-$K36+1)/$L36,IF($J36*$M36&gt;=0.9,1,MIN(0.9,$J36*$M36+IF($J36*$M36&lt;0.7,0.03,0.01)*(U$2-$K36-$L36+1))/($J36*$M36)))))</f>
        <v>1.2643152322137066</v>
      </c>
      <c r="V36">
        <f>IF(V$2&lt;$K36,0,IF(AND(V$2=$K36,$L36=2),Settings!$B$8,IF(V$2-$K36+1&lt;$L36,(V$2-$K36+1)/$L36,IF($J36*$M36&gt;=0.9,1,MIN(0.9,$J36*$M36+IF($J36*$M36&lt;0.7,0.03,0.01)*(V$2-$K36-$L36+1))/($J36*$M36)))))</f>
        <v>1.3524203096182756</v>
      </c>
      <c r="W36">
        <f>IF(W$2&lt;$K36,0,IF(AND(W$2=$K36,$L36=2),Settings!$B$8,IF(W$2-$K36+1&lt;$L36,(W$2-$K36+1)/$L36,IF($J36*$M36&gt;=0.9,1,MIN(0.9,$J36*$M36+IF($J36*$M36&lt;0.7,0.03,0.01)*(W$2-$K36-$L36+1))/($J36*$M36)))))</f>
        <v>1.4405253870228447</v>
      </c>
      <c r="X36">
        <f>IF(X$2&lt;$K36,0,IF(AND(X$2=$K36,$L36=2),Settings!$B$8,IF(X$2-$K36+1&lt;$L36,(X$2-$K36+1)/$L36,IF($J36*$M36&gt;=0.9,1,MIN(0.9,$J36*$M36+IF($J36*$M36&lt;0.7,0.03,0.01)*(X$2-$K36-$L36+1))/($J36*$M36)))))</f>
        <v>1.5286304644274136</v>
      </c>
      <c r="Y36" s="9">
        <v>7824728</v>
      </c>
      <c r="Z36" s="9">
        <v>7899762</v>
      </c>
      <c r="AA36" s="9">
        <v>7944598</v>
      </c>
      <c r="AB36" s="9">
        <v>8000665</v>
      </c>
      <c r="AC36" s="9">
        <v>8059355</v>
      </c>
      <c r="AD36" s="9">
        <v>8088357</v>
      </c>
      <c r="AE36" s="9">
        <v>8128867</v>
      </c>
      <c r="AF36" s="9">
        <v>8162898</v>
      </c>
      <c r="AG36" s="9">
        <v>8192474</v>
      </c>
      <c r="AH36" s="9">
        <v>8204971</v>
      </c>
      <c r="AI36">
        <f>AS36*(1+Settings!$B$7)</f>
        <v>0</v>
      </c>
      <c r="AJ36">
        <f>IF(Settings!$B$13="annual",AT36*(1+Settings!$B$7),AT36+Settings!$B$7*IF(AT36&gt;AS36,AT36-AS36,0))</f>
        <v>0</v>
      </c>
      <c r="AK36">
        <f>IF(Settings!$B$13="annual",AU36*(1+Settings!$B$7),AU36+Settings!$B$7*IF(AU36&gt;AT36,AU36-AT36,0))</f>
        <v>3131672.7617388656</v>
      </c>
      <c r="AL36">
        <f>IF(Settings!$B$13="annual",AV36*(1+Settings!$B$7),AV36+Settings!$B$7*IF(AV36&gt;AU36,AV36-AU36,0))</f>
        <v>3315882.6398086902</v>
      </c>
      <c r="AM36">
        <f>IF(Settings!$B$13="annual",AW36*(1+Settings!$B$7),AW36+Settings!$B$7*IF(AW36&gt;AV36,AW36-AV36,0))</f>
        <v>3532569.6747533018</v>
      </c>
      <c r="AN36">
        <f>IF(Settings!$B$13="annual",AX36*(1+Settings!$B$7),AX36+Settings!$B$7*IF(AX36&gt;AW36,AX36-AW36,0))</f>
        <v>3823496.1616986496</v>
      </c>
      <c r="AO36">
        <f>IF(Settings!$B$13="annual",AY36*(1+Settings!$B$7),AY36+Settings!$B$7*IF(AY36&gt;AX36,AY36-AX36,0))</f>
        <v>4126531.9840667951</v>
      </c>
      <c r="AP36">
        <f>IF(Settings!$B$13="annual",AZ36*(1+Settings!$B$7),AZ36+Settings!$B$7*IF(AZ36&gt;AY36,AZ36-AY36,0))</f>
        <v>4426830.117284989</v>
      </c>
      <c r="AQ36">
        <f>IF(Settings!$B$13="annual",BA36*(1+Settings!$B$7),BA36+Settings!$B$7*IF(BA36&gt;AZ36,BA36-AZ36,0))</f>
        <v>4727080.8880807376</v>
      </c>
      <c r="AR36">
        <f>IF(Settings!$B$13="annual",BB36*(1+Settings!$B$7),BB36+Settings!$B$7*IF(BB36&gt;BA36,BB36-BA36,0))</f>
        <v>5017076.9803163698</v>
      </c>
      <c r="AS36">
        <f>Y36*$N36*$J36*$M36*O36*Settings!$B$6</f>
        <v>0</v>
      </c>
      <c r="AT36">
        <f>Z36*$N36*$J36*$M36*P36*Settings!$B$6</f>
        <v>0</v>
      </c>
      <c r="AU36">
        <f>AA36*$N36*$J36*$M36*Q36*Settings!$B$6</f>
        <v>2505338.2093910924</v>
      </c>
      <c r="AV36">
        <f>AB36*$N36*$J36*$M36*R36*Settings!$B$6</f>
        <v>3153773.7537251706</v>
      </c>
      <c r="AW36">
        <f>AC36*$N36*$J36*$M36*S36*Settings!$B$6</f>
        <v>3456810.4905476756</v>
      </c>
      <c r="AX36">
        <f>AD36*$N36*$J36*$M36*T36*Settings!$B$6</f>
        <v>3750159.027468455</v>
      </c>
      <c r="AY36">
        <f>AE36*$N36*$J36*$M36*U36*Settings!$B$6</f>
        <v>4051257.392747127</v>
      </c>
      <c r="AZ36">
        <f>AF36*$N36*$J36*$M36*V36*Settings!$B$6</f>
        <v>4351715.5723774163</v>
      </c>
      <c r="BA36">
        <f>AG36*$N36*$J36*$M36*W36*Settings!$B$6</f>
        <v>4652007.8249400733</v>
      </c>
      <c r="BB36">
        <f>AH36*$N36*$J36*$M36*X36*Settings!$B$6</f>
        <v>4944063.1492411103</v>
      </c>
    </row>
    <row r="37" spans="1:54" ht="15" customHeight="1">
      <c r="A37" t="s">
        <v>113</v>
      </c>
      <c r="B37" t="s">
        <v>114</v>
      </c>
      <c r="C37" s="9">
        <v>0.94299999999999995</v>
      </c>
      <c r="D37" s="9">
        <v>0.80500000000000005</v>
      </c>
      <c r="E37" s="9">
        <v>0.98</v>
      </c>
      <c r="F37" s="9">
        <v>0.77100000000000002</v>
      </c>
      <c r="G37" s="9">
        <v>0.872</v>
      </c>
      <c r="H37" s="9">
        <v>13.5</v>
      </c>
      <c r="I37">
        <f t="shared" si="2"/>
        <v>0.85365853658536595</v>
      </c>
      <c r="J37">
        <f>IF(Settings!$B$10="anc4",D37*E37,IF(Settings!$B$10="anc1",C37*E37,C37*(G37*I37+F37*(1-I37))*E37))</f>
        <v>0.79219083999999995</v>
      </c>
      <c r="K37">
        <f>IF(Settings!$B$9="invest",Schedule!R37,IF(Settings!$B$9="hist",Schedule!U37,IF(Settings!$B$9="pcv",Schedule!M37,IF(Settings!$B$9="rota",Schedule!N37,Schedule!O37))))+Settings!$B$11</f>
        <v>2041</v>
      </c>
      <c r="L37">
        <f>IF(Schedule!H37=1,Settings!$B$4,Settings!$B$5)</f>
        <v>2</v>
      </c>
      <c r="M37" s="9">
        <v>1</v>
      </c>
      <c r="N37">
        <f t="shared" si="3"/>
        <v>1.0136847440446022</v>
      </c>
      <c r="O37">
        <f>IF(O$2&lt;$K37,0,IF(O$2-$K37+1&lt;$L37,IF($L37=2,Settings!$B$8,(O$2-$K37+1)/$L37),IF($J37*$M37&gt;=Settings!$B$15,1,MIN(Settings!$B$15,$J37*$M37+IF($J37*$M37&lt;Settings!$B$16,Settings!$B$17,Settings!$B$18)*(O$2-$K37-$L37+1))/($J37*$M37))))</f>
        <v>0</v>
      </c>
      <c r="P37">
        <f>IF(P$2&lt;$K37,0,IF(AND(P$2=$K37,$L37=2),Settings!$B$8,IF(P$2-$K37+1&lt;$L37,(P$2-$K37+1)/$L37,IF($J37*$M37&gt;=0.9,1,MIN(0.9,$J37*$M37+IF($J37*$M37&lt;0.7,0.03,0.01)*(P$2-$K37-$L37+1))/($J37*$M37)))))</f>
        <v>0</v>
      </c>
      <c r="Q37">
        <f>IF(Q$2&lt;$K37,0,IF(AND(Q$2=$K37,$L37=2),Settings!$B$8,IF(Q$2-$K37+1&lt;$L37,(Q$2-$K37+1)/$L37,IF($J37*$M37&gt;=0.9,1,MIN(0.9,$J37*$M37+IF($J37*$M37&lt;0.7,0.03,0.01)*(Q$2-$K37-$L37+1))/($J37*$M37)))))</f>
        <v>0</v>
      </c>
      <c r="R37">
        <f>IF(R$2&lt;$K37,0,IF(AND(R$2=$K37,$L37=2),Settings!$B$8,IF(R$2-$K37+1&lt;$L37,(R$2-$K37+1)/$L37,IF($J37*$M37&gt;=0.9,1,MIN(0.9,$J37*$M37+IF($J37*$M37&lt;0.7,0.03,0.01)*(R$2-$K37-$L37+1))/($J37*$M37)))))</f>
        <v>0</v>
      </c>
      <c r="S37">
        <f>IF(S$2&lt;$K37,0,IF(AND(S$2=$K37,$L37=2),Settings!$B$8,IF(S$2-$K37+1&lt;$L37,(S$2-$K37+1)/$L37,IF($J37*$M37&gt;=0.9,1,MIN(0.9,$J37*$M37+IF($J37*$M37&lt;0.7,0.03,0.01)*(S$2-$K37-$L37+1))/($J37*$M37)))))</f>
        <v>0</v>
      </c>
      <c r="T37">
        <f>IF(T$2&lt;$K37,0,IF(AND(T$2=$K37,$L37=2),Settings!$B$8,IF(T$2-$K37+1&lt;$L37,(T$2-$K37+1)/$L37,IF($J37*$M37&gt;=0.9,1,MIN(0.9,$J37*$M37+IF($J37*$M37&lt;0.7,0.03,0.01)*(T$2-$K37-$L37+1))/($J37*$M37)))))</f>
        <v>0</v>
      </c>
      <c r="U37">
        <f>IF(U$2&lt;$K37,0,IF(AND(U$2=$K37,$L37=2),Settings!$B$8,IF(U$2-$K37+1&lt;$L37,(U$2-$K37+1)/$L37,IF($J37*$M37&gt;=0.9,1,MIN(0.9,$J37*$M37+IF($J37*$M37&lt;0.7,0.03,0.01)*(U$2-$K37-$L37+1))/($J37*$M37)))))</f>
        <v>0</v>
      </c>
      <c r="V37">
        <f>IF(V$2&lt;$K37,0,IF(AND(V$2=$K37,$L37=2),Settings!$B$8,IF(V$2-$K37+1&lt;$L37,(V$2-$K37+1)/$L37,IF($J37*$M37&gt;=0.9,1,MIN(0.9,$J37*$M37+IF($J37*$M37&lt;0.7,0.03,0.01)*(V$2-$K37-$L37+1))/($J37*$M37)))))</f>
        <v>0</v>
      </c>
      <c r="W37">
        <f>IF(W$2&lt;$K37,0,IF(AND(W$2=$K37,$L37=2),Settings!$B$8,IF(W$2-$K37+1&lt;$L37,(W$2-$K37+1)/$L37,IF($J37*$M37&gt;=0.9,1,MIN(0.9,$J37*$M37+IF($J37*$M37&lt;0.7,0.03,0.01)*(W$2-$K37-$L37+1))/($J37*$M37)))))</f>
        <v>0</v>
      </c>
      <c r="X37">
        <f>IF(X$2&lt;$K37,0,IF(AND(X$2=$K37,$L37=2),Settings!$B$8,IF(X$2-$K37+1&lt;$L37,(X$2-$K37+1)/$L37,IF($J37*$M37&gt;=0.9,1,MIN(0.9,$J37*$M37+IF($J37*$M37&lt;0.7,0.03,0.01)*(X$2-$K37-$L37+1))/($J37*$M37)))))</f>
        <v>0</v>
      </c>
      <c r="Y37" s="9">
        <v>527550</v>
      </c>
      <c r="Z37" s="9">
        <v>523168</v>
      </c>
      <c r="AA37" s="9">
        <v>517956</v>
      </c>
      <c r="AB37" s="9">
        <v>512426</v>
      </c>
      <c r="AC37" s="9">
        <v>507576</v>
      </c>
      <c r="AD37" s="9">
        <v>502267</v>
      </c>
      <c r="AE37" s="9">
        <v>497077</v>
      </c>
      <c r="AF37" s="9">
        <v>491100</v>
      </c>
      <c r="AG37" s="9">
        <v>486480</v>
      </c>
      <c r="AH37" s="9">
        <v>481899</v>
      </c>
      <c r="AI37">
        <f>AS37*(1+Settings!$B$7)</f>
        <v>0</v>
      </c>
      <c r="AJ37">
        <f>IF(Settings!$B$13="annual",AT37*(1+Settings!$B$7),AT37+Settings!$B$7*IF(AT37&gt;AS37,AT37-AS37,0))</f>
        <v>0</v>
      </c>
      <c r="AK37">
        <f>IF(Settings!$B$13="annual",AU37*(1+Settings!$B$7),AU37+Settings!$B$7*IF(AU37&gt;AT37,AU37-AT37,0))</f>
        <v>0</v>
      </c>
      <c r="AL37">
        <f>IF(Settings!$B$13="annual",AV37*(1+Settings!$B$7),AV37+Settings!$B$7*IF(AV37&gt;AU37,AV37-AU37,0))</f>
        <v>0</v>
      </c>
      <c r="AM37">
        <f>IF(Settings!$B$13="annual",AW37*(1+Settings!$B$7),AW37+Settings!$B$7*IF(AW37&gt;AV37,AW37-AV37,0))</f>
        <v>0</v>
      </c>
      <c r="AN37">
        <f>IF(Settings!$B$13="annual",AX37*(1+Settings!$B$7),AX37+Settings!$B$7*IF(AX37&gt;AW37,AX37-AW37,0))</f>
        <v>0</v>
      </c>
      <c r="AO37">
        <f>IF(Settings!$B$13="annual",AY37*(1+Settings!$B$7),AY37+Settings!$B$7*IF(AY37&gt;AX37,AY37-AX37,0))</f>
        <v>0</v>
      </c>
      <c r="AP37">
        <f>IF(Settings!$B$13="annual",AZ37*(1+Settings!$B$7),AZ37+Settings!$B$7*IF(AZ37&gt;AY37,AZ37-AY37,0))</f>
        <v>0</v>
      </c>
      <c r="AQ37">
        <f>IF(Settings!$B$13="annual",BA37*(1+Settings!$B$7),BA37+Settings!$B$7*IF(BA37&gt;AZ37,BA37-AZ37,0))</f>
        <v>0</v>
      </c>
      <c r="AR37">
        <f>IF(Settings!$B$13="annual",BB37*(1+Settings!$B$7),BB37+Settings!$B$7*IF(BB37&gt;BA37,BB37-BA37,0))</f>
        <v>0</v>
      </c>
      <c r="AS37">
        <f>Y37*$N37*$J37*$M37*O37*Settings!$B$6</f>
        <v>0</v>
      </c>
      <c r="AT37">
        <f>Z37*$N37*$J37*$M37*P37*Settings!$B$6</f>
        <v>0</v>
      </c>
      <c r="AU37">
        <f>AA37*$N37*$J37*$M37*Q37*Settings!$B$6</f>
        <v>0</v>
      </c>
      <c r="AV37">
        <f>AB37*$N37*$J37*$M37*R37*Settings!$B$6</f>
        <v>0</v>
      </c>
      <c r="AW37">
        <f>AC37*$N37*$J37*$M37*S37*Settings!$B$6</f>
        <v>0</v>
      </c>
      <c r="AX37">
        <f>AD37*$N37*$J37*$M37*T37*Settings!$B$6</f>
        <v>0</v>
      </c>
      <c r="AY37">
        <f>AE37*$N37*$J37*$M37*U37*Settings!$B$6</f>
        <v>0</v>
      </c>
      <c r="AZ37">
        <f>AF37*$N37*$J37*$M37*V37*Settings!$B$6</f>
        <v>0</v>
      </c>
      <c r="BA37">
        <f>AG37*$N37*$J37*$M37*W37*Settings!$B$6</f>
        <v>0</v>
      </c>
      <c r="BB37">
        <f>AH37*$N37*$J37*$M37*X37*Settings!$B$6</f>
        <v>0</v>
      </c>
    </row>
    <row r="38" spans="1:54" ht="15" customHeight="1">
      <c r="A38" t="s">
        <v>115</v>
      </c>
      <c r="B38" t="s">
        <v>116</v>
      </c>
      <c r="C38" s="9">
        <v>0.91200000000000003</v>
      </c>
      <c r="D38" s="9">
        <v>0.52400000000000002</v>
      </c>
      <c r="E38" s="9">
        <v>0.94</v>
      </c>
      <c r="F38" s="9">
        <v>0.52600000000000002</v>
      </c>
      <c r="G38" s="9">
        <v>0.84299999999999997</v>
      </c>
      <c r="H38" s="9">
        <v>27.6</v>
      </c>
      <c r="I38">
        <f t="shared" si="2"/>
        <v>0.57456140350877194</v>
      </c>
      <c r="J38">
        <f>IF(Settings!$B$10="anc4",D38*E38,IF(Settings!$B$10="anc1",C38*E38,C38*(G38*I38+F38*(1-I38))*E38))</f>
        <v>0.60707080000000002</v>
      </c>
      <c r="K38">
        <f>IF(Settings!$B$9="invest",Schedule!R38,IF(Settings!$B$9="hist",Schedule!U38,IF(Settings!$B$9="pcv",Schedule!M38,IF(Settings!$B$9="rota",Schedule!N38,Schedule!O38))))+Settings!$B$11</f>
        <v>2034</v>
      </c>
      <c r="L38">
        <f>IF(Schedule!H38=1,Settings!$B$4,Settings!$B$5)</f>
        <v>3</v>
      </c>
      <c r="M38" s="9">
        <v>1</v>
      </c>
      <c r="N38">
        <f t="shared" si="3"/>
        <v>1.0283833813245578</v>
      </c>
      <c r="O38">
        <f>IF(O$2&lt;$K38,0,IF(O$2-$K38+1&lt;$L38,IF($L38=2,Settings!$B$8,(O$2-$K38+1)/$L38),IF($J38*$M38&gt;=Settings!$B$15,1,MIN(Settings!$B$15,$J38*$M38+IF($J38*$M38&lt;Settings!$B$16,Settings!$B$17,Settings!$B$18)*(O$2-$K38-$L38+1))/($J38*$M38))))</f>
        <v>0</v>
      </c>
      <c r="P38">
        <f>IF(P$2&lt;$K38,0,IF(AND(P$2=$K38,$L38=2),Settings!$B$8,IF(P$2-$K38+1&lt;$L38,(P$2-$K38+1)/$L38,IF($J38*$M38&gt;=0.9,1,MIN(0.9,$J38*$M38+IF($J38*$M38&lt;0.7,0.03,0.01)*(P$2-$K38-$L38+1))/($J38*$M38)))))</f>
        <v>0</v>
      </c>
      <c r="Q38">
        <f>IF(Q$2&lt;$K38,0,IF(AND(Q$2=$K38,$L38=2),Settings!$B$8,IF(Q$2-$K38+1&lt;$L38,(Q$2-$K38+1)/$L38,IF($J38*$M38&gt;=0.9,1,MIN(0.9,$J38*$M38+IF($J38*$M38&lt;0.7,0.03,0.01)*(Q$2-$K38-$L38+1))/($J38*$M38)))))</f>
        <v>0</v>
      </c>
      <c r="R38">
        <f>IF(R$2&lt;$K38,0,IF(AND(R$2=$K38,$L38=2),Settings!$B$8,IF(R$2-$K38+1&lt;$L38,(R$2-$K38+1)/$L38,IF($J38*$M38&gt;=0.9,1,MIN(0.9,$J38*$M38+IF($J38*$M38&lt;0.7,0.03,0.01)*(R$2-$K38-$L38+1))/($J38*$M38)))))</f>
        <v>0</v>
      </c>
      <c r="S38">
        <f>IF(S$2&lt;$K38,0,IF(AND(S$2=$K38,$L38=2),Settings!$B$8,IF(S$2-$K38+1&lt;$L38,(S$2-$K38+1)/$L38,IF($J38*$M38&gt;=0.9,1,MIN(0.9,$J38*$M38+IF($J38*$M38&lt;0.7,0.03,0.01)*(S$2-$K38-$L38+1))/($J38*$M38)))))</f>
        <v>0</v>
      </c>
      <c r="T38">
        <f>IF(T$2&lt;$K38,0,IF(AND(T$2=$K38,$L38=2),Settings!$B$8,IF(T$2-$K38+1&lt;$L38,(T$2-$K38+1)/$L38,IF($J38*$M38&gt;=0.9,1,MIN(0.9,$J38*$M38+IF($J38*$M38&lt;0.7,0.03,0.01)*(T$2-$K38-$L38+1))/($J38*$M38)))))</f>
        <v>0</v>
      </c>
      <c r="U38">
        <f>IF(U$2&lt;$K38,0,IF(AND(U$2=$K38,$L38=2),Settings!$B$8,IF(U$2-$K38+1&lt;$L38,(U$2-$K38+1)/$L38,IF($J38*$M38&gt;=0.9,1,MIN(0.9,$J38*$M38+IF($J38*$M38&lt;0.7,0.03,0.01)*(U$2-$K38-$L38+1))/($J38*$M38)))))</f>
        <v>0.33333333333333331</v>
      </c>
      <c r="V38">
        <f>IF(V$2&lt;$K38,0,IF(AND(V$2=$K38,$L38=2),Settings!$B$8,IF(V$2-$K38+1&lt;$L38,(V$2-$K38+1)/$L38,IF($J38*$M38&gt;=0.9,1,MIN(0.9,$J38*$M38+IF($J38*$M38&lt;0.7,0.03,0.01)*(V$2-$K38-$L38+1))/($J38*$M38)))))</f>
        <v>0.66666666666666663</v>
      </c>
      <c r="W38">
        <f>IF(W$2&lt;$K38,0,IF(AND(W$2=$K38,$L38=2),Settings!$B$8,IF(W$2-$K38+1&lt;$L38,(W$2-$K38+1)/$L38,IF($J38*$M38&gt;=0.9,1,MIN(0.9,$J38*$M38+IF($J38*$M38&lt;0.7,0.03,0.01)*(W$2-$K38-$L38+1))/($J38*$M38)))))</f>
        <v>1</v>
      </c>
      <c r="X38">
        <f>IF(X$2&lt;$K38,0,IF(AND(X$2=$K38,$L38=2),Settings!$B$8,IF(X$2-$K38+1&lt;$L38,(X$2-$K38+1)/$L38,IF($J38*$M38&gt;=0.9,1,MIN(0.9,$J38*$M38+IF($J38*$M38&lt;0.7,0.03,0.01)*(X$2-$K38-$L38+1))/($J38*$M38)))))</f>
        <v>1.0494176297064528</v>
      </c>
      <c r="Y38" s="9">
        <v>7018316</v>
      </c>
      <c r="Z38" s="9">
        <v>7081601</v>
      </c>
      <c r="AA38" s="9">
        <v>7144898</v>
      </c>
      <c r="AB38" s="9">
        <v>7204434</v>
      </c>
      <c r="AC38" s="9">
        <v>7264741</v>
      </c>
      <c r="AD38" s="9">
        <v>7326778</v>
      </c>
      <c r="AE38" s="9">
        <v>7376136</v>
      </c>
      <c r="AF38" s="9">
        <v>7427400</v>
      </c>
      <c r="AG38" s="9">
        <v>7467084</v>
      </c>
      <c r="AH38" s="9">
        <v>7505773</v>
      </c>
      <c r="AI38">
        <f>AS38*(1+Settings!$B$7)</f>
        <v>0</v>
      </c>
      <c r="AJ38">
        <f>IF(Settings!$B$13="annual",AT38*(1+Settings!$B$7),AT38+Settings!$B$7*IF(AT38&gt;AS38,AT38-AS38,0))</f>
        <v>0</v>
      </c>
      <c r="AK38">
        <f>IF(Settings!$B$13="annual",AU38*(1+Settings!$B$7),AU38+Settings!$B$7*IF(AU38&gt;AT38,AU38-AT38,0))</f>
        <v>0</v>
      </c>
      <c r="AL38">
        <f>IF(Settings!$B$13="annual",AV38*(1+Settings!$B$7),AV38+Settings!$B$7*IF(AV38&gt;AU38,AV38-AU38,0))</f>
        <v>0</v>
      </c>
      <c r="AM38">
        <f>IF(Settings!$B$13="annual",AW38*(1+Settings!$B$7),AW38+Settings!$B$7*IF(AW38&gt;AV38,AW38-AV38,0))</f>
        <v>0</v>
      </c>
      <c r="AN38">
        <f>IF(Settings!$B$13="annual",AX38*(1+Settings!$B$7),AX38+Settings!$B$7*IF(AX38&gt;AW38,AX38-AW38,0))</f>
        <v>0</v>
      </c>
      <c r="AO38">
        <f>IF(Settings!$B$13="annual",AY38*(1+Settings!$B$7),AY38+Settings!$B$7*IF(AY38&gt;AX38,AY38-AX38,0))</f>
        <v>2168155.9218362398</v>
      </c>
      <c r="AP38">
        <f>IF(Settings!$B$13="annual",AZ38*(1+Settings!$B$7),AZ38+Settings!$B$7*IF(AZ38&gt;AY38,AZ38-AY38,0))</f>
        <v>3932817.9412580086</v>
      </c>
      <c r="AQ38">
        <f>IF(Settings!$B$13="annual",BA38*(1+Settings!$B$7),BA38+Settings!$B$7*IF(BA38&gt;AZ38,BA38-AZ38,0))</f>
        <v>5711378.2423219038</v>
      </c>
      <c r="AR38">
        <f>IF(Settings!$B$13="annual",BB38*(1+Settings!$B$7),BB38+Settings!$B$7*IF(BB38&gt;BA38,BB38-BA38,0))</f>
        <v>5628936.0838999189</v>
      </c>
      <c r="AS38">
        <f>Y38*$N38*$J38*$M38*O38*Settings!$B$6</f>
        <v>0</v>
      </c>
      <c r="AT38">
        <f>Z38*$N38*$J38*$M38*P38*Settings!$B$6</f>
        <v>0</v>
      </c>
      <c r="AU38">
        <f>AA38*$N38*$J38*$M38*Q38*Settings!$B$6</f>
        <v>0</v>
      </c>
      <c r="AV38">
        <f>AB38*$N38*$J38*$M38*R38*Settings!$B$6</f>
        <v>0</v>
      </c>
      <c r="AW38">
        <f>AC38*$N38*$J38*$M38*S38*Settings!$B$6</f>
        <v>0</v>
      </c>
      <c r="AX38">
        <f>AD38*$N38*$J38*$M38*T38*Settings!$B$6</f>
        <v>0</v>
      </c>
      <c r="AY38">
        <f>AE38*$N38*$J38*$M38*U38*Settings!$B$6</f>
        <v>1734524.7374689919</v>
      </c>
      <c r="AZ38">
        <f>AF38*$N38*$J38*$M38*V38*Settings!$B$6</f>
        <v>3493159.3005002053</v>
      </c>
      <c r="BA38">
        <f>AG38*$N38*$J38*$M38*W38*Settings!$B$6</f>
        <v>5267734.4539575642</v>
      </c>
      <c r="BB38">
        <f>AH38*$N38*$J38*$M38*X38*Settings!$B$6</f>
        <v>5556695.7579114484</v>
      </c>
    </row>
    <row r="39" spans="1:54" ht="15" customHeight="1">
      <c r="A39" t="s">
        <v>117</v>
      </c>
      <c r="B39" t="s">
        <v>118</v>
      </c>
      <c r="C39" s="9">
        <v>0.76100000000000001</v>
      </c>
      <c r="D39" s="9">
        <v>0.49</v>
      </c>
      <c r="E39" s="9">
        <v>0.49</v>
      </c>
      <c r="F39" s="9">
        <v>0.52600000000000002</v>
      </c>
      <c r="G39" s="9">
        <v>0.84299999999999997</v>
      </c>
      <c r="H39" s="9">
        <v>19.2</v>
      </c>
      <c r="I39">
        <f t="shared" si="2"/>
        <v>0.64388961892247043</v>
      </c>
      <c r="J39">
        <f>IF(Settings!$B$10="anc4",D39*E39,IF(Settings!$B$10="anc1",C39*E39,C39*(G39*I39+F39*(1-I39))*E39))</f>
        <v>0.27225183999999997</v>
      </c>
      <c r="K39">
        <f>IF(Settings!$B$9="invest",Schedule!R39,IF(Settings!$B$9="hist",Schedule!U39,IF(Settings!$B$9="pcv",Schedule!M39,IF(Settings!$B$9="rota",Schedule!N39,Schedule!O39))))+Settings!$B$11</f>
        <v>2041</v>
      </c>
      <c r="L39">
        <f>IF(Schedule!H39=1,Settings!$B$4,Settings!$B$5)</f>
        <v>2</v>
      </c>
      <c r="M39" s="9">
        <v>1</v>
      </c>
      <c r="N39">
        <f t="shared" si="3"/>
        <v>1.0195758564437194</v>
      </c>
      <c r="O39">
        <f>IF(O$2&lt;$K39,0,IF(O$2-$K39+1&lt;$L39,IF($L39=2,Settings!$B$8,(O$2-$K39+1)/$L39),IF($J39*$M39&gt;=Settings!$B$15,1,MIN(Settings!$B$15,$J39*$M39+IF($J39*$M39&lt;Settings!$B$16,Settings!$B$17,Settings!$B$18)*(O$2-$K39-$L39+1))/($J39*$M39))))</f>
        <v>0</v>
      </c>
      <c r="P39">
        <f>IF(P$2&lt;$K39,0,IF(AND(P$2=$K39,$L39=2),Settings!$B$8,IF(P$2-$K39+1&lt;$L39,(P$2-$K39+1)/$L39,IF($J39*$M39&gt;=0.9,1,MIN(0.9,$J39*$M39+IF($J39*$M39&lt;0.7,0.03,0.01)*(P$2-$K39-$L39+1))/($J39*$M39)))))</f>
        <v>0</v>
      </c>
      <c r="Q39">
        <f>IF(Q$2&lt;$K39,0,IF(AND(Q$2=$K39,$L39=2),Settings!$B$8,IF(Q$2-$K39+1&lt;$L39,(Q$2-$K39+1)/$L39,IF($J39*$M39&gt;=0.9,1,MIN(0.9,$J39*$M39+IF($J39*$M39&lt;0.7,0.03,0.01)*(Q$2-$K39-$L39+1))/($J39*$M39)))))</f>
        <v>0</v>
      </c>
      <c r="R39">
        <f>IF(R$2&lt;$K39,0,IF(AND(R$2=$K39,$L39=2),Settings!$B$8,IF(R$2-$K39+1&lt;$L39,(R$2-$K39+1)/$L39,IF($J39*$M39&gt;=0.9,1,MIN(0.9,$J39*$M39+IF($J39*$M39&lt;0.7,0.03,0.01)*(R$2-$K39-$L39+1))/($J39*$M39)))))</f>
        <v>0</v>
      </c>
      <c r="S39">
        <f>IF(S$2&lt;$K39,0,IF(AND(S$2=$K39,$L39=2),Settings!$B$8,IF(S$2-$K39+1&lt;$L39,(S$2-$K39+1)/$L39,IF($J39*$M39&gt;=0.9,1,MIN(0.9,$J39*$M39+IF($J39*$M39&lt;0.7,0.03,0.01)*(S$2-$K39-$L39+1))/($J39*$M39)))))</f>
        <v>0</v>
      </c>
      <c r="T39">
        <f>IF(T$2&lt;$K39,0,IF(AND(T$2=$K39,$L39=2),Settings!$B$8,IF(T$2-$K39+1&lt;$L39,(T$2-$K39+1)/$L39,IF($J39*$M39&gt;=0.9,1,MIN(0.9,$J39*$M39+IF($J39*$M39&lt;0.7,0.03,0.01)*(T$2-$K39-$L39+1))/($J39*$M39)))))</f>
        <v>0</v>
      </c>
      <c r="U39">
        <f>IF(U$2&lt;$K39,0,IF(AND(U$2=$K39,$L39=2),Settings!$B$8,IF(U$2-$K39+1&lt;$L39,(U$2-$K39+1)/$L39,IF($J39*$M39&gt;=0.9,1,MIN(0.9,$J39*$M39+IF($J39*$M39&lt;0.7,0.03,0.01)*(U$2-$K39-$L39+1))/($J39*$M39)))))</f>
        <v>0</v>
      </c>
      <c r="V39">
        <f>IF(V$2&lt;$K39,0,IF(AND(V$2=$K39,$L39=2),Settings!$B$8,IF(V$2-$K39+1&lt;$L39,(V$2-$K39+1)/$L39,IF($J39*$M39&gt;=0.9,1,MIN(0.9,$J39*$M39+IF($J39*$M39&lt;0.7,0.03,0.01)*(V$2-$K39-$L39+1))/($J39*$M39)))))</f>
        <v>0</v>
      </c>
      <c r="W39">
        <f>IF(W$2&lt;$K39,0,IF(AND(W$2=$K39,$L39=2),Settings!$B$8,IF(W$2-$K39+1&lt;$L39,(W$2-$K39+1)/$L39,IF($J39*$M39&gt;=0.9,1,MIN(0.9,$J39*$M39+IF($J39*$M39&lt;0.7,0.03,0.01)*(W$2-$K39-$L39+1))/($J39*$M39)))))</f>
        <v>0</v>
      </c>
      <c r="X39">
        <f>IF(X$2&lt;$K39,0,IF(AND(X$2=$K39,$L39=2),Settings!$B$8,IF(X$2-$K39+1&lt;$L39,(X$2-$K39+1)/$L39,IF($J39*$M39&gt;=0.9,1,MIN(0.9,$J39*$M39+IF($J39*$M39&lt;0.7,0.03,0.01)*(X$2-$K39-$L39+1))/($J39*$M39)))))</f>
        <v>0</v>
      </c>
      <c r="Y39" s="9">
        <v>258651</v>
      </c>
      <c r="Z39" s="9">
        <v>258870</v>
      </c>
      <c r="AA39" s="9">
        <v>259326</v>
      </c>
      <c r="AB39" s="9">
        <v>259774</v>
      </c>
      <c r="AC39" s="9">
        <v>260819</v>
      </c>
      <c r="AD39" s="9">
        <v>261744</v>
      </c>
      <c r="AE39" s="9">
        <v>262517</v>
      </c>
      <c r="AF39" s="9">
        <v>263137</v>
      </c>
      <c r="AG39" s="9">
        <v>263826</v>
      </c>
      <c r="AH39" s="9">
        <v>264265</v>
      </c>
      <c r="AI39">
        <f>AS39*(1+Settings!$B$7)</f>
        <v>0</v>
      </c>
      <c r="AJ39">
        <f>IF(Settings!$B$13="annual",AT39*(1+Settings!$B$7),AT39+Settings!$B$7*IF(AT39&gt;AS39,AT39-AS39,0))</f>
        <v>0</v>
      </c>
      <c r="AK39">
        <f>IF(Settings!$B$13="annual",AU39*(1+Settings!$B$7),AU39+Settings!$B$7*IF(AU39&gt;AT39,AU39-AT39,0))</f>
        <v>0</v>
      </c>
      <c r="AL39">
        <f>IF(Settings!$B$13="annual",AV39*(1+Settings!$B$7),AV39+Settings!$B$7*IF(AV39&gt;AU39,AV39-AU39,0))</f>
        <v>0</v>
      </c>
      <c r="AM39">
        <f>IF(Settings!$B$13="annual",AW39*(1+Settings!$B$7),AW39+Settings!$B$7*IF(AW39&gt;AV39,AW39-AV39,0))</f>
        <v>0</v>
      </c>
      <c r="AN39">
        <f>IF(Settings!$B$13="annual",AX39*(1+Settings!$B$7),AX39+Settings!$B$7*IF(AX39&gt;AW39,AX39-AW39,0))</f>
        <v>0</v>
      </c>
      <c r="AO39">
        <f>IF(Settings!$B$13="annual",AY39*(1+Settings!$B$7),AY39+Settings!$B$7*IF(AY39&gt;AX39,AY39-AX39,0))</f>
        <v>0</v>
      </c>
      <c r="AP39">
        <f>IF(Settings!$B$13="annual",AZ39*(1+Settings!$B$7),AZ39+Settings!$B$7*IF(AZ39&gt;AY39,AZ39-AY39,0))</f>
        <v>0</v>
      </c>
      <c r="AQ39">
        <f>IF(Settings!$B$13="annual",BA39*(1+Settings!$B$7),BA39+Settings!$B$7*IF(BA39&gt;AZ39,BA39-AZ39,0))</f>
        <v>0</v>
      </c>
      <c r="AR39">
        <f>IF(Settings!$B$13="annual",BB39*(1+Settings!$B$7),BB39+Settings!$B$7*IF(BB39&gt;BA39,BB39-BA39,0))</f>
        <v>0</v>
      </c>
      <c r="AS39">
        <f>Y39*$N39*$J39*$M39*O39*Settings!$B$6</f>
        <v>0</v>
      </c>
      <c r="AT39">
        <f>Z39*$N39*$J39*$M39*P39*Settings!$B$6</f>
        <v>0</v>
      </c>
      <c r="AU39">
        <f>AA39*$N39*$J39*$M39*Q39*Settings!$B$6</f>
        <v>0</v>
      </c>
      <c r="AV39">
        <f>AB39*$N39*$J39*$M39*R39*Settings!$B$6</f>
        <v>0</v>
      </c>
      <c r="AW39">
        <f>AC39*$N39*$J39*$M39*S39*Settings!$B$6</f>
        <v>0</v>
      </c>
      <c r="AX39">
        <f>AD39*$N39*$J39*$M39*T39*Settings!$B$6</f>
        <v>0</v>
      </c>
      <c r="AY39">
        <f>AE39*$N39*$J39*$M39*U39*Settings!$B$6</f>
        <v>0</v>
      </c>
      <c r="AZ39">
        <f>AF39*$N39*$J39*$M39*V39*Settings!$B$6</f>
        <v>0</v>
      </c>
      <c r="BA39">
        <f>AG39*$N39*$J39*$M39*W39*Settings!$B$6</f>
        <v>0</v>
      </c>
      <c r="BB39">
        <f>AH39*$N39*$J39*$M39*X39*Settings!$B$6</f>
        <v>0</v>
      </c>
    </row>
    <row r="40" spans="1:54" ht="15" customHeight="1">
      <c r="A40" t="s">
        <v>119</v>
      </c>
      <c r="B40" t="s">
        <v>120</v>
      </c>
      <c r="C40" s="9">
        <v>0.995</v>
      </c>
      <c r="D40" s="9">
        <v>0.84599999999999997</v>
      </c>
      <c r="E40" s="9">
        <v>0.99</v>
      </c>
      <c r="F40" s="9">
        <v>0.52600000000000002</v>
      </c>
      <c r="G40" s="9">
        <v>0.84299999999999997</v>
      </c>
      <c r="H40" s="9">
        <v>8.1999999999999993</v>
      </c>
      <c r="I40">
        <f t="shared" si="2"/>
        <v>0.85025125628140696</v>
      </c>
      <c r="J40">
        <f>IF(Settings!$B$10="anc4",D40*E40,IF(Settings!$B$10="anc1",C40*E40,C40*(G40*I40+F40*(1-I40))*E40))</f>
        <v>0.78363647999999997</v>
      </c>
      <c r="K40">
        <f>IF(Settings!$B$9="invest",Schedule!R40,IF(Settings!$B$9="hist",Schedule!U40,IF(Settings!$B$9="pcv",Schedule!M40,IF(Settings!$B$9="rota",Schedule!N40,Schedule!O40))))+Settings!$B$11</f>
        <v>2041</v>
      </c>
      <c r="L40">
        <f>IF(Schedule!H40=1,Settings!$B$4,Settings!$B$5)</f>
        <v>2</v>
      </c>
      <c r="M40" s="9">
        <v>1</v>
      </c>
      <c r="N40">
        <f t="shared" si="3"/>
        <v>1.0082677959265982</v>
      </c>
      <c r="O40">
        <f>IF(O$2&lt;$K40,0,IF(O$2-$K40+1&lt;$L40,IF($L40=2,Settings!$B$8,(O$2-$K40+1)/$L40),IF($J40*$M40&gt;=Settings!$B$15,1,MIN(Settings!$B$15,$J40*$M40+IF($J40*$M40&lt;Settings!$B$16,Settings!$B$17,Settings!$B$18)*(O$2-$K40-$L40+1))/($J40*$M40))))</f>
        <v>0</v>
      </c>
      <c r="P40">
        <f>IF(P$2&lt;$K40,0,IF(AND(P$2=$K40,$L40=2),Settings!$B$8,IF(P$2-$K40+1&lt;$L40,(P$2-$K40+1)/$L40,IF($J40*$M40&gt;=0.9,1,MIN(0.9,$J40*$M40+IF($J40*$M40&lt;0.7,0.03,0.01)*(P$2-$K40-$L40+1))/($J40*$M40)))))</f>
        <v>0</v>
      </c>
      <c r="Q40">
        <f>IF(Q$2&lt;$K40,0,IF(AND(Q$2=$K40,$L40=2),Settings!$B$8,IF(Q$2-$K40+1&lt;$L40,(Q$2-$K40+1)/$L40,IF($J40*$M40&gt;=0.9,1,MIN(0.9,$J40*$M40+IF($J40*$M40&lt;0.7,0.03,0.01)*(Q$2-$K40-$L40+1))/($J40*$M40)))))</f>
        <v>0</v>
      </c>
      <c r="R40">
        <f>IF(R$2&lt;$K40,0,IF(AND(R$2=$K40,$L40=2),Settings!$B$8,IF(R$2-$K40+1&lt;$L40,(R$2-$K40+1)/$L40,IF($J40*$M40&gt;=0.9,1,MIN(0.9,$J40*$M40+IF($J40*$M40&lt;0.7,0.03,0.01)*(R$2-$K40-$L40+1))/($J40*$M40)))))</f>
        <v>0</v>
      </c>
      <c r="S40">
        <f>IF(S$2&lt;$K40,0,IF(AND(S$2=$K40,$L40=2),Settings!$B$8,IF(S$2-$K40+1&lt;$L40,(S$2-$K40+1)/$L40,IF($J40*$M40&gt;=0.9,1,MIN(0.9,$J40*$M40+IF($J40*$M40&lt;0.7,0.03,0.01)*(S$2-$K40-$L40+1))/($J40*$M40)))))</f>
        <v>0</v>
      </c>
      <c r="T40">
        <f>IF(T$2&lt;$K40,0,IF(AND(T$2=$K40,$L40=2),Settings!$B$8,IF(T$2-$K40+1&lt;$L40,(T$2-$K40+1)/$L40,IF($J40*$M40&gt;=0.9,1,MIN(0.9,$J40*$M40+IF($J40*$M40&lt;0.7,0.03,0.01)*(T$2-$K40-$L40+1))/($J40*$M40)))))</f>
        <v>0</v>
      </c>
      <c r="U40">
        <f>IF(U$2&lt;$K40,0,IF(AND(U$2=$K40,$L40=2),Settings!$B$8,IF(U$2-$K40+1&lt;$L40,(U$2-$K40+1)/$L40,IF($J40*$M40&gt;=0.9,1,MIN(0.9,$J40*$M40+IF($J40*$M40&lt;0.7,0.03,0.01)*(U$2-$K40-$L40+1))/($J40*$M40)))))</f>
        <v>0</v>
      </c>
      <c r="V40">
        <f>IF(V$2&lt;$K40,0,IF(AND(V$2=$K40,$L40=2),Settings!$B$8,IF(V$2-$K40+1&lt;$L40,(V$2-$K40+1)/$L40,IF($J40*$M40&gt;=0.9,1,MIN(0.9,$J40*$M40+IF($J40*$M40&lt;0.7,0.03,0.01)*(V$2-$K40-$L40+1))/($J40*$M40)))))</f>
        <v>0</v>
      </c>
      <c r="W40">
        <f>IF(W$2&lt;$K40,0,IF(AND(W$2=$K40,$L40=2),Settings!$B$8,IF(W$2-$K40+1&lt;$L40,(W$2-$K40+1)/$L40,IF($J40*$M40&gt;=0.9,1,MIN(0.9,$J40*$M40+IF($J40*$M40&lt;0.7,0.03,0.01)*(W$2-$K40-$L40+1))/($J40*$M40)))))</f>
        <v>0</v>
      </c>
      <c r="X40">
        <f>IF(X$2&lt;$K40,0,IF(AND(X$2=$K40,$L40=2),Settings!$B$8,IF(X$2-$K40+1&lt;$L40,(X$2-$K40+1)/$L40,IF($J40*$M40&gt;=0.9,1,MIN(0.9,$J40*$M40+IF($J40*$M40&lt;0.7,0.03,0.01)*(X$2-$K40-$L40+1))/($J40*$M40)))))</f>
        <v>0</v>
      </c>
      <c r="Y40" s="9">
        <v>314631</v>
      </c>
      <c r="Z40" s="9">
        <v>307446</v>
      </c>
      <c r="AA40" s="9">
        <v>300658</v>
      </c>
      <c r="AB40" s="9">
        <v>293778</v>
      </c>
      <c r="AC40" s="9">
        <v>287202</v>
      </c>
      <c r="AD40" s="9">
        <v>281492</v>
      </c>
      <c r="AE40" s="9">
        <v>276420</v>
      </c>
      <c r="AF40" s="9">
        <v>272228</v>
      </c>
      <c r="AG40" s="9">
        <v>268426</v>
      </c>
      <c r="AH40" s="9">
        <v>265802</v>
      </c>
      <c r="AI40">
        <f>AS40*(1+Settings!$B$7)</f>
        <v>0</v>
      </c>
      <c r="AJ40">
        <f>IF(Settings!$B$13="annual",AT40*(1+Settings!$B$7),AT40+Settings!$B$7*IF(AT40&gt;AS40,AT40-AS40,0))</f>
        <v>0</v>
      </c>
      <c r="AK40">
        <f>IF(Settings!$B$13="annual",AU40*(1+Settings!$B$7),AU40+Settings!$B$7*IF(AU40&gt;AT40,AU40-AT40,0))</f>
        <v>0</v>
      </c>
      <c r="AL40">
        <f>IF(Settings!$B$13="annual",AV40*(1+Settings!$B$7),AV40+Settings!$B$7*IF(AV40&gt;AU40,AV40-AU40,0))</f>
        <v>0</v>
      </c>
      <c r="AM40">
        <f>IF(Settings!$B$13="annual",AW40*(1+Settings!$B$7),AW40+Settings!$B$7*IF(AW40&gt;AV40,AW40-AV40,0))</f>
        <v>0</v>
      </c>
      <c r="AN40">
        <f>IF(Settings!$B$13="annual",AX40*(1+Settings!$B$7),AX40+Settings!$B$7*IF(AX40&gt;AW40,AX40-AW40,0))</f>
        <v>0</v>
      </c>
      <c r="AO40">
        <f>IF(Settings!$B$13="annual",AY40*(1+Settings!$B$7),AY40+Settings!$B$7*IF(AY40&gt;AX40,AY40-AX40,0))</f>
        <v>0</v>
      </c>
      <c r="AP40">
        <f>IF(Settings!$B$13="annual",AZ40*(1+Settings!$B$7),AZ40+Settings!$B$7*IF(AZ40&gt;AY40,AZ40-AY40,0))</f>
        <v>0</v>
      </c>
      <c r="AQ40">
        <f>IF(Settings!$B$13="annual",BA40*(1+Settings!$B$7),BA40+Settings!$B$7*IF(BA40&gt;AZ40,BA40-AZ40,0))</f>
        <v>0</v>
      </c>
      <c r="AR40">
        <f>IF(Settings!$B$13="annual",BB40*(1+Settings!$B$7),BB40+Settings!$B$7*IF(BB40&gt;BA40,BB40-BA40,0))</f>
        <v>0</v>
      </c>
      <c r="AS40">
        <f>Y40*$N40*$J40*$M40*O40*Settings!$B$6</f>
        <v>0</v>
      </c>
      <c r="AT40">
        <f>Z40*$N40*$J40*$M40*P40*Settings!$B$6</f>
        <v>0</v>
      </c>
      <c r="AU40">
        <f>AA40*$N40*$J40*$M40*Q40*Settings!$B$6</f>
        <v>0</v>
      </c>
      <c r="AV40">
        <f>AB40*$N40*$J40*$M40*R40*Settings!$B$6</f>
        <v>0</v>
      </c>
      <c r="AW40">
        <f>AC40*$N40*$J40*$M40*S40*Settings!$B$6</f>
        <v>0</v>
      </c>
      <c r="AX40">
        <f>AD40*$N40*$J40*$M40*T40*Settings!$B$6</f>
        <v>0</v>
      </c>
      <c r="AY40">
        <f>AE40*$N40*$J40*$M40*U40*Settings!$B$6</f>
        <v>0</v>
      </c>
      <c r="AZ40">
        <f>AF40*$N40*$J40*$M40*V40*Settings!$B$6</f>
        <v>0</v>
      </c>
      <c r="BA40">
        <f>AG40*$N40*$J40*$M40*W40*Settings!$B$6</f>
        <v>0</v>
      </c>
      <c r="BB40">
        <f>AH40*$N40*$J40*$M40*X40*Settings!$B$6</f>
        <v>0</v>
      </c>
    </row>
    <row r="41" spans="1:54" ht="15" customHeight="1">
      <c r="A41" t="s">
        <v>121</v>
      </c>
      <c r="B41" t="s">
        <v>122</v>
      </c>
      <c r="C41" s="9">
        <v>0.97699999999999998</v>
      </c>
      <c r="D41" s="9">
        <v>0.47199999999999998</v>
      </c>
      <c r="E41" s="9">
        <v>0.99</v>
      </c>
      <c r="F41" s="9">
        <v>0.52600000000000002</v>
      </c>
      <c r="G41" s="9">
        <v>0.84299999999999997</v>
      </c>
      <c r="H41" s="9">
        <v>16.2</v>
      </c>
      <c r="I41">
        <f t="shared" si="2"/>
        <v>0.48311156601842375</v>
      </c>
      <c r="J41">
        <f>IF(Settings!$B$10="anc4",D41*E41,IF(Settings!$B$10="anc1",C41*E41,C41*(G41*I41+F41*(1-I41))*E41))</f>
        <v>0.65689073999999992</v>
      </c>
      <c r="K41">
        <f>IF(Settings!$B$9="invest",Schedule!R41,IF(Settings!$B$9="hist",Schedule!U41,IF(Settings!$B$9="pcv",Schedule!M41,IF(Settings!$B$9="rota",Schedule!N41,Schedule!O41))))+Settings!$B$11</f>
        <v>2030</v>
      </c>
      <c r="L41">
        <f>IF(Schedule!H41=1,Settings!$B$4,Settings!$B$5)</f>
        <v>2</v>
      </c>
      <c r="M41" s="9">
        <v>1</v>
      </c>
      <c r="N41">
        <f t="shared" si="3"/>
        <v>1.0164667615368979</v>
      </c>
      <c r="O41">
        <f>IF(O$2&lt;$K41,0,IF(O$2-$K41+1&lt;$L41,IF($L41=2,Settings!$B$8,(O$2-$K41+1)/$L41),IF($J41*$M41&gt;=Settings!$B$15,1,MIN(Settings!$B$15,$J41*$M41+IF($J41*$M41&lt;Settings!$B$16,Settings!$B$17,Settings!$B$18)*(O$2-$K41-$L41+1))/($J41*$M41))))</f>
        <v>0</v>
      </c>
      <c r="P41">
        <f>IF(P$2&lt;$K41,0,IF(AND(P$2=$K41,$L41=2),Settings!$B$8,IF(P$2-$K41+1&lt;$L41,(P$2-$K41+1)/$L41,IF($J41*$M41&gt;=0.9,1,MIN(0.9,$J41*$M41+IF($J41*$M41&lt;0.7,0.03,0.01)*(P$2-$K41-$L41+1))/($J41*$M41)))))</f>
        <v>0</v>
      </c>
      <c r="Q41">
        <f>IF(Q$2&lt;$K41,0,IF(AND(Q$2=$K41,$L41=2),Settings!$B$8,IF(Q$2-$K41+1&lt;$L41,(Q$2-$K41+1)/$L41,IF($J41*$M41&gt;=0.9,1,MIN(0.9,$J41*$M41+IF($J41*$M41&lt;0.7,0.03,0.01)*(Q$2-$K41-$L41+1))/($J41*$M41)))))</f>
        <v>0.8</v>
      </c>
      <c r="R41">
        <f>IF(R$2&lt;$K41,0,IF(AND(R$2=$K41,$L41=2),Settings!$B$8,IF(R$2-$K41+1&lt;$L41,(R$2-$K41+1)/$L41,IF($J41*$M41&gt;=0.9,1,MIN(0.9,$J41*$M41+IF($J41*$M41&lt;0.7,0.03,0.01)*(R$2-$K41-$L41+1))/($J41*$M41)))))</f>
        <v>1</v>
      </c>
      <c r="S41">
        <f>IF(S$2&lt;$K41,0,IF(AND(S$2=$K41,$L41=2),Settings!$B$8,IF(S$2-$K41+1&lt;$L41,(S$2-$K41+1)/$L41,IF($J41*$M41&gt;=0.9,1,MIN(0.9,$J41*$M41+IF($J41*$M41&lt;0.7,0.03,0.01)*(S$2-$K41-$L41+1))/($J41*$M41)))))</f>
        <v>1.0456696953895255</v>
      </c>
      <c r="T41">
        <f>IF(T$2&lt;$K41,0,IF(AND(T$2=$K41,$L41=2),Settings!$B$8,IF(T$2-$K41+1&lt;$L41,(T$2-$K41+1)/$L41,IF($J41*$M41&gt;=0.9,1,MIN(0.9,$J41*$M41+IF($J41*$M41&lt;0.7,0.03,0.01)*(T$2-$K41-$L41+1))/($J41*$M41)))))</f>
        <v>1.0913393907790512</v>
      </c>
      <c r="U41">
        <f>IF(U$2&lt;$K41,0,IF(AND(U$2=$K41,$L41=2),Settings!$B$8,IF(U$2-$K41+1&lt;$L41,(U$2-$K41+1)/$L41,IF($J41*$M41&gt;=0.9,1,MIN(0.9,$J41*$M41+IF($J41*$M41&lt;0.7,0.03,0.01)*(U$2-$K41-$L41+1))/($J41*$M41)))))</f>
        <v>1.1370090861685764</v>
      </c>
      <c r="V41">
        <f>IF(V$2&lt;$K41,0,IF(AND(V$2=$K41,$L41=2),Settings!$B$8,IF(V$2-$K41+1&lt;$L41,(V$2-$K41+1)/$L41,IF($J41*$M41&gt;=0.9,1,MIN(0.9,$J41*$M41+IF($J41*$M41&lt;0.7,0.03,0.01)*(V$2-$K41-$L41+1))/($J41*$M41)))))</f>
        <v>1.1826787815581021</v>
      </c>
      <c r="W41">
        <f>IF(W$2&lt;$K41,0,IF(AND(W$2=$K41,$L41=2),Settings!$B$8,IF(W$2-$K41+1&lt;$L41,(W$2-$K41+1)/$L41,IF($J41*$M41&gt;=0.9,1,MIN(0.9,$J41*$M41+IF($J41*$M41&lt;0.7,0.03,0.01)*(W$2-$K41-$L41+1))/($J41*$M41)))))</f>
        <v>1.2283484769476276</v>
      </c>
      <c r="X41">
        <f>IF(X$2&lt;$K41,0,IF(AND(X$2=$K41,$L41=2),Settings!$B$8,IF(X$2-$K41+1&lt;$L41,(X$2-$K41+1)/$L41,IF($J41*$M41&gt;=0.9,1,MIN(0.9,$J41*$M41+IF($J41*$M41&lt;0.7,0.03,0.01)*(X$2-$K41-$L41+1))/($J41*$M41)))))</f>
        <v>1.2740181723371531</v>
      </c>
      <c r="Y41" s="9">
        <v>417935</v>
      </c>
      <c r="Z41" s="9">
        <v>420811</v>
      </c>
      <c r="AA41" s="9">
        <v>423409</v>
      </c>
      <c r="AB41" s="9">
        <v>426718</v>
      </c>
      <c r="AC41" s="9">
        <v>430307</v>
      </c>
      <c r="AD41" s="9">
        <v>431615</v>
      </c>
      <c r="AE41" s="9">
        <v>435267</v>
      </c>
      <c r="AF41" s="9">
        <v>439117</v>
      </c>
      <c r="AG41" s="9">
        <v>443714</v>
      </c>
      <c r="AH41" s="9">
        <v>445605</v>
      </c>
      <c r="AI41">
        <f>AS41*(1+Settings!$B$7)</f>
        <v>0</v>
      </c>
      <c r="AJ41">
        <f>IF(Settings!$B$13="annual",AT41*(1+Settings!$B$7),AT41+Settings!$B$7*IF(AT41&gt;AS41,AT41-AS41,0))</f>
        <v>0</v>
      </c>
      <c r="AK41">
        <f>IF(Settings!$B$13="annual",AU41*(1+Settings!$B$7),AU41+Settings!$B$7*IF(AU41&gt;AT41,AU41-AT41,0))</f>
        <v>319466.15166284388</v>
      </c>
      <c r="AL41">
        <f>IF(Settings!$B$13="annual",AV41*(1+Settings!$B$7),AV41+Settings!$B$7*IF(AV41&gt;AU41,AV41-AU41,0))</f>
        <v>338560.29954417382</v>
      </c>
      <c r="AM41">
        <f>IF(Settings!$B$13="annual",AW41*(1+Settings!$B$7),AW41+Settings!$B$7*IF(AW41&gt;AV41,AW41-AV41,0))</f>
        <v>343882.26087844977</v>
      </c>
      <c r="AN41">
        <f>IF(Settings!$B$13="annual",AX41*(1+Settings!$B$7),AX41+Settings!$B$7*IF(AX41&gt;AW41,AX41-AW41,0))</f>
        <v>359379.19337700796</v>
      </c>
      <c r="AO41">
        <f>IF(Settings!$B$13="annual",AY41*(1+Settings!$B$7),AY41+Settings!$B$7*IF(AY41&gt;AX41,AY41-AX41,0))</f>
        <v>377910.12856750959</v>
      </c>
      <c r="AP41">
        <f>IF(Settings!$B$13="annual",AZ41*(1+Settings!$B$7),AZ41+Settings!$B$7*IF(AZ41&gt;AY41,AZ41-AY41,0))</f>
        <v>396451.26624581008</v>
      </c>
      <c r="AQ41">
        <f>IF(Settings!$B$13="annual",BA41*(1+Settings!$B$7),BA41+Settings!$B$7*IF(BA41&gt;AZ41,BA41-AZ41,0))</f>
        <v>416082.37281477387</v>
      </c>
      <c r="AR41">
        <f>IF(Settings!$B$13="annual",BB41*(1+Settings!$B$7),BB41+Settings!$B$7*IF(BB41&gt;BA41,BB41-BA41,0))</f>
        <v>432618.62006849924</v>
      </c>
      <c r="AS41">
        <f>Y41*$N41*$J41*$M41*O41*Settings!$B$6</f>
        <v>0</v>
      </c>
      <c r="AT41">
        <f>Z41*$N41*$J41*$M41*P41*Settings!$B$6</f>
        <v>0</v>
      </c>
      <c r="AU41">
        <f>AA41*$N41*$J41*$M41*Q41*Settings!$B$6</f>
        <v>255572.9213302751</v>
      </c>
      <c r="AV41">
        <f>AB41*$N41*$J41*$M41*R41*Settings!$B$6</f>
        <v>321962.82390139409</v>
      </c>
      <c r="AW41">
        <f>AC41*$N41*$J41*$M41*S41*Settings!$B$6</f>
        <v>339498.37348303862</v>
      </c>
      <c r="AX41">
        <f>AD41*$N41*$J41*$M41*T41*Settings!$B$6</f>
        <v>355403.02939821407</v>
      </c>
      <c r="AY41">
        <f>AE41*$N41*$J41*$M41*U41*Settings!$B$6</f>
        <v>373408.70873365051</v>
      </c>
      <c r="AZ41">
        <f>AF41*$N41*$J41*$M41*V41*Settings!$B$6</f>
        <v>391842.75474337814</v>
      </c>
      <c r="BA41">
        <f>AG41*$N41*$J41*$M41*W41*Settings!$B$6</f>
        <v>411234.44920049474</v>
      </c>
      <c r="BB41">
        <f>AH41*$N41*$J41*$M41*X41*Settings!$B$6</f>
        <v>428341.78589489835</v>
      </c>
    </row>
    <row r="42" spans="1:54" ht="15" customHeight="1">
      <c r="A42" t="s">
        <v>123</v>
      </c>
      <c r="B42" t="s">
        <v>124</v>
      </c>
      <c r="C42" s="9">
        <v>0.79100000000000004</v>
      </c>
      <c r="D42" s="9">
        <v>0.51700000000000002</v>
      </c>
      <c r="E42" s="9">
        <v>0.48</v>
      </c>
      <c r="F42" s="9">
        <v>0.52600000000000002</v>
      </c>
      <c r="G42" s="9">
        <v>0.84299999999999997</v>
      </c>
      <c r="H42" s="9">
        <v>21.5</v>
      </c>
      <c r="I42">
        <f t="shared" si="2"/>
        <v>0.65360303413400755</v>
      </c>
      <c r="J42">
        <f>IF(Settings!$B$10="anc4",D42*E42,IF(Settings!$B$10="anc1",C42*E42,C42*(G42*I42+F42*(1-I42))*E42))</f>
        <v>0.27837839999999997</v>
      </c>
      <c r="K42">
        <f>IF(Settings!$B$9="invest",Schedule!R42,IF(Settings!$B$9="hist",Schedule!U42,IF(Settings!$B$9="pcv",Schedule!M42,IF(Settings!$B$9="rota",Schedule!N42,Schedule!O42))))+Settings!$B$11</f>
        <v>2034</v>
      </c>
      <c r="L42">
        <f>IF(Schedule!H42=1,Settings!$B$4,Settings!$B$5)</f>
        <v>2</v>
      </c>
      <c r="M42" s="9">
        <v>1</v>
      </c>
      <c r="N42">
        <f t="shared" si="3"/>
        <v>1.021972406745018</v>
      </c>
      <c r="O42">
        <f>IF(O$2&lt;$K42,0,IF(O$2-$K42+1&lt;$L42,IF($L42=2,Settings!$B$8,(O$2-$K42+1)/$L42),IF($J42*$M42&gt;=Settings!$B$15,1,MIN(Settings!$B$15,$J42*$M42+IF($J42*$M42&lt;Settings!$B$16,Settings!$B$17,Settings!$B$18)*(O$2-$K42-$L42+1))/($J42*$M42))))</f>
        <v>0</v>
      </c>
      <c r="P42">
        <f>IF(P$2&lt;$K42,0,IF(AND(P$2=$K42,$L42=2),Settings!$B$8,IF(P$2-$K42+1&lt;$L42,(P$2-$K42+1)/$L42,IF($J42*$M42&gt;=0.9,1,MIN(0.9,$J42*$M42+IF($J42*$M42&lt;0.7,0.03,0.01)*(P$2-$K42-$L42+1))/($J42*$M42)))))</f>
        <v>0</v>
      </c>
      <c r="Q42">
        <f>IF(Q$2&lt;$K42,0,IF(AND(Q$2=$K42,$L42=2),Settings!$B$8,IF(Q$2-$K42+1&lt;$L42,(Q$2-$K42+1)/$L42,IF($J42*$M42&gt;=0.9,1,MIN(0.9,$J42*$M42+IF($J42*$M42&lt;0.7,0.03,0.01)*(Q$2-$K42-$L42+1))/($J42*$M42)))))</f>
        <v>0</v>
      </c>
      <c r="R42">
        <f>IF(R$2&lt;$K42,0,IF(AND(R$2=$K42,$L42=2),Settings!$B$8,IF(R$2-$K42+1&lt;$L42,(R$2-$K42+1)/$L42,IF($J42*$M42&gt;=0.9,1,MIN(0.9,$J42*$M42+IF($J42*$M42&lt;0.7,0.03,0.01)*(R$2-$K42-$L42+1))/($J42*$M42)))))</f>
        <v>0</v>
      </c>
      <c r="S42">
        <f>IF(S$2&lt;$K42,0,IF(AND(S$2=$K42,$L42=2),Settings!$B$8,IF(S$2-$K42+1&lt;$L42,(S$2-$K42+1)/$L42,IF($J42*$M42&gt;=0.9,1,MIN(0.9,$J42*$M42+IF($J42*$M42&lt;0.7,0.03,0.01)*(S$2-$K42-$L42+1))/($J42*$M42)))))</f>
        <v>0</v>
      </c>
      <c r="T42">
        <f>IF(T$2&lt;$K42,0,IF(AND(T$2=$K42,$L42=2),Settings!$B$8,IF(T$2-$K42+1&lt;$L42,(T$2-$K42+1)/$L42,IF($J42*$M42&gt;=0.9,1,MIN(0.9,$J42*$M42+IF($J42*$M42&lt;0.7,0.03,0.01)*(T$2-$K42-$L42+1))/($J42*$M42)))))</f>
        <v>0</v>
      </c>
      <c r="U42">
        <f>IF(U$2&lt;$K42,0,IF(AND(U$2=$K42,$L42=2),Settings!$B$8,IF(U$2-$K42+1&lt;$L42,(U$2-$K42+1)/$L42,IF($J42*$M42&gt;=0.9,1,MIN(0.9,$J42*$M42+IF($J42*$M42&lt;0.7,0.03,0.01)*(U$2-$K42-$L42+1))/($J42*$M42)))))</f>
        <v>0.8</v>
      </c>
      <c r="V42">
        <f>IF(V$2&lt;$K42,0,IF(AND(V$2=$K42,$L42=2),Settings!$B$8,IF(V$2-$K42+1&lt;$L42,(V$2-$K42+1)/$L42,IF($J42*$M42&gt;=0.9,1,MIN(0.9,$J42*$M42+IF($J42*$M42&lt;0.7,0.03,0.01)*(V$2-$K42-$L42+1))/($J42*$M42)))))</f>
        <v>1</v>
      </c>
      <c r="W42">
        <f>IF(W$2&lt;$K42,0,IF(AND(W$2=$K42,$L42=2),Settings!$B$8,IF(W$2-$K42+1&lt;$L42,(W$2-$K42+1)/$L42,IF($J42*$M42&gt;=0.9,1,MIN(0.9,$J42*$M42+IF($J42*$M42&lt;0.7,0.03,0.01)*(W$2-$K42-$L42+1))/($J42*$M42)))))</f>
        <v>1.107766981921011</v>
      </c>
      <c r="X42">
        <f>IF(X$2&lt;$K42,0,IF(AND(X$2=$K42,$L42=2),Settings!$B$8,IF(X$2-$K42+1&lt;$L42,(X$2-$K42+1)/$L42,IF($J42*$M42&gt;=0.9,1,MIN(0.9,$J42*$M42+IF($J42*$M42&lt;0.7,0.03,0.01)*(X$2-$K42-$L42+1))/($J42*$M42)))))</f>
        <v>1.2155339638420222</v>
      </c>
      <c r="Y42" s="9">
        <v>1736765</v>
      </c>
      <c r="Z42" s="9">
        <v>1749541</v>
      </c>
      <c r="AA42" s="9">
        <v>1756396</v>
      </c>
      <c r="AB42" s="9">
        <v>1761602</v>
      </c>
      <c r="AC42" s="9">
        <v>1772841</v>
      </c>
      <c r="AD42" s="9">
        <v>1777542</v>
      </c>
      <c r="AE42" s="9">
        <v>1792920</v>
      </c>
      <c r="AF42" s="9">
        <v>1797018</v>
      </c>
      <c r="AG42" s="9">
        <v>1799839</v>
      </c>
      <c r="AH42" s="9">
        <v>1810347</v>
      </c>
      <c r="AI42">
        <f>AS42*(1+Settings!$B$7)</f>
        <v>0</v>
      </c>
      <c r="AJ42">
        <f>IF(Settings!$B$13="annual",AT42*(1+Settings!$B$7),AT42+Settings!$B$7*IF(AT42&gt;AS42,AT42-AS42,0))</f>
        <v>0</v>
      </c>
      <c r="AK42">
        <f>IF(Settings!$B$13="annual",AU42*(1+Settings!$B$7),AU42+Settings!$B$7*IF(AU42&gt;AT42,AU42-AT42,0))</f>
        <v>0</v>
      </c>
      <c r="AL42">
        <f>IF(Settings!$B$13="annual",AV42*(1+Settings!$B$7),AV42+Settings!$B$7*IF(AV42&gt;AU42,AV42-AU42,0))</f>
        <v>0</v>
      </c>
      <c r="AM42">
        <f>IF(Settings!$B$13="annual",AW42*(1+Settings!$B$7),AW42+Settings!$B$7*IF(AW42&gt;AV42,AW42-AV42,0))</f>
        <v>0</v>
      </c>
      <c r="AN42">
        <f>IF(Settings!$B$13="annual",AX42*(1+Settings!$B$7),AX42+Settings!$B$7*IF(AX42&gt;AW42,AX42-AW42,0))</f>
        <v>0</v>
      </c>
      <c r="AO42">
        <f>IF(Settings!$B$13="annual",AY42*(1+Settings!$B$7),AY42+Settings!$B$7*IF(AY42&gt;AX42,AY42-AX42,0))</f>
        <v>576386.84419891669</v>
      </c>
      <c r="AP42">
        <f>IF(Settings!$B$13="annual",AZ42*(1+Settings!$B$7),AZ42+Settings!$B$7*IF(AZ42&gt;AY42,AZ42-AY42,0))</f>
        <v>606852.96463065094</v>
      </c>
      <c r="AQ42">
        <f>IF(Settings!$B$13="annual",BA42*(1+Settings!$B$7),BA42+Settings!$B$7*IF(BA42&gt;AZ42,BA42-AZ42,0))</f>
        <v>656781.85655283183</v>
      </c>
      <c r="AR42">
        <f>IF(Settings!$B$13="annual",BB42*(1+Settings!$B$7),BB42+Settings!$B$7*IF(BB42&gt;BA42,BB42-BA42,0))</f>
        <v>724043.06414267537</v>
      </c>
      <c r="AS42">
        <f>Y42*$N42*$J42*$M42*O42*Settings!$B$6</f>
        <v>0</v>
      </c>
      <c r="AT42">
        <f>Z42*$N42*$J42*$M42*P42*Settings!$B$6</f>
        <v>0</v>
      </c>
      <c r="AU42">
        <f>AA42*$N42*$J42*$M42*Q42*Settings!$B$6</f>
        <v>0</v>
      </c>
      <c r="AV42">
        <f>AB42*$N42*$J42*$M42*R42*Settings!$B$6</f>
        <v>0</v>
      </c>
      <c r="AW42">
        <f>AC42*$N42*$J42*$M42*S42*Settings!$B$6</f>
        <v>0</v>
      </c>
      <c r="AX42">
        <f>AD42*$N42*$J42*$M42*T42*Settings!$B$6</f>
        <v>0</v>
      </c>
      <c r="AY42">
        <f>AE42*$N42*$J42*$M42*U42*Settings!$B$6</f>
        <v>461109.47535913333</v>
      </c>
      <c r="AZ42">
        <f>AF42*$N42*$J42*$M42*V42*Settings!$B$6</f>
        <v>577704.26677634742</v>
      </c>
      <c r="BA42">
        <f>AG42*$N42*$J42*$M42*W42*Settings!$B$6</f>
        <v>640966.33859753492</v>
      </c>
      <c r="BB42">
        <f>AH42*$N42*$J42*$M42*X42*Settings!$B$6</f>
        <v>707427.71903364733</v>
      </c>
    </row>
    <row r="43" spans="1:54" ht="15" customHeight="1">
      <c r="A43" t="s">
        <v>125</v>
      </c>
      <c r="B43" t="s">
        <v>126</v>
      </c>
      <c r="C43" s="9">
        <v>0.97299999999999998</v>
      </c>
      <c r="D43" s="9">
        <v>0.68400000000000005</v>
      </c>
      <c r="E43" s="9">
        <v>0.96</v>
      </c>
      <c r="F43" s="9">
        <v>0.52600000000000002</v>
      </c>
      <c r="G43" s="9">
        <v>0.84299999999999997</v>
      </c>
      <c r="H43" s="9">
        <v>18</v>
      </c>
      <c r="I43">
        <f t="shared" si="2"/>
        <v>0.70298047276464548</v>
      </c>
      <c r="J43">
        <f>IF(Settings!$B$10="anc4",D43*E43,IF(Settings!$B$10="anc1",C43*E43,C43*(G43*I43+F43*(1-I43))*E43))</f>
        <v>0.69948096000000004</v>
      </c>
      <c r="K43">
        <f>IF(Settings!$B$9="invest",Schedule!R43,IF(Settings!$B$9="hist",Schedule!U43,IF(Settings!$B$9="pcv",Schedule!M43,IF(Settings!$B$9="rota",Schedule!N43,Schedule!O43))))+Settings!$B$11</f>
        <v>2031</v>
      </c>
      <c r="L43">
        <f>IF(Schedule!H43=1,Settings!$B$4,Settings!$B$5)</f>
        <v>2</v>
      </c>
      <c r="M43" s="9">
        <v>1</v>
      </c>
      <c r="N43">
        <f t="shared" si="3"/>
        <v>1.0183299389002036</v>
      </c>
      <c r="O43">
        <f>IF(O$2&lt;$K43,0,IF(O$2-$K43+1&lt;$L43,IF($L43=2,Settings!$B$8,(O$2-$K43+1)/$L43),IF($J43*$M43&gt;=Settings!$B$15,1,MIN(Settings!$B$15,$J43*$M43+IF($J43*$M43&lt;Settings!$B$16,Settings!$B$17,Settings!$B$18)*(O$2-$K43-$L43+1))/($J43*$M43))))</f>
        <v>0</v>
      </c>
      <c r="P43">
        <f>IF(P$2&lt;$K43,0,IF(AND(P$2=$K43,$L43=2),Settings!$B$8,IF(P$2-$K43+1&lt;$L43,(P$2-$K43+1)/$L43,IF($J43*$M43&gt;=0.9,1,MIN(0.9,$J43*$M43+IF($J43*$M43&lt;0.7,0.03,0.01)*(P$2-$K43-$L43+1))/($J43*$M43)))))</f>
        <v>0</v>
      </c>
      <c r="Q43">
        <f>IF(Q$2&lt;$K43,0,IF(AND(Q$2=$K43,$L43=2),Settings!$B$8,IF(Q$2-$K43+1&lt;$L43,(Q$2-$K43+1)/$L43,IF($J43*$M43&gt;=0.9,1,MIN(0.9,$J43*$M43+IF($J43*$M43&lt;0.7,0.03,0.01)*(Q$2-$K43-$L43+1))/($J43*$M43)))))</f>
        <v>0</v>
      </c>
      <c r="R43">
        <f>IF(R$2&lt;$K43,0,IF(AND(R$2=$K43,$L43=2),Settings!$B$8,IF(R$2-$K43+1&lt;$L43,(R$2-$K43+1)/$L43,IF($J43*$M43&gt;=0.9,1,MIN(0.9,$J43*$M43+IF($J43*$M43&lt;0.7,0.03,0.01)*(R$2-$K43-$L43+1))/($J43*$M43)))))</f>
        <v>0.8</v>
      </c>
      <c r="S43">
        <f>IF(S$2&lt;$K43,0,IF(AND(S$2=$K43,$L43=2),Settings!$B$8,IF(S$2-$K43+1&lt;$L43,(S$2-$K43+1)/$L43,IF($J43*$M43&gt;=0.9,1,MIN(0.9,$J43*$M43+IF($J43*$M43&lt;0.7,0.03,0.01)*(S$2-$K43-$L43+1))/($J43*$M43)))))</f>
        <v>1</v>
      </c>
      <c r="T43">
        <f>IF(T$2&lt;$K43,0,IF(AND(T$2=$K43,$L43=2),Settings!$B$8,IF(T$2-$K43+1&lt;$L43,(T$2-$K43+1)/$L43,IF($J43*$M43&gt;=0.9,1,MIN(0.9,$J43*$M43+IF($J43*$M43&lt;0.7,0.03,0.01)*(T$2-$K43-$L43+1))/($J43*$M43)))))</f>
        <v>1.0428889443967138</v>
      </c>
      <c r="U43">
        <f>IF(U$2&lt;$K43,0,IF(AND(U$2=$K43,$L43=2),Settings!$B$8,IF(U$2-$K43+1&lt;$L43,(U$2-$K43+1)/$L43,IF($J43*$M43&gt;=0.9,1,MIN(0.9,$J43*$M43+IF($J43*$M43&lt;0.7,0.03,0.01)*(U$2-$K43-$L43+1))/($J43*$M43)))))</f>
        <v>1.0857778887934277</v>
      </c>
      <c r="V43">
        <f>IF(V$2&lt;$K43,0,IF(AND(V$2=$K43,$L43=2),Settings!$B$8,IF(V$2-$K43+1&lt;$L43,(V$2-$K43+1)/$L43,IF($J43*$M43&gt;=0.9,1,MIN(0.9,$J43*$M43+IF($J43*$M43&lt;0.7,0.03,0.01)*(V$2-$K43-$L43+1))/($J43*$M43)))))</f>
        <v>1.1286668331901415</v>
      </c>
      <c r="W43">
        <f>IF(W$2&lt;$K43,0,IF(AND(W$2=$K43,$L43=2),Settings!$B$8,IF(W$2-$K43+1&lt;$L43,(W$2-$K43+1)/$L43,IF($J43*$M43&gt;=0.9,1,MIN(0.9,$J43*$M43+IF($J43*$M43&lt;0.7,0.03,0.01)*(W$2-$K43-$L43+1))/($J43*$M43)))))</f>
        <v>1.1715557775868553</v>
      </c>
      <c r="X43">
        <f>IF(X$2&lt;$K43,0,IF(AND(X$2=$K43,$L43=2),Settings!$B$8,IF(X$2-$K43+1&lt;$L43,(X$2-$K43+1)/$L43,IF($J43*$M43&gt;=0.9,1,MIN(0.9,$J43*$M43+IF($J43*$M43&lt;0.7,0.03,0.01)*(X$2-$K43-$L43+1))/($J43*$M43)))))</f>
        <v>1.214444721983569</v>
      </c>
      <c r="Y43" s="9">
        <v>569729</v>
      </c>
      <c r="Z43" s="9">
        <v>576224</v>
      </c>
      <c r="AA43" s="9">
        <v>582353</v>
      </c>
      <c r="AB43" s="9">
        <v>586157</v>
      </c>
      <c r="AC43" s="9">
        <v>591275</v>
      </c>
      <c r="AD43" s="9">
        <v>594656</v>
      </c>
      <c r="AE43" s="9">
        <v>598872</v>
      </c>
      <c r="AF43" s="9">
        <v>601514</v>
      </c>
      <c r="AG43" s="9">
        <v>603579</v>
      </c>
      <c r="AH43" s="9">
        <v>607528</v>
      </c>
      <c r="AI43">
        <f>AS43*(1+Settings!$B$7)</f>
        <v>0</v>
      </c>
      <c r="AJ43">
        <f>IF(Settings!$B$13="annual",AT43*(1+Settings!$B$7),AT43+Settings!$B$7*IF(AT43&gt;AS43,AT43-AS43,0))</f>
        <v>0</v>
      </c>
      <c r="AK43">
        <f>IF(Settings!$B$13="annual",AU43*(1+Settings!$B$7),AU43+Settings!$B$7*IF(AU43&gt;AT43,AU43-AT43,0))</f>
        <v>0</v>
      </c>
      <c r="AL43">
        <f>IF(Settings!$B$13="annual",AV43*(1+Settings!$B$7),AV43+Settings!$B$7*IF(AV43&gt;AU43,AV43-AU43,0))</f>
        <v>471798.77495917876</v>
      </c>
      <c r="AM43">
        <f>IF(Settings!$B$13="annual",AW43*(1+Settings!$B$7),AW43+Settings!$B$7*IF(AW43&gt;AV43,AW43-AV43,0))</f>
        <v>500538.0724332151</v>
      </c>
      <c r="AN43">
        <f>IF(Settings!$B$13="annual",AX43*(1+Settings!$B$7),AX43+Settings!$B$7*IF(AX43&gt;AW43,AX43-AW43,0))</f>
        <v>504980.41366115672</v>
      </c>
      <c r="AO43">
        <f>IF(Settings!$B$13="annual",AY43*(1+Settings!$B$7),AY43+Settings!$B$7*IF(AY43&gt;AX43,AY43-AX43,0))</f>
        <v>529434.10660094174</v>
      </c>
      <c r="AP43">
        <f>IF(Settings!$B$13="annual",AZ43*(1+Settings!$B$7),AZ43+Settings!$B$7*IF(AZ43&gt;AY43,AZ43-AY43,0))</f>
        <v>552223.45402515039</v>
      </c>
      <c r="AQ43">
        <f>IF(Settings!$B$13="annual",BA43*(1+Settings!$B$7),BA43+Settings!$B$7*IF(BA43&gt;AZ43,BA43-AZ43,0))</f>
        <v>574845.39587945747</v>
      </c>
      <c r="AR43">
        <f>IF(Settings!$B$13="annual",BB43*(1+Settings!$B$7),BB43+Settings!$B$7*IF(BB43&gt;BA43,BB43-BA43,0))</f>
        <v>600038.01039352664</v>
      </c>
      <c r="AS43">
        <f>Y43*$N43*$J43*$M43*O43*Settings!$B$6</f>
        <v>0</v>
      </c>
      <c r="AT43">
        <f>Z43*$N43*$J43*$M43*P43*Settings!$B$6</f>
        <v>0</v>
      </c>
      <c r="AU43">
        <f>AA43*$N43*$J43*$M43*Q43*Settings!$B$6</f>
        <v>0</v>
      </c>
      <c r="AV43">
        <f>AB43*$N43*$J43*$M43*R43*Settings!$B$6</f>
        <v>377439.01996734302</v>
      </c>
      <c r="AW43">
        <f>AC43*$N43*$J43*$M43*S43*Settings!$B$6</f>
        <v>475918.26194004068</v>
      </c>
      <c r="AX43">
        <f>AD43*$N43*$J43*$M43*T43*Settings!$B$6</f>
        <v>499167.9833169335</v>
      </c>
      <c r="AY43">
        <f>AE43*$N43*$J43*$M43*U43*Settings!$B$6</f>
        <v>523380.88194414007</v>
      </c>
      <c r="AZ43">
        <f>AF43*$N43*$J43*$M43*V43*Settings!$B$6</f>
        <v>546454.93960894831</v>
      </c>
      <c r="BA43">
        <f>AG43*$N43*$J43*$M43*W43*Settings!$B$6</f>
        <v>569167.30462535564</v>
      </c>
      <c r="BB43">
        <f>AH43*$N43*$J43*$M43*X43*Settings!$B$6</f>
        <v>593863.86923989246</v>
      </c>
    </row>
    <row r="44" spans="1:54" ht="15" customHeight="1">
      <c r="A44" t="s">
        <v>127</v>
      </c>
      <c r="B44" t="s">
        <v>128</v>
      </c>
      <c r="C44" s="9">
        <v>0.88500000000000001</v>
      </c>
      <c r="D44" s="9">
        <v>0.65400000000000003</v>
      </c>
      <c r="E44" s="9">
        <v>0.91</v>
      </c>
      <c r="F44" s="9">
        <v>0.52600000000000002</v>
      </c>
      <c r="G44" s="9">
        <v>0.84299999999999997</v>
      </c>
      <c r="H44" s="9">
        <v>11</v>
      </c>
      <c r="I44">
        <f t="shared" si="2"/>
        <v>0.73898305084745763</v>
      </c>
      <c r="J44">
        <f>IF(Settings!$B$10="anc4",D44*E44,IF(Settings!$B$10="anc1",C44*E44,C44*(G44*I44+F44*(1-I44))*E44))</f>
        <v>0.61227348000000004</v>
      </c>
      <c r="K44">
        <f>IF(Settings!$B$9="invest",Schedule!R44,IF(Settings!$B$9="hist",Schedule!U44,IF(Settings!$B$9="pcv",Schedule!M44,IF(Settings!$B$9="rota",Schedule!N44,Schedule!O44))))+Settings!$B$11</f>
        <v>2036</v>
      </c>
      <c r="L44">
        <f>IF(Schedule!H44=1,Settings!$B$4,Settings!$B$5)</f>
        <v>2</v>
      </c>
      <c r="M44" s="9">
        <v>1</v>
      </c>
      <c r="N44">
        <f t="shared" si="3"/>
        <v>1.0111223458038423</v>
      </c>
      <c r="O44">
        <f>IF(O$2&lt;$K44,0,IF(O$2-$K44+1&lt;$L44,IF($L44=2,Settings!$B$8,(O$2-$K44+1)/$L44),IF($J44*$M44&gt;=Settings!$B$15,1,MIN(Settings!$B$15,$J44*$M44+IF($J44*$M44&lt;Settings!$B$16,Settings!$B$17,Settings!$B$18)*(O$2-$K44-$L44+1))/($J44*$M44))))</f>
        <v>0</v>
      </c>
      <c r="P44">
        <f>IF(P$2&lt;$K44,0,IF(AND(P$2=$K44,$L44=2),Settings!$B$8,IF(P$2-$K44+1&lt;$L44,(P$2-$K44+1)/$L44,IF($J44*$M44&gt;=0.9,1,MIN(0.9,$J44*$M44+IF($J44*$M44&lt;0.7,0.03,0.01)*(P$2-$K44-$L44+1))/($J44*$M44)))))</f>
        <v>0</v>
      </c>
      <c r="Q44">
        <f>IF(Q$2&lt;$K44,0,IF(AND(Q$2=$K44,$L44=2),Settings!$B$8,IF(Q$2-$K44+1&lt;$L44,(Q$2-$K44+1)/$L44,IF($J44*$M44&gt;=0.9,1,MIN(0.9,$J44*$M44+IF($J44*$M44&lt;0.7,0.03,0.01)*(Q$2-$K44-$L44+1))/($J44*$M44)))))</f>
        <v>0</v>
      </c>
      <c r="R44">
        <f>IF(R$2&lt;$K44,0,IF(AND(R$2=$K44,$L44=2),Settings!$B$8,IF(R$2-$K44+1&lt;$L44,(R$2-$K44+1)/$L44,IF($J44*$M44&gt;=0.9,1,MIN(0.9,$J44*$M44+IF($J44*$M44&lt;0.7,0.03,0.01)*(R$2-$K44-$L44+1))/($J44*$M44)))))</f>
        <v>0</v>
      </c>
      <c r="S44">
        <f>IF(S$2&lt;$K44,0,IF(AND(S$2=$K44,$L44=2),Settings!$B$8,IF(S$2-$K44+1&lt;$L44,(S$2-$K44+1)/$L44,IF($J44*$M44&gt;=0.9,1,MIN(0.9,$J44*$M44+IF($J44*$M44&lt;0.7,0.03,0.01)*(S$2-$K44-$L44+1))/($J44*$M44)))))</f>
        <v>0</v>
      </c>
      <c r="T44">
        <f>IF(T$2&lt;$K44,0,IF(AND(T$2=$K44,$L44=2),Settings!$B$8,IF(T$2-$K44+1&lt;$L44,(T$2-$K44+1)/$L44,IF($J44*$M44&gt;=0.9,1,MIN(0.9,$J44*$M44+IF($J44*$M44&lt;0.7,0.03,0.01)*(T$2-$K44-$L44+1))/($J44*$M44)))))</f>
        <v>0</v>
      </c>
      <c r="U44">
        <f>IF(U$2&lt;$K44,0,IF(AND(U$2=$K44,$L44=2),Settings!$B$8,IF(U$2-$K44+1&lt;$L44,(U$2-$K44+1)/$L44,IF($J44*$M44&gt;=0.9,1,MIN(0.9,$J44*$M44+IF($J44*$M44&lt;0.7,0.03,0.01)*(U$2-$K44-$L44+1))/($J44*$M44)))))</f>
        <v>0</v>
      </c>
      <c r="V44">
        <f>IF(V$2&lt;$K44,0,IF(AND(V$2=$K44,$L44=2),Settings!$B$8,IF(V$2-$K44+1&lt;$L44,(V$2-$K44+1)/$L44,IF($J44*$M44&gt;=0.9,1,MIN(0.9,$J44*$M44+IF($J44*$M44&lt;0.7,0.03,0.01)*(V$2-$K44-$L44+1))/($J44*$M44)))))</f>
        <v>0</v>
      </c>
      <c r="W44">
        <f>IF(W$2&lt;$K44,0,IF(AND(W$2=$K44,$L44=2),Settings!$B$8,IF(W$2-$K44+1&lt;$L44,(W$2-$K44+1)/$L44,IF($J44*$M44&gt;=0.9,1,MIN(0.9,$J44*$M44+IF($J44*$M44&lt;0.7,0.03,0.01)*(W$2-$K44-$L44+1))/($J44*$M44)))))</f>
        <v>0.8</v>
      </c>
      <c r="X44">
        <f>IF(X$2&lt;$K44,0,IF(AND(X$2=$K44,$L44=2),Settings!$B$8,IF(X$2-$K44+1&lt;$L44,(X$2-$K44+1)/$L44,IF($J44*$M44&gt;=0.9,1,MIN(0.9,$J44*$M44+IF($J44*$M44&lt;0.7,0.03,0.01)*(X$2-$K44-$L44+1))/($J44*$M44)))))</f>
        <v>1</v>
      </c>
      <c r="Y44" s="9">
        <v>22959</v>
      </c>
      <c r="Z44" s="9">
        <v>23237</v>
      </c>
      <c r="AA44" s="9">
        <v>23563</v>
      </c>
      <c r="AB44" s="9">
        <v>23851</v>
      </c>
      <c r="AC44" s="9">
        <v>24156</v>
      </c>
      <c r="AD44" s="9">
        <v>24408</v>
      </c>
      <c r="AE44" s="9">
        <v>24658</v>
      </c>
      <c r="AF44" s="9">
        <v>24877</v>
      </c>
      <c r="AG44" s="9">
        <v>25064</v>
      </c>
      <c r="AH44" s="9">
        <v>25236</v>
      </c>
      <c r="AI44">
        <f>AS44*(1+Settings!$B$7)</f>
        <v>0</v>
      </c>
      <c r="AJ44">
        <f>IF(Settings!$B$13="annual",AT44*(1+Settings!$B$7),AT44+Settings!$B$7*IF(AT44&gt;AS44,AT44-AS44,0))</f>
        <v>0</v>
      </c>
      <c r="AK44">
        <f>IF(Settings!$B$13="annual",AU44*(1+Settings!$B$7),AU44+Settings!$B$7*IF(AU44&gt;AT44,AU44-AT44,0))</f>
        <v>0</v>
      </c>
      <c r="AL44">
        <f>IF(Settings!$B$13="annual",AV44*(1+Settings!$B$7),AV44+Settings!$B$7*IF(AV44&gt;AU44,AV44-AU44,0))</f>
        <v>0</v>
      </c>
      <c r="AM44">
        <f>IF(Settings!$B$13="annual",AW44*(1+Settings!$B$7),AW44+Settings!$B$7*IF(AW44&gt;AV44,AW44-AV44,0))</f>
        <v>0</v>
      </c>
      <c r="AN44">
        <f>IF(Settings!$B$13="annual",AX44*(1+Settings!$B$7),AX44+Settings!$B$7*IF(AX44&gt;AW44,AX44-AW44,0))</f>
        <v>0</v>
      </c>
      <c r="AO44">
        <f>IF(Settings!$B$13="annual",AY44*(1+Settings!$B$7),AY44+Settings!$B$7*IF(AY44&gt;AX44,AY44-AX44,0))</f>
        <v>0</v>
      </c>
      <c r="AP44">
        <f>IF(Settings!$B$13="annual",AZ44*(1+Settings!$B$7),AZ44+Settings!$B$7*IF(AZ44&gt;AY44,AZ44-AY44,0))</f>
        <v>0</v>
      </c>
      <c r="AQ44">
        <f>IF(Settings!$B$13="annual",BA44*(1+Settings!$B$7),BA44+Settings!$B$7*IF(BA44&gt;AZ44,BA44-AZ44,0))</f>
        <v>17533.878087030942</v>
      </c>
      <c r="AR44">
        <f>IF(Settings!$B$13="annual",BB44*(1+Settings!$B$7),BB44+Settings!$B$7*IF(BB44&gt;BA44,BB44-BA44,0))</f>
        <v>18560.97830277379</v>
      </c>
      <c r="AS44">
        <f>Y44*$N44*$J44*$M44*O44*Settings!$B$6</f>
        <v>0</v>
      </c>
      <c r="AT44">
        <f>Z44*$N44*$J44*$M44*P44*Settings!$B$6</f>
        <v>0</v>
      </c>
      <c r="AU44">
        <f>AA44*$N44*$J44*$M44*Q44*Settings!$B$6</f>
        <v>0</v>
      </c>
      <c r="AV44">
        <f>AB44*$N44*$J44*$M44*R44*Settings!$B$6</f>
        <v>0</v>
      </c>
      <c r="AW44">
        <f>AC44*$N44*$J44*$M44*S44*Settings!$B$6</f>
        <v>0</v>
      </c>
      <c r="AX44">
        <f>AD44*$N44*$J44*$M44*T44*Settings!$B$6</f>
        <v>0</v>
      </c>
      <c r="AY44">
        <f>AE44*$N44*$J44*$M44*U44*Settings!$B$6</f>
        <v>0</v>
      </c>
      <c r="AZ44">
        <f>AF44*$N44*$J44*$M44*V44*Settings!$B$6</f>
        <v>0</v>
      </c>
      <c r="BA44">
        <f>AG44*$N44*$J44*$M44*W44*Settings!$B$6</f>
        <v>14027.102469624753</v>
      </c>
      <c r="BB44">
        <f>AH44*$N44*$J44*$M44*X44*Settings!$B$6</f>
        <v>17654.203136143984</v>
      </c>
    </row>
    <row r="45" spans="1:54" ht="15" customHeight="1">
      <c r="A45" t="s">
        <v>129</v>
      </c>
      <c r="B45" t="s">
        <v>130</v>
      </c>
      <c r="C45" s="9">
        <v>0.97899999999999998</v>
      </c>
      <c r="D45" s="9">
        <v>0.78800000000000003</v>
      </c>
      <c r="E45" s="9">
        <v>0.92</v>
      </c>
      <c r="F45" s="9">
        <v>0.52600000000000002</v>
      </c>
      <c r="G45" s="9">
        <v>0.84299999999999997</v>
      </c>
      <c r="H45" s="9">
        <v>20.2</v>
      </c>
      <c r="I45">
        <f t="shared" si="2"/>
        <v>0.80490296220633306</v>
      </c>
      <c r="J45">
        <f>IF(Settings!$B$10="anc4",D45*E45,IF(Settings!$B$10="anc1",C45*E45,C45*(G45*I45+F45*(1-I45))*E45))</f>
        <v>0.70357000000000003</v>
      </c>
      <c r="K45">
        <f>IF(Settings!$B$9="invest",Schedule!R45,IF(Settings!$B$9="hist",Schedule!U45,IF(Settings!$B$9="pcv",Schedule!M45,IF(Settings!$B$9="rota",Schedule!N45,Schedule!O45))))+Settings!$B$11</f>
        <v>2031</v>
      </c>
      <c r="L45">
        <f>IF(Schedule!H45=1,Settings!$B$4,Settings!$B$5)</f>
        <v>2</v>
      </c>
      <c r="M45" s="9">
        <v>1</v>
      </c>
      <c r="N45">
        <f t="shared" si="3"/>
        <v>1.0206164523372117</v>
      </c>
      <c r="O45">
        <f>IF(O$2&lt;$K45,0,IF(O$2-$K45+1&lt;$L45,IF($L45=2,Settings!$B$8,(O$2-$K45+1)/$L45),IF($J45*$M45&gt;=Settings!$B$15,1,MIN(Settings!$B$15,$J45*$M45+IF($J45*$M45&lt;Settings!$B$16,Settings!$B$17,Settings!$B$18)*(O$2-$K45-$L45+1))/($J45*$M45))))</f>
        <v>0</v>
      </c>
      <c r="P45">
        <f>IF(P$2&lt;$K45,0,IF(AND(P$2=$K45,$L45=2),Settings!$B$8,IF(P$2-$K45+1&lt;$L45,(P$2-$K45+1)/$L45,IF($J45*$M45&gt;=0.9,1,MIN(0.9,$J45*$M45+IF($J45*$M45&lt;0.7,0.03,0.01)*(P$2-$K45-$L45+1))/($J45*$M45)))))</f>
        <v>0</v>
      </c>
      <c r="Q45">
        <f>IF(Q$2&lt;$K45,0,IF(AND(Q$2=$K45,$L45=2),Settings!$B$8,IF(Q$2-$K45+1&lt;$L45,(Q$2-$K45+1)/$L45,IF($J45*$M45&gt;=0.9,1,MIN(0.9,$J45*$M45+IF($J45*$M45&lt;0.7,0.03,0.01)*(Q$2-$K45-$L45+1))/($J45*$M45)))))</f>
        <v>0</v>
      </c>
      <c r="R45">
        <f>IF(R$2&lt;$K45,0,IF(AND(R$2=$K45,$L45=2),Settings!$B$8,IF(R$2-$K45+1&lt;$L45,(R$2-$K45+1)/$L45,IF($J45*$M45&gt;=0.9,1,MIN(0.9,$J45*$M45+IF($J45*$M45&lt;0.7,0.03,0.01)*(R$2-$K45-$L45+1))/($J45*$M45)))))</f>
        <v>0.8</v>
      </c>
      <c r="S45">
        <f>IF(S$2&lt;$K45,0,IF(AND(S$2=$K45,$L45=2),Settings!$B$8,IF(S$2-$K45+1&lt;$L45,(S$2-$K45+1)/$L45,IF($J45*$M45&gt;=0.9,1,MIN(0.9,$J45*$M45+IF($J45*$M45&lt;0.7,0.03,0.01)*(S$2-$K45-$L45+1))/($J45*$M45)))))</f>
        <v>1</v>
      </c>
      <c r="T45">
        <f>IF(T$2&lt;$K45,0,IF(AND(T$2=$K45,$L45=2),Settings!$B$8,IF(T$2-$K45+1&lt;$L45,(T$2-$K45+1)/$L45,IF($J45*$M45&gt;=0.9,1,MIN(0.9,$J45*$M45+IF($J45*$M45&lt;0.7,0.03,0.01)*(T$2-$K45-$L45+1))/($J45*$M45)))))</f>
        <v>1.014213226828887</v>
      </c>
      <c r="U45">
        <f>IF(U$2&lt;$K45,0,IF(AND(U$2=$K45,$L45=2),Settings!$B$8,IF(U$2-$K45+1&lt;$L45,(U$2-$K45+1)/$L45,IF($J45*$M45&gt;=0.9,1,MIN(0.9,$J45*$M45+IF($J45*$M45&lt;0.7,0.03,0.01)*(U$2-$K45-$L45+1))/($J45*$M45)))))</f>
        <v>1.0284264536577739</v>
      </c>
      <c r="V45">
        <f>IF(V$2&lt;$K45,0,IF(AND(V$2=$K45,$L45=2),Settings!$B$8,IF(V$2-$K45+1&lt;$L45,(V$2-$K45+1)/$L45,IF($J45*$M45&gt;=0.9,1,MIN(0.9,$J45*$M45+IF($J45*$M45&lt;0.7,0.03,0.01)*(V$2-$K45-$L45+1))/($J45*$M45)))))</f>
        <v>1.0426396804866609</v>
      </c>
      <c r="W45">
        <f>IF(W$2&lt;$K45,0,IF(AND(W$2=$K45,$L45=2),Settings!$B$8,IF(W$2-$K45+1&lt;$L45,(W$2-$K45+1)/$L45,IF($J45*$M45&gt;=0.9,1,MIN(0.9,$J45*$M45+IF($J45*$M45&lt;0.7,0.03,0.01)*(W$2-$K45-$L45+1))/($J45*$M45)))))</f>
        <v>1.0568529073155479</v>
      </c>
      <c r="X45">
        <f>IF(X$2&lt;$K45,0,IF(AND(X$2=$K45,$L45=2),Settings!$B$8,IF(X$2-$K45+1&lt;$L45,(X$2-$K45+1)/$L45,IF($J45*$M45&gt;=0.9,1,MIN(0.9,$J45*$M45+IF($J45*$M45&lt;0.7,0.03,0.01)*(X$2-$K45-$L45+1))/($J45*$M45)))))</f>
        <v>1.071066134144435</v>
      </c>
      <c r="Y45" s="9">
        <v>262199</v>
      </c>
      <c r="Z45" s="9">
        <v>262111</v>
      </c>
      <c r="AA45" s="9">
        <v>262786</v>
      </c>
      <c r="AB45" s="9">
        <v>263543</v>
      </c>
      <c r="AC45" s="9">
        <v>264326</v>
      </c>
      <c r="AD45" s="9">
        <v>264987</v>
      </c>
      <c r="AE45" s="9">
        <v>265312</v>
      </c>
      <c r="AF45" s="9">
        <v>265551</v>
      </c>
      <c r="AG45" s="9">
        <v>265726</v>
      </c>
      <c r="AH45" s="9">
        <v>265644</v>
      </c>
      <c r="AI45">
        <f>AS45*(1+Settings!$B$7)</f>
        <v>0</v>
      </c>
      <c r="AJ45">
        <f>IF(Settings!$B$13="annual",AT45*(1+Settings!$B$7),AT45+Settings!$B$7*IF(AT45&gt;AS45,AT45-AS45,0))</f>
        <v>0</v>
      </c>
      <c r="AK45">
        <f>IF(Settings!$B$13="annual",AU45*(1+Settings!$B$7),AU45+Settings!$B$7*IF(AU45&gt;AT45,AU45-AT45,0))</f>
        <v>0</v>
      </c>
      <c r="AL45">
        <f>IF(Settings!$B$13="annual",AV45*(1+Settings!$B$7),AV45+Settings!$B$7*IF(AV45&gt;AU45,AV45-AU45,0))</f>
        <v>213845.34784272299</v>
      </c>
      <c r="AM45">
        <f>IF(Settings!$B$13="annual",AW45*(1+Settings!$B$7),AW45+Settings!$B$7*IF(AW45&gt;AV45,AW45-AV45,0))</f>
        <v>225331.79733873237</v>
      </c>
      <c r="AN45">
        <f>IF(Settings!$B$13="annual",AX45*(1+Settings!$B$7),AX45+Settings!$B$7*IF(AX45&gt;AW45,AX45-AW45,0))</f>
        <v>218971.24088255255</v>
      </c>
      <c r="AO45">
        <f>IF(Settings!$B$13="annual",AY45*(1+Settings!$B$7),AY45+Settings!$B$7*IF(AY45&gt;AX45,AY45-AX45,0))</f>
        <v>222232.25085203614</v>
      </c>
      <c r="AP45">
        <f>IF(Settings!$B$13="annual",AZ45*(1+Settings!$B$7),AZ45+Settings!$B$7*IF(AZ45&gt;AY45,AZ45-AY45,0))</f>
        <v>225477.96938311387</v>
      </c>
      <c r="AQ45">
        <f>IF(Settings!$B$13="annual",BA45*(1+Settings!$B$7),BA45+Settings!$B$7*IF(BA45&gt;AZ45,BA45-AZ45,0))</f>
        <v>228678.28972593899</v>
      </c>
      <c r="AR45">
        <f>IF(Settings!$B$13="annual",BB45*(1+Settings!$B$7),BB45+Settings!$B$7*IF(BB45&gt;BA45,BB45-BA45,0))</f>
        <v>231616.80338982443</v>
      </c>
      <c r="AS45">
        <f>Y45*$N45*$J45*$M45*O45*Settings!$B$6</f>
        <v>0</v>
      </c>
      <c r="AT45">
        <f>Z45*$N45*$J45*$M45*P45*Settings!$B$6</f>
        <v>0</v>
      </c>
      <c r="AU45">
        <f>AA45*$N45*$J45*$M45*Q45*Settings!$B$6</f>
        <v>0</v>
      </c>
      <c r="AV45">
        <f>AB45*$N45*$J45*$M45*R45*Settings!$B$6</f>
        <v>171076.27827417839</v>
      </c>
      <c r="AW45">
        <f>AC45*$N45*$J45*$M45*S45*Settings!$B$6</f>
        <v>214480.69352582158</v>
      </c>
      <c r="AX45">
        <f>AD45*$N45*$J45*$M45*T45*Settings!$B$6</f>
        <v>218073.13141120636</v>
      </c>
      <c r="AY45">
        <f>AE45*$N45*$J45*$M45*U45*Settings!$B$6</f>
        <v>221400.42696387018</v>
      </c>
      <c r="AZ45">
        <f>AF45*$N45*$J45*$M45*V45*Settings!$B$6</f>
        <v>224662.46089926513</v>
      </c>
      <c r="BA45">
        <f>AG45*$N45*$J45*$M45*W45*Settings!$B$6</f>
        <v>227875.12396060422</v>
      </c>
      <c r="BB45">
        <f>AH45*$N45*$J45*$M45*X45*Settings!$B$6</f>
        <v>230868.46750398038</v>
      </c>
    </row>
    <row r="46" spans="1:54" ht="15" customHeight="1">
      <c r="A46" t="s">
        <v>131</v>
      </c>
      <c r="B46" t="s">
        <v>132</v>
      </c>
      <c r="C46" s="9">
        <v>0.311</v>
      </c>
      <c r="D46" s="9">
        <v>0.08</v>
      </c>
      <c r="E46" s="9">
        <v>0.78</v>
      </c>
      <c r="F46" s="9">
        <v>0.52600000000000002</v>
      </c>
      <c r="G46" s="9">
        <v>0.84299999999999997</v>
      </c>
      <c r="H46" s="9">
        <v>34.9</v>
      </c>
      <c r="I46">
        <f t="shared" si="2"/>
        <v>0.25723472668810288</v>
      </c>
      <c r="J46">
        <f>IF(Settings!$B$10="anc4",D46*E46,IF(Settings!$B$10="anc1",C46*E46,C46*(G46*I46+F46*(1-I46))*E46))</f>
        <v>0.14737788000000002</v>
      </c>
      <c r="K46">
        <f>IF(Settings!$B$9="invest",Schedule!R46,IF(Settings!$B$9="hist",Schedule!U46,IF(Settings!$B$9="pcv",Schedule!M46,IF(Settings!$B$9="rota",Schedule!N46,Schedule!O46))))+Settings!$B$11</f>
        <v>2041</v>
      </c>
      <c r="L46">
        <f>IF(Schedule!H46=1,Settings!$B$4,Settings!$B$5)</f>
        <v>2</v>
      </c>
      <c r="M46" s="9">
        <v>1</v>
      </c>
      <c r="N46">
        <f t="shared" si="3"/>
        <v>1.0361620557455187</v>
      </c>
      <c r="O46">
        <f>IF(O$2&lt;$K46,0,IF(O$2-$K46+1&lt;$L46,IF($L46=2,Settings!$B$8,(O$2-$K46+1)/$L46),IF($J46*$M46&gt;=Settings!$B$15,1,MIN(Settings!$B$15,$J46*$M46+IF($J46*$M46&lt;Settings!$B$16,Settings!$B$17,Settings!$B$18)*(O$2-$K46-$L46+1))/($J46*$M46))))</f>
        <v>0</v>
      </c>
      <c r="P46">
        <f>IF(P$2&lt;$K46,0,IF(AND(P$2=$K46,$L46=2),Settings!$B$8,IF(P$2-$K46+1&lt;$L46,(P$2-$K46+1)/$L46,IF($J46*$M46&gt;=0.9,1,MIN(0.9,$J46*$M46+IF($J46*$M46&lt;0.7,0.03,0.01)*(P$2-$K46-$L46+1))/($J46*$M46)))))</f>
        <v>0</v>
      </c>
      <c r="Q46">
        <f>IF(Q$2&lt;$K46,0,IF(AND(Q$2=$K46,$L46=2),Settings!$B$8,IF(Q$2-$K46+1&lt;$L46,(Q$2-$K46+1)/$L46,IF($J46*$M46&gt;=0.9,1,MIN(0.9,$J46*$M46+IF($J46*$M46&lt;0.7,0.03,0.01)*(Q$2-$K46-$L46+1))/($J46*$M46)))))</f>
        <v>0</v>
      </c>
      <c r="R46">
        <f>IF(R$2&lt;$K46,0,IF(AND(R$2=$K46,$L46=2),Settings!$B$8,IF(R$2-$K46+1&lt;$L46,(R$2-$K46+1)/$L46,IF($J46*$M46&gt;=0.9,1,MIN(0.9,$J46*$M46+IF($J46*$M46&lt;0.7,0.03,0.01)*(R$2-$K46-$L46+1))/($J46*$M46)))))</f>
        <v>0</v>
      </c>
      <c r="S46">
        <f>IF(S$2&lt;$K46,0,IF(AND(S$2=$K46,$L46=2),Settings!$B$8,IF(S$2-$K46+1&lt;$L46,(S$2-$K46+1)/$L46,IF($J46*$M46&gt;=0.9,1,MIN(0.9,$J46*$M46+IF($J46*$M46&lt;0.7,0.03,0.01)*(S$2-$K46-$L46+1))/($J46*$M46)))))</f>
        <v>0</v>
      </c>
      <c r="T46">
        <f>IF(T$2&lt;$K46,0,IF(AND(T$2=$K46,$L46=2),Settings!$B$8,IF(T$2-$K46+1&lt;$L46,(T$2-$K46+1)/$L46,IF($J46*$M46&gt;=0.9,1,MIN(0.9,$J46*$M46+IF($J46*$M46&lt;0.7,0.03,0.01)*(T$2-$K46-$L46+1))/($J46*$M46)))))</f>
        <v>0</v>
      </c>
      <c r="U46">
        <f>IF(U$2&lt;$K46,0,IF(AND(U$2=$K46,$L46=2),Settings!$B$8,IF(U$2-$K46+1&lt;$L46,(U$2-$K46+1)/$L46,IF($J46*$M46&gt;=0.9,1,MIN(0.9,$J46*$M46+IF($J46*$M46&lt;0.7,0.03,0.01)*(U$2-$K46-$L46+1))/($J46*$M46)))))</f>
        <v>0</v>
      </c>
      <c r="V46">
        <f>IF(V$2&lt;$K46,0,IF(AND(V$2=$K46,$L46=2),Settings!$B$8,IF(V$2-$K46+1&lt;$L46,(V$2-$K46+1)/$L46,IF($J46*$M46&gt;=0.9,1,MIN(0.9,$J46*$M46+IF($J46*$M46&lt;0.7,0.03,0.01)*(V$2-$K46-$L46+1))/($J46*$M46)))))</f>
        <v>0</v>
      </c>
      <c r="W46">
        <f>IF(W$2&lt;$K46,0,IF(AND(W$2=$K46,$L46=2),Settings!$B$8,IF(W$2-$K46+1&lt;$L46,(W$2-$K46+1)/$L46,IF($J46*$M46&gt;=0.9,1,MIN(0.9,$J46*$M46+IF($J46*$M46&lt;0.7,0.03,0.01)*(W$2-$K46-$L46+1))/($J46*$M46)))))</f>
        <v>0</v>
      </c>
      <c r="X46">
        <f>IF(X$2&lt;$K46,0,IF(AND(X$2=$K46,$L46=2),Settings!$B$8,IF(X$2-$K46+1&lt;$L46,(X$2-$K46+1)/$L46,IF($J46*$M46&gt;=0.9,1,MIN(0.9,$J46*$M46+IF($J46*$M46&lt;0.7,0.03,0.01)*(X$2-$K46-$L46+1))/($J46*$M46)))))</f>
        <v>0</v>
      </c>
      <c r="Y46" s="9">
        <v>859893</v>
      </c>
      <c r="Z46" s="9">
        <v>869664</v>
      </c>
      <c r="AA46" s="9">
        <v>878448</v>
      </c>
      <c r="AB46" s="9">
        <v>891667</v>
      </c>
      <c r="AC46" s="9">
        <v>901358</v>
      </c>
      <c r="AD46" s="9">
        <v>915030</v>
      </c>
      <c r="AE46" s="9">
        <v>924404</v>
      </c>
      <c r="AF46" s="9">
        <v>936180</v>
      </c>
      <c r="AG46" s="9">
        <v>946978</v>
      </c>
      <c r="AH46" s="9">
        <v>956550</v>
      </c>
      <c r="AI46">
        <f>AS46*(1+Settings!$B$7)</f>
        <v>0</v>
      </c>
      <c r="AJ46">
        <f>IF(Settings!$B$13="annual",AT46*(1+Settings!$B$7),AT46+Settings!$B$7*IF(AT46&gt;AS46,AT46-AS46,0))</f>
        <v>0</v>
      </c>
      <c r="AK46">
        <f>IF(Settings!$B$13="annual",AU46*(1+Settings!$B$7),AU46+Settings!$B$7*IF(AU46&gt;AT46,AU46-AT46,0))</f>
        <v>0</v>
      </c>
      <c r="AL46">
        <f>IF(Settings!$B$13="annual",AV46*(1+Settings!$B$7),AV46+Settings!$B$7*IF(AV46&gt;AU46,AV46-AU46,0))</f>
        <v>0</v>
      </c>
      <c r="AM46">
        <f>IF(Settings!$B$13="annual",AW46*(1+Settings!$B$7),AW46+Settings!$B$7*IF(AW46&gt;AV46,AW46-AV46,0))</f>
        <v>0</v>
      </c>
      <c r="AN46">
        <f>IF(Settings!$B$13="annual",AX46*(1+Settings!$B$7),AX46+Settings!$B$7*IF(AX46&gt;AW46,AX46-AW46,0))</f>
        <v>0</v>
      </c>
      <c r="AO46">
        <f>IF(Settings!$B$13="annual",AY46*(1+Settings!$B$7),AY46+Settings!$B$7*IF(AY46&gt;AX46,AY46-AX46,0))</f>
        <v>0</v>
      </c>
      <c r="AP46">
        <f>IF(Settings!$B$13="annual",AZ46*(1+Settings!$B$7),AZ46+Settings!$B$7*IF(AZ46&gt;AY46,AZ46-AY46,0))</f>
        <v>0</v>
      </c>
      <c r="AQ46">
        <f>IF(Settings!$B$13="annual",BA46*(1+Settings!$B$7),BA46+Settings!$B$7*IF(BA46&gt;AZ46,BA46-AZ46,0))</f>
        <v>0</v>
      </c>
      <c r="AR46">
        <f>IF(Settings!$B$13="annual",BB46*(1+Settings!$B$7),BB46+Settings!$B$7*IF(BB46&gt;BA46,BB46-BA46,0))</f>
        <v>0</v>
      </c>
      <c r="AS46">
        <f>Y46*$N46*$J46*$M46*O46*Settings!$B$6</f>
        <v>0</v>
      </c>
      <c r="AT46">
        <f>Z46*$N46*$J46*$M46*P46*Settings!$B$6</f>
        <v>0</v>
      </c>
      <c r="AU46">
        <f>AA46*$N46*$J46*$M46*Q46*Settings!$B$6</f>
        <v>0</v>
      </c>
      <c r="AV46">
        <f>AB46*$N46*$J46*$M46*R46*Settings!$B$6</f>
        <v>0</v>
      </c>
      <c r="AW46">
        <f>AC46*$N46*$J46*$M46*S46*Settings!$B$6</f>
        <v>0</v>
      </c>
      <c r="AX46">
        <f>AD46*$N46*$J46*$M46*T46*Settings!$B$6</f>
        <v>0</v>
      </c>
      <c r="AY46">
        <f>AE46*$N46*$J46*$M46*U46*Settings!$B$6</f>
        <v>0</v>
      </c>
      <c r="AZ46">
        <f>AF46*$N46*$J46*$M46*V46*Settings!$B$6</f>
        <v>0</v>
      </c>
      <c r="BA46">
        <f>AG46*$N46*$J46*$M46*W46*Settings!$B$6</f>
        <v>0</v>
      </c>
      <c r="BB46">
        <f>AH46*$N46*$J46*$M46*X46*Settings!$B$6</f>
        <v>0</v>
      </c>
    </row>
    <row r="47" spans="1:54" ht="15" customHeight="1">
      <c r="A47" t="s">
        <v>133</v>
      </c>
      <c r="B47" t="s">
        <v>134</v>
      </c>
      <c r="C47" s="9">
        <v>0.61899999999999999</v>
      </c>
      <c r="D47" s="9">
        <v>0.31</v>
      </c>
      <c r="E47" s="9">
        <v>0.76</v>
      </c>
      <c r="F47" s="9">
        <v>0.52600000000000002</v>
      </c>
      <c r="G47" s="9">
        <v>0.84299999999999997</v>
      </c>
      <c r="H47" s="9">
        <v>27.6</v>
      </c>
      <c r="I47">
        <f t="shared" si="2"/>
        <v>0.50080775444264947</v>
      </c>
      <c r="J47">
        <f>IF(Settings!$B$10="anc4",D47*E47,IF(Settings!$B$10="anc1",C47*E47,C47*(G47*I47+F47*(1-I47))*E47))</f>
        <v>0.32213663999999997</v>
      </c>
      <c r="K47">
        <f>IF(Settings!$B$9="invest",Schedule!R47,IF(Settings!$B$9="hist",Schedule!U47,IF(Settings!$B$9="pcv",Schedule!M47,IF(Settings!$B$9="rota",Schedule!N47,Schedule!O47))))+Settings!$B$11</f>
        <v>2041</v>
      </c>
      <c r="L47">
        <f>IF(Schedule!H47=1,Settings!$B$4,Settings!$B$5)</f>
        <v>2</v>
      </c>
      <c r="M47" s="9">
        <v>1</v>
      </c>
      <c r="N47">
        <f t="shared" si="3"/>
        <v>1.0283833813245578</v>
      </c>
      <c r="O47">
        <f>IF(O$2&lt;$K47,0,IF(O$2-$K47+1&lt;$L47,IF($L47=2,Settings!$B$8,(O$2-$K47+1)/$L47),IF($J47*$M47&gt;=Settings!$B$15,1,MIN(Settings!$B$15,$J47*$M47+IF($J47*$M47&lt;Settings!$B$16,Settings!$B$17,Settings!$B$18)*(O$2-$K47-$L47+1))/($J47*$M47))))</f>
        <v>0</v>
      </c>
      <c r="P47">
        <f>IF(P$2&lt;$K47,0,IF(AND(P$2=$K47,$L47=2),Settings!$B$8,IF(P$2-$K47+1&lt;$L47,(P$2-$K47+1)/$L47,IF($J47*$M47&gt;=0.9,1,MIN(0.9,$J47*$M47+IF($J47*$M47&lt;0.7,0.03,0.01)*(P$2-$K47-$L47+1))/($J47*$M47)))))</f>
        <v>0</v>
      </c>
      <c r="Q47">
        <f>IF(Q$2&lt;$K47,0,IF(AND(Q$2=$K47,$L47=2),Settings!$B$8,IF(Q$2-$K47+1&lt;$L47,(Q$2-$K47+1)/$L47,IF($J47*$M47&gt;=0.9,1,MIN(0.9,$J47*$M47+IF($J47*$M47&lt;0.7,0.03,0.01)*(Q$2-$K47-$L47+1))/($J47*$M47)))))</f>
        <v>0</v>
      </c>
      <c r="R47">
        <f>IF(R$2&lt;$K47,0,IF(AND(R$2=$K47,$L47=2),Settings!$B$8,IF(R$2-$K47+1&lt;$L47,(R$2-$K47+1)/$L47,IF($J47*$M47&gt;=0.9,1,MIN(0.9,$J47*$M47+IF($J47*$M47&lt;0.7,0.03,0.01)*(R$2-$K47-$L47+1))/($J47*$M47)))))</f>
        <v>0</v>
      </c>
      <c r="S47">
        <f>IF(S$2&lt;$K47,0,IF(AND(S$2=$K47,$L47=2),Settings!$B$8,IF(S$2-$K47+1&lt;$L47,(S$2-$K47+1)/$L47,IF($J47*$M47&gt;=0.9,1,MIN(0.9,$J47*$M47+IF($J47*$M47&lt;0.7,0.03,0.01)*(S$2-$K47-$L47+1))/($J47*$M47)))))</f>
        <v>0</v>
      </c>
      <c r="T47">
        <f>IF(T$2&lt;$K47,0,IF(AND(T$2=$K47,$L47=2),Settings!$B$8,IF(T$2-$K47+1&lt;$L47,(T$2-$K47+1)/$L47,IF($J47*$M47&gt;=0.9,1,MIN(0.9,$J47*$M47+IF($J47*$M47&lt;0.7,0.03,0.01)*(T$2-$K47-$L47+1))/($J47*$M47)))))</f>
        <v>0</v>
      </c>
      <c r="U47">
        <f>IF(U$2&lt;$K47,0,IF(AND(U$2=$K47,$L47=2),Settings!$B$8,IF(U$2-$K47+1&lt;$L47,(U$2-$K47+1)/$L47,IF($J47*$M47&gt;=0.9,1,MIN(0.9,$J47*$M47+IF($J47*$M47&lt;0.7,0.03,0.01)*(U$2-$K47-$L47+1))/($J47*$M47)))))</f>
        <v>0</v>
      </c>
      <c r="V47">
        <f>IF(V$2&lt;$K47,0,IF(AND(V$2=$K47,$L47=2),Settings!$B$8,IF(V$2-$K47+1&lt;$L47,(V$2-$K47+1)/$L47,IF($J47*$M47&gt;=0.9,1,MIN(0.9,$J47*$M47+IF($J47*$M47&lt;0.7,0.03,0.01)*(V$2-$K47-$L47+1))/($J47*$M47)))))</f>
        <v>0</v>
      </c>
      <c r="W47">
        <f>IF(W$2&lt;$K47,0,IF(AND(W$2=$K47,$L47=2),Settings!$B$8,IF(W$2-$K47+1&lt;$L47,(W$2-$K47+1)/$L47,IF($J47*$M47&gt;=0.9,1,MIN(0.9,$J47*$M47+IF($J47*$M47&lt;0.7,0.03,0.01)*(W$2-$K47-$L47+1))/($J47*$M47)))))</f>
        <v>0</v>
      </c>
      <c r="X47">
        <f>IF(X$2&lt;$K47,0,IF(AND(X$2=$K47,$L47=2),Settings!$B$8,IF(X$2-$K47+1&lt;$L47,(X$2-$K47+1)/$L47,IF($J47*$M47&gt;=0.9,1,MIN(0.9,$J47*$M47+IF($J47*$M47&lt;0.7,0.03,0.01)*(X$2-$K47-$L47+1))/($J47*$M47)))))</f>
        <v>0</v>
      </c>
      <c r="Y47" s="9">
        <v>381723</v>
      </c>
      <c r="Z47" s="9">
        <v>389036</v>
      </c>
      <c r="AA47" s="9">
        <v>395444</v>
      </c>
      <c r="AB47" s="9">
        <v>400473</v>
      </c>
      <c r="AC47" s="9">
        <v>404567</v>
      </c>
      <c r="AD47" s="9">
        <v>407067</v>
      </c>
      <c r="AE47" s="9">
        <v>407899</v>
      </c>
      <c r="AF47" s="9">
        <v>407877</v>
      </c>
      <c r="AG47" s="9">
        <v>407671</v>
      </c>
      <c r="AH47" s="9">
        <v>406638</v>
      </c>
      <c r="AI47">
        <f>AS47*(1+Settings!$B$7)</f>
        <v>0</v>
      </c>
      <c r="AJ47">
        <f>IF(Settings!$B$13="annual",AT47*(1+Settings!$B$7),AT47+Settings!$B$7*IF(AT47&gt;AS47,AT47-AS47,0))</f>
        <v>0</v>
      </c>
      <c r="AK47">
        <f>IF(Settings!$B$13="annual",AU47*(1+Settings!$B$7),AU47+Settings!$B$7*IF(AU47&gt;AT47,AU47-AT47,0))</f>
        <v>0</v>
      </c>
      <c r="AL47">
        <f>IF(Settings!$B$13="annual",AV47*(1+Settings!$B$7),AV47+Settings!$B$7*IF(AV47&gt;AU47,AV47-AU47,0))</f>
        <v>0</v>
      </c>
      <c r="AM47">
        <f>IF(Settings!$B$13="annual",AW47*(1+Settings!$B$7),AW47+Settings!$B$7*IF(AW47&gt;AV47,AW47-AV47,0))</f>
        <v>0</v>
      </c>
      <c r="AN47">
        <f>IF(Settings!$B$13="annual",AX47*(1+Settings!$B$7),AX47+Settings!$B$7*IF(AX47&gt;AW47,AX47-AW47,0))</f>
        <v>0</v>
      </c>
      <c r="AO47">
        <f>IF(Settings!$B$13="annual",AY47*(1+Settings!$B$7),AY47+Settings!$B$7*IF(AY47&gt;AX47,AY47-AX47,0))</f>
        <v>0</v>
      </c>
      <c r="AP47">
        <f>IF(Settings!$B$13="annual",AZ47*(1+Settings!$B$7),AZ47+Settings!$B$7*IF(AZ47&gt;AY47,AZ47-AY47,0))</f>
        <v>0</v>
      </c>
      <c r="AQ47">
        <f>IF(Settings!$B$13="annual",BA47*(1+Settings!$B$7),BA47+Settings!$B$7*IF(BA47&gt;AZ47,BA47-AZ47,0))</f>
        <v>0</v>
      </c>
      <c r="AR47">
        <f>IF(Settings!$B$13="annual",BB47*(1+Settings!$B$7),BB47+Settings!$B$7*IF(BB47&gt;BA47,BB47-BA47,0))</f>
        <v>0</v>
      </c>
      <c r="AS47">
        <f>Y47*$N47*$J47*$M47*O47*Settings!$B$6</f>
        <v>0</v>
      </c>
      <c r="AT47">
        <f>Z47*$N47*$J47*$M47*P47*Settings!$B$6</f>
        <v>0</v>
      </c>
      <c r="AU47">
        <f>AA47*$N47*$J47*$M47*Q47*Settings!$B$6</f>
        <v>0</v>
      </c>
      <c r="AV47">
        <f>AB47*$N47*$J47*$M47*R47*Settings!$B$6</f>
        <v>0</v>
      </c>
      <c r="AW47">
        <f>AC47*$N47*$J47*$M47*S47*Settings!$B$6</f>
        <v>0</v>
      </c>
      <c r="AX47">
        <f>AD47*$N47*$J47*$M47*T47*Settings!$B$6</f>
        <v>0</v>
      </c>
      <c r="AY47">
        <f>AE47*$N47*$J47*$M47*U47*Settings!$B$6</f>
        <v>0</v>
      </c>
      <c r="AZ47">
        <f>AF47*$N47*$J47*$M47*V47*Settings!$B$6</f>
        <v>0</v>
      </c>
      <c r="BA47">
        <f>AG47*$N47*$J47*$M47*W47*Settings!$B$6</f>
        <v>0</v>
      </c>
      <c r="BB47">
        <f>AH47*$N47*$J47*$M47*X47*Settings!$B$6</f>
        <v>0</v>
      </c>
    </row>
    <row r="48" spans="1:54" ht="15" customHeight="1">
      <c r="A48" t="s">
        <v>135</v>
      </c>
      <c r="B48" t="s">
        <v>136</v>
      </c>
      <c r="C48" s="9">
        <v>0.98099999999999998</v>
      </c>
      <c r="D48" s="9">
        <v>0.89</v>
      </c>
      <c r="E48" s="9">
        <v>0.87</v>
      </c>
      <c r="F48" s="9">
        <v>0.52600000000000002</v>
      </c>
      <c r="G48" s="9">
        <v>0.84299999999999997</v>
      </c>
      <c r="H48" s="9">
        <v>9.1</v>
      </c>
      <c r="I48">
        <f t="shared" si="2"/>
        <v>0.90723751274209996</v>
      </c>
      <c r="J48">
        <f>IF(Settings!$B$10="anc4",D48*E48,IF(Settings!$B$10="anc1",C48*E48,C48*(G48*I48+F48*(1-I48))*E48))</f>
        <v>0.69437831999999999</v>
      </c>
      <c r="K48">
        <f>IF(Settings!$B$9="invest",Schedule!R48,IF(Settings!$B$9="hist",Schedule!U48,IF(Settings!$B$9="pcv",Schedule!M48,IF(Settings!$B$9="rota",Schedule!N48,Schedule!O48))))+Settings!$B$11</f>
        <v>2034</v>
      </c>
      <c r="L48">
        <f>IF(Schedule!H48=1,Settings!$B$4,Settings!$B$5)</f>
        <v>2</v>
      </c>
      <c r="M48" s="9">
        <v>1</v>
      </c>
      <c r="N48">
        <f t="shared" si="3"/>
        <v>1.0091835704914724</v>
      </c>
      <c r="O48">
        <f>IF(O$2&lt;$K48,0,IF(O$2-$K48+1&lt;$L48,IF($L48=2,Settings!$B$8,(O$2-$K48+1)/$L48),IF($J48*$M48&gt;=Settings!$B$15,1,MIN(Settings!$B$15,$J48*$M48+IF($J48*$M48&lt;Settings!$B$16,Settings!$B$17,Settings!$B$18)*(O$2-$K48-$L48+1))/($J48*$M48))))</f>
        <v>0</v>
      </c>
      <c r="P48">
        <f>IF(P$2&lt;$K48,0,IF(AND(P$2=$K48,$L48=2),Settings!$B$8,IF(P$2-$K48+1&lt;$L48,(P$2-$K48+1)/$L48,IF($J48*$M48&gt;=0.9,1,MIN(0.9,$J48*$M48+IF($J48*$M48&lt;0.7,0.03,0.01)*(P$2-$K48-$L48+1))/($J48*$M48)))))</f>
        <v>0</v>
      </c>
      <c r="Q48">
        <f>IF(Q$2&lt;$K48,0,IF(AND(Q$2=$K48,$L48=2),Settings!$B$8,IF(Q$2-$K48+1&lt;$L48,(Q$2-$K48+1)/$L48,IF($J48*$M48&gt;=0.9,1,MIN(0.9,$J48*$M48+IF($J48*$M48&lt;0.7,0.03,0.01)*(Q$2-$K48-$L48+1))/($J48*$M48)))))</f>
        <v>0</v>
      </c>
      <c r="R48">
        <f>IF(R$2&lt;$K48,0,IF(AND(R$2=$K48,$L48=2),Settings!$B$8,IF(R$2-$K48+1&lt;$L48,(R$2-$K48+1)/$L48,IF($J48*$M48&gt;=0.9,1,MIN(0.9,$J48*$M48+IF($J48*$M48&lt;0.7,0.03,0.01)*(R$2-$K48-$L48+1))/($J48*$M48)))))</f>
        <v>0</v>
      </c>
      <c r="S48">
        <f>IF(S$2&lt;$K48,0,IF(AND(S$2=$K48,$L48=2),Settings!$B$8,IF(S$2-$K48+1&lt;$L48,(S$2-$K48+1)/$L48,IF($J48*$M48&gt;=0.9,1,MIN(0.9,$J48*$M48+IF($J48*$M48&lt;0.7,0.03,0.01)*(S$2-$K48-$L48+1))/($J48*$M48)))))</f>
        <v>0</v>
      </c>
      <c r="T48">
        <f>IF(T$2&lt;$K48,0,IF(AND(T$2=$K48,$L48=2),Settings!$B$8,IF(T$2-$K48+1&lt;$L48,(T$2-$K48+1)/$L48,IF($J48*$M48&gt;=0.9,1,MIN(0.9,$J48*$M48+IF($J48*$M48&lt;0.7,0.03,0.01)*(T$2-$K48-$L48+1))/($J48*$M48)))))</f>
        <v>0</v>
      </c>
      <c r="U48">
        <f>IF(U$2&lt;$K48,0,IF(AND(U$2=$K48,$L48=2),Settings!$B$8,IF(U$2-$K48+1&lt;$L48,(U$2-$K48+1)/$L48,IF($J48*$M48&gt;=0.9,1,MIN(0.9,$J48*$M48+IF($J48*$M48&lt;0.7,0.03,0.01)*(U$2-$K48-$L48+1))/($J48*$M48)))))</f>
        <v>0.8</v>
      </c>
      <c r="V48">
        <f>IF(V$2&lt;$K48,0,IF(AND(V$2=$K48,$L48=2),Settings!$B$8,IF(V$2-$K48+1&lt;$L48,(V$2-$K48+1)/$L48,IF($J48*$M48&gt;=0.9,1,MIN(0.9,$J48*$M48+IF($J48*$M48&lt;0.7,0.03,0.01)*(V$2-$K48-$L48+1))/($J48*$M48)))))</f>
        <v>1</v>
      </c>
      <c r="W48">
        <f>IF(W$2&lt;$K48,0,IF(AND(W$2=$K48,$L48=2),Settings!$B$8,IF(W$2-$K48+1&lt;$L48,(W$2-$K48+1)/$L48,IF($J48*$M48&gt;=0.9,1,MIN(0.9,$J48*$M48+IF($J48*$M48&lt;0.7,0.03,0.01)*(W$2-$K48-$L48+1))/($J48*$M48)))))</f>
        <v>1.0432041138611585</v>
      </c>
      <c r="X48">
        <f>IF(X$2&lt;$K48,0,IF(AND(X$2=$K48,$L48=2),Settings!$B$8,IF(X$2-$K48+1&lt;$L48,(X$2-$K48+1)/$L48,IF($J48*$M48&gt;=0.9,1,MIN(0.9,$J48*$M48+IF($J48*$M48&lt;0.7,0.03,0.01)*(X$2-$K48-$L48+1))/($J48*$M48)))))</f>
        <v>1.0864082277223173</v>
      </c>
      <c r="Y48" s="9">
        <v>6937</v>
      </c>
      <c r="Z48" s="9">
        <v>7035</v>
      </c>
      <c r="AA48" s="9">
        <v>7101</v>
      </c>
      <c r="AB48" s="9">
        <v>7181</v>
      </c>
      <c r="AC48" s="9">
        <v>7262</v>
      </c>
      <c r="AD48" s="9">
        <v>7330</v>
      </c>
      <c r="AE48" s="9">
        <v>7395</v>
      </c>
      <c r="AF48" s="9">
        <v>7428</v>
      </c>
      <c r="AG48" s="9">
        <v>7466</v>
      </c>
      <c r="AH48" s="9">
        <v>7496</v>
      </c>
      <c r="AI48">
        <f>AS48*(1+Settings!$B$7)</f>
        <v>0</v>
      </c>
      <c r="AJ48">
        <f>IF(Settings!$B$13="annual",AT48*(1+Settings!$B$7),AT48+Settings!$B$7*IF(AT48&gt;AS48,AT48-AS48,0))</f>
        <v>0</v>
      </c>
      <c r="AK48">
        <f>IF(Settings!$B$13="annual",AU48*(1+Settings!$B$7),AU48+Settings!$B$7*IF(AU48&gt;AT48,AU48-AT48,0))</f>
        <v>0</v>
      </c>
      <c r="AL48">
        <f>IF(Settings!$B$13="annual",AV48*(1+Settings!$B$7),AV48+Settings!$B$7*IF(AV48&gt;AU48,AV48-AU48,0))</f>
        <v>0</v>
      </c>
      <c r="AM48">
        <f>IF(Settings!$B$13="annual",AW48*(1+Settings!$B$7),AW48+Settings!$B$7*IF(AW48&gt;AV48,AW48-AV48,0))</f>
        <v>0</v>
      </c>
      <c r="AN48">
        <f>IF(Settings!$B$13="annual",AX48*(1+Settings!$B$7),AX48+Settings!$B$7*IF(AX48&gt;AW48,AX48-AW48,0))</f>
        <v>0</v>
      </c>
      <c r="AO48">
        <f>IF(Settings!$B$13="annual",AY48*(1+Settings!$B$7),AY48+Settings!$B$7*IF(AY48&gt;AX48,AY48-AX48,0))</f>
        <v>5855.7556507538611</v>
      </c>
      <c r="AP48">
        <f>IF(Settings!$B$13="annual",AZ48*(1+Settings!$B$7),AZ48+Settings!$B$7*IF(AZ48&gt;AY48,AZ48-AY48,0))</f>
        <v>6181.2073846902804</v>
      </c>
      <c r="AQ48">
        <f>IF(Settings!$B$13="annual",BA48*(1+Settings!$B$7),BA48+Settings!$B$7*IF(BA48&gt;AZ48,BA48-AZ48,0))</f>
        <v>6238.7770190844676</v>
      </c>
      <c r="AR48">
        <f>IF(Settings!$B$13="annual",BB48*(1+Settings!$B$7),BB48+Settings!$B$7*IF(BB48&gt;BA48,BB48-BA48,0))</f>
        <v>6518.9365004093252</v>
      </c>
      <c r="AS48">
        <f>Y48*$N48*$J48*$M48*O48*Settings!$B$6</f>
        <v>0</v>
      </c>
      <c r="AT48">
        <f>Z48*$N48*$J48*$M48*P48*Settings!$B$6</f>
        <v>0</v>
      </c>
      <c r="AU48">
        <f>AA48*$N48*$J48*$M48*Q48*Settings!$B$6</f>
        <v>0</v>
      </c>
      <c r="AV48">
        <f>AB48*$N48*$J48*$M48*R48*Settings!$B$6</f>
        <v>0</v>
      </c>
      <c r="AW48">
        <f>AC48*$N48*$J48*$M48*S48*Settings!$B$6</f>
        <v>0</v>
      </c>
      <c r="AX48">
        <f>AD48*$N48*$J48*$M48*T48*Settings!$B$6</f>
        <v>0</v>
      </c>
      <c r="AY48">
        <f>AE48*$N48*$J48*$M48*U48*Settings!$B$6</f>
        <v>4684.6045206030885</v>
      </c>
      <c r="AZ48">
        <f>AF48*$N48*$J48*$M48*V48*Settings!$B$6</f>
        <v>5881.8868118728424</v>
      </c>
      <c r="BA48">
        <f>AG48*$N48*$J48*$M48*W48*Settings!$B$6</f>
        <v>6167.3989776421422</v>
      </c>
      <c r="BB48">
        <f>AH48*$N48*$J48*$M48*X48*Settings!$B$6</f>
        <v>6448.6289958558882</v>
      </c>
    </row>
    <row r="49" spans="1:54" ht="15" customHeight="1">
      <c r="A49" t="s">
        <v>137</v>
      </c>
      <c r="B49" t="s">
        <v>138</v>
      </c>
      <c r="C49" s="9">
        <v>0.877</v>
      </c>
      <c r="D49" s="9">
        <v>0.63700000000000001</v>
      </c>
      <c r="E49" s="9">
        <v>0.81</v>
      </c>
      <c r="F49" s="9">
        <v>0.52600000000000002</v>
      </c>
      <c r="G49" s="9">
        <v>0.84299999999999997</v>
      </c>
      <c r="H49" s="9">
        <v>11.7</v>
      </c>
      <c r="I49">
        <f t="shared" si="2"/>
        <v>0.72633979475484611</v>
      </c>
      <c r="J49">
        <f>IF(Settings!$B$10="anc4",D49*E49,IF(Settings!$B$10="anc1",C49*E49,C49*(G49*I49+F49*(1-I49))*E49))</f>
        <v>0.53721711000000005</v>
      </c>
      <c r="K49">
        <f>IF(Settings!$B$9="invest",Schedule!R49,IF(Settings!$B$9="hist",Schedule!U49,IF(Settings!$B$9="pcv",Schedule!M49,IF(Settings!$B$9="rota",Schedule!N49,Schedule!O49))))+Settings!$B$11</f>
        <v>2041</v>
      </c>
      <c r="L49">
        <f>IF(Schedule!H49=1,Settings!$B$4,Settings!$B$5)</f>
        <v>2</v>
      </c>
      <c r="M49" s="9">
        <v>1</v>
      </c>
      <c r="N49">
        <f t="shared" si="3"/>
        <v>1.0118385105737124</v>
      </c>
      <c r="O49">
        <f>IF(O$2&lt;$K49,0,IF(O$2-$K49+1&lt;$L49,IF($L49=2,Settings!$B$8,(O$2-$K49+1)/$L49),IF($J49*$M49&gt;=Settings!$B$15,1,MIN(Settings!$B$15,$J49*$M49+IF($J49*$M49&lt;Settings!$B$16,Settings!$B$17,Settings!$B$18)*(O$2-$K49-$L49+1))/($J49*$M49))))</f>
        <v>0</v>
      </c>
      <c r="P49">
        <f>IF(P$2&lt;$K49,0,IF(AND(P$2=$K49,$L49=2),Settings!$B$8,IF(P$2-$K49+1&lt;$L49,(P$2-$K49+1)/$L49,IF($J49*$M49&gt;=0.9,1,MIN(0.9,$J49*$M49+IF($J49*$M49&lt;0.7,0.03,0.01)*(P$2-$K49-$L49+1))/($J49*$M49)))))</f>
        <v>0</v>
      </c>
      <c r="Q49">
        <f>IF(Q$2&lt;$K49,0,IF(AND(Q$2=$K49,$L49=2),Settings!$B$8,IF(Q$2-$K49+1&lt;$L49,(Q$2-$K49+1)/$L49,IF($J49*$M49&gt;=0.9,1,MIN(0.9,$J49*$M49+IF($J49*$M49&lt;0.7,0.03,0.01)*(Q$2-$K49-$L49+1))/($J49*$M49)))))</f>
        <v>0</v>
      </c>
      <c r="R49">
        <f>IF(R$2&lt;$K49,0,IF(AND(R$2=$K49,$L49=2),Settings!$B$8,IF(R$2-$K49+1&lt;$L49,(R$2-$K49+1)/$L49,IF($J49*$M49&gt;=0.9,1,MIN(0.9,$J49*$M49+IF($J49*$M49&lt;0.7,0.03,0.01)*(R$2-$K49-$L49+1))/($J49*$M49)))))</f>
        <v>0</v>
      </c>
      <c r="S49">
        <f>IF(S$2&lt;$K49,0,IF(AND(S$2=$K49,$L49=2),Settings!$B$8,IF(S$2-$K49+1&lt;$L49,(S$2-$K49+1)/$L49,IF($J49*$M49&gt;=0.9,1,MIN(0.9,$J49*$M49+IF($J49*$M49&lt;0.7,0.03,0.01)*(S$2-$K49-$L49+1))/($J49*$M49)))))</f>
        <v>0</v>
      </c>
      <c r="T49">
        <f>IF(T$2&lt;$K49,0,IF(AND(T$2=$K49,$L49=2),Settings!$B$8,IF(T$2-$K49+1&lt;$L49,(T$2-$K49+1)/$L49,IF($J49*$M49&gt;=0.9,1,MIN(0.9,$J49*$M49+IF($J49*$M49&lt;0.7,0.03,0.01)*(T$2-$K49-$L49+1))/($J49*$M49)))))</f>
        <v>0</v>
      </c>
      <c r="U49">
        <f>IF(U$2&lt;$K49,0,IF(AND(U$2=$K49,$L49=2),Settings!$B$8,IF(U$2-$K49+1&lt;$L49,(U$2-$K49+1)/$L49,IF($J49*$M49&gt;=0.9,1,MIN(0.9,$J49*$M49+IF($J49*$M49&lt;0.7,0.03,0.01)*(U$2-$K49-$L49+1))/($J49*$M49)))))</f>
        <v>0</v>
      </c>
      <c r="V49">
        <f>IF(V$2&lt;$K49,0,IF(AND(V$2=$K49,$L49=2),Settings!$B$8,IF(V$2-$K49+1&lt;$L49,(V$2-$K49+1)/$L49,IF($J49*$M49&gt;=0.9,1,MIN(0.9,$J49*$M49+IF($J49*$M49&lt;0.7,0.03,0.01)*(V$2-$K49-$L49+1))/($J49*$M49)))))</f>
        <v>0</v>
      </c>
      <c r="W49">
        <f>IF(W$2&lt;$K49,0,IF(AND(W$2=$K49,$L49=2),Settings!$B$8,IF(W$2-$K49+1&lt;$L49,(W$2-$K49+1)/$L49,IF($J49*$M49&gt;=0.9,1,MIN(0.9,$J49*$M49+IF($J49*$M49&lt;0.7,0.03,0.01)*(W$2-$K49-$L49+1))/($J49*$M49)))))</f>
        <v>0</v>
      </c>
      <c r="X49">
        <f>IF(X$2&lt;$K49,0,IF(AND(X$2=$K49,$L49=2),Settings!$B$8,IF(X$2-$K49+1&lt;$L49,(X$2-$K49+1)/$L49,IF($J49*$M49&gt;=0.9,1,MIN(0.9,$J49*$M49+IF($J49*$M49&lt;0.7,0.03,0.01)*(X$2-$K49-$L49+1))/($J49*$M49)))))</f>
        <v>0</v>
      </c>
      <c r="Y49" s="9">
        <v>659063</v>
      </c>
      <c r="Z49" s="9">
        <v>669990</v>
      </c>
      <c r="AA49" s="9">
        <v>678797</v>
      </c>
      <c r="AB49" s="9">
        <v>682445</v>
      </c>
      <c r="AC49" s="9">
        <v>681915</v>
      </c>
      <c r="AD49" s="9">
        <v>676017</v>
      </c>
      <c r="AE49" s="9">
        <v>667289</v>
      </c>
      <c r="AF49" s="9">
        <v>655246</v>
      </c>
      <c r="AG49" s="9">
        <v>641479</v>
      </c>
      <c r="AH49" s="9">
        <v>627414</v>
      </c>
      <c r="AI49">
        <f>AS49*(1+Settings!$B$7)</f>
        <v>0</v>
      </c>
      <c r="AJ49">
        <f>IF(Settings!$B$13="annual",AT49*(1+Settings!$B$7),AT49+Settings!$B$7*IF(AT49&gt;AS49,AT49-AS49,0))</f>
        <v>0</v>
      </c>
      <c r="AK49">
        <f>IF(Settings!$B$13="annual",AU49*(1+Settings!$B$7),AU49+Settings!$B$7*IF(AU49&gt;AT49,AU49-AT49,0))</f>
        <v>0</v>
      </c>
      <c r="AL49">
        <f>IF(Settings!$B$13="annual",AV49*(1+Settings!$B$7),AV49+Settings!$B$7*IF(AV49&gt;AU49,AV49-AU49,0))</f>
        <v>0</v>
      </c>
      <c r="AM49">
        <f>IF(Settings!$B$13="annual",AW49*(1+Settings!$B$7),AW49+Settings!$B$7*IF(AW49&gt;AV49,AW49-AV49,0))</f>
        <v>0</v>
      </c>
      <c r="AN49">
        <f>IF(Settings!$B$13="annual",AX49*(1+Settings!$B$7),AX49+Settings!$B$7*IF(AX49&gt;AW49,AX49-AW49,0))</f>
        <v>0</v>
      </c>
      <c r="AO49">
        <f>IF(Settings!$B$13="annual",AY49*(1+Settings!$B$7),AY49+Settings!$B$7*IF(AY49&gt;AX49,AY49-AX49,0))</f>
        <v>0</v>
      </c>
      <c r="AP49">
        <f>IF(Settings!$B$13="annual",AZ49*(1+Settings!$B$7),AZ49+Settings!$B$7*IF(AZ49&gt;AY49,AZ49-AY49,0))</f>
        <v>0</v>
      </c>
      <c r="AQ49">
        <f>IF(Settings!$B$13="annual",BA49*(1+Settings!$B$7),BA49+Settings!$B$7*IF(BA49&gt;AZ49,BA49-AZ49,0))</f>
        <v>0</v>
      </c>
      <c r="AR49">
        <f>IF(Settings!$B$13="annual",BB49*(1+Settings!$B$7),BB49+Settings!$B$7*IF(BB49&gt;BA49,BB49-BA49,0))</f>
        <v>0</v>
      </c>
      <c r="AS49">
        <f>Y49*$N49*$J49*$M49*O49*Settings!$B$6</f>
        <v>0</v>
      </c>
      <c r="AT49">
        <f>Z49*$N49*$J49*$M49*P49*Settings!$B$6</f>
        <v>0</v>
      </c>
      <c r="AU49">
        <f>AA49*$N49*$J49*$M49*Q49*Settings!$B$6</f>
        <v>0</v>
      </c>
      <c r="AV49">
        <f>AB49*$N49*$J49*$M49*R49*Settings!$B$6</f>
        <v>0</v>
      </c>
      <c r="AW49">
        <f>AC49*$N49*$J49*$M49*S49*Settings!$B$6</f>
        <v>0</v>
      </c>
      <c r="AX49">
        <f>AD49*$N49*$J49*$M49*T49*Settings!$B$6</f>
        <v>0</v>
      </c>
      <c r="AY49">
        <f>AE49*$N49*$J49*$M49*U49*Settings!$B$6</f>
        <v>0</v>
      </c>
      <c r="AZ49">
        <f>AF49*$N49*$J49*$M49*V49*Settings!$B$6</f>
        <v>0</v>
      </c>
      <c r="BA49">
        <f>AG49*$N49*$J49*$M49*W49*Settings!$B$6</f>
        <v>0</v>
      </c>
      <c r="BB49">
        <f>AH49*$N49*$J49*$M49*X49*Settings!$B$6</f>
        <v>0</v>
      </c>
    </row>
    <row r="50" spans="1:54" ht="15" customHeight="1">
      <c r="A50" t="s">
        <v>139</v>
      </c>
      <c r="B50" t="s">
        <v>140</v>
      </c>
      <c r="C50" s="9">
        <v>0.54700000000000004</v>
      </c>
      <c r="D50" s="9">
        <v>0.31</v>
      </c>
      <c r="E50" s="9">
        <v>0.84</v>
      </c>
      <c r="F50" s="9">
        <v>0.52600000000000002</v>
      </c>
      <c r="G50" s="9">
        <v>0.84299999999999997</v>
      </c>
      <c r="H50" s="9">
        <v>28.4</v>
      </c>
      <c r="I50">
        <f t="shared" si="2"/>
        <v>0.56672760511882991</v>
      </c>
      <c r="J50">
        <f>IF(Settings!$B$10="anc4",D50*E50,IF(Settings!$B$10="anc1",C50*E50,C50*(G50*I50+F50*(1-I50))*E50))</f>
        <v>0.32423328000000001</v>
      </c>
      <c r="K50">
        <f>IF(Settings!$B$9="invest",Schedule!R50,IF(Settings!$B$9="hist",Schedule!U50,IF(Settings!$B$9="pcv",Schedule!M50,IF(Settings!$B$9="rota",Schedule!N50,Schedule!O50))))+Settings!$B$11</f>
        <v>2041</v>
      </c>
      <c r="L50">
        <f>IF(Schedule!H50=1,Settings!$B$4,Settings!$B$5)</f>
        <v>2</v>
      </c>
      <c r="M50" s="9">
        <v>1</v>
      </c>
      <c r="N50">
        <f t="shared" si="3"/>
        <v>1.029230135858378</v>
      </c>
      <c r="O50">
        <f>IF(O$2&lt;$K50,0,IF(O$2-$K50+1&lt;$L50,IF($L50=2,Settings!$B$8,(O$2-$K50+1)/$L50),IF($J50*$M50&gt;=Settings!$B$15,1,MIN(Settings!$B$15,$J50*$M50+IF($J50*$M50&lt;Settings!$B$16,Settings!$B$17,Settings!$B$18)*(O$2-$K50-$L50+1))/($J50*$M50))))</f>
        <v>0</v>
      </c>
      <c r="P50">
        <f>IF(P$2&lt;$K50,0,IF(AND(P$2=$K50,$L50=2),Settings!$B$8,IF(P$2-$K50+1&lt;$L50,(P$2-$K50+1)/$L50,IF($J50*$M50&gt;=0.9,1,MIN(0.9,$J50*$M50+IF($J50*$M50&lt;0.7,0.03,0.01)*(P$2-$K50-$L50+1))/($J50*$M50)))))</f>
        <v>0</v>
      </c>
      <c r="Q50">
        <f>IF(Q$2&lt;$K50,0,IF(AND(Q$2=$K50,$L50=2),Settings!$B$8,IF(Q$2-$K50+1&lt;$L50,(Q$2-$K50+1)/$L50,IF($J50*$M50&gt;=0.9,1,MIN(0.9,$J50*$M50+IF($J50*$M50&lt;0.7,0.03,0.01)*(Q$2-$K50-$L50+1))/($J50*$M50)))))</f>
        <v>0</v>
      </c>
      <c r="R50">
        <f>IF(R$2&lt;$K50,0,IF(AND(R$2=$K50,$L50=2),Settings!$B$8,IF(R$2-$K50+1&lt;$L50,(R$2-$K50+1)/$L50,IF($J50*$M50&gt;=0.9,1,MIN(0.9,$J50*$M50+IF($J50*$M50&lt;0.7,0.03,0.01)*(R$2-$K50-$L50+1))/($J50*$M50)))))</f>
        <v>0</v>
      </c>
      <c r="S50">
        <f>IF(S$2&lt;$K50,0,IF(AND(S$2=$K50,$L50=2),Settings!$B$8,IF(S$2-$K50+1&lt;$L50,(S$2-$K50+1)/$L50,IF($J50*$M50&gt;=0.9,1,MIN(0.9,$J50*$M50+IF($J50*$M50&lt;0.7,0.03,0.01)*(S$2-$K50-$L50+1))/($J50*$M50)))))</f>
        <v>0</v>
      </c>
      <c r="T50">
        <f>IF(T$2&lt;$K50,0,IF(AND(T$2=$K50,$L50=2),Settings!$B$8,IF(T$2-$K50+1&lt;$L50,(T$2-$K50+1)/$L50,IF($J50*$M50&gt;=0.9,1,MIN(0.9,$J50*$M50+IF($J50*$M50&lt;0.7,0.03,0.01)*(T$2-$K50-$L50+1))/($J50*$M50)))))</f>
        <v>0</v>
      </c>
      <c r="U50">
        <f>IF(U$2&lt;$K50,0,IF(AND(U$2=$K50,$L50=2),Settings!$B$8,IF(U$2-$K50+1&lt;$L50,(U$2-$K50+1)/$L50,IF($J50*$M50&gt;=0.9,1,MIN(0.9,$J50*$M50+IF($J50*$M50&lt;0.7,0.03,0.01)*(U$2-$K50-$L50+1))/($J50*$M50)))))</f>
        <v>0</v>
      </c>
      <c r="V50">
        <f>IF(V$2&lt;$K50,0,IF(AND(V$2=$K50,$L50=2),Settings!$B$8,IF(V$2-$K50+1&lt;$L50,(V$2-$K50+1)/$L50,IF($J50*$M50&gt;=0.9,1,MIN(0.9,$J50*$M50+IF($J50*$M50&lt;0.7,0.03,0.01)*(V$2-$K50-$L50+1))/($J50*$M50)))))</f>
        <v>0</v>
      </c>
      <c r="W50">
        <f>IF(W$2&lt;$K50,0,IF(AND(W$2=$K50,$L50=2),Settings!$B$8,IF(W$2-$K50+1&lt;$L50,(W$2-$K50+1)/$L50,IF($J50*$M50&gt;=0.9,1,MIN(0.9,$J50*$M50+IF($J50*$M50&lt;0.7,0.03,0.01)*(W$2-$K50-$L50+1))/($J50*$M50)))))</f>
        <v>0</v>
      </c>
      <c r="X50">
        <f>IF(X$2&lt;$K50,0,IF(AND(X$2=$K50,$L50=2),Settings!$B$8,IF(X$2-$K50+1&lt;$L50,(X$2-$K50+1)/$L50,IF($J50*$M50&gt;=0.9,1,MIN(0.9,$J50*$M50+IF($J50*$M50&lt;0.7,0.03,0.01)*(X$2-$K50-$L50+1))/($J50*$M50)))))</f>
        <v>0</v>
      </c>
      <c r="Y50" s="9">
        <v>922809</v>
      </c>
      <c r="Z50" s="9">
        <v>935381</v>
      </c>
      <c r="AA50" s="9">
        <v>945055</v>
      </c>
      <c r="AB50" s="9">
        <v>957376</v>
      </c>
      <c r="AC50" s="9">
        <v>964926</v>
      </c>
      <c r="AD50" s="9">
        <v>974879</v>
      </c>
      <c r="AE50" s="9">
        <v>984266</v>
      </c>
      <c r="AF50" s="9">
        <v>993785</v>
      </c>
      <c r="AG50" s="9">
        <v>1003040</v>
      </c>
      <c r="AH50" s="9">
        <v>1013589</v>
      </c>
      <c r="AI50">
        <f>AS50*(1+Settings!$B$7)</f>
        <v>0</v>
      </c>
      <c r="AJ50">
        <f>IF(Settings!$B$13="annual",AT50*(1+Settings!$B$7),AT50+Settings!$B$7*IF(AT50&gt;AS50,AT50-AS50,0))</f>
        <v>0</v>
      </c>
      <c r="AK50">
        <f>IF(Settings!$B$13="annual",AU50*(1+Settings!$B$7),AU50+Settings!$B$7*IF(AU50&gt;AT50,AU50-AT50,0))</f>
        <v>0</v>
      </c>
      <c r="AL50">
        <f>IF(Settings!$B$13="annual",AV50*(1+Settings!$B$7),AV50+Settings!$B$7*IF(AV50&gt;AU50,AV50-AU50,0))</f>
        <v>0</v>
      </c>
      <c r="AM50">
        <f>IF(Settings!$B$13="annual",AW50*(1+Settings!$B$7),AW50+Settings!$B$7*IF(AW50&gt;AV50,AW50-AV50,0))</f>
        <v>0</v>
      </c>
      <c r="AN50">
        <f>IF(Settings!$B$13="annual",AX50*(1+Settings!$B$7),AX50+Settings!$B$7*IF(AX50&gt;AW50,AX50-AW50,0))</f>
        <v>0</v>
      </c>
      <c r="AO50">
        <f>IF(Settings!$B$13="annual",AY50*(1+Settings!$B$7),AY50+Settings!$B$7*IF(AY50&gt;AX50,AY50-AX50,0))</f>
        <v>0</v>
      </c>
      <c r="AP50">
        <f>IF(Settings!$B$13="annual",AZ50*(1+Settings!$B$7),AZ50+Settings!$B$7*IF(AZ50&gt;AY50,AZ50-AY50,0))</f>
        <v>0</v>
      </c>
      <c r="AQ50">
        <f>IF(Settings!$B$13="annual",BA50*(1+Settings!$B$7),BA50+Settings!$B$7*IF(BA50&gt;AZ50,BA50-AZ50,0))</f>
        <v>0</v>
      </c>
      <c r="AR50">
        <f>IF(Settings!$B$13="annual",BB50*(1+Settings!$B$7),BB50+Settings!$B$7*IF(BB50&gt;BA50,BB50-BA50,0))</f>
        <v>0</v>
      </c>
      <c r="AS50">
        <f>Y50*$N50*$J50*$M50*O50*Settings!$B$6</f>
        <v>0</v>
      </c>
      <c r="AT50">
        <f>Z50*$N50*$J50*$M50*P50*Settings!$B$6</f>
        <v>0</v>
      </c>
      <c r="AU50">
        <f>AA50*$N50*$J50*$M50*Q50*Settings!$B$6</f>
        <v>0</v>
      </c>
      <c r="AV50">
        <f>AB50*$N50*$J50*$M50*R50*Settings!$B$6</f>
        <v>0</v>
      </c>
      <c r="AW50">
        <f>AC50*$N50*$J50*$M50*S50*Settings!$B$6</f>
        <v>0</v>
      </c>
      <c r="AX50">
        <f>AD50*$N50*$J50*$M50*T50*Settings!$B$6</f>
        <v>0</v>
      </c>
      <c r="AY50">
        <f>AE50*$N50*$J50*$M50*U50*Settings!$B$6</f>
        <v>0</v>
      </c>
      <c r="AZ50">
        <f>AF50*$N50*$J50*$M50*V50*Settings!$B$6</f>
        <v>0</v>
      </c>
      <c r="BA50">
        <f>AG50*$N50*$J50*$M50*W50*Settings!$B$6</f>
        <v>0</v>
      </c>
      <c r="BB50">
        <f>AH50*$N50*$J50*$M50*X50*Settings!$B$6</f>
        <v>0</v>
      </c>
    </row>
    <row r="51" spans="1:54" ht="15" customHeight="1">
      <c r="A51" t="s">
        <v>141</v>
      </c>
      <c r="B51" t="s">
        <v>142</v>
      </c>
      <c r="C51" s="9">
        <v>0.77900000000000003</v>
      </c>
      <c r="D51" s="9">
        <v>0.54800000000000004</v>
      </c>
      <c r="E51" s="9">
        <v>0.95</v>
      </c>
      <c r="F51" s="9">
        <v>0.52600000000000002</v>
      </c>
      <c r="G51" s="9">
        <v>0.84299999999999997</v>
      </c>
      <c r="H51" s="9">
        <v>19.600000000000001</v>
      </c>
      <c r="I51">
        <f t="shared" si="2"/>
        <v>0.7034659820282414</v>
      </c>
      <c r="J51">
        <f>IF(Settings!$B$10="anc4",D51*E51,IF(Settings!$B$10="anc1",C51*E51,C51*(G51*I51+F51*(1-I51))*E51))</f>
        <v>0.55429649999999997</v>
      </c>
      <c r="K51">
        <f>IF(Settings!$B$9="invest",Schedule!R51,IF(Settings!$B$9="hist",Schedule!U51,IF(Settings!$B$9="pcv",Schedule!M51,IF(Settings!$B$9="rota",Schedule!N51,Schedule!O51))))+Settings!$B$11</f>
        <v>2035</v>
      </c>
      <c r="L51">
        <f>IF(Schedule!H51=1,Settings!$B$4,Settings!$B$5)</f>
        <v>2</v>
      </c>
      <c r="M51" s="9">
        <v>1</v>
      </c>
      <c r="N51">
        <f t="shared" si="3"/>
        <v>1.0199918400652794</v>
      </c>
      <c r="O51">
        <f>IF(O$2&lt;$K51,0,IF(O$2-$K51+1&lt;$L51,IF($L51=2,Settings!$B$8,(O$2-$K51+1)/$L51),IF($J51*$M51&gt;=Settings!$B$15,1,MIN(Settings!$B$15,$J51*$M51+IF($J51*$M51&lt;Settings!$B$16,Settings!$B$17,Settings!$B$18)*(O$2-$K51-$L51+1))/($J51*$M51))))</f>
        <v>0</v>
      </c>
      <c r="P51">
        <f>IF(P$2&lt;$K51,0,IF(AND(P$2=$K51,$L51=2),Settings!$B$8,IF(P$2-$K51+1&lt;$L51,(P$2-$K51+1)/$L51,IF($J51*$M51&gt;=0.9,1,MIN(0.9,$J51*$M51+IF($J51*$M51&lt;0.7,0.03,0.01)*(P$2-$K51-$L51+1))/($J51*$M51)))))</f>
        <v>0</v>
      </c>
      <c r="Q51">
        <f>IF(Q$2&lt;$K51,0,IF(AND(Q$2=$K51,$L51=2),Settings!$B$8,IF(Q$2-$K51+1&lt;$L51,(Q$2-$K51+1)/$L51,IF($J51*$M51&gt;=0.9,1,MIN(0.9,$J51*$M51+IF($J51*$M51&lt;0.7,0.03,0.01)*(Q$2-$K51-$L51+1))/($J51*$M51)))))</f>
        <v>0</v>
      </c>
      <c r="R51">
        <f>IF(R$2&lt;$K51,0,IF(AND(R$2=$K51,$L51=2),Settings!$B$8,IF(R$2-$K51+1&lt;$L51,(R$2-$K51+1)/$L51,IF($J51*$M51&gt;=0.9,1,MIN(0.9,$J51*$M51+IF($J51*$M51&lt;0.7,0.03,0.01)*(R$2-$K51-$L51+1))/($J51*$M51)))))</f>
        <v>0</v>
      </c>
      <c r="S51">
        <f>IF(S$2&lt;$K51,0,IF(AND(S$2=$K51,$L51=2),Settings!$B$8,IF(S$2-$K51+1&lt;$L51,(S$2-$K51+1)/$L51,IF($J51*$M51&gt;=0.9,1,MIN(0.9,$J51*$M51+IF($J51*$M51&lt;0.7,0.03,0.01)*(S$2-$K51-$L51+1))/($J51*$M51)))))</f>
        <v>0</v>
      </c>
      <c r="T51">
        <f>IF(T$2&lt;$K51,0,IF(AND(T$2=$K51,$L51=2),Settings!$B$8,IF(T$2-$K51+1&lt;$L51,(T$2-$K51+1)/$L51,IF($J51*$M51&gt;=0.9,1,MIN(0.9,$J51*$M51+IF($J51*$M51&lt;0.7,0.03,0.01)*(T$2-$K51-$L51+1))/($J51*$M51)))))</f>
        <v>0</v>
      </c>
      <c r="U51">
        <f>IF(U$2&lt;$K51,0,IF(AND(U$2=$K51,$L51=2),Settings!$B$8,IF(U$2-$K51+1&lt;$L51,(U$2-$K51+1)/$L51,IF($J51*$M51&gt;=0.9,1,MIN(0.9,$J51*$M51+IF($J51*$M51&lt;0.7,0.03,0.01)*(U$2-$K51-$L51+1))/($J51*$M51)))))</f>
        <v>0</v>
      </c>
      <c r="V51">
        <f>IF(V$2&lt;$K51,0,IF(AND(V$2=$K51,$L51=2),Settings!$B$8,IF(V$2-$K51+1&lt;$L51,(V$2-$K51+1)/$L51,IF($J51*$M51&gt;=0.9,1,MIN(0.9,$J51*$M51+IF($J51*$M51&lt;0.7,0.03,0.01)*(V$2-$K51-$L51+1))/($J51*$M51)))))</f>
        <v>0.8</v>
      </c>
      <c r="W51">
        <f>IF(W$2&lt;$K51,0,IF(AND(W$2=$K51,$L51=2),Settings!$B$8,IF(W$2-$K51+1&lt;$L51,(W$2-$K51+1)/$L51,IF($J51*$M51&gt;=0.9,1,MIN(0.9,$J51*$M51+IF($J51*$M51&lt;0.7,0.03,0.01)*(W$2-$K51-$L51+1))/($J51*$M51)))))</f>
        <v>1</v>
      </c>
      <c r="X51">
        <f>IF(X$2&lt;$K51,0,IF(AND(X$2=$K51,$L51=2),Settings!$B$8,IF(X$2-$K51+1&lt;$L51,(X$2-$K51+1)/$L51,IF($J51*$M51&gt;=0.9,1,MIN(0.9,$J51*$M51+IF($J51*$M51&lt;0.7,0.03,0.01)*(X$2-$K51-$L51+1))/($J51*$M51)))))</f>
        <v>1.0541226581802339</v>
      </c>
      <c r="Y51" s="9">
        <v>306683</v>
      </c>
      <c r="Z51" s="9">
        <v>310615</v>
      </c>
      <c r="AA51" s="9">
        <v>314724</v>
      </c>
      <c r="AB51" s="9">
        <v>319326</v>
      </c>
      <c r="AC51" s="9">
        <v>323842</v>
      </c>
      <c r="AD51" s="9">
        <v>327527</v>
      </c>
      <c r="AE51" s="9">
        <v>331324</v>
      </c>
      <c r="AF51" s="9">
        <v>334890</v>
      </c>
      <c r="AG51" s="9">
        <v>338516</v>
      </c>
      <c r="AH51" s="9">
        <v>342293</v>
      </c>
      <c r="AI51">
        <f>AS51*(1+Settings!$B$7)</f>
        <v>0</v>
      </c>
      <c r="AJ51">
        <f>IF(Settings!$B$13="annual",AT51*(1+Settings!$B$7),AT51+Settings!$B$7*IF(AT51&gt;AS51,AT51-AS51,0))</f>
        <v>0</v>
      </c>
      <c r="AK51">
        <f>IF(Settings!$B$13="annual",AU51*(1+Settings!$B$7),AU51+Settings!$B$7*IF(AU51&gt;AT51,AU51-AT51,0))</f>
        <v>0</v>
      </c>
      <c r="AL51">
        <f>IF(Settings!$B$13="annual",AV51*(1+Settings!$B$7),AV51+Settings!$B$7*IF(AV51&gt;AU51,AV51-AU51,0))</f>
        <v>0</v>
      </c>
      <c r="AM51">
        <f>IF(Settings!$B$13="annual",AW51*(1+Settings!$B$7),AW51+Settings!$B$7*IF(AW51&gt;AV51,AW51-AV51,0))</f>
        <v>0</v>
      </c>
      <c r="AN51">
        <f>IF(Settings!$B$13="annual",AX51*(1+Settings!$B$7),AX51+Settings!$B$7*IF(AX51&gt;AW51,AX51-AW51,0))</f>
        <v>0</v>
      </c>
      <c r="AO51">
        <f>IF(Settings!$B$13="annual",AY51*(1+Settings!$B$7),AY51+Settings!$B$7*IF(AY51&gt;AX51,AY51-AX51,0))</f>
        <v>0</v>
      </c>
      <c r="AP51">
        <f>IF(Settings!$B$13="annual",AZ51*(1+Settings!$B$7),AZ51+Settings!$B$7*IF(AZ51&gt;AY51,AZ51-AY51,0))</f>
        <v>213953.53021220927</v>
      </c>
      <c r="AQ51">
        <f>IF(Settings!$B$13="annual",BA51*(1+Settings!$B$7),BA51+Settings!$B$7*IF(BA51&gt;AZ51,BA51-AZ51,0))</f>
        <v>227546.91688343021</v>
      </c>
      <c r="AR51">
        <f>IF(Settings!$B$13="annual",BB51*(1+Settings!$B$7),BB51+Settings!$B$7*IF(BB51&gt;BA51,BB51-BA51,0))</f>
        <v>234081.03737701569</v>
      </c>
      <c r="AS51">
        <f>Y51*$N51*$J51*$M51*O51*Settings!$B$6</f>
        <v>0</v>
      </c>
      <c r="AT51">
        <f>Z51*$N51*$J51*$M51*P51*Settings!$B$6</f>
        <v>0</v>
      </c>
      <c r="AU51">
        <f>AA51*$N51*$J51*$M51*Q51*Settings!$B$6</f>
        <v>0</v>
      </c>
      <c r="AV51">
        <f>AB51*$N51*$J51*$M51*R51*Settings!$B$6</f>
        <v>0</v>
      </c>
      <c r="AW51">
        <f>AC51*$N51*$J51*$M51*S51*Settings!$B$6</f>
        <v>0</v>
      </c>
      <c r="AX51">
        <f>AD51*$N51*$J51*$M51*T51*Settings!$B$6</f>
        <v>0</v>
      </c>
      <c r="AY51">
        <f>AE51*$N51*$J51*$M51*U51*Settings!$B$6</f>
        <v>0</v>
      </c>
      <c r="AZ51">
        <f>AF51*$N51*$J51*$M51*V51*Settings!$B$6</f>
        <v>171162.82416976741</v>
      </c>
      <c r="BA51">
        <f>AG51*$N51*$J51*$M51*W51*Settings!$B$6</f>
        <v>216270.09834069764</v>
      </c>
      <c r="BB51">
        <f>AH51*$N51*$J51*$M51*X51*Settings!$B$6</f>
        <v>230518.84956975208</v>
      </c>
    </row>
    <row r="52" spans="1:54" ht="15" customHeight="1">
      <c r="A52" t="s">
        <v>143</v>
      </c>
      <c r="B52" t="s">
        <v>144</v>
      </c>
      <c r="C52" s="9">
        <v>0.81299999999999994</v>
      </c>
      <c r="D52" s="9">
        <v>0.621</v>
      </c>
      <c r="E52" s="9">
        <v>0.98</v>
      </c>
      <c r="F52" s="9">
        <v>0.52600000000000002</v>
      </c>
      <c r="G52" s="9">
        <v>0.84299999999999997</v>
      </c>
      <c r="H52" s="9">
        <v>8</v>
      </c>
      <c r="I52">
        <f t="shared" si="2"/>
        <v>0.76383763837638385</v>
      </c>
      <c r="J52">
        <f>IF(Settings!$B$10="anc4",D52*E52,IF(Settings!$B$10="anc1",C52*E52,C52*(G52*I52+F52*(1-I52))*E52))</f>
        <v>0.61200509999999997</v>
      </c>
      <c r="K52">
        <f>IF(Settings!$B$9="invest",Schedule!R52,IF(Settings!$B$9="hist",Schedule!U52,IF(Settings!$B$9="pcv",Schedule!M52,IF(Settings!$B$9="rota",Schedule!N52,Schedule!O52))))+Settings!$B$11</f>
        <v>2041</v>
      </c>
      <c r="L52">
        <f>IF(Schedule!H52=1,Settings!$B$4,Settings!$B$5)</f>
        <v>2</v>
      </c>
      <c r="M52" s="9">
        <v>1</v>
      </c>
      <c r="N52">
        <f t="shared" si="3"/>
        <v>1.0080645161290323</v>
      </c>
      <c r="O52">
        <f>IF(O$2&lt;$K52,0,IF(O$2-$K52+1&lt;$L52,IF($L52=2,Settings!$B$8,(O$2-$K52+1)/$L52),IF($J52*$M52&gt;=Settings!$B$15,1,MIN(Settings!$B$15,$J52*$M52+IF($J52*$M52&lt;Settings!$B$16,Settings!$B$17,Settings!$B$18)*(O$2-$K52-$L52+1))/($J52*$M52))))</f>
        <v>0</v>
      </c>
      <c r="P52">
        <f>IF(P$2&lt;$K52,0,IF(AND(P$2=$K52,$L52=2),Settings!$B$8,IF(P$2-$K52+1&lt;$L52,(P$2-$K52+1)/$L52,IF($J52*$M52&gt;=0.9,1,MIN(0.9,$J52*$M52+IF($J52*$M52&lt;0.7,0.03,0.01)*(P$2-$K52-$L52+1))/($J52*$M52)))))</f>
        <v>0</v>
      </c>
      <c r="Q52">
        <f>IF(Q$2&lt;$K52,0,IF(AND(Q$2=$K52,$L52=2),Settings!$B$8,IF(Q$2-$K52+1&lt;$L52,(Q$2-$K52+1)/$L52,IF($J52*$M52&gt;=0.9,1,MIN(0.9,$J52*$M52+IF($J52*$M52&lt;0.7,0.03,0.01)*(Q$2-$K52-$L52+1))/($J52*$M52)))))</f>
        <v>0</v>
      </c>
      <c r="R52">
        <f>IF(R$2&lt;$K52,0,IF(AND(R$2=$K52,$L52=2),Settings!$B$8,IF(R$2-$K52+1&lt;$L52,(R$2-$K52+1)/$L52,IF($J52*$M52&gt;=0.9,1,MIN(0.9,$J52*$M52+IF($J52*$M52&lt;0.7,0.03,0.01)*(R$2-$K52-$L52+1))/($J52*$M52)))))</f>
        <v>0</v>
      </c>
      <c r="S52">
        <f>IF(S$2&lt;$K52,0,IF(AND(S$2=$K52,$L52=2),Settings!$B$8,IF(S$2-$K52+1&lt;$L52,(S$2-$K52+1)/$L52,IF($J52*$M52&gt;=0.9,1,MIN(0.9,$J52*$M52+IF($J52*$M52&lt;0.7,0.03,0.01)*(S$2-$K52-$L52+1))/($J52*$M52)))))</f>
        <v>0</v>
      </c>
      <c r="T52">
        <f>IF(T$2&lt;$K52,0,IF(AND(T$2=$K52,$L52=2),Settings!$B$8,IF(T$2-$K52+1&lt;$L52,(T$2-$K52+1)/$L52,IF($J52*$M52&gt;=0.9,1,MIN(0.9,$J52*$M52+IF($J52*$M52&lt;0.7,0.03,0.01)*(T$2-$K52-$L52+1))/($J52*$M52)))))</f>
        <v>0</v>
      </c>
      <c r="U52">
        <f>IF(U$2&lt;$K52,0,IF(AND(U$2=$K52,$L52=2),Settings!$B$8,IF(U$2-$K52+1&lt;$L52,(U$2-$K52+1)/$L52,IF($J52*$M52&gt;=0.9,1,MIN(0.9,$J52*$M52+IF($J52*$M52&lt;0.7,0.03,0.01)*(U$2-$K52-$L52+1))/($J52*$M52)))))</f>
        <v>0</v>
      </c>
      <c r="V52">
        <f>IF(V$2&lt;$K52,0,IF(AND(V$2=$K52,$L52=2),Settings!$B$8,IF(V$2-$K52+1&lt;$L52,(V$2-$K52+1)/$L52,IF($J52*$M52&gt;=0.9,1,MIN(0.9,$J52*$M52+IF($J52*$M52&lt;0.7,0.03,0.01)*(V$2-$K52-$L52+1))/($J52*$M52)))))</f>
        <v>0</v>
      </c>
      <c r="W52">
        <f>IF(W$2&lt;$K52,0,IF(AND(W$2=$K52,$L52=2),Settings!$B$8,IF(W$2-$K52+1&lt;$L52,(W$2-$K52+1)/$L52,IF($J52*$M52&gt;=0.9,1,MIN(0.9,$J52*$M52+IF($J52*$M52&lt;0.7,0.03,0.01)*(W$2-$K52-$L52+1))/($J52*$M52)))))</f>
        <v>0</v>
      </c>
      <c r="X52">
        <f>IF(X$2&lt;$K52,0,IF(AND(X$2=$K52,$L52=2),Settings!$B$8,IF(X$2-$K52+1&lt;$L52,(X$2-$K52+1)/$L52,IF($J52*$M52&gt;=0.9,1,MIN(0.9,$J52*$M52+IF($J52*$M52&lt;0.7,0.03,0.01)*(X$2-$K52-$L52+1))/($J52*$M52)))))</f>
        <v>0</v>
      </c>
      <c r="Y52" s="9">
        <v>259740</v>
      </c>
      <c r="Z52" s="9">
        <v>260995</v>
      </c>
      <c r="AA52" s="9">
        <v>263947</v>
      </c>
      <c r="AB52" s="9">
        <v>267854</v>
      </c>
      <c r="AC52" s="9">
        <v>272194</v>
      </c>
      <c r="AD52" s="9">
        <v>277326</v>
      </c>
      <c r="AE52" s="9">
        <v>282783</v>
      </c>
      <c r="AF52" s="9">
        <v>288090</v>
      </c>
      <c r="AG52" s="9">
        <v>292661</v>
      </c>
      <c r="AH52" s="9">
        <v>295680</v>
      </c>
      <c r="AI52">
        <f>AS52*(1+Settings!$B$7)</f>
        <v>0</v>
      </c>
      <c r="AJ52">
        <f>IF(Settings!$B$13="annual",AT52*(1+Settings!$B$7),AT52+Settings!$B$7*IF(AT52&gt;AS52,AT52-AS52,0))</f>
        <v>0</v>
      </c>
      <c r="AK52">
        <f>IF(Settings!$B$13="annual",AU52*(1+Settings!$B$7),AU52+Settings!$B$7*IF(AU52&gt;AT52,AU52-AT52,0))</f>
        <v>0</v>
      </c>
      <c r="AL52">
        <f>IF(Settings!$B$13="annual",AV52*(1+Settings!$B$7),AV52+Settings!$B$7*IF(AV52&gt;AU52,AV52-AU52,0))</f>
        <v>0</v>
      </c>
      <c r="AM52">
        <f>IF(Settings!$B$13="annual",AW52*(1+Settings!$B$7),AW52+Settings!$B$7*IF(AW52&gt;AV52,AW52-AV52,0))</f>
        <v>0</v>
      </c>
      <c r="AN52">
        <f>IF(Settings!$B$13="annual",AX52*(1+Settings!$B$7),AX52+Settings!$B$7*IF(AX52&gt;AW52,AX52-AW52,0))</f>
        <v>0</v>
      </c>
      <c r="AO52">
        <f>IF(Settings!$B$13="annual",AY52*(1+Settings!$B$7),AY52+Settings!$B$7*IF(AY52&gt;AX52,AY52-AX52,0))</f>
        <v>0</v>
      </c>
      <c r="AP52">
        <f>IF(Settings!$B$13="annual",AZ52*(1+Settings!$B$7),AZ52+Settings!$B$7*IF(AZ52&gt;AY52,AZ52-AY52,0))</f>
        <v>0</v>
      </c>
      <c r="AQ52">
        <f>IF(Settings!$B$13="annual",BA52*(1+Settings!$B$7),BA52+Settings!$B$7*IF(BA52&gt;AZ52,BA52-AZ52,0))</f>
        <v>0</v>
      </c>
      <c r="AR52">
        <f>IF(Settings!$B$13="annual",BB52*(1+Settings!$B$7),BB52+Settings!$B$7*IF(BB52&gt;BA52,BB52-BA52,0))</f>
        <v>0</v>
      </c>
      <c r="AS52">
        <f>Y52*$N52*$J52*$M52*O52*Settings!$B$6</f>
        <v>0</v>
      </c>
      <c r="AT52">
        <f>Z52*$N52*$J52*$M52*P52*Settings!$B$6</f>
        <v>0</v>
      </c>
      <c r="AU52">
        <f>AA52*$N52*$J52*$M52*Q52*Settings!$B$6</f>
        <v>0</v>
      </c>
      <c r="AV52">
        <f>AB52*$N52*$J52*$M52*R52*Settings!$B$6</f>
        <v>0</v>
      </c>
      <c r="AW52">
        <f>AC52*$N52*$J52*$M52*S52*Settings!$B$6</f>
        <v>0</v>
      </c>
      <c r="AX52">
        <f>AD52*$N52*$J52*$M52*T52*Settings!$B$6</f>
        <v>0</v>
      </c>
      <c r="AY52">
        <f>AE52*$N52*$J52*$M52*U52*Settings!$B$6</f>
        <v>0</v>
      </c>
      <c r="AZ52">
        <f>AF52*$N52*$J52*$M52*V52*Settings!$B$6</f>
        <v>0</v>
      </c>
      <c r="BA52">
        <f>AG52*$N52*$J52*$M52*W52*Settings!$B$6</f>
        <v>0</v>
      </c>
      <c r="BB52">
        <f>AH52*$N52*$J52*$M52*X52*Settings!$B$6</f>
        <v>0</v>
      </c>
    </row>
    <row r="53" spans="1:54" ht="15" customHeight="1">
      <c r="A53" t="s">
        <v>145</v>
      </c>
      <c r="B53" t="s">
        <v>146</v>
      </c>
      <c r="C53" s="9">
        <v>0.84399999999999997</v>
      </c>
      <c r="D53" s="9">
        <v>0.83099999999999996</v>
      </c>
      <c r="E53" s="9">
        <v>0.89</v>
      </c>
      <c r="F53" s="9">
        <v>0.52600000000000002</v>
      </c>
      <c r="G53" s="9">
        <v>0.84299999999999997</v>
      </c>
      <c r="H53" s="9">
        <v>14.8</v>
      </c>
      <c r="I53">
        <f t="shared" si="2"/>
        <v>0.9845971563981043</v>
      </c>
      <c r="J53">
        <f>IF(Settings!$B$10="anc4",D53*E53,IF(Settings!$B$10="anc1",C53*E53,C53*(G53*I53+F53*(1-I53))*E53))</f>
        <v>0.62956018999999996</v>
      </c>
      <c r="K53">
        <f>IF(Settings!$B$9="invest",Schedule!R53,IF(Settings!$B$9="hist",Schedule!U53,IF(Settings!$B$9="pcv",Schedule!M53,IF(Settings!$B$9="rota",Schedule!N53,Schedule!O53))))+Settings!$B$11</f>
        <v>2041</v>
      </c>
      <c r="L53">
        <f>IF(Schedule!H53=1,Settings!$B$4,Settings!$B$5)</f>
        <v>2</v>
      </c>
      <c r="M53" s="9">
        <v>1</v>
      </c>
      <c r="N53">
        <f t="shared" si="3"/>
        <v>1.0150223304912709</v>
      </c>
      <c r="O53">
        <f>IF(O$2&lt;$K53,0,IF(O$2-$K53+1&lt;$L53,IF($L53=2,Settings!$B$8,(O$2-$K53+1)/$L53),IF($J53*$M53&gt;=Settings!$B$15,1,MIN(Settings!$B$15,$J53*$M53+IF($J53*$M53&lt;Settings!$B$16,Settings!$B$17,Settings!$B$18)*(O$2-$K53-$L53+1))/($J53*$M53))))</f>
        <v>0</v>
      </c>
      <c r="P53">
        <f>IF(P$2&lt;$K53,0,IF(AND(P$2=$K53,$L53=2),Settings!$B$8,IF(P$2-$K53+1&lt;$L53,(P$2-$K53+1)/$L53,IF($J53*$M53&gt;=0.9,1,MIN(0.9,$J53*$M53+IF($J53*$M53&lt;0.7,0.03,0.01)*(P$2-$K53-$L53+1))/($J53*$M53)))))</f>
        <v>0</v>
      </c>
      <c r="Q53">
        <f>IF(Q$2&lt;$K53,0,IF(AND(Q$2=$K53,$L53=2),Settings!$B$8,IF(Q$2-$K53+1&lt;$L53,(Q$2-$K53+1)/$L53,IF($J53*$M53&gt;=0.9,1,MIN(0.9,$J53*$M53+IF($J53*$M53&lt;0.7,0.03,0.01)*(Q$2-$K53-$L53+1))/($J53*$M53)))))</f>
        <v>0</v>
      </c>
      <c r="R53">
        <f>IF(R$2&lt;$K53,0,IF(AND(R$2=$K53,$L53=2),Settings!$B$8,IF(R$2-$K53+1&lt;$L53,(R$2-$K53+1)/$L53,IF($J53*$M53&gt;=0.9,1,MIN(0.9,$J53*$M53+IF($J53*$M53&lt;0.7,0.03,0.01)*(R$2-$K53-$L53+1))/($J53*$M53)))))</f>
        <v>0</v>
      </c>
      <c r="S53">
        <f>IF(S$2&lt;$K53,0,IF(AND(S$2=$K53,$L53=2),Settings!$B$8,IF(S$2-$K53+1&lt;$L53,(S$2-$K53+1)/$L53,IF($J53*$M53&gt;=0.9,1,MIN(0.9,$J53*$M53+IF($J53*$M53&lt;0.7,0.03,0.01)*(S$2-$K53-$L53+1))/($J53*$M53)))))</f>
        <v>0</v>
      </c>
      <c r="T53">
        <f>IF(T$2&lt;$K53,0,IF(AND(T$2=$K53,$L53=2),Settings!$B$8,IF(T$2-$K53+1&lt;$L53,(T$2-$K53+1)/$L53,IF($J53*$M53&gt;=0.9,1,MIN(0.9,$J53*$M53+IF($J53*$M53&lt;0.7,0.03,0.01)*(T$2-$K53-$L53+1))/($J53*$M53)))))</f>
        <v>0</v>
      </c>
      <c r="U53">
        <f>IF(U$2&lt;$K53,0,IF(AND(U$2=$K53,$L53=2),Settings!$B$8,IF(U$2-$K53+1&lt;$L53,(U$2-$K53+1)/$L53,IF($J53*$M53&gt;=0.9,1,MIN(0.9,$J53*$M53+IF($J53*$M53&lt;0.7,0.03,0.01)*(U$2-$K53-$L53+1))/($J53*$M53)))))</f>
        <v>0</v>
      </c>
      <c r="V53">
        <f>IF(V$2&lt;$K53,0,IF(AND(V$2=$K53,$L53=2),Settings!$B$8,IF(V$2-$K53+1&lt;$L53,(V$2-$K53+1)/$L53,IF($J53*$M53&gt;=0.9,1,MIN(0.9,$J53*$M53+IF($J53*$M53&lt;0.7,0.03,0.01)*(V$2-$K53-$L53+1))/($J53*$M53)))))</f>
        <v>0</v>
      </c>
      <c r="W53">
        <f>IF(W$2&lt;$K53,0,IF(AND(W$2=$K53,$L53=2),Settings!$B$8,IF(W$2-$K53+1&lt;$L53,(W$2-$K53+1)/$L53,IF($J53*$M53&gt;=0.9,1,MIN(0.9,$J53*$M53+IF($J53*$M53&lt;0.7,0.03,0.01)*(W$2-$K53-$L53+1))/($J53*$M53)))))</f>
        <v>0</v>
      </c>
      <c r="X53">
        <f>IF(X$2&lt;$K53,0,IF(AND(X$2=$K53,$L53=2),Settings!$B$8,IF(X$2-$K53+1&lt;$L53,(X$2-$K53+1)/$L53,IF($J53*$M53&gt;=0.9,1,MIN(0.9,$J53*$M53+IF($J53*$M53&lt;0.7,0.03,0.01)*(X$2-$K53-$L53+1))/($J53*$M53)))))</f>
        <v>0</v>
      </c>
      <c r="Y53" s="9">
        <v>31119</v>
      </c>
      <c r="Z53" s="9">
        <v>31318</v>
      </c>
      <c r="AA53" s="9">
        <v>31408</v>
      </c>
      <c r="AB53" s="9">
        <v>31506</v>
      </c>
      <c r="AC53" s="9">
        <v>31522</v>
      </c>
      <c r="AD53" s="9">
        <v>31389</v>
      </c>
      <c r="AE53" s="9">
        <v>31258</v>
      </c>
      <c r="AF53" s="9">
        <v>31207</v>
      </c>
      <c r="AG53" s="9">
        <v>31172</v>
      </c>
      <c r="AH53" s="9">
        <v>31064</v>
      </c>
      <c r="AI53">
        <f>AS53*(1+Settings!$B$7)</f>
        <v>0</v>
      </c>
      <c r="AJ53">
        <f>IF(Settings!$B$13="annual",AT53*(1+Settings!$B$7),AT53+Settings!$B$7*IF(AT53&gt;AS53,AT53-AS53,0))</f>
        <v>0</v>
      </c>
      <c r="AK53">
        <f>IF(Settings!$B$13="annual",AU53*(1+Settings!$B$7),AU53+Settings!$B$7*IF(AU53&gt;AT53,AU53-AT53,0))</f>
        <v>0</v>
      </c>
      <c r="AL53">
        <f>IF(Settings!$B$13="annual",AV53*(1+Settings!$B$7),AV53+Settings!$B$7*IF(AV53&gt;AU53,AV53-AU53,0))</f>
        <v>0</v>
      </c>
      <c r="AM53">
        <f>IF(Settings!$B$13="annual",AW53*(1+Settings!$B$7),AW53+Settings!$B$7*IF(AW53&gt;AV53,AW53-AV53,0))</f>
        <v>0</v>
      </c>
      <c r="AN53">
        <f>IF(Settings!$B$13="annual",AX53*(1+Settings!$B$7),AX53+Settings!$B$7*IF(AX53&gt;AW53,AX53-AW53,0))</f>
        <v>0</v>
      </c>
      <c r="AO53">
        <f>IF(Settings!$B$13="annual",AY53*(1+Settings!$B$7),AY53+Settings!$B$7*IF(AY53&gt;AX53,AY53-AX53,0))</f>
        <v>0</v>
      </c>
      <c r="AP53">
        <f>IF(Settings!$B$13="annual",AZ53*(1+Settings!$B$7),AZ53+Settings!$B$7*IF(AZ53&gt;AY53,AZ53-AY53,0))</f>
        <v>0</v>
      </c>
      <c r="AQ53">
        <f>IF(Settings!$B$13="annual",BA53*(1+Settings!$B$7),BA53+Settings!$B$7*IF(BA53&gt;AZ53,BA53-AZ53,0))</f>
        <v>0</v>
      </c>
      <c r="AR53">
        <f>IF(Settings!$B$13="annual",BB53*(1+Settings!$B$7),BB53+Settings!$B$7*IF(BB53&gt;BA53,BB53-BA53,0))</f>
        <v>0</v>
      </c>
      <c r="AS53">
        <f>Y53*$N53*$J53*$M53*O53*Settings!$B$6</f>
        <v>0</v>
      </c>
      <c r="AT53">
        <f>Z53*$N53*$J53*$M53*P53*Settings!$B$6</f>
        <v>0</v>
      </c>
      <c r="AU53">
        <f>AA53*$N53*$J53*$M53*Q53*Settings!$B$6</f>
        <v>0</v>
      </c>
      <c r="AV53">
        <f>AB53*$N53*$J53*$M53*R53*Settings!$B$6</f>
        <v>0</v>
      </c>
      <c r="AW53">
        <f>AC53*$N53*$J53*$M53*S53*Settings!$B$6</f>
        <v>0</v>
      </c>
      <c r="AX53">
        <f>AD53*$N53*$J53*$M53*T53*Settings!$B$6</f>
        <v>0</v>
      </c>
      <c r="AY53">
        <f>AE53*$N53*$J53*$M53*U53*Settings!$B$6</f>
        <v>0</v>
      </c>
      <c r="AZ53">
        <f>AF53*$N53*$J53*$M53*V53*Settings!$B$6</f>
        <v>0</v>
      </c>
      <c r="BA53">
        <f>AG53*$N53*$J53*$M53*W53*Settings!$B$6</f>
        <v>0</v>
      </c>
      <c r="BB53">
        <f>AH53*$N53*$J53*$M53*X53*Settings!$B$6</f>
        <v>0</v>
      </c>
    </row>
    <row r="54" spans="1:54" ht="15" customHeight="1">
      <c r="A54" t="s">
        <v>147</v>
      </c>
      <c r="B54" t="s">
        <v>148</v>
      </c>
      <c r="C54" s="9">
        <v>0.89700000000000002</v>
      </c>
      <c r="D54" s="9">
        <v>0.65100000000000002</v>
      </c>
      <c r="E54" s="9">
        <v>0.87</v>
      </c>
      <c r="F54" s="9">
        <v>0.31900000000000001</v>
      </c>
      <c r="G54" s="9">
        <v>0.69399999999999995</v>
      </c>
      <c r="H54" s="9">
        <v>19.3</v>
      </c>
      <c r="I54">
        <f t="shared" si="2"/>
        <v>0.72575250836120397</v>
      </c>
      <c r="J54">
        <f>IF(Settings!$B$10="anc4",D54*E54,IF(Settings!$B$10="anc1",C54*E54,C54*(G54*I54+F54*(1-I54))*E54))</f>
        <v>0.46133315999999985</v>
      </c>
      <c r="K54">
        <f>IF(Settings!$B$9="invest",Schedule!R54,IF(Settings!$B$9="hist",Schedule!U54,IF(Settings!$B$9="pcv",Schedule!M54,IF(Settings!$B$9="rota",Schedule!N54,Schedule!O54))))+Settings!$B$11</f>
        <v>2031</v>
      </c>
      <c r="L54">
        <f>IF(Schedule!H54=1,Settings!$B$4,Settings!$B$5)</f>
        <v>2</v>
      </c>
      <c r="M54" s="9">
        <v>1</v>
      </c>
      <c r="N54">
        <f t="shared" si="3"/>
        <v>1.0196798205363515</v>
      </c>
      <c r="O54">
        <f>IF(O$2&lt;$K54,0,IF(O$2-$K54+1&lt;$L54,IF($L54=2,Settings!$B$8,(O$2-$K54+1)/$L54),IF($J54*$M54&gt;=Settings!$B$15,1,MIN(Settings!$B$15,$J54*$M54+IF($J54*$M54&lt;Settings!$B$16,Settings!$B$17,Settings!$B$18)*(O$2-$K54-$L54+1))/($J54*$M54))))</f>
        <v>0</v>
      </c>
      <c r="P54">
        <f>IF(P$2&lt;$K54,0,IF(AND(P$2=$K54,$L54=2),Settings!$B$8,IF(P$2-$K54+1&lt;$L54,(P$2-$K54+1)/$L54,IF($J54*$M54&gt;=0.9,1,MIN(0.9,$J54*$M54+IF($J54*$M54&lt;0.7,0.03,0.01)*(P$2-$K54-$L54+1))/($J54*$M54)))))</f>
        <v>0</v>
      </c>
      <c r="Q54">
        <f>IF(Q$2&lt;$K54,0,IF(AND(Q$2=$K54,$L54=2),Settings!$B$8,IF(Q$2-$K54+1&lt;$L54,(Q$2-$K54+1)/$L54,IF($J54*$M54&gt;=0.9,1,MIN(0.9,$J54*$M54+IF($J54*$M54&lt;0.7,0.03,0.01)*(Q$2-$K54-$L54+1))/($J54*$M54)))))</f>
        <v>0</v>
      </c>
      <c r="R54">
        <f>IF(R$2&lt;$K54,0,IF(AND(R$2=$K54,$L54=2),Settings!$B$8,IF(R$2-$K54+1&lt;$L54,(R$2-$K54+1)/$L54,IF($J54*$M54&gt;=0.9,1,MIN(0.9,$J54*$M54+IF($J54*$M54&lt;0.7,0.03,0.01)*(R$2-$K54-$L54+1))/($J54*$M54)))))</f>
        <v>0.8</v>
      </c>
      <c r="S54">
        <f>IF(S$2&lt;$K54,0,IF(AND(S$2=$K54,$L54=2),Settings!$B$8,IF(S$2-$K54+1&lt;$L54,(S$2-$K54+1)/$L54,IF($J54*$M54&gt;=0.9,1,MIN(0.9,$J54*$M54+IF($J54*$M54&lt;0.7,0.03,0.01)*(S$2-$K54-$L54+1))/($J54*$M54)))))</f>
        <v>1</v>
      </c>
      <c r="T54">
        <f>IF(T$2&lt;$K54,0,IF(AND(T$2=$K54,$L54=2),Settings!$B$8,IF(T$2-$K54+1&lt;$L54,(T$2-$K54+1)/$L54,IF($J54*$M54&gt;=0.9,1,MIN(0.9,$J54*$M54+IF($J54*$M54&lt;0.7,0.03,0.01)*(T$2-$K54-$L54+1))/($J54*$M54)))))</f>
        <v>1.0650289261669375</v>
      </c>
      <c r="U54">
        <f>IF(U$2&lt;$K54,0,IF(AND(U$2=$K54,$L54=2),Settings!$B$8,IF(U$2-$K54+1&lt;$L54,(U$2-$K54+1)/$L54,IF($J54*$M54&gt;=0.9,1,MIN(0.9,$J54*$M54+IF($J54*$M54&lt;0.7,0.03,0.01)*(U$2-$K54-$L54+1))/($J54*$M54)))))</f>
        <v>1.1300578523338751</v>
      </c>
      <c r="V54">
        <f>IF(V$2&lt;$K54,0,IF(AND(V$2=$K54,$L54=2),Settings!$B$8,IF(V$2-$K54+1&lt;$L54,(V$2-$K54+1)/$L54,IF($J54*$M54&gt;=0.9,1,MIN(0.9,$J54*$M54+IF($J54*$M54&lt;0.7,0.03,0.01)*(V$2-$K54-$L54+1))/($J54*$M54)))))</f>
        <v>1.1950867785008128</v>
      </c>
      <c r="W54">
        <f>IF(W$2&lt;$K54,0,IF(AND(W$2=$K54,$L54=2),Settings!$B$8,IF(W$2-$K54+1&lt;$L54,(W$2-$K54+1)/$L54,IF($J54*$M54&gt;=0.9,1,MIN(0.9,$J54*$M54+IF($J54*$M54&lt;0.7,0.03,0.01)*(W$2-$K54-$L54+1))/($J54*$M54)))))</f>
        <v>1.2601157046677502</v>
      </c>
      <c r="X54">
        <f>IF(X$2&lt;$K54,0,IF(AND(X$2=$K54,$L54=2),Settings!$B$8,IF(X$2-$K54+1&lt;$L54,(X$2-$K54+1)/$L54,IF($J54*$M54&gt;=0.9,1,MIN(0.9,$J54*$M54+IF($J54*$M54&lt;0.7,0.03,0.01)*(X$2-$K54-$L54+1))/($J54*$M54)))))</f>
        <v>1.3251446308346879</v>
      </c>
      <c r="Y54" s="9">
        <v>2528941</v>
      </c>
      <c r="Z54" s="9">
        <v>2567415</v>
      </c>
      <c r="AA54" s="9">
        <v>2604948</v>
      </c>
      <c r="AB54" s="9">
        <v>2647099</v>
      </c>
      <c r="AC54" s="9">
        <v>2676719</v>
      </c>
      <c r="AD54" s="9">
        <v>2715621</v>
      </c>
      <c r="AE54" s="9">
        <v>2761759</v>
      </c>
      <c r="AF54" s="9">
        <v>2803247</v>
      </c>
      <c r="AG54" s="9">
        <v>2839987</v>
      </c>
      <c r="AH54" s="9">
        <v>2870499</v>
      </c>
      <c r="AI54">
        <f>AS54*(1+Settings!$B$7)</f>
        <v>0</v>
      </c>
      <c r="AJ54">
        <f>IF(Settings!$B$13="annual",AT54*(1+Settings!$B$7),AT54+Settings!$B$7*IF(AT54&gt;AS54,AT54-AS54,0))</f>
        <v>0</v>
      </c>
      <c r="AK54">
        <f>IF(Settings!$B$13="annual",AU54*(1+Settings!$B$7),AU54+Settings!$B$7*IF(AU54&gt;AT54,AU54-AT54,0))</f>
        <v>0</v>
      </c>
      <c r="AL54">
        <f>IF(Settings!$B$13="annual",AV54*(1+Settings!$B$7),AV54+Settings!$B$7*IF(AV54&gt;AU54,AV54-AU54,0))</f>
        <v>1407107.0027003249</v>
      </c>
      <c r="AM54">
        <f>IF(Settings!$B$13="annual",AW54*(1+Settings!$B$7),AW54+Settings!$B$7*IF(AW54&gt;AV54,AW54-AV54,0))</f>
        <v>1497143.5724553778</v>
      </c>
      <c r="AN54">
        <f>IF(Settings!$B$13="annual",AX54*(1+Settings!$B$7),AX54+Settings!$B$7*IF(AX54&gt;AW54,AX54-AW54,0))</f>
        <v>1566039.7731183148</v>
      </c>
      <c r="AO54">
        <f>IF(Settings!$B$13="annual",AY54*(1+Settings!$B$7),AY54+Settings!$B$7*IF(AY54&gt;AX54,AY54-AX54,0))</f>
        <v>1689385.1679948804</v>
      </c>
      <c r="AP54">
        <f>IF(Settings!$B$13="annual",AZ54*(1+Settings!$B$7),AZ54+Settings!$B$7*IF(AZ54&gt;AY54,AZ54-AY54,0))</f>
        <v>1811266.1883255071</v>
      </c>
      <c r="AQ54">
        <f>IF(Settings!$B$13="annual",BA54*(1+Settings!$B$7),BA54+Settings!$B$7*IF(BA54&gt;AZ54,BA54-AZ54,0))</f>
        <v>1932698.1151699568</v>
      </c>
      <c r="AR54">
        <f>IF(Settings!$B$13="annual",BB54*(1+Settings!$B$7),BB54+Settings!$B$7*IF(BB54&gt;BA54,BB54-BA54,0))</f>
        <v>2051899.3017326305</v>
      </c>
      <c r="AS54">
        <f>Y54*$N54*$J54*$M54*O54*Settings!$B$6</f>
        <v>0</v>
      </c>
      <c r="AT54">
        <f>Z54*$N54*$J54*$M54*P54*Settings!$B$6</f>
        <v>0</v>
      </c>
      <c r="AU54">
        <f>AA54*$N54*$J54*$M54*Q54*Settings!$B$6</f>
        <v>0</v>
      </c>
      <c r="AV54">
        <f>AB54*$N54*$J54*$M54*R54*Settings!$B$6</f>
        <v>1125685.6021602598</v>
      </c>
      <c r="AW54">
        <f>AC54*$N54*$J54*$M54*S54*Settings!$B$6</f>
        <v>1422851.9783963542</v>
      </c>
      <c r="AX54">
        <f>AD54*$N54*$J54*$M54*T54*Settings!$B$6</f>
        <v>1537402.2141739228</v>
      </c>
      <c r="AY54">
        <f>AE54*$N54*$J54*$M54*U54*Settings!$B$6</f>
        <v>1658988.5772306889</v>
      </c>
      <c r="AZ54">
        <f>AF54*$N54*$J54*$M54*V54*Settings!$B$6</f>
        <v>1780810.6661065435</v>
      </c>
      <c r="BA54">
        <f>AG54*$N54*$J54*$M54*W54*Settings!$B$6</f>
        <v>1902320.6253572742</v>
      </c>
      <c r="BB54">
        <f>AH54*$N54*$J54*$M54*X54*Settings!$B$6</f>
        <v>2021983.5664575591</v>
      </c>
    </row>
    <row r="55" spans="1:54" ht="15" customHeight="1">
      <c r="A55" t="s">
        <v>149</v>
      </c>
      <c r="B55" t="s">
        <v>150</v>
      </c>
      <c r="C55" s="9">
        <v>0.98599999999999999</v>
      </c>
      <c r="D55" s="9">
        <v>0.67800000000000005</v>
      </c>
      <c r="E55" s="9">
        <v>0.95</v>
      </c>
      <c r="F55" s="9">
        <v>0.55500000000000005</v>
      </c>
      <c r="G55" s="9">
        <v>0.82899999999999996</v>
      </c>
      <c r="H55" s="9">
        <v>14.5</v>
      </c>
      <c r="I55">
        <f t="shared" si="2"/>
        <v>0.68762677484787027</v>
      </c>
      <c r="J55">
        <f>IF(Settings!$B$10="anc4",D55*E55,IF(Settings!$B$10="anc1",C55*E55,C55*(G55*I55+F55*(1-I55))*E55))</f>
        <v>0.69635189999999991</v>
      </c>
      <c r="K55">
        <f>IF(Settings!$B$9="invest",Schedule!R55,IF(Settings!$B$9="hist",Schedule!U55,IF(Settings!$B$9="pcv",Schedule!M55,IF(Settings!$B$9="rota",Schedule!N55,Schedule!O55))))+Settings!$B$11</f>
        <v>2029</v>
      </c>
      <c r="L55">
        <f>IF(Schedule!H55=1,Settings!$B$4,Settings!$B$5)</f>
        <v>2</v>
      </c>
      <c r="M55" s="9">
        <v>1</v>
      </c>
      <c r="N55">
        <f t="shared" si="3"/>
        <v>1.0147133434804667</v>
      </c>
      <c r="O55">
        <f>IF(O$2&lt;$K55,0,IF(O$2-$K55+1&lt;$L55,IF($L55=2,Settings!$B$8,(O$2-$K55+1)/$L55),IF($J55*$M55&gt;=Settings!$B$15,1,MIN(Settings!$B$15,$J55*$M55+IF($J55*$M55&lt;Settings!$B$16,Settings!$B$17,Settings!$B$18)*(O$2-$K55-$L55+1))/($J55*$M55))))</f>
        <v>0</v>
      </c>
      <c r="P55">
        <f>IF(P$2&lt;$K55,0,IF(AND(P$2=$K55,$L55=2),Settings!$B$8,IF(P$2-$K55+1&lt;$L55,(P$2-$K55+1)/$L55,IF($J55*$M55&gt;=0.9,1,MIN(0.9,$J55*$M55+IF($J55*$M55&lt;0.7,0.03,0.01)*(P$2-$K55-$L55+1))/($J55*$M55)))))</f>
        <v>0.8</v>
      </c>
      <c r="Q55">
        <f>IF(Q$2&lt;$K55,0,IF(AND(Q$2=$K55,$L55=2),Settings!$B$8,IF(Q$2-$K55+1&lt;$L55,(Q$2-$K55+1)/$L55,IF($J55*$M55&gt;=0.9,1,MIN(0.9,$J55*$M55+IF($J55*$M55&lt;0.7,0.03,0.01)*(Q$2-$K55-$L55+1))/($J55*$M55)))))</f>
        <v>1</v>
      </c>
      <c r="R55">
        <f>IF(R$2&lt;$K55,0,IF(AND(R$2=$K55,$L55=2),Settings!$B$8,IF(R$2-$K55+1&lt;$L55,(R$2-$K55+1)/$L55,IF($J55*$M55&gt;=0.9,1,MIN(0.9,$J55*$M55+IF($J55*$M55&lt;0.7,0.03,0.01)*(R$2-$K55-$L55+1))/($J55*$M55)))))</f>
        <v>1.0430816660369564</v>
      </c>
      <c r="S55">
        <f>IF(S$2&lt;$K55,0,IF(AND(S$2=$K55,$L55=2),Settings!$B$8,IF(S$2-$K55+1&lt;$L55,(S$2-$K55+1)/$L55,IF($J55*$M55&gt;=0.9,1,MIN(0.9,$J55*$M55+IF($J55*$M55&lt;0.7,0.03,0.01)*(S$2-$K55-$L55+1))/($J55*$M55)))))</f>
        <v>1.0861633320739126</v>
      </c>
      <c r="T55">
        <f>IF(T$2&lt;$K55,0,IF(AND(T$2=$K55,$L55=2),Settings!$B$8,IF(T$2-$K55+1&lt;$L55,(T$2-$K55+1)/$L55,IF($J55*$M55&gt;=0.9,1,MIN(0.9,$J55*$M55+IF($J55*$M55&lt;0.7,0.03,0.01)*(T$2-$K55-$L55+1))/($J55*$M55)))))</f>
        <v>1.129244998110869</v>
      </c>
      <c r="U55">
        <f>IF(U$2&lt;$K55,0,IF(AND(U$2=$K55,$L55=2),Settings!$B$8,IF(U$2-$K55+1&lt;$L55,(U$2-$K55+1)/$L55,IF($J55*$M55&gt;=0.9,1,MIN(0.9,$J55*$M55+IF($J55*$M55&lt;0.7,0.03,0.01)*(U$2-$K55-$L55+1))/($J55*$M55)))))</f>
        <v>1.1723266641478254</v>
      </c>
      <c r="V55">
        <f>IF(V$2&lt;$K55,0,IF(AND(V$2=$K55,$L55=2),Settings!$B$8,IF(V$2-$K55+1&lt;$L55,(V$2-$K55+1)/$L55,IF($J55*$M55&gt;=0.9,1,MIN(0.9,$J55*$M55+IF($J55*$M55&lt;0.7,0.03,0.01)*(V$2-$K55-$L55+1))/($J55*$M55)))))</f>
        <v>1.2154083301847816</v>
      </c>
      <c r="W55">
        <f>IF(W$2&lt;$K55,0,IF(AND(W$2=$K55,$L55=2),Settings!$B$8,IF(W$2-$K55+1&lt;$L55,(W$2-$K55+1)/$L55,IF($J55*$M55&gt;=0.9,1,MIN(0.9,$J55*$M55+IF($J55*$M55&lt;0.7,0.03,0.01)*(W$2-$K55-$L55+1))/($J55*$M55)))))</f>
        <v>1.258489996221738</v>
      </c>
      <c r="X55">
        <f>IF(X$2&lt;$K55,0,IF(AND(X$2=$K55,$L55=2),Settings!$B$8,IF(X$2-$K55+1&lt;$L55,(X$2-$K55+1)/$L55,IF($J55*$M55&gt;=0.9,1,MIN(0.9,$J55*$M55+IF($J55*$M55&lt;0.7,0.03,0.01)*(X$2-$K55-$L55+1))/($J55*$M55)))))</f>
        <v>1.2924499811086896</v>
      </c>
      <c r="Y55" s="9">
        <v>1763996</v>
      </c>
      <c r="Z55" s="9">
        <v>1768047</v>
      </c>
      <c r="AA55" s="9">
        <v>1774305</v>
      </c>
      <c r="AB55" s="9">
        <v>1777143</v>
      </c>
      <c r="AC55" s="9">
        <v>1775281</v>
      </c>
      <c r="AD55" s="9">
        <v>1777614</v>
      </c>
      <c r="AE55" s="9">
        <v>1781575</v>
      </c>
      <c r="AF55" s="9">
        <v>1784549</v>
      </c>
      <c r="AG55" s="9">
        <v>1789255</v>
      </c>
      <c r="AH55" s="9">
        <v>1797335</v>
      </c>
      <c r="AI55">
        <f>AS55*(1+Settings!$B$7)</f>
        <v>0</v>
      </c>
      <c r="AJ55">
        <f>IF(Settings!$B$13="annual",AT55*(1+Settings!$B$7),AT55+Settings!$B$7*IF(AT55&gt;AS55,AT55-AS55,0))</f>
        <v>1411706.4060328854</v>
      </c>
      <c r="AK55">
        <f>IF(Settings!$B$13="annual",AU55*(1+Settings!$B$7),AU55+Settings!$B$7*IF(AU55&gt;AT55,AU55-AT55,0))</f>
        <v>1488537.6425127715</v>
      </c>
      <c r="AL55">
        <f>IF(Settings!$B$13="annual",AV55*(1+Settings!$B$7),AV55+Settings!$B$7*IF(AV55&gt;AU55,AV55-AU55,0))</f>
        <v>1495950.1030320316</v>
      </c>
      <c r="AM55">
        <f>IF(Settings!$B$13="annual",AW55*(1+Settings!$B$7),AW55+Settings!$B$7*IF(AW55&gt;AV55,AW55-AV55,0))</f>
        <v>1554496.6233628897</v>
      </c>
      <c r="AN55">
        <f>IF(Settings!$B$13="annual",AX55*(1+Settings!$B$7),AX55+Settings!$B$7*IF(AX55&gt;AW55,AX55-AW55,0))</f>
        <v>1618581.2630967735</v>
      </c>
      <c r="AO55">
        <f>IF(Settings!$B$13="annual",AY55*(1+Settings!$B$7),AY55+Settings!$B$7*IF(AY55&gt;AX55,AY55-AX55,0))</f>
        <v>1683857.814402807</v>
      </c>
      <c r="AP55">
        <f>IF(Settings!$B$13="annual",AZ55*(1+Settings!$B$7),AZ55+Settings!$B$7*IF(AZ55&gt;AY55,AZ55-AY55,0))</f>
        <v>1747856.6093168412</v>
      </c>
      <c r="AQ55">
        <f>IF(Settings!$B$13="annual",BA55*(1+Settings!$B$7),BA55+Settings!$B$7*IF(BA55&gt;AZ55,BA55-AZ55,0))</f>
        <v>1814457.986514135</v>
      </c>
      <c r="AR55">
        <f>IF(Settings!$B$13="annual",BB55*(1+Settings!$B$7),BB55+Settings!$B$7*IF(BB55&gt;BA55,BB55-BA55,0))</f>
        <v>1868997.7787207037</v>
      </c>
      <c r="AS55">
        <f>Y55*$N55*$J55*$M55*O55*Settings!$B$6</f>
        <v>0</v>
      </c>
      <c r="AT55">
        <f>Z55*$N55*$J55*$M55*P55*Settings!$B$6</f>
        <v>1129365.1248263083</v>
      </c>
      <c r="AU55">
        <f>AA55*$N55*$J55*$M55*Q55*Settings!$B$6</f>
        <v>1416703.1389754789</v>
      </c>
      <c r="AV55">
        <f>AB55*$N55*$J55*$M55*R55*Settings!$B$6</f>
        <v>1480100.7102207211</v>
      </c>
      <c r="AW55">
        <f>AC55*$N55*$J55*$M55*S55*Settings!$B$6</f>
        <v>1539617.4407344561</v>
      </c>
      <c r="AX55">
        <f>AD55*$N55*$J55*$M55*T55*Settings!$B$6</f>
        <v>1602788.4986243101</v>
      </c>
      <c r="AY55">
        <f>AE55*$N55*$J55*$M55*U55*Settings!$B$6</f>
        <v>1667643.9512471077</v>
      </c>
      <c r="AZ55">
        <f>AF55*$N55*$J55*$M55*V55*Settings!$B$6</f>
        <v>1731814.0777028946</v>
      </c>
      <c r="BA55">
        <f>AG55*$N55*$J55*$M55*W55*Settings!$B$6</f>
        <v>1797929.2047518869</v>
      </c>
      <c r="BB55">
        <f>AH55*$N55*$J55*$M55*X55*Settings!$B$6</f>
        <v>1854784.0639269403</v>
      </c>
    </row>
    <row r="56" spans="1:54" ht="15" customHeight="1">
      <c r="A56" t="s">
        <v>151</v>
      </c>
      <c r="B56" t="s">
        <v>152</v>
      </c>
      <c r="C56" s="9">
        <v>0.69499999999999995</v>
      </c>
      <c r="D56" s="9">
        <v>0.32400000000000001</v>
      </c>
      <c r="E56" s="9">
        <v>0.53</v>
      </c>
      <c r="F56" s="9">
        <v>0.52600000000000002</v>
      </c>
      <c r="G56" s="9">
        <v>0.84299999999999997</v>
      </c>
      <c r="H56" s="9">
        <v>20.8</v>
      </c>
      <c r="I56">
        <f t="shared" si="2"/>
        <v>0.46618705035971225</v>
      </c>
      <c r="J56">
        <f>IF(Settings!$B$10="anc4",D56*E56,IF(Settings!$B$10="anc1",C56*E56,C56*(G56*I56+F56*(1-I56))*E56))</f>
        <v>0.24818733999999998</v>
      </c>
      <c r="K56">
        <f>IF(Settings!$B$9="invest",Schedule!R56,IF(Settings!$B$9="hist",Schedule!U56,IF(Settings!$B$9="pcv",Schedule!M56,IF(Settings!$B$9="rota",Schedule!N56,Schedule!O56))))+Settings!$B$11</f>
        <v>2034</v>
      </c>
      <c r="L56">
        <f>IF(Schedule!H56=1,Settings!$B$4,Settings!$B$5)</f>
        <v>2</v>
      </c>
      <c r="M56" s="9">
        <v>1</v>
      </c>
      <c r="N56">
        <f t="shared" si="3"/>
        <v>1.0212418300653594</v>
      </c>
      <c r="O56">
        <f>IF(O$2&lt;$K56,0,IF(O$2-$K56+1&lt;$L56,IF($L56=2,Settings!$B$8,(O$2-$K56+1)/$L56),IF($J56*$M56&gt;=Settings!$B$15,1,MIN(Settings!$B$15,$J56*$M56+IF($J56*$M56&lt;Settings!$B$16,Settings!$B$17,Settings!$B$18)*(O$2-$K56-$L56+1))/($J56*$M56))))</f>
        <v>0</v>
      </c>
      <c r="P56">
        <f>IF(P$2&lt;$K56,0,IF(AND(P$2=$K56,$L56=2),Settings!$B$8,IF(P$2-$K56+1&lt;$L56,(P$2-$K56+1)/$L56,IF($J56*$M56&gt;=0.9,1,MIN(0.9,$J56*$M56+IF($J56*$M56&lt;0.7,0.03,0.01)*(P$2-$K56-$L56+1))/($J56*$M56)))))</f>
        <v>0</v>
      </c>
      <c r="Q56">
        <f>IF(Q$2&lt;$K56,0,IF(AND(Q$2=$K56,$L56=2),Settings!$B$8,IF(Q$2-$K56+1&lt;$L56,(Q$2-$K56+1)/$L56,IF($J56*$M56&gt;=0.9,1,MIN(0.9,$J56*$M56+IF($J56*$M56&lt;0.7,0.03,0.01)*(Q$2-$K56-$L56+1))/($J56*$M56)))))</f>
        <v>0</v>
      </c>
      <c r="R56">
        <f>IF(R$2&lt;$K56,0,IF(AND(R$2=$K56,$L56=2),Settings!$B$8,IF(R$2-$K56+1&lt;$L56,(R$2-$K56+1)/$L56,IF($J56*$M56&gt;=0.9,1,MIN(0.9,$J56*$M56+IF($J56*$M56&lt;0.7,0.03,0.01)*(R$2-$K56-$L56+1))/($J56*$M56)))))</f>
        <v>0</v>
      </c>
      <c r="S56">
        <f>IF(S$2&lt;$K56,0,IF(AND(S$2=$K56,$L56=2),Settings!$B$8,IF(S$2-$K56+1&lt;$L56,(S$2-$K56+1)/$L56,IF($J56*$M56&gt;=0.9,1,MIN(0.9,$J56*$M56+IF($J56*$M56&lt;0.7,0.03,0.01)*(S$2-$K56-$L56+1))/($J56*$M56)))))</f>
        <v>0</v>
      </c>
      <c r="T56">
        <f>IF(T$2&lt;$K56,0,IF(AND(T$2=$K56,$L56=2),Settings!$B$8,IF(T$2-$K56+1&lt;$L56,(T$2-$K56+1)/$L56,IF($J56*$M56&gt;=0.9,1,MIN(0.9,$J56*$M56+IF($J56*$M56&lt;0.7,0.03,0.01)*(T$2-$K56-$L56+1))/($J56*$M56)))))</f>
        <v>0</v>
      </c>
      <c r="U56">
        <f>IF(U$2&lt;$K56,0,IF(AND(U$2=$K56,$L56=2),Settings!$B$8,IF(U$2-$K56+1&lt;$L56,(U$2-$K56+1)/$L56,IF($J56*$M56&gt;=0.9,1,MIN(0.9,$J56*$M56+IF($J56*$M56&lt;0.7,0.03,0.01)*(U$2-$K56-$L56+1))/($J56*$M56)))))</f>
        <v>0.8</v>
      </c>
      <c r="V56">
        <f>IF(V$2&lt;$K56,0,IF(AND(V$2=$K56,$L56=2),Settings!$B$8,IF(V$2-$K56+1&lt;$L56,(V$2-$K56+1)/$L56,IF($J56*$M56&gt;=0.9,1,MIN(0.9,$J56*$M56+IF($J56*$M56&lt;0.7,0.03,0.01)*(V$2-$K56-$L56+1))/($J56*$M56)))))</f>
        <v>1</v>
      </c>
      <c r="W56">
        <f>IF(W$2&lt;$K56,0,IF(AND(W$2=$K56,$L56=2),Settings!$B$8,IF(W$2-$K56+1&lt;$L56,(W$2-$K56+1)/$L56,IF($J56*$M56&gt;=0.9,1,MIN(0.9,$J56*$M56+IF($J56*$M56&lt;0.7,0.03,0.01)*(W$2-$K56-$L56+1))/($J56*$M56)))))</f>
        <v>1.120876431489213</v>
      </c>
      <c r="X56">
        <f>IF(X$2&lt;$K56,0,IF(AND(X$2=$K56,$L56=2),Settings!$B$8,IF(X$2-$K56+1&lt;$L56,(X$2-$K56+1)/$L56,IF($J56*$M56&gt;=0.9,1,MIN(0.9,$J56*$M56+IF($J56*$M56&lt;0.7,0.03,0.01)*(X$2-$K56-$L56+1))/($J56*$M56)))))</f>
        <v>1.2417528629784258</v>
      </c>
      <c r="Y56" s="9">
        <v>1407678</v>
      </c>
      <c r="Z56" s="9">
        <v>1410940</v>
      </c>
      <c r="AA56" s="9">
        <v>1410963</v>
      </c>
      <c r="AB56" s="9">
        <v>1406735</v>
      </c>
      <c r="AC56" s="9">
        <v>1412809</v>
      </c>
      <c r="AD56" s="9">
        <v>1417695</v>
      </c>
      <c r="AE56" s="9">
        <v>1423403</v>
      </c>
      <c r="AF56" s="9">
        <v>1429784</v>
      </c>
      <c r="AG56" s="9">
        <v>1435869</v>
      </c>
      <c r="AH56" s="9">
        <v>1442139</v>
      </c>
      <c r="AI56">
        <f>AS56*(1+Settings!$B$7)</f>
        <v>0</v>
      </c>
      <c r="AJ56">
        <f>IF(Settings!$B$13="annual",AT56*(1+Settings!$B$7),AT56+Settings!$B$7*IF(AT56&gt;AS56,AT56-AS56,0))</f>
        <v>0</v>
      </c>
      <c r="AK56">
        <f>IF(Settings!$B$13="annual",AU56*(1+Settings!$B$7),AU56+Settings!$B$7*IF(AU56&gt;AT56,AU56-AT56,0))</f>
        <v>0</v>
      </c>
      <c r="AL56">
        <f>IF(Settings!$B$13="annual",AV56*(1+Settings!$B$7),AV56+Settings!$B$7*IF(AV56&gt;AU56,AV56-AU56,0))</f>
        <v>0</v>
      </c>
      <c r="AM56">
        <f>IF(Settings!$B$13="annual",AW56*(1+Settings!$B$7),AW56+Settings!$B$7*IF(AW56&gt;AV56,AW56-AV56,0))</f>
        <v>0</v>
      </c>
      <c r="AN56">
        <f>IF(Settings!$B$13="annual",AX56*(1+Settings!$B$7),AX56+Settings!$B$7*IF(AX56&gt;AW56,AX56-AW56,0))</f>
        <v>0</v>
      </c>
      <c r="AO56">
        <f>IF(Settings!$B$13="annual",AY56*(1+Settings!$B$7),AY56+Settings!$B$7*IF(AY56&gt;AX56,AY56-AX56,0))</f>
        <v>407675.43186209409</v>
      </c>
      <c r="AP56">
        <f>IF(Settings!$B$13="annual",AZ56*(1+Settings!$B$7),AZ56+Settings!$B$7*IF(AZ56&gt;AY56,AZ56-AY56,0))</f>
        <v>430343.67325285263</v>
      </c>
      <c r="AQ56">
        <f>IF(Settings!$B$13="annual",BA56*(1+Settings!$B$7),BA56+Settings!$B$7*IF(BA56&gt;AZ56,BA56-AZ56,0))</f>
        <v>473818.91310668038</v>
      </c>
      <c r="AR56">
        <f>IF(Settings!$B$13="annual",BB56*(1+Settings!$B$7),BB56+Settings!$B$7*IF(BB56&gt;BA56,BB56-BA56,0))</f>
        <v>525880.53955019615</v>
      </c>
      <c r="AS56">
        <f>Y56*$N56*$J56*$M56*O56*Settings!$B$6</f>
        <v>0</v>
      </c>
      <c r="AT56">
        <f>Z56*$N56*$J56*$M56*P56*Settings!$B$6</f>
        <v>0</v>
      </c>
      <c r="AU56">
        <f>AA56*$N56*$J56*$M56*Q56*Settings!$B$6</f>
        <v>0</v>
      </c>
      <c r="AV56">
        <f>AB56*$N56*$J56*$M56*R56*Settings!$B$6</f>
        <v>0</v>
      </c>
      <c r="AW56">
        <f>AC56*$N56*$J56*$M56*S56*Settings!$B$6</f>
        <v>0</v>
      </c>
      <c r="AX56">
        <f>AD56*$N56*$J56*$M56*T56*Settings!$B$6</f>
        <v>0</v>
      </c>
      <c r="AY56">
        <f>AE56*$N56*$J56*$M56*U56*Settings!$B$6</f>
        <v>326140.3454896753</v>
      </c>
      <c r="AZ56">
        <f>AF56*$N56*$J56*$M56*V56*Settings!$B$6</f>
        <v>409503.00770021719</v>
      </c>
      <c r="BA56">
        <f>AG56*$N56*$J56*$M56*W56*Settings!$B$6</f>
        <v>460955.73202538776</v>
      </c>
      <c r="BB56">
        <f>AH56*$N56*$J56*$M56*X56*Settings!$B$6</f>
        <v>512895.57804523449</v>
      </c>
    </row>
    <row r="57" spans="1:54" ht="15" customHeight="1">
      <c r="A57" t="s">
        <v>153</v>
      </c>
      <c r="B57" t="s">
        <v>154</v>
      </c>
      <c r="C57" s="9">
        <v>0.98399999999999999</v>
      </c>
      <c r="D57" s="9">
        <v>0.82099999999999995</v>
      </c>
      <c r="E57" s="9">
        <v>0.94</v>
      </c>
      <c r="F57" s="9">
        <v>0.52600000000000002</v>
      </c>
      <c r="G57" s="9">
        <v>0.84299999999999997</v>
      </c>
      <c r="H57" s="9">
        <v>14</v>
      </c>
      <c r="I57">
        <f t="shared" si="2"/>
        <v>0.83434959349593496</v>
      </c>
      <c r="J57">
        <f>IF(Settings!$B$10="anc4",D57*E57,IF(Settings!$B$10="anc1",C57*E57,C57*(G57*I57+F57*(1-I57))*E57))</f>
        <v>0.73117053999999981</v>
      </c>
      <c r="K57">
        <f>IF(Settings!$B$9="invest",Schedule!R57,IF(Settings!$B$9="hist",Schedule!U57,IF(Settings!$B$9="pcv",Schedule!M57,IF(Settings!$B$9="rota",Schedule!N57,Schedule!O57))))+Settings!$B$11</f>
        <v>2031</v>
      </c>
      <c r="L57">
        <f>IF(Schedule!H57=1,Settings!$B$4,Settings!$B$5)</f>
        <v>2</v>
      </c>
      <c r="M57" s="9">
        <v>1</v>
      </c>
      <c r="N57">
        <f t="shared" si="3"/>
        <v>1.0141987829614605</v>
      </c>
      <c r="O57">
        <f>IF(O$2&lt;$K57,0,IF(O$2-$K57+1&lt;$L57,IF($L57=2,Settings!$B$8,(O$2-$K57+1)/$L57),IF($J57*$M57&gt;=Settings!$B$15,1,MIN(Settings!$B$15,$J57*$M57+IF($J57*$M57&lt;Settings!$B$16,Settings!$B$17,Settings!$B$18)*(O$2-$K57-$L57+1))/($J57*$M57))))</f>
        <v>0</v>
      </c>
      <c r="P57">
        <f>IF(P$2&lt;$K57,0,IF(AND(P$2=$K57,$L57=2),Settings!$B$8,IF(P$2-$K57+1&lt;$L57,(P$2-$K57+1)/$L57,IF($J57*$M57&gt;=0.9,1,MIN(0.9,$J57*$M57+IF($J57*$M57&lt;0.7,0.03,0.01)*(P$2-$K57-$L57+1))/($J57*$M57)))))</f>
        <v>0</v>
      </c>
      <c r="Q57">
        <f>IF(Q$2&lt;$K57,0,IF(AND(Q$2=$K57,$L57=2),Settings!$B$8,IF(Q$2-$K57+1&lt;$L57,(Q$2-$K57+1)/$L57,IF($J57*$M57&gt;=0.9,1,MIN(0.9,$J57*$M57+IF($J57*$M57&lt;0.7,0.03,0.01)*(Q$2-$K57-$L57+1))/($J57*$M57)))))</f>
        <v>0</v>
      </c>
      <c r="R57">
        <f>IF(R$2&lt;$K57,0,IF(AND(R$2=$K57,$L57=2),Settings!$B$8,IF(R$2-$K57+1&lt;$L57,(R$2-$K57+1)/$L57,IF($J57*$M57&gt;=0.9,1,MIN(0.9,$J57*$M57+IF($J57*$M57&lt;0.7,0.03,0.01)*(R$2-$K57-$L57+1))/($J57*$M57)))))</f>
        <v>0.8</v>
      </c>
      <c r="S57">
        <f>IF(S$2&lt;$K57,0,IF(AND(S$2=$K57,$L57=2),Settings!$B$8,IF(S$2-$K57+1&lt;$L57,(S$2-$K57+1)/$L57,IF($J57*$M57&gt;=0.9,1,MIN(0.9,$J57*$M57+IF($J57*$M57&lt;0.7,0.03,0.01)*(S$2-$K57-$L57+1))/($J57*$M57)))))</f>
        <v>1</v>
      </c>
      <c r="T57">
        <f>IF(T$2&lt;$K57,0,IF(AND(T$2=$K57,$L57=2),Settings!$B$8,IF(T$2-$K57+1&lt;$L57,(T$2-$K57+1)/$L57,IF($J57*$M57&gt;=0.9,1,MIN(0.9,$J57*$M57+IF($J57*$M57&lt;0.7,0.03,0.01)*(T$2-$K57-$L57+1))/($J57*$M57)))))</f>
        <v>1.0136766998298372</v>
      </c>
      <c r="U57">
        <f>IF(U$2&lt;$K57,0,IF(AND(U$2=$K57,$L57=2),Settings!$B$8,IF(U$2-$K57+1&lt;$L57,(U$2-$K57+1)/$L57,IF($J57*$M57&gt;=0.9,1,MIN(0.9,$J57*$M57+IF($J57*$M57&lt;0.7,0.03,0.01)*(U$2-$K57-$L57+1))/($J57*$M57)))))</f>
        <v>1.0273533996596744</v>
      </c>
      <c r="V57">
        <f>IF(V$2&lt;$K57,0,IF(AND(V$2=$K57,$L57=2),Settings!$B$8,IF(V$2-$K57+1&lt;$L57,(V$2-$K57+1)/$L57,IF($J57*$M57&gt;=0.9,1,MIN(0.9,$J57*$M57+IF($J57*$M57&lt;0.7,0.03,0.01)*(V$2-$K57-$L57+1))/($J57*$M57)))))</f>
        <v>1.0410300994895119</v>
      </c>
      <c r="W57">
        <f>IF(W$2&lt;$K57,0,IF(AND(W$2=$K57,$L57=2),Settings!$B$8,IF(W$2-$K57+1&lt;$L57,(W$2-$K57+1)/$L57,IF($J57*$M57&gt;=0.9,1,MIN(0.9,$J57*$M57+IF($J57*$M57&lt;0.7,0.03,0.01)*(W$2-$K57-$L57+1))/($J57*$M57)))))</f>
        <v>1.0547067993193491</v>
      </c>
      <c r="X57">
        <f>IF(X$2&lt;$K57,0,IF(AND(X$2=$K57,$L57=2),Settings!$B$8,IF(X$2-$K57+1&lt;$L57,(X$2-$K57+1)/$L57,IF($J57*$M57&gt;=0.9,1,MIN(0.9,$J57*$M57+IF($J57*$M57&lt;0.7,0.03,0.01)*(X$2-$K57-$L57+1))/($J57*$M57)))))</f>
        <v>1.0683834991491863</v>
      </c>
      <c r="Y57" s="9">
        <v>740017</v>
      </c>
      <c r="Z57" s="9">
        <v>751998</v>
      </c>
      <c r="AA57" s="9">
        <v>761907</v>
      </c>
      <c r="AB57" s="9">
        <v>771641</v>
      </c>
      <c r="AC57" s="9">
        <v>779406</v>
      </c>
      <c r="AD57" s="9">
        <v>786526</v>
      </c>
      <c r="AE57" s="9">
        <v>794525</v>
      </c>
      <c r="AF57" s="9">
        <v>802364</v>
      </c>
      <c r="AG57" s="9">
        <v>809077</v>
      </c>
      <c r="AH57" s="9">
        <v>813935</v>
      </c>
      <c r="AI57">
        <f>AS57*(1+Settings!$B$7)</f>
        <v>0</v>
      </c>
      <c r="AJ57">
        <f>IF(Settings!$B$13="annual",AT57*(1+Settings!$B$7),AT57+Settings!$B$7*IF(AT57&gt;AS57,AT57-AS57,0))</f>
        <v>0</v>
      </c>
      <c r="AK57">
        <f>IF(Settings!$B$13="annual",AU57*(1+Settings!$B$7),AU57+Settings!$B$7*IF(AU57&gt;AT57,AU57-AT57,0))</f>
        <v>0</v>
      </c>
      <c r="AL57">
        <f>IF(Settings!$B$13="annual",AV57*(1+Settings!$B$7),AV57+Settings!$B$7*IF(AV57&gt;AU57,AV57-AU57,0))</f>
        <v>646599.71432194533</v>
      </c>
      <c r="AM57">
        <f>IF(Settings!$B$13="annual",AW57*(1+Settings!$B$7),AW57+Settings!$B$7*IF(AW57&gt;AV57,AW57-AV57,0))</f>
        <v>687063.09170221956</v>
      </c>
      <c r="AN57">
        <f>IF(Settings!$B$13="annual",AX57*(1+Settings!$B$7),AX57+Settings!$B$7*IF(AX57&gt;AW57,AX57-AW57,0))</f>
        <v>671831.64253237424</v>
      </c>
      <c r="AO57">
        <f>IF(Settings!$B$13="annual",AY57*(1+Settings!$B$7),AY57+Settings!$B$7*IF(AY57&gt;AX57,AY57-AX57,0))</f>
        <v>687961.69674074778</v>
      </c>
      <c r="AP57">
        <f>IF(Settings!$B$13="annual",AZ57*(1+Settings!$B$7),AZ57+Settings!$B$7*IF(AZ57&gt;AY57,AZ57-AY57,0))</f>
        <v>703916.48768075765</v>
      </c>
      <c r="AQ57">
        <f>IF(Settings!$B$13="annual",BA57*(1+Settings!$B$7),BA57+Settings!$B$7*IF(BA57&gt;AZ57,BA57-AZ57,0))</f>
        <v>718840.98941569799</v>
      </c>
      <c r="AR57">
        <f>IF(Settings!$B$13="annual",BB57*(1+Settings!$B$7),BB57+Settings!$B$7*IF(BB57&gt;BA57,BB57-BA57,0))</f>
        <v>732085.81986123207</v>
      </c>
      <c r="AS57">
        <f>Y57*$N57*$J57*$M57*O57*Settings!$B$6</f>
        <v>0</v>
      </c>
      <c r="AT57">
        <f>Z57*$N57*$J57*$M57*P57*Settings!$B$6</f>
        <v>0</v>
      </c>
      <c r="AU57">
        <f>AA57*$N57*$J57*$M57*Q57*Settings!$B$6</f>
        <v>0</v>
      </c>
      <c r="AV57">
        <f>AB57*$N57*$J57*$M57*R57*Settings!$B$6</f>
        <v>517279.77145755629</v>
      </c>
      <c r="AW57">
        <f>AC57*$N57*$J57*$M57*S57*Settings!$B$6</f>
        <v>653106.42765328696</v>
      </c>
      <c r="AX57">
        <f>AD57*$N57*$J57*$M57*T57*Settings!$B$6</f>
        <v>668086.59955655679</v>
      </c>
      <c r="AY57">
        <f>AE57*$N57*$J57*$M57*U57*Settings!$B$6</f>
        <v>683986.67730390956</v>
      </c>
      <c r="AZ57">
        <f>AF57*$N57*$J57*$M57*V57*Settings!$B$6</f>
        <v>699930.52560538799</v>
      </c>
      <c r="BA57">
        <f>AG57*$N57*$J57*$M57*W57*Settings!$B$6</f>
        <v>715058.89665363601</v>
      </c>
      <c r="BB57">
        <f>AH57*$N57*$J57*$M57*X57*Settings!$B$6</f>
        <v>728680.4352197129</v>
      </c>
    </row>
    <row r="58" spans="1:54" ht="15" customHeight="1">
      <c r="A58" t="s">
        <v>155</v>
      </c>
      <c r="B58" t="s">
        <v>156</v>
      </c>
      <c r="C58" s="9">
        <v>0.91700000000000004</v>
      </c>
      <c r="D58" s="9">
        <v>0.71</v>
      </c>
      <c r="E58" s="9">
        <v>0.93</v>
      </c>
      <c r="F58" s="9">
        <v>0.52600000000000002</v>
      </c>
      <c r="G58" s="9">
        <v>0.84299999999999997</v>
      </c>
      <c r="H58" s="9">
        <v>19.399999999999999</v>
      </c>
      <c r="I58">
        <f t="shared" si="2"/>
        <v>0.77426390403489631</v>
      </c>
      <c r="J58">
        <f>IF(Settings!$B$10="anc4",D58*E58,IF(Settings!$B$10="anc1",C58*E58,C58*(G58*I58+F58*(1-I58))*E58))</f>
        <v>0.65789316000000009</v>
      </c>
      <c r="K58">
        <f>IF(Settings!$B$9="invest",Schedule!R58,IF(Settings!$B$9="hist",Schedule!U58,IF(Settings!$B$9="pcv",Schedule!M58,IF(Settings!$B$9="rota",Schedule!N58,Schedule!O58))))+Settings!$B$11</f>
        <v>2031</v>
      </c>
      <c r="L58">
        <f>IF(Schedule!H58=1,Settings!$B$4,Settings!$B$5)</f>
        <v>2</v>
      </c>
      <c r="M58" s="9">
        <v>1</v>
      </c>
      <c r="N58">
        <f t="shared" si="3"/>
        <v>1.0197838058331634</v>
      </c>
      <c r="O58">
        <f>IF(O$2&lt;$K58,0,IF(O$2-$K58+1&lt;$L58,IF($L58=2,Settings!$B$8,(O$2-$K58+1)/$L58),IF($J58*$M58&gt;=Settings!$B$15,1,MIN(Settings!$B$15,$J58*$M58+IF($J58*$M58&lt;Settings!$B$16,Settings!$B$17,Settings!$B$18)*(O$2-$K58-$L58+1))/($J58*$M58))))</f>
        <v>0</v>
      </c>
      <c r="P58">
        <f>IF(P$2&lt;$K58,0,IF(AND(P$2=$K58,$L58=2),Settings!$B$8,IF(P$2-$K58+1&lt;$L58,(P$2-$K58+1)/$L58,IF($J58*$M58&gt;=0.9,1,MIN(0.9,$J58*$M58+IF($J58*$M58&lt;0.7,0.03,0.01)*(P$2-$K58-$L58+1))/($J58*$M58)))))</f>
        <v>0</v>
      </c>
      <c r="Q58">
        <f>IF(Q$2&lt;$K58,0,IF(AND(Q$2=$K58,$L58=2),Settings!$B$8,IF(Q$2-$K58+1&lt;$L58,(Q$2-$K58+1)/$L58,IF($J58*$M58&gt;=0.9,1,MIN(0.9,$J58*$M58+IF($J58*$M58&lt;0.7,0.03,0.01)*(Q$2-$K58-$L58+1))/($J58*$M58)))))</f>
        <v>0</v>
      </c>
      <c r="R58">
        <f>IF(R$2&lt;$K58,0,IF(AND(R$2=$K58,$L58=2),Settings!$B$8,IF(R$2-$K58+1&lt;$L58,(R$2-$K58+1)/$L58,IF($J58*$M58&gt;=0.9,1,MIN(0.9,$J58*$M58+IF($J58*$M58&lt;0.7,0.03,0.01)*(R$2-$K58-$L58+1))/($J58*$M58)))))</f>
        <v>0.8</v>
      </c>
      <c r="S58">
        <f>IF(S$2&lt;$K58,0,IF(AND(S$2=$K58,$L58=2),Settings!$B$8,IF(S$2-$K58+1&lt;$L58,(S$2-$K58+1)/$L58,IF($J58*$M58&gt;=0.9,1,MIN(0.9,$J58*$M58+IF($J58*$M58&lt;0.7,0.03,0.01)*(S$2-$K58-$L58+1))/($J58*$M58)))))</f>
        <v>1</v>
      </c>
      <c r="T58">
        <f>IF(T$2&lt;$K58,0,IF(AND(T$2=$K58,$L58=2),Settings!$B$8,IF(T$2-$K58+1&lt;$L58,(T$2-$K58+1)/$L58,IF($J58*$M58&gt;=0.9,1,MIN(0.9,$J58*$M58+IF($J58*$M58&lt;0.7,0.03,0.01)*(T$2-$K58-$L58+1))/($J58*$M58)))))</f>
        <v>1.0456001092943419</v>
      </c>
      <c r="U58">
        <f>IF(U$2&lt;$K58,0,IF(AND(U$2=$K58,$L58=2),Settings!$B$8,IF(U$2-$K58+1&lt;$L58,(U$2-$K58+1)/$L58,IF($J58*$M58&gt;=0.9,1,MIN(0.9,$J58*$M58+IF($J58*$M58&lt;0.7,0.03,0.01)*(U$2-$K58-$L58+1))/($J58*$M58)))))</f>
        <v>1.0912002185886838</v>
      </c>
      <c r="V58">
        <f>IF(V$2&lt;$K58,0,IF(AND(V$2=$K58,$L58=2),Settings!$B$8,IF(V$2-$K58+1&lt;$L58,(V$2-$K58+1)/$L58,IF($J58*$M58&gt;=0.9,1,MIN(0.9,$J58*$M58+IF($J58*$M58&lt;0.7,0.03,0.01)*(V$2-$K58-$L58+1))/($J58*$M58)))))</f>
        <v>1.1368003278830259</v>
      </c>
      <c r="W58">
        <f>IF(W$2&lt;$K58,0,IF(AND(W$2=$K58,$L58=2),Settings!$B$8,IF(W$2-$K58+1&lt;$L58,(W$2-$K58+1)/$L58,IF($J58*$M58&gt;=0.9,1,MIN(0.9,$J58*$M58+IF($J58*$M58&lt;0.7,0.03,0.01)*(W$2-$K58-$L58+1))/($J58*$M58)))))</f>
        <v>1.1824004371773678</v>
      </c>
      <c r="X58">
        <f>IF(X$2&lt;$K58,0,IF(AND(X$2=$K58,$L58=2),Settings!$B$8,IF(X$2-$K58+1&lt;$L58,(X$2-$K58+1)/$L58,IF($J58*$M58&gt;=0.9,1,MIN(0.9,$J58*$M58+IF($J58*$M58&lt;0.7,0.03,0.01)*(X$2-$K58-$L58+1))/($J58*$M58)))))</f>
        <v>1.2280005464717099</v>
      </c>
      <c r="Y58" s="9">
        <v>518464</v>
      </c>
      <c r="Z58" s="9">
        <v>525704</v>
      </c>
      <c r="AA58" s="9">
        <v>533092</v>
      </c>
      <c r="AB58" s="9">
        <v>540144</v>
      </c>
      <c r="AC58" s="9">
        <v>546703</v>
      </c>
      <c r="AD58" s="9">
        <v>551932</v>
      </c>
      <c r="AE58" s="9">
        <v>557020</v>
      </c>
      <c r="AF58" s="9">
        <v>561189</v>
      </c>
      <c r="AG58" s="9">
        <v>564962</v>
      </c>
      <c r="AH58" s="9">
        <v>567821</v>
      </c>
      <c r="AI58">
        <f>AS58*(1+Settings!$B$7)</f>
        <v>0</v>
      </c>
      <c r="AJ58">
        <f>IF(Settings!$B$13="annual",AT58*(1+Settings!$B$7),AT58+Settings!$B$7*IF(AT58&gt;AS58,AT58-AS58,0))</f>
        <v>0</v>
      </c>
      <c r="AK58">
        <f>IF(Settings!$B$13="annual",AU58*(1+Settings!$B$7),AU58+Settings!$B$7*IF(AU58&gt;AT58,AU58-AT58,0))</f>
        <v>0</v>
      </c>
      <c r="AL58">
        <f>IF(Settings!$B$13="annual",AV58*(1+Settings!$B$7),AV58+Settings!$B$7*IF(AV58&gt;AU58,AV58-AU58,0))</f>
        <v>409497.7142637113</v>
      </c>
      <c r="AM58">
        <f>IF(Settings!$B$13="annual",AW58*(1+Settings!$B$7),AW58+Settings!$B$7*IF(AW58&gt;AV58,AW58-AV58,0))</f>
        <v>436188.29317134048</v>
      </c>
      <c r="AN58">
        <f>IF(Settings!$B$13="annual",AX58*(1+Settings!$B$7),AX58+Settings!$B$7*IF(AX58&gt;AW58,AX58-AW58,0))</f>
        <v>443276.40048229543</v>
      </c>
      <c r="AO58">
        <f>IF(Settings!$B$13="annual",AY58*(1+Settings!$B$7),AY58+Settings!$B$7*IF(AY58&gt;AX58,AY58-AX58,0))</f>
        <v>466627.42487606936</v>
      </c>
      <c r="AP58">
        <f>IF(Settings!$B$13="annual",AZ58*(1+Settings!$B$7),AZ58+Settings!$B$7*IF(AZ58&gt;AY58,AZ58-AY58,0))</f>
        <v>489366.92690288858</v>
      </c>
      <c r="AQ58">
        <f>IF(Settings!$B$13="annual",BA58*(1+Settings!$B$7),BA58+Settings!$B$7*IF(BA58&gt;AZ58,BA58-AZ58,0))</f>
        <v>512133.07869864535</v>
      </c>
      <c r="AR58">
        <f>IF(Settings!$B$13="annual",BB58*(1+Settings!$B$7),BB58+Settings!$B$7*IF(BB58&gt;BA58,BB58-BA58,0))</f>
        <v>534178.35535767011</v>
      </c>
      <c r="AS58">
        <f>Y58*$N58*$J58*$M58*O58*Settings!$B$6</f>
        <v>0</v>
      </c>
      <c r="AT58">
        <f>Z58*$N58*$J58*$M58*P58*Settings!$B$6</f>
        <v>0</v>
      </c>
      <c r="AU58">
        <f>AA58*$N58*$J58*$M58*Q58*Settings!$B$6</f>
        <v>0</v>
      </c>
      <c r="AV58">
        <f>AB58*$N58*$J58*$M58*R58*Settings!$B$6</f>
        <v>327598.17141096905</v>
      </c>
      <c r="AW58">
        <f>AC58*$N58*$J58*$M58*S58*Settings!$B$6</f>
        <v>414470.26881926617</v>
      </c>
      <c r="AX58">
        <f>AD58*$N58*$J58*$M58*T58*Settings!$B$6</f>
        <v>437515.17414968956</v>
      </c>
      <c r="AY58">
        <f>AE58*$N58*$J58*$M58*U58*Settings!$B$6</f>
        <v>460804.97473079339</v>
      </c>
      <c r="AZ58">
        <f>AF58*$N58*$J58*$M58*V58*Settings!$B$6</f>
        <v>483654.53646846954</v>
      </c>
      <c r="BA58">
        <f>AG58*$N58*$J58*$M58*W58*Settings!$B$6</f>
        <v>506437.37025261018</v>
      </c>
      <c r="BB58">
        <f>AH58*$N58*$J58*$M58*X58*Settings!$B$6</f>
        <v>528630.15833665815</v>
      </c>
    </row>
    <row r="59" spans="1:54" ht="15" customHeight="1">
      <c r="A59" s="1" t="s">
        <v>157</v>
      </c>
      <c r="AI59">
        <f t="shared" ref="AI59:AR59" si="4">SUM(AI3:AI58)</f>
        <v>1206816.5656103436</v>
      </c>
      <c r="AJ59">
        <f t="shared" si="4"/>
        <v>4009360.4129182613</v>
      </c>
      <c r="AK59">
        <f t="shared" si="4"/>
        <v>9700474.7216178905</v>
      </c>
      <c r="AL59">
        <f t="shared" si="4"/>
        <v>14477674.796997929</v>
      </c>
      <c r="AM59">
        <f t="shared" si="4"/>
        <v>16175211.081814846</v>
      </c>
      <c r="AN59">
        <f t="shared" si="4"/>
        <v>18333149.135499135</v>
      </c>
      <c r="AO59">
        <f t="shared" si="4"/>
        <v>24764882.587325227</v>
      </c>
      <c r="AP59">
        <f t="shared" si="4"/>
        <v>28811382.049810674</v>
      </c>
      <c r="AQ59">
        <f t="shared" si="4"/>
        <v>32880896.042541862</v>
      </c>
      <c r="AR59">
        <f t="shared" si="4"/>
        <v>36194536.259546377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E7999-9C9A-45D4-801E-8E8A0453DE8E}">
  <dimension ref="A1:U128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XFD1"/>
    </sheetView>
  </sheetViews>
  <sheetFormatPr defaultRowHeight="15"/>
  <cols>
    <col min="3" max="3" width="10.28515625" bestFit="1" customWidth="1"/>
    <col min="4" max="4" width="13.7109375" customWidth="1"/>
    <col min="5" max="8" width="10.28515625" bestFit="1" customWidth="1"/>
  </cols>
  <sheetData>
    <row r="1" spans="1:21" s="4" customFormat="1">
      <c r="A1" s="4" t="s">
        <v>1</v>
      </c>
      <c r="B1" s="4" t="s">
        <v>2</v>
      </c>
      <c r="C1" s="4" t="s">
        <v>166</v>
      </c>
      <c r="D1" s="4" t="s">
        <v>167</v>
      </c>
      <c r="E1" s="4" t="s">
        <v>168</v>
      </c>
      <c r="F1" s="4" t="s">
        <v>169</v>
      </c>
      <c r="G1" s="4" t="s">
        <v>170</v>
      </c>
      <c r="H1" s="4" t="s">
        <v>275</v>
      </c>
      <c r="I1" s="4" t="s">
        <v>213</v>
      </c>
      <c r="J1" s="4" t="s">
        <v>214</v>
      </c>
      <c r="K1" s="4" t="s">
        <v>215</v>
      </c>
      <c r="L1" s="4" t="s">
        <v>276</v>
      </c>
      <c r="M1" s="4" t="s">
        <v>158</v>
      </c>
      <c r="N1" s="4" t="s">
        <v>159</v>
      </c>
      <c r="O1" s="4" t="s">
        <v>160</v>
      </c>
      <c r="P1" s="4" t="s">
        <v>171</v>
      </c>
      <c r="Q1" s="4" t="s">
        <v>172</v>
      </c>
      <c r="R1" s="4" t="s">
        <v>216</v>
      </c>
      <c r="S1" s="4" t="s">
        <v>173</v>
      </c>
      <c r="T1" s="4" t="s">
        <v>174</v>
      </c>
      <c r="U1" s="4" t="s">
        <v>217</v>
      </c>
    </row>
    <row r="3" spans="1:21">
      <c r="A3" t="str">
        <f>Demand!A3</f>
        <v>AFG</v>
      </c>
      <c r="B3" t="str">
        <f>Demand!B3</f>
        <v>Afghanistan</v>
      </c>
      <c r="C3" s="7">
        <f>IF(INDEX(Introductions!D$11:D$66,MATCH($B3,Introductions!$A$11:$A$66,0))="","",INDEX(Introductions!D$11:D$66,MATCH($B3,Introductions!$A$11:$A$66,0)))</f>
        <v>41615</v>
      </c>
      <c r="D3" s="7">
        <f>IF(INDEX(Introductions!E$11:E$66,MATCH($B3,Introductions!$A$11:$A$66,0))="","",INDEX(Introductions!E$11:E$66,MATCH($B3,Introductions!$A$11:$A$66,0)))</f>
        <v>43101</v>
      </c>
      <c r="E3" s="7" t="str">
        <f>IF(INDEX(Introductions!F$11:F$66,MATCH($B3,Introductions!$A$11:$A$66,0))="","",INDEX(Introductions!F$11:F$66,MATCH($B3,Introductions!$A$11:$A$66,0)))</f>
        <v/>
      </c>
      <c r="F3">
        <v>0</v>
      </c>
      <c r="H3">
        <v>0</v>
      </c>
      <c r="I3">
        <f>IF(C3="",(Settings!$B$14-C$60)/365.25,(C3-C$60)/365.25)</f>
        <v>4.4024640657084193</v>
      </c>
      <c r="J3">
        <f>IF(D3="",(Settings!$B$14-D$60)/365.25,(D3-D$60)/365.25)</f>
        <v>6.4585900068446271</v>
      </c>
      <c r="K3">
        <f>IF(E3="",(Settings!$B$14-E$60)/365.25,(E3-E$60)/365.25)</f>
        <v>15.496235455167694</v>
      </c>
      <c r="L3">
        <f>AVERAGE(I3:K3)</f>
        <v>8.7857631759069132</v>
      </c>
      <c r="M3">
        <f>Settings!$B$19+ROUND(I3,0)</f>
        <v>2032</v>
      </c>
      <c r="N3">
        <f>Settings!$B$19+ROUND(J3,0)</f>
        <v>2034</v>
      </c>
      <c r="O3">
        <f>Settings!$B$19+ROUND(K3,0)</f>
        <v>2043</v>
      </c>
      <c r="P3">
        <f>IF(G3&lt;&gt;"","",IF(F3=1,0,1000)+L3)</f>
        <v>1008.7857631759069</v>
      </c>
      <c r="Q3">
        <f>IF(G3&lt;&gt;"","",RANK(P3,$P$3:$P$58,1))</f>
        <v>37</v>
      </c>
      <c r="R3">
        <f>IF(G3&lt;&gt;"",G3,INDEX($A$64:$A$77,MATCH(Q3,$E$64:$E$77,1)))</f>
        <v>2041</v>
      </c>
      <c r="S3">
        <f>IF(G3&lt;&gt;"","",L3)</f>
        <v>8.7857631759069132</v>
      </c>
      <c r="T3">
        <f>IF(G3&lt;&gt;"","",RANK(S3,$S$3:$S$58,1))</f>
        <v>35</v>
      </c>
      <c r="U3">
        <f>IF(G3&lt;&gt;"",G3,INDEX($A$64:$A$77,MATCH(T3,$E$64:$E$77,1)))</f>
        <v>2041</v>
      </c>
    </row>
    <row r="4" spans="1:21">
      <c r="A4" t="str">
        <f>Demand!A4</f>
        <v>AGO</v>
      </c>
      <c r="B4" t="str">
        <f>Demand!B4</f>
        <v>Angola</v>
      </c>
      <c r="C4" s="7">
        <f>IF(INDEX(Introductions!D$11:D$66,MATCH($B4,Introductions!$A$11:$A$66,0))="","",INDEX(Introductions!D$11:D$66,MATCH($B4,Introductions!$A$11:$A$66,0)))</f>
        <v>41428</v>
      </c>
      <c r="D4" s="7">
        <f>IF(INDEX(Introductions!E$11:E$66,MATCH($B4,Introductions!$A$11:$A$66,0))="","",INDEX(Introductions!E$11:E$66,MATCH($B4,Introductions!$A$11:$A$66,0)))</f>
        <v>41757</v>
      </c>
      <c r="E4" s="7">
        <f>IF(INDEX(Introductions!F$11:F$66,MATCH($B4,Introductions!$A$11:$A$66,0))="","",INDEX(Introductions!F$11:F$66,MATCH($B4,Introductions!$A$11:$A$66,0)))</f>
        <v>46023</v>
      </c>
      <c r="F4">
        <v>0</v>
      </c>
      <c r="H4">
        <v>0</v>
      </c>
      <c r="I4">
        <f>IF(C4="",(Settings!$B$14-C$60)/365.25,(C4-C$60)/365.25)</f>
        <v>3.890485968514716</v>
      </c>
      <c r="J4">
        <f>IF(D4="",(Settings!$B$14-D$60)/365.25,(D4-D$60)/365.25)</f>
        <v>2.7789185489390826</v>
      </c>
      <c r="K4">
        <f>IF(E4="",(Settings!$B$14-E$60)/365.25,(E4-E$60)/365.25)</f>
        <v>14.754277891854894</v>
      </c>
      <c r="L4">
        <f t="shared" ref="L4:L58" si="0">AVERAGE(I4:K4)</f>
        <v>7.1412274697695644</v>
      </c>
      <c r="M4">
        <f>Settings!$B$19+ROUND(I4,0)</f>
        <v>2032</v>
      </c>
      <c r="N4">
        <f>Settings!$B$19+ROUND(J4,0)</f>
        <v>2031</v>
      </c>
      <c r="O4">
        <f>Settings!$B$19+ROUND(K4,0)</f>
        <v>2043</v>
      </c>
      <c r="P4">
        <f t="shared" ref="P4:P58" si="1">IF(G4&lt;&gt;"","",IF(F4=1,0,1000)+L4)</f>
        <v>1007.1412274697695</v>
      </c>
      <c r="Q4">
        <f t="shared" ref="Q4:Q58" si="2">IF(G4&lt;&gt;"","",RANK(P4,$P$3:$P$58,1))</f>
        <v>29</v>
      </c>
      <c r="R4">
        <f t="shared" ref="R4:R58" si="3">IF(G4&lt;&gt;"",G4,INDEX($A$64:$A$77,MATCH(Q4,$E$64:$E$77,1)))</f>
        <v>2036</v>
      </c>
      <c r="S4">
        <f t="shared" ref="S4:S58" si="4">IF(G4&lt;&gt;"","",L4)</f>
        <v>7.1412274697695644</v>
      </c>
      <c r="T4">
        <f t="shared" ref="T4:T58" si="5">IF(G4&lt;&gt;"","",RANK(S4,$S$3:$S$58,1))</f>
        <v>27</v>
      </c>
      <c r="U4">
        <f t="shared" ref="U4:U58" si="6">IF(G4&lt;&gt;"",G4,INDEX($A$64:$A$77,MATCH(T4,$E$64:$E$77,1)))</f>
        <v>2035</v>
      </c>
    </row>
    <row r="5" spans="1:21">
      <c r="A5" t="str">
        <f>Demand!A5</f>
        <v>BDI</v>
      </c>
      <c r="B5" t="str">
        <f>Demand!B5</f>
        <v>Burundi</v>
      </c>
      <c r="C5" s="7">
        <f>IF(INDEX(Introductions!D$11:D$66,MATCH($B5,Introductions!$A$11:$A$66,0))="","",INDEX(Introductions!D$11:D$66,MATCH($B5,Introductions!$A$11:$A$66,0)))</f>
        <v>40806</v>
      </c>
      <c r="D5" s="7">
        <f>IF(INDEX(Introductions!E$11:E$66,MATCH($B5,Introductions!$A$11:$A$66,0))="","",INDEX(Introductions!E$11:E$66,MATCH($B5,Introductions!$A$11:$A$66,0)))</f>
        <v>41624</v>
      </c>
      <c r="E5" s="7">
        <f>IF(INDEX(Introductions!F$11:F$66,MATCH($B5,Introductions!$A$11:$A$66,0))="","",INDEX(Introductions!F$11:F$66,MATCH($B5,Introductions!$A$11:$A$66,0)))</f>
        <v>46141</v>
      </c>
      <c r="F5">
        <v>0</v>
      </c>
      <c r="H5">
        <v>0</v>
      </c>
      <c r="I5">
        <f>IF(C5="",(Settings!$B$14-C$60)/365.25,(C5-C$60)/365.25)</f>
        <v>2.1875427789185489</v>
      </c>
      <c r="J5">
        <f>IF(D5="",(Settings!$B$14-D$60)/365.25,(D5-D$60)/365.25)</f>
        <v>2.4147843942505132</v>
      </c>
      <c r="K5">
        <f>IF(E5="",(Settings!$B$14-E$60)/365.25,(E5-E$60)/365.25)</f>
        <v>15.077344284736482</v>
      </c>
      <c r="L5">
        <f t="shared" si="0"/>
        <v>6.5598904859685137</v>
      </c>
      <c r="M5">
        <f>Settings!$B$19+ROUND(I5,0)</f>
        <v>2030</v>
      </c>
      <c r="N5">
        <f>Settings!$B$19+ROUND(J5,0)</f>
        <v>2030</v>
      </c>
      <c r="O5">
        <f>Settings!$B$19+ROUND(K5,0)</f>
        <v>2043</v>
      </c>
      <c r="P5">
        <f t="shared" si="1"/>
        <v>1006.5598904859685</v>
      </c>
      <c r="Q5">
        <f t="shared" si="2"/>
        <v>24</v>
      </c>
      <c r="R5">
        <f t="shared" si="3"/>
        <v>2035</v>
      </c>
      <c r="S5">
        <f t="shared" si="4"/>
        <v>6.5598904859685137</v>
      </c>
      <c r="T5">
        <f t="shared" si="5"/>
        <v>22</v>
      </c>
      <c r="U5">
        <f t="shared" si="6"/>
        <v>2034</v>
      </c>
    </row>
    <row r="6" spans="1:21">
      <c r="A6" t="str">
        <f>Demand!A6</f>
        <v>BEN</v>
      </c>
      <c r="B6" t="str">
        <f>Demand!B6</f>
        <v>Benin</v>
      </c>
      <c r="C6" s="7">
        <f>IF(INDEX(Introductions!D$11:D$66,MATCH($B6,Introductions!$A$11:$A$66,0))="","",INDEX(Introductions!D$11:D$66,MATCH($B6,Introductions!$A$11:$A$66,0)))</f>
        <v>40750</v>
      </c>
      <c r="D6" s="7">
        <f>IF(INDEX(Introductions!E$11:E$66,MATCH($B6,Introductions!$A$11:$A$66,0))="","",INDEX(Introductions!E$11:E$66,MATCH($B6,Introductions!$A$11:$A$66,0)))</f>
        <v>43800</v>
      </c>
      <c r="E6" s="7">
        <f>IF(INDEX(Introductions!F$11:F$66,MATCH($B6,Introductions!$A$11:$A$66,0))="","",INDEX(Introductions!F$11:F$66,MATCH($B6,Introductions!$A$11:$A$66,0)))</f>
        <v>45992</v>
      </c>
      <c r="F6">
        <v>0</v>
      </c>
      <c r="H6">
        <v>0</v>
      </c>
      <c r="I6">
        <f>IF(C6="",(Settings!$B$14-C$60)/365.25,(C6-C$60)/365.25)</f>
        <v>2.0342231348391513</v>
      </c>
      <c r="J6">
        <f>IF(D6="",(Settings!$B$14-D$60)/365.25,(D6-D$60)/365.25)</f>
        <v>8.3723477070499666</v>
      </c>
      <c r="K6">
        <f>IF(E6="",(Settings!$B$14-E$60)/365.25,(E6-E$60)/365.25)</f>
        <v>14.669404517453799</v>
      </c>
      <c r="L6">
        <f t="shared" si="0"/>
        <v>8.3586584531143053</v>
      </c>
      <c r="M6">
        <f>Settings!$B$19+ROUND(I6,0)</f>
        <v>2030</v>
      </c>
      <c r="N6">
        <f>Settings!$B$19+ROUND(J6,0)</f>
        <v>2036</v>
      </c>
      <c r="O6">
        <f>Settings!$B$19+ROUND(K6,0)</f>
        <v>2043</v>
      </c>
      <c r="P6">
        <f t="shared" si="1"/>
        <v>1008.3586584531143</v>
      </c>
      <c r="Q6">
        <f t="shared" si="2"/>
        <v>35</v>
      </c>
      <c r="R6">
        <f t="shared" si="3"/>
        <v>2041</v>
      </c>
      <c r="S6">
        <f t="shared" si="4"/>
        <v>8.3586584531143053</v>
      </c>
      <c r="T6">
        <f t="shared" si="5"/>
        <v>33</v>
      </c>
      <c r="U6">
        <f t="shared" si="6"/>
        <v>2037</v>
      </c>
    </row>
    <row r="7" spans="1:21">
      <c r="A7" t="str">
        <f>Demand!A7</f>
        <v>BFA</v>
      </c>
      <c r="B7" t="str">
        <f>Demand!B7</f>
        <v>Burkina Faso</v>
      </c>
      <c r="C7" s="7">
        <f>IF(INDEX(Introductions!D$11:D$66,MATCH($B7,Introductions!$A$11:$A$66,0))="","",INDEX(Introductions!D$11:D$66,MATCH($B7,Introductions!$A$11:$A$66,0)))</f>
        <v>41578</v>
      </c>
      <c r="D7" s="7">
        <f>IF(INDEX(Introductions!E$11:E$66,MATCH($B7,Introductions!$A$11:$A$66,0))="","",INDEX(Introductions!E$11:E$66,MATCH($B7,Introductions!$A$11:$A$66,0)))</f>
        <v>41578</v>
      </c>
      <c r="E7" s="7">
        <f>IF(INDEX(Introductions!F$11:F$66,MATCH($B7,Introductions!$A$11:$A$66,0))="","",INDEX(Introductions!F$11:F$66,MATCH($B7,Introductions!$A$11:$A$66,0)))</f>
        <v>44652</v>
      </c>
      <c r="F7">
        <v>1</v>
      </c>
      <c r="H7">
        <v>0</v>
      </c>
      <c r="I7">
        <f>IF(C7="",(Settings!$B$14-C$60)/365.25,(C7-C$60)/365.25)</f>
        <v>4.301163586584531</v>
      </c>
      <c r="J7">
        <f>IF(D7="",(Settings!$B$14-D$60)/365.25,(D7-D$60)/365.25)</f>
        <v>2.2888432580424367</v>
      </c>
      <c r="K7">
        <f>IF(E7="",(Settings!$B$14-E$60)/365.25,(E7-E$60)/365.25)</f>
        <v>11.000684462696784</v>
      </c>
      <c r="L7">
        <f t="shared" si="0"/>
        <v>5.863563769107917</v>
      </c>
      <c r="M7">
        <f>Settings!$B$19+ROUND(I7,0)</f>
        <v>2032</v>
      </c>
      <c r="N7">
        <f>Settings!$B$19+ROUND(J7,0)</f>
        <v>2030</v>
      </c>
      <c r="O7">
        <f>Settings!$B$19+ROUND(K7,0)</f>
        <v>2039</v>
      </c>
      <c r="P7">
        <f t="shared" si="1"/>
        <v>5.863563769107917</v>
      </c>
      <c r="Q7">
        <f t="shared" si="2"/>
        <v>3</v>
      </c>
      <c r="R7">
        <f t="shared" si="3"/>
        <v>2029</v>
      </c>
      <c r="S7">
        <f t="shared" si="4"/>
        <v>5.863563769107917</v>
      </c>
      <c r="T7">
        <f t="shared" si="5"/>
        <v>12</v>
      </c>
      <c r="U7">
        <f t="shared" si="6"/>
        <v>2031</v>
      </c>
    </row>
    <row r="8" spans="1:21">
      <c r="A8" t="str">
        <f>Demand!A8</f>
        <v>BGD</v>
      </c>
      <c r="B8" t="str">
        <f>Demand!B8</f>
        <v>Bangladesh</v>
      </c>
      <c r="C8" s="7">
        <f>IF(INDEX(Introductions!D$11:D$66,MATCH($B8,Introductions!$A$11:$A$66,0))="","",INDEX(Introductions!D$11:D$66,MATCH($B8,Introductions!$A$11:$A$66,0)))</f>
        <v>42084</v>
      </c>
      <c r="D8" s="7" t="str">
        <f>IF(INDEX(Introductions!E$11:E$66,MATCH($B8,Introductions!$A$11:$A$66,0))="","",INDEX(Introductions!E$11:E$66,MATCH($B8,Introductions!$A$11:$A$66,0)))</f>
        <v/>
      </c>
      <c r="E8" s="7">
        <f>IF(INDEX(Introductions!F$11:F$66,MATCH($B8,Introductions!$A$11:$A$66,0))="","",INDEX(Introductions!F$11:F$66,MATCH($B8,Introductions!$A$11:$A$66,0)))</f>
        <v>45589</v>
      </c>
      <c r="F8">
        <v>1</v>
      </c>
      <c r="H8">
        <v>0</v>
      </c>
      <c r="I8">
        <f>IF(C8="",(Settings!$B$14-C$60)/365.25,(C8-C$60)/365.25)</f>
        <v>5.6865160848733742</v>
      </c>
      <c r="J8">
        <f>IF(D8="",(Settings!$B$14-D$60)/365.25,(D8-D$60)/365.25)</f>
        <v>15.200547570157427</v>
      </c>
      <c r="K8">
        <f>IF(E8="",(Settings!$B$14-E$60)/365.25,(E8-E$60)/365.25)</f>
        <v>13.566050650239562</v>
      </c>
      <c r="L8">
        <f t="shared" si="0"/>
        <v>11.48437143509012</v>
      </c>
      <c r="M8">
        <f>Settings!$B$19+ROUND(I8,0)</f>
        <v>2034</v>
      </c>
      <c r="N8">
        <f>Settings!$B$19+ROUND(J8,0)</f>
        <v>2043</v>
      </c>
      <c r="O8">
        <f>Settings!$B$19+ROUND(K8,0)</f>
        <v>2042</v>
      </c>
      <c r="P8">
        <f t="shared" si="1"/>
        <v>11.48437143509012</v>
      </c>
      <c r="Q8">
        <f t="shared" si="2"/>
        <v>6</v>
      </c>
      <c r="R8">
        <f t="shared" si="3"/>
        <v>2030</v>
      </c>
      <c r="S8">
        <f t="shared" si="4"/>
        <v>11.48437143509012</v>
      </c>
      <c r="T8">
        <f t="shared" si="5"/>
        <v>44</v>
      </c>
      <c r="U8">
        <f t="shared" si="6"/>
        <v>2041</v>
      </c>
    </row>
    <row r="9" spans="1:21">
      <c r="A9" t="str">
        <f>Demand!A9</f>
        <v>CAF</v>
      </c>
      <c r="B9" t="str">
        <f>Demand!B9</f>
        <v>Central African Republic</v>
      </c>
      <c r="C9" s="7">
        <f>IF(INDEX(Introductions!D$11:D$66,MATCH($B9,Introductions!$A$11:$A$66,0))="","",INDEX(Introductions!D$11:D$66,MATCH($B9,Introductions!$A$11:$A$66,0)))</f>
        <v>40724</v>
      </c>
      <c r="D9" s="7" t="str">
        <f>IF(INDEX(Introductions!E$11:E$66,MATCH($B9,Introductions!$A$11:$A$66,0))="","",INDEX(Introductions!E$11:E$66,MATCH($B9,Introductions!$A$11:$A$66,0)))</f>
        <v/>
      </c>
      <c r="E9" s="7" t="str">
        <f>IF(INDEX(Introductions!F$11:F$66,MATCH($B9,Introductions!$A$11:$A$66,0))="","",INDEX(Introductions!F$11:F$66,MATCH($B9,Introductions!$A$11:$A$66,0)))</f>
        <v/>
      </c>
      <c r="F9">
        <v>0</v>
      </c>
      <c r="H9">
        <v>0</v>
      </c>
      <c r="I9">
        <f>IF(C9="",(Settings!$B$14-C$60)/365.25,(C9-C$60)/365.25)</f>
        <v>1.9630390143737166</v>
      </c>
      <c r="J9">
        <f>IF(D9="",(Settings!$B$14-D$60)/365.25,(D9-D$60)/365.25)</f>
        <v>15.200547570157427</v>
      </c>
      <c r="K9">
        <f>IF(E9="",(Settings!$B$14-E$60)/365.25,(E9-E$60)/365.25)</f>
        <v>15.496235455167694</v>
      </c>
      <c r="L9">
        <f t="shared" si="0"/>
        <v>10.886607346566279</v>
      </c>
      <c r="M9">
        <f>Settings!$B$19+ROUND(I9,0)</f>
        <v>2030</v>
      </c>
      <c r="N9">
        <f>Settings!$B$19+ROUND(J9,0)</f>
        <v>2043</v>
      </c>
      <c r="O9">
        <f>Settings!$B$19+ROUND(K9,0)</f>
        <v>2043</v>
      </c>
      <c r="P9">
        <f t="shared" si="1"/>
        <v>1010.8866073465663</v>
      </c>
      <c r="Q9">
        <f t="shared" si="2"/>
        <v>44</v>
      </c>
      <c r="R9">
        <f t="shared" si="3"/>
        <v>2041</v>
      </c>
      <c r="S9">
        <f t="shared" si="4"/>
        <v>10.886607346566279</v>
      </c>
      <c r="T9">
        <f t="shared" si="5"/>
        <v>43</v>
      </c>
      <c r="U9">
        <f t="shared" si="6"/>
        <v>2041</v>
      </c>
    </row>
    <row r="10" spans="1:21">
      <c r="A10" t="str">
        <f>Demand!A10</f>
        <v>CIV</v>
      </c>
      <c r="B10" t="str">
        <f>Demand!B10</f>
        <v>Côte d'Ivoire</v>
      </c>
      <c r="C10" s="7">
        <f>IF(INDEX(Introductions!D$11:D$66,MATCH($B10,Introductions!$A$11:$A$66,0))="","",INDEX(Introductions!D$11:D$66,MATCH($B10,Introductions!$A$11:$A$66,0)))</f>
        <v>41912</v>
      </c>
      <c r="D10" s="7">
        <f>IF(INDEX(Introductions!E$11:E$66,MATCH($B10,Introductions!$A$11:$A$66,0))="","",INDEX(Introductions!E$11:E$66,MATCH($B10,Introductions!$A$11:$A$66,0)))</f>
        <v>42795</v>
      </c>
      <c r="E10" s="7">
        <f>IF(INDEX(Introductions!F$11:F$66,MATCH($B10,Introductions!$A$11:$A$66,0))="","",INDEX(Introductions!F$11:F$66,MATCH($B10,Introductions!$A$11:$A$66,0)))</f>
        <v>43770</v>
      </c>
      <c r="F10">
        <v>0</v>
      </c>
      <c r="H10">
        <v>0</v>
      </c>
      <c r="I10">
        <f>IF(C10="",(Settings!$B$14-C$60)/365.25,(C10-C$60)/365.25)</f>
        <v>5.2156057494866532</v>
      </c>
      <c r="J10">
        <f>IF(D10="",(Settings!$B$14-D$60)/365.25,(D10-D$60)/365.25)</f>
        <v>5.6208076659822037</v>
      </c>
      <c r="K10">
        <f>IF(E10="",(Settings!$B$14-E$60)/365.25,(E10-E$60)/365.25)</f>
        <v>8.5859000684462696</v>
      </c>
      <c r="L10">
        <f t="shared" si="0"/>
        <v>6.4741044946383752</v>
      </c>
      <c r="M10">
        <f>Settings!$B$19+ROUND(I10,0)</f>
        <v>2033</v>
      </c>
      <c r="N10">
        <f>Settings!$B$19+ROUND(J10,0)</f>
        <v>2034</v>
      </c>
      <c r="O10">
        <f>Settings!$B$19+ROUND(K10,0)</f>
        <v>2037</v>
      </c>
      <c r="P10">
        <f t="shared" si="1"/>
        <v>1006.4741044946384</v>
      </c>
      <c r="Q10">
        <f t="shared" si="2"/>
        <v>22</v>
      </c>
      <c r="R10">
        <f t="shared" si="3"/>
        <v>2034</v>
      </c>
      <c r="S10">
        <f t="shared" si="4"/>
        <v>6.4741044946383752</v>
      </c>
      <c r="T10">
        <f t="shared" si="5"/>
        <v>20</v>
      </c>
      <c r="U10">
        <f t="shared" si="6"/>
        <v>2034</v>
      </c>
    </row>
    <row r="11" spans="1:21">
      <c r="A11" t="str">
        <f>Demand!A11</f>
        <v>CMR</v>
      </c>
      <c r="B11" t="str">
        <f>Demand!B11</f>
        <v>Cameroon</v>
      </c>
      <c r="C11" s="7">
        <f>IF(INDEX(Introductions!D$11:D$66,MATCH($B11,Introductions!$A$11:$A$66,0))="","",INDEX(Introductions!D$11:D$66,MATCH($B11,Introductions!$A$11:$A$66,0)))</f>
        <v>40725</v>
      </c>
      <c r="D11" s="7">
        <f>IF(INDEX(Introductions!E$11:E$66,MATCH($B11,Introductions!$A$11:$A$66,0))="","",INDEX(Introductions!E$11:E$66,MATCH($B11,Introductions!$A$11:$A$66,0)))</f>
        <v>41726</v>
      </c>
      <c r="E11" s="7">
        <f>IF(INDEX(Introductions!F$11:F$66,MATCH($B11,Introductions!$A$11:$A$66,0))="","",INDEX(Introductions!F$11:F$66,MATCH($B11,Introductions!$A$11:$A$66,0)))</f>
        <v>44158</v>
      </c>
      <c r="F11">
        <v>0</v>
      </c>
      <c r="H11">
        <v>0</v>
      </c>
      <c r="I11">
        <f>IF(C11="",(Settings!$B$14-C$60)/365.25,(C11-C$60)/365.25)</f>
        <v>1.9657768651608487</v>
      </c>
      <c r="J11">
        <f>IF(D11="",(Settings!$B$14-D$60)/365.25,(D11-D$60)/365.25)</f>
        <v>2.6940451745379876</v>
      </c>
      <c r="K11">
        <f>IF(E11="",(Settings!$B$14-E$60)/365.25,(E11-E$60)/365.25)</f>
        <v>9.6481861738535244</v>
      </c>
      <c r="L11">
        <f t="shared" si="0"/>
        <v>4.76933607118412</v>
      </c>
      <c r="M11">
        <f>Settings!$B$19+ROUND(I11,0)</f>
        <v>2030</v>
      </c>
      <c r="N11">
        <f>Settings!$B$19+ROUND(J11,0)</f>
        <v>2031</v>
      </c>
      <c r="O11">
        <f>Settings!$B$19+ROUND(K11,0)</f>
        <v>2038</v>
      </c>
      <c r="P11">
        <f t="shared" si="1"/>
        <v>1004.7693360711842</v>
      </c>
      <c r="Q11">
        <f t="shared" si="2"/>
        <v>13</v>
      </c>
      <c r="R11">
        <f t="shared" si="3"/>
        <v>2031</v>
      </c>
      <c r="S11">
        <f t="shared" si="4"/>
        <v>4.76933607118412</v>
      </c>
      <c r="T11">
        <f t="shared" si="5"/>
        <v>8</v>
      </c>
      <c r="U11">
        <f t="shared" si="6"/>
        <v>2031</v>
      </c>
    </row>
    <row r="12" spans="1:21">
      <c r="A12" t="str">
        <f>Demand!A12</f>
        <v>COD</v>
      </c>
      <c r="B12" t="str">
        <f>Demand!B12</f>
        <v>Democratic Republic of the Congo</v>
      </c>
      <c r="C12" s="7">
        <f>IF(INDEX(Introductions!D$11:D$66,MATCH($B12,Introductions!$A$11:$A$66,0))="","",INDEX(Introductions!D$11:D$66,MATCH($B12,Introductions!$A$11:$A$66,0)))</f>
        <v>40909</v>
      </c>
      <c r="D12" s="7">
        <f>IF(INDEX(Introductions!E$11:E$66,MATCH($B12,Introductions!$A$11:$A$66,0))="","",INDEX(Introductions!E$11:E$66,MATCH($B12,Introductions!$A$11:$A$66,0)))</f>
        <v>43800</v>
      </c>
      <c r="E12" s="7" t="str">
        <f>IF(INDEX(Introductions!F$11:F$66,MATCH($B12,Introductions!$A$11:$A$66,0))="","",INDEX(Introductions!F$11:F$66,MATCH($B12,Introductions!$A$11:$A$66,0)))</f>
        <v/>
      </c>
      <c r="F12">
        <v>0</v>
      </c>
      <c r="G12">
        <v>2037</v>
      </c>
      <c r="H12">
        <v>1</v>
      </c>
      <c r="I12">
        <f>IF(C12="",(Settings!$B$14-C$60)/365.25,(C12-C$60)/365.25)</f>
        <v>2.4695414099931554</v>
      </c>
      <c r="J12">
        <f>IF(D12="",(Settings!$B$14-D$60)/365.25,(D12-D$60)/365.25)</f>
        <v>8.3723477070499666</v>
      </c>
      <c r="K12">
        <f>IF(E12="",(Settings!$B$14-E$60)/365.25,(E12-E$60)/365.25)</f>
        <v>15.496235455167694</v>
      </c>
      <c r="L12">
        <f t="shared" si="0"/>
        <v>8.7793748574036048</v>
      </c>
      <c r="M12">
        <f>Settings!$B$19+ROUND(I12,0)</f>
        <v>2030</v>
      </c>
      <c r="N12">
        <f>Settings!$B$19+ROUND(J12,0)</f>
        <v>2036</v>
      </c>
      <c r="O12">
        <f>Settings!$B$19+ROUND(K12,0)</f>
        <v>2043</v>
      </c>
      <c r="P12" t="str">
        <f t="shared" si="1"/>
        <v/>
      </c>
      <c r="Q12" t="str">
        <f t="shared" si="2"/>
        <v/>
      </c>
      <c r="R12">
        <f t="shared" si="3"/>
        <v>2037</v>
      </c>
      <c r="S12" t="str">
        <f t="shared" si="4"/>
        <v/>
      </c>
      <c r="T12" t="str">
        <f t="shared" si="5"/>
        <v/>
      </c>
      <c r="U12">
        <f t="shared" si="6"/>
        <v>2037</v>
      </c>
    </row>
    <row r="13" spans="1:21">
      <c r="A13" t="str">
        <f>Demand!A13</f>
        <v>COG</v>
      </c>
      <c r="B13" t="str">
        <f>Demand!B13</f>
        <v>Congo</v>
      </c>
      <c r="C13" s="7">
        <f>IF(INDEX(Introductions!D$11:D$66,MATCH($B13,Introductions!$A$11:$A$66,0))="","",INDEX(Introductions!D$11:D$66,MATCH($B13,Introductions!$A$11:$A$66,0)))</f>
        <v>41193</v>
      </c>
      <c r="D13" s="7">
        <f>IF(INDEX(Introductions!E$11:E$66,MATCH($B13,Introductions!$A$11:$A$66,0))="","",INDEX(Introductions!E$11:E$66,MATCH($B13,Introductions!$A$11:$A$66,0)))</f>
        <v>41753</v>
      </c>
      <c r="E13" s="7" t="str">
        <f>IF(INDEX(Introductions!F$11:F$66,MATCH($B13,Introductions!$A$11:$A$66,0))="","",INDEX(Introductions!F$11:F$66,MATCH($B13,Introductions!$A$11:$A$66,0)))</f>
        <v/>
      </c>
      <c r="F13">
        <v>0</v>
      </c>
      <c r="H13">
        <v>0</v>
      </c>
      <c r="I13">
        <f>IF(C13="",(Settings!$B$14-C$60)/365.25,(C13-C$60)/365.25)</f>
        <v>3.247091033538672</v>
      </c>
      <c r="J13">
        <f>IF(D13="",(Settings!$B$14-D$60)/365.25,(D13-D$60)/365.25)</f>
        <v>2.7679671457905544</v>
      </c>
      <c r="K13">
        <f>IF(E13="",(Settings!$B$14-E$60)/365.25,(E13-E$60)/365.25)</f>
        <v>15.496235455167694</v>
      </c>
      <c r="L13">
        <f t="shared" si="0"/>
        <v>7.1704312114989746</v>
      </c>
      <c r="M13">
        <f>Settings!$B$19+ROUND(I13,0)</f>
        <v>2031</v>
      </c>
      <c r="N13">
        <f>Settings!$B$19+ROUND(J13,0)</f>
        <v>2031</v>
      </c>
      <c r="O13">
        <f>Settings!$B$19+ROUND(K13,0)</f>
        <v>2043</v>
      </c>
      <c r="P13">
        <f t="shared" si="1"/>
        <v>1007.170431211499</v>
      </c>
      <c r="Q13">
        <f t="shared" si="2"/>
        <v>30</v>
      </c>
      <c r="R13">
        <f t="shared" si="3"/>
        <v>2036</v>
      </c>
      <c r="S13">
        <f t="shared" si="4"/>
        <v>7.1704312114989746</v>
      </c>
      <c r="T13">
        <f t="shared" si="5"/>
        <v>28</v>
      </c>
      <c r="U13">
        <f t="shared" si="6"/>
        <v>2035</v>
      </c>
    </row>
    <row r="14" spans="1:21">
      <c r="A14" t="str">
        <f>Demand!A14</f>
        <v>COM</v>
      </c>
      <c r="B14" t="str">
        <f>Demand!B14</f>
        <v>Comoros</v>
      </c>
      <c r="C14" s="7" t="str">
        <f>IF(INDEX(Introductions!D$11:D$66,MATCH($B14,Introductions!$A$11:$A$66,0))="","",INDEX(Introductions!D$11:D$66,MATCH($B14,Introductions!$A$11:$A$66,0)))</f>
        <v/>
      </c>
      <c r="D14" s="7" t="str">
        <f>IF(INDEX(Introductions!E$11:E$66,MATCH($B14,Introductions!$A$11:$A$66,0))="","",INDEX(Introductions!E$11:E$66,MATCH($B14,Introductions!$A$11:$A$66,0)))</f>
        <v/>
      </c>
      <c r="E14" s="7">
        <f>IF(INDEX(Introductions!F$11:F$66,MATCH($B14,Introductions!$A$11:$A$66,0))="","",INDEX(Introductions!F$11:F$66,MATCH($B14,Introductions!$A$11:$A$66,0)))</f>
        <v>45987</v>
      </c>
      <c r="F14">
        <v>0</v>
      </c>
      <c r="H14">
        <v>0</v>
      </c>
      <c r="I14">
        <f>IF(C14="",(Settings!$B$14-C$60)/365.25,(C14-C$60)/365.25)</f>
        <v>17.212867898699521</v>
      </c>
      <c r="J14">
        <f>IF(D14="",(Settings!$B$14-D$60)/365.25,(D14-D$60)/365.25)</f>
        <v>15.200547570157427</v>
      </c>
      <c r="K14">
        <f>IF(E14="",(Settings!$B$14-E$60)/365.25,(E14-E$60)/365.25)</f>
        <v>14.655715263518138</v>
      </c>
      <c r="L14">
        <f t="shared" si="0"/>
        <v>15.689710244125029</v>
      </c>
      <c r="M14">
        <f>Settings!$B$19+ROUND(I14,0)</f>
        <v>2045</v>
      </c>
      <c r="N14">
        <f>Settings!$B$19+ROUND(J14,0)</f>
        <v>2043</v>
      </c>
      <c r="O14">
        <f>Settings!$B$19+ROUND(K14,0)</f>
        <v>2043</v>
      </c>
      <c r="P14">
        <f t="shared" si="1"/>
        <v>1015.6897102441251</v>
      </c>
      <c r="Q14">
        <f t="shared" si="2"/>
        <v>50</v>
      </c>
      <c r="R14">
        <f t="shared" si="3"/>
        <v>2041</v>
      </c>
      <c r="S14">
        <f t="shared" si="4"/>
        <v>15.689710244125029</v>
      </c>
      <c r="T14">
        <f t="shared" si="5"/>
        <v>50</v>
      </c>
      <c r="U14">
        <f t="shared" si="6"/>
        <v>2041</v>
      </c>
    </row>
    <row r="15" spans="1:21">
      <c r="A15" t="str">
        <f>Demand!A15</f>
        <v>DJI</v>
      </c>
      <c r="B15" t="str">
        <f>Demand!B15</f>
        <v>Djibouti</v>
      </c>
      <c r="C15" s="7">
        <f>IF(INDEX(Introductions!D$11:D$66,MATCH($B15,Introductions!$A$11:$A$66,0))="","",INDEX(Introductions!D$11:D$66,MATCH($B15,Introductions!$A$11:$A$66,0)))</f>
        <v>41249</v>
      </c>
      <c r="D15" s="7">
        <f>IF(INDEX(Introductions!E$11:E$66,MATCH($B15,Introductions!$A$11:$A$66,0))="","",INDEX(Introductions!E$11:E$66,MATCH($B15,Introductions!$A$11:$A$66,0)))</f>
        <v>41812</v>
      </c>
      <c r="E15" s="7">
        <f>IF(INDEX(Introductions!F$11:F$66,MATCH($B15,Introductions!$A$11:$A$66,0))="","",INDEX(Introductions!F$11:F$66,MATCH($B15,Introductions!$A$11:$A$66,0)))</f>
        <v>45998</v>
      </c>
      <c r="F15">
        <v>0</v>
      </c>
      <c r="H15">
        <v>0</v>
      </c>
      <c r="I15">
        <f>IF(C15="",(Settings!$B$14-C$60)/365.25,(C15-C$60)/365.25)</f>
        <v>3.40041067761807</v>
      </c>
      <c r="J15">
        <f>IF(D15="",(Settings!$B$14-D$60)/365.25,(D15-D$60)/365.25)</f>
        <v>2.9295003422313486</v>
      </c>
      <c r="K15">
        <f>IF(E15="",(Settings!$B$14-E$60)/365.25,(E15-E$60)/365.25)</f>
        <v>14.685831622176591</v>
      </c>
      <c r="L15">
        <f t="shared" si="0"/>
        <v>7.0052475473420044</v>
      </c>
      <c r="M15">
        <f>Settings!$B$19+ROUND(I15,0)</f>
        <v>2031</v>
      </c>
      <c r="N15">
        <f>Settings!$B$19+ROUND(J15,0)</f>
        <v>2031</v>
      </c>
      <c r="O15">
        <f>Settings!$B$19+ROUND(K15,0)</f>
        <v>2043</v>
      </c>
      <c r="P15">
        <f t="shared" si="1"/>
        <v>1007.005247547342</v>
      </c>
      <c r="Q15">
        <f t="shared" si="2"/>
        <v>28</v>
      </c>
      <c r="R15">
        <f t="shared" si="3"/>
        <v>2035</v>
      </c>
      <c r="S15">
        <f t="shared" si="4"/>
        <v>7.0052475473420044</v>
      </c>
      <c r="T15">
        <f t="shared" si="5"/>
        <v>26</v>
      </c>
      <c r="U15">
        <f t="shared" si="6"/>
        <v>2035</v>
      </c>
    </row>
    <row r="16" spans="1:21">
      <c r="A16" t="str">
        <f>Demand!A16</f>
        <v>ERI</v>
      </c>
      <c r="B16" t="str">
        <f>Demand!B16</f>
        <v>Eritrea</v>
      </c>
      <c r="C16" s="7">
        <f>IF(INDEX(Introductions!D$11:D$66,MATCH($B16,Introductions!$A$11:$A$66,0))="","",INDEX(Introductions!D$11:D$66,MATCH($B16,Introductions!$A$11:$A$66,0)))</f>
        <v>42217</v>
      </c>
      <c r="D16" s="7">
        <f>IF(INDEX(Introductions!E$11:E$66,MATCH($B16,Introductions!$A$11:$A$66,0))="","",INDEX(Introductions!E$11:E$66,MATCH($B16,Introductions!$A$11:$A$66,0)))</f>
        <v>41865</v>
      </c>
      <c r="E16" s="7">
        <f>IF(INDEX(Introductions!F$11:F$66,MATCH($B16,Introductions!$A$11:$A$66,0))="","",INDEX(Introductions!F$11:F$66,MATCH($B16,Introductions!$A$11:$A$66,0)))</f>
        <v>44866</v>
      </c>
      <c r="F16">
        <v>0</v>
      </c>
      <c r="H16">
        <v>0</v>
      </c>
      <c r="I16">
        <f>IF(C16="",(Settings!$B$14-C$60)/365.25,(C16-C$60)/365.25)</f>
        <v>6.0506502395619437</v>
      </c>
      <c r="J16">
        <f>IF(D16="",(Settings!$B$14-D$60)/365.25,(D16-D$60)/365.25)</f>
        <v>3.07460643394935</v>
      </c>
      <c r="K16">
        <f>IF(E16="",(Settings!$B$14-E$60)/365.25,(E16-E$60)/365.25)</f>
        <v>11.586584531143053</v>
      </c>
      <c r="L16">
        <f t="shared" si="0"/>
        <v>6.9039470682181161</v>
      </c>
      <c r="M16">
        <f>Settings!$B$19+ROUND(I16,0)</f>
        <v>2034</v>
      </c>
      <c r="N16">
        <f>Settings!$B$19+ROUND(J16,0)</f>
        <v>2031</v>
      </c>
      <c r="O16">
        <f>Settings!$B$19+ROUND(K16,0)</f>
        <v>2040</v>
      </c>
      <c r="P16">
        <f t="shared" si="1"/>
        <v>1006.9039470682181</v>
      </c>
      <c r="Q16">
        <f t="shared" si="2"/>
        <v>26</v>
      </c>
      <c r="R16">
        <f t="shared" si="3"/>
        <v>2035</v>
      </c>
      <c r="S16">
        <f t="shared" si="4"/>
        <v>6.9039470682181161</v>
      </c>
      <c r="T16">
        <f t="shared" si="5"/>
        <v>24</v>
      </c>
      <c r="U16">
        <f t="shared" si="6"/>
        <v>2035</v>
      </c>
    </row>
    <row r="17" spans="1:21">
      <c r="A17" t="str">
        <f>Demand!A17</f>
        <v>ETH</v>
      </c>
      <c r="B17" t="str">
        <f>Demand!B17</f>
        <v>Ethiopia</v>
      </c>
      <c r="C17" s="7">
        <f>IF(INDEX(Introductions!D$11:D$66,MATCH($B17,Introductions!$A$11:$A$66,0))="","",INDEX(Introductions!D$11:D$66,MATCH($B17,Introductions!$A$11:$A$66,0)))</f>
        <v>40831</v>
      </c>
      <c r="D17" s="7">
        <f>IF(INDEX(Introductions!E$11:E$66,MATCH($B17,Introductions!$A$11:$A$66,0))="","",INDEX(Introductions!E$11:E$66,MATCH($B17,Introductions!$A$11:$A$66,0)))</f>
        <v>41585</v>
      </c>
      <c r="E17" s="7">
        <f>IF(INDEX(Introductions!F$11:F$66,MATCH($B17,Introductions!$A$11:$A$66,0))="","",INDEX(Introductions!F$11:F$66,MATCH($B17,Introductions!$A$11:$A$66,0)))</f>
        <v>43405</v>
      </c>
      <c r="F17">
        <v>1</v>
      </c>
      <c r="G17">
        <v>2032</v>
      </c>
      <c r="H17">
        <v>1</v>
      </c>
      <c r="I17">
        <f>IF(C17="",(Settings!$B$14-C$60)/365.25,(C17-C$60)/365.25)</f>
        <v>2.2559890485968515</v>
      </c>
      <c r="J17">
        <f>IF(D17="",(Settings!$B$14-D$60)/365.25,(D17-D$60)/365.25)</f>
        <v>2.3080082135523612</v>
      </c>
      <c r="K17">
        <f>IF(E17="",(Settings!$B$14-E$60)/365.25,(E17-E$60)/365.25)</f>
        <v>7.5865845311430524</v>
      </c>
      <c r="L17">
        <f t="shared" si="0"/>
        <v>4.0501939310974215</v>
      </c>
      <c r="M17">
        <f>Settings!$B$19+ROUND(I17,0)</f>
        <v>2030</v>
      </c>
      <c r="N17">
        <f>Settings!$B$19+ROUND(J17,0)</f>
        <v>2030</v>
      </c>
      <c r="O17">
        <f>Settings!$B$19+ROUND(K17,0)</f>
        <v>2036</v>
      </c>
      <c r="P17" t="str">
        <f t="shared" si="1"/>
        <v/>
      </c>
      <c r="Q17" t="str">
        <f t="shared" si="2"/>
        <v/>
      </c>
      <c r="R17">
        <f t="shared" si="3"/>
        <v>2032</v>
      </c>
      <c r="S17" t="str">
        <f t="shared" si="4"/>
        <v/>
      </c>
      <c r="T17" t="str">
        <f t="shared" si="5"/>
        <v/>
      </c>
      <c r="U17">
        <f t="shared" si="6"/>
        <v>2032</v>
      </c>
    </row>
    <row r="18" spans="1:21">
      <c r="A18" t="str">
        <f>Demand!A18</f>
        <v>GHA</v>
      </c>
      <c r="B18" t="str">
        <f>Demand!B18</f>
        <v>Ghana</v>
      </c>
      <c r="C18" s="7">
        <f>IF(INDEX(Introductions!D$11:D$66,MATCH($B18,Introductions!$A$11:$A$66,0))="","",INDEX(Introductions!D$11:D$66,MATCH($B18,Introductions!$A$11:$A$66,0)))</f>
        <v>41025</v>
      </c>
      <c r="D18" s="7">
        <f>IF(INDEX(Introductions!E$11:E$66,MATCH($B18,Introductions!$A$11:$A$66,0))="","",INDEX(Introductions!E$11:E$66,MATCH($B18,Introductions!$A$11:$A$66,0)))</f>
        <v>41025</v>
      </c>
      <c r="E18" s="7">
        <f>IF(INDEX(Introductions!F$11:F$66,MATCH($B18,Introductions!$A$11:$A$66,0))="","",INDEX(Introductions!F$11:F$66,MATCH($B18,Introductions!$A$11:$A$66,0)))</f>
        <v>45942</v>
      </c>
      <c r="F18">
        <v>1</v>
      </c>
      <c r="H18">
        <v>0</v>
      </c>
      <c r="I18">
        <f>IF(C18="",(Settings!$B$14-C$60)/365.25,(C18-C$60)/365.25)</f>
        <v>2.7871321013004793</v>
      </c>
      <c r="J18">
        <f>IF(D18="",(Settings!$B$14-D$60)/365.25,(D18-D$60)/365.25)</f>
        <v>0.77481177275838464</v>
      </c>
      <c r="K18">
        <f>IF(E18="",(Settings!$B$14-E$60)/365.25,(E18-E$60)/365.25)</f>
        <v>14.532511978097194</v>
      </c>
      <c r="L18">
        <f t="shared" si="0"/>
        <v>6.0314852840520201</v>
      </c>
      <c r="M18">
        <f>Settings!$B$19+ROUND(I18,0)</f>
        <v>2031</v>
      </c>
      <c r="N18">
        <f>Settings!$B$19+ROUND(J18,0)</f>
        <v>2029</v>
      </c>
      <c r="O18">
        <f>Settings!$B$19+ROUND(K18,0)</f>
        <v>2043</v>
      </c>
      <c r="P18">
        <f t="shared" si="1"/>
        <v>6.0314852840520201</v>
      </c>
      <c r="Q18">
        <f t="shared" si="2"/>
        <v>4</v>
      </c>
      <c r="R18">
        <f t="shared" si="3"/>
        <v>2029</v>
      </c>
      <c r="S18">
        <f t="shared" si="4"/>
        <v>6.0314852840520201</v>
      </c>
      <c r="T18">
        <f t="shared" si="5"/>
        <v>17</v>
      </c>
      <c r="U18">
        <f t="shared" si="6"/>
        <v>2033</v>
      </c>
    </row>
    <row r="19" spans="1:21">
      <c r="A19" t="str">
        <f>Demand!A19</f>
        <v>GIN</v>
      </c>
      <c r="B19" t="str">
        <f>Demand!B19</f>
        <v>Guinea</v>
      </c>
      <c r="C19" s="7" t="str">
        <f>IF(INDEX(Introductions!D$11:D$66,MATCH($B19,Introductions!$A$11:$A$66,0))="","",INDEX(Introductions!D$11:D$66,MATCH($B19,Introductions!$A$11:$A$66,0)))</f>
        <v/>
      </c>
      <c r="D19" s="7" t="str">
        <f>IF(INDEX(Introductions!E$11:E$66,MATCH($B19,Introductions!$A$11:$A$66,0))="","",INDEX(Introductions!E$11:E$66,MATCH($B19,Introductions!$A$11:$A$66,0)))</f>
        <v/>
      </c>
      <c r="E19" s="7" t="str">
        <f>IF(INDEX(Introductions!F$11:F$66,MATCH($B19,Introductions!$A$11:$A$66,0))="","",INDEX(Introductions!F$11:F$66,MATCH($B19,Introductions!$A$11:$A$66,0)))</f>
        <v/>
      </c>
      <c r="F19">
        <v>0</v>
      </c>
      <c r="H19">
        <v>0</v>
      </c>
      <c r="I19">
        <f>IF(C19="",(Settings!$B$14-C$60)/365.25,(C19-C$60)/365.25)</f>
        <v>17.212867898699521</v>
      </c>
      <c r="J19">
        <f>IF(D19="",(Settings!$B$14-D$60)/365.25,(D19-D$60)/365.25)</f>
        <v>15.200547570157427</v>
      </c>
      <c r="K19">
        <f>IF(E19="",(Settings!$B$14-E$60)/365.25,(E19-E$60)/365.25)</f>
        <v>15.496235455167694</v>
      </c>
      <c r="L19">
        <f t="shared" si="0"/>
        <v>15.969883641341546</v>
      </c>
      <c r="M19">
        <f>Settings!$B$19+ROUND(I19,0)</f>
        <v>2045</v>
      </c>
      <c r="N19">
        <f>Settings!$B$19+ROUND(J19,0)</f>
        <v>2043</v>
      </c>
      <c r="O19">
        <f>Settings!$B$19+ROUND(K19,0)</f>
        <v>2043</v>
      </c>
      <c r="P19">
        <f t="shared" si="1"/>
        <v>1015.9698836413415</v>
      </c>
      <c r="Q19">
        <f t="shared" si="2"/>
        <v>51</v>
      </c>
      <c r="R19">
        <f t="shared" si="3"/>
        <v>2041</v>
      </c>
      <c r="S19">
        <f t="shared" si="4"/>
        <v>15.969883641341546</v>
      </c>
      <c r="T19">
        <f t="shared" si="5"/>
        <v>51</v>
      </c>
      <c r="U19">
        <f t="shared" si="6"/>
        <v>2041</v>
      </c>
    </row>
    <row r="20" spans="1:21">
      <c r="A20" t="str">
        <f>Demand!A20</f>
        <v>GMB</v>
      </c>
      <c r="B20" t="str">
        <f>Demand!B20</f>
        <v>Gambia</v>
      </c>
      <c r="C20" s="7">
        <f>IF(INDEX(Introductions!D$11:D$66,MATCH($B20,Introductions!$A$11:$A$66,0))="","",INDEX(Introductions!D$11:D$66,MATCH($B20,Introductions!$A$11:$A$66,0)))</f>
        <v>40044</v>
      </c>
      <c r="D20" s="7">
        <f>IF(INDEX(Introductions!E$11:E$66,MATCH($B20,Introductions!$A$11:$A$66,0))="","",INDEX(Introductions!E$11:E$66,MATCH($B20,Introductions!$A$11:$A$66,0)))</f>
        <v>41500</v>
      </c>
      <c r="E20" s="7">
        <f>IF(INDEX(Introductions!F$11:F$66,MATCH($B20,Introductions!$A$11:$A$66,0))="","",INDEX(Introductions!F$11:F$66,MATCH($B20,Introductions!$A$11:$A$66,0)))</f>
        <v>43739</v>
      </c>
      <c r="F20">
        <v>0</v>
      </c>
      <c r="H20">
        <v>0</v>
      </c>
      <c r="I20">
        <f>IF(C20="",(Settings!$B$14-C$60)/365.25,(C20-C$60)/365.25)</f>
        <v>0.10130047912388775</v>
      </c>
      <c r="J20">
        <f>IF(D20="",(Settings!$B$14-D$60)/365.25,(D20-D$60)/365.25)</f>
        <v>2.0752908966461328</v>
      </c>
      <c r="K20">
        <f>IF(E20="",(Settings!$B$14-E$60)/365.25,(E20-E$60)/365.25)</f>
        <v>8.5010266940451746</v>
      </c>
      <c r="L20">
        <f t="shared" si="0"/>
        <v>3.5592060232717322</v>
      </c>
      <c r="M20">
        <f>Settings!$B$19+ROUND(I20,0)</f>
        <v>2028</v>
      </c>
      <c r="N20">
        <f>Settings!$B$19+ROUND(J20,0)</f>
        <v>2030</v>
      </c>
      <c r="O20">
        <f>Settings!$B$19+ROUND(K20,0)</f>
        <v>2037</v>
      </c>
      <c r="P20">
        <f t="shared" si="1"/>
        <v>1003.5592060232717</v>
      </c>
      <c r="Q20">
        <f t="shared" si="2"/>
        <v>8</v>
      </c>
      <c r="R20">
        <f t="shared" si="3"/>
        <v>2031</v>
      </c>
      <c r="S20">
        <f t="shared" si="4"/>
        <v>3.5592060232717322</v>
      </c>
      <c r="T20">
        <f t="shared" si="5"/>
        <v>2</v>
      </c>
      <c r="U20">
        <f t="shared" si="6"/>
        <v>2029</v>
      </c>
    </row>
    <row r="21" spans="1:21">
      <c r="A21" t="str">
        <f>Demand!A21</f>
        <v>GNB</v>
      </c>
      <c r="B21" t="str">
        <f>Demand!B21</f>
        <v>Guinea-Bissau</v>
      </c>
      <c r="C21" s="7">
        <f>IF(INDEX(Introductions!D$11:D$66,MATCH($B21,Introductions!$A$11:$A$66,0))="","",INDEX(Introductions!D$11:D$66,MATCH($B21,Introductions!$A$11:$A$66,0)))</f>
        <v>42174</v>
      </c>
      <c r="D21" s="7">
        <f>IF(INDEX(Introductions!E$11:E$66,MATCH($B21,Introductions!$A$11:$A$66,0))="","",INDEX(Introductions!E$11:E$66,MATCH($B21,Introductions!$A$11:$A$66,0)))</f>
        <v>42332</v>
      </c>
      <c r="E21" s="7" t="str">
        <f>IF(INDEX(Introductions!F$11:F$66,MATCH($B21,Introductions!$A$11:$A$66,0))="","",INDEX(Introductions!F$11:F$66,MATCH($B21,Introductions!$A$11:$A$66,0)))</f>
        <v/>
      </c>
      <c r="F21">
        <v>0</v>
      </c>
      <c r="H21">
        <v>0</v>
      </c>
      <c r="I21">
        <f>IF(C21="",(Settings!$B$14-C$60)/365.25,(C21-C$60)/365.25)</f>
        <v>5.9329226557152639</v>
      </c>
      <c r="J21">
        <f>IF(D21="",(Settings!$B$14-D$60)/365.25,(D21-D$60)/365.25)</f>
        <v>4.3531827515400412</v>
      </c>
      <c r="K21">
        <f>IF(E21="",(Settings!$B$14-E$60)/365.25,(E21-E$60)/365.25)</f>
        <v>15.496235455167694</v>
      </c>
      <c r="L21">
        <f t="shared" si="0"/>
        <v>8.5941136208076667</v>
      </c>
      <c r="M21">
        <f>Settings!$B$19+ROUND(I21,0)</f>
        <v>2034</v>
      </c>
      <c r="N21">
        <f>Settings!$B$19+ROUND(J21,0)</f>
        <v>2032</v>
      </c>
      <c r="O21">
        <f>Settings!$B$19+ROUND(K21,0)</f>
        <v>2043</v>
      </c>
      <c r="P21">
        <f t="shared" si="1"/>
        <v>1008.5941136208077</v>
      </c>
      <c r="Q21">
        <f t="shared" si="2"/>
        <v>36</v>
      </c>
      <c r="R21">
        <f t="shared" si="3"/>
        <v>2041</v>
      </c>
      <c r="S21">
        <f t="shared" si="4"/>
        <v>8.5941136208076667</v>
      </c>
      <c r="T21">
        <f t="shared" si="5"/>
        <v>34</v>
      </c>
      <c r="U21">
        <f t="shared" si="6"/>
        <v>2039</v>
      </c>
    </row>
    <row r="22" spans="1:21">
      <c r="A22" t="str">
        <f>Demand!A22</f>
        <v>HTI</v>
      </c>
      <c r="B22" t="str">
        <f>Demand!B22</f>
        <v>Haiti</v>
      </c>
      <c r="C22" s="7">
        <f>IF(INDEX(Introductions!D$11:D$66,MATCH($B22,Introductions!$A$11:$A$66,0))="","",INDEX(Introductions!D$11:D$66,MATCH($B22,Introductions!$A$11:$A$66,0)))</f>
        <v>43402</v>
      </c>
      <c r="D22" s="7">
        <f>IF(INDEX(Introductions!E$11:E$66,MATCH($B22,Introductions!$A$11:$A$66,0))="","",INDEX(Introductions!E$11:E$66,MATCH($B22,Introductions!$A$11:$A$66,0)))</f>
        <v>41756</v>
      </c>
      <c r="E22" s="7" t="str">
        <f>IF(INDEX(Introductions!F$11:F$66,MATCH($B22,Introductions!$A$11:$A$66,0))="","",INDEX(Introductions!F$11:F$66,MATCH($B22,Introductions!$A$11:$A$66,0)))</f>
        <v/>
      </c>
      <c r="F22">
        <v>0</v>
      </c>
      <c r="H22">
        <v>0</v>
      </c>
      <c r="I22">
        <f>IF(C22="",(Settings!$B$14-C$60)/365.25,(C22-C$60)/365.25)</f>
        <v>9.2950034223134832</v>
      </c>
      <c r="J22">
        <f>IF(D22="",(Settings!$B$14-D$60)/365.25,(D22-D$60)/365.25)</f>
        <v>2.7761806981519506</v>
      </c>
      <c r="K22">
        <f>IF(E22="",(Settings!$B$14-E$60)/365.25,(E22-E$60)/365.25)</f>
        <v>15.496235455167694</v>
      </c>
      <c r="L22">
        <f t="shared" si="0"/>
        <v>9.189139858544376</v>
      </c>
      <c r="M22">
        <f>Settings!$B$19+ROUND(I22,0)</f>
        <v>2037</v>
      </c>
      <c r="N22">
        <f>Settings!$B$19+ROUND(J22,0)</f>
        <v>2031</v>
      </c>
      <c r="O22">
        <f>Settings!$B$19+ROUND(K22,0)</f>
        <v>2043</v>
      </c>
      <c r="P22">
        <f t="shared" si="1"/>
        <v>1009.1891398585444</v>
      </c>
      <c r="Q22">
        <f t="shared" si="2"/>
        <v>39</v>
      </c>
      <c r="R22">
        <f t="shared" si="3"/>
        <v>2041</v>
      </c>
      <c r="S22">
        <f t="shared" si="4"/>
        <v>9.189139858544376</v>
      </c>
      <c r="T22">
        <f t="shared" si="5"/>
        <v>37</v>
      </c>
      <c r="U22">
        <f t="shared" si="6"/>
        <v>2041</v>
      </c>
    </row>
    <row r="23" spans="1:21">
      <c r="A23" t="str">
        <f>Demand!A23</f>
        <v>KEN</v>
      </c>
      <c r="B23" t="str">
        <f>Demand!B23</f>
        <v>Kenya</v>
      </c>
      <c r="C23" s="7">
        <f>IF(INDEX(Introductions!D$11:D$66,MATCH($B23,Introductions!$A$11:$A$66,0))="","",INDEX(Introductions!D$11:D$66,MATCH($B23,Introductions!$A$11:$A$66,0)))</f>
        <v>40588</v>
      </c>
      <c r="D23" s="7">
        <f>IF(INDEX(Introductions!E$11:E$66,MATCH($B23,Introductions!$A$11:$A$66,0))="","",INDEX(Introductions!E$11:E$66,MATCH($B23,Introductions!$A$11:$A$66,0)))</f>
        <v>41821</v>
      </c>
      <c r="E23" s="7">
        <f>IF(INDEX(Introductions!F$11:F$66,MATCH($B23,Introductions!$A$11:$A$66,0))="","",INDEX(Introductions!F$11:F$66,MATCH($B23,Introductions!$A$11:$A$66,0)))</f>
        <v>43739</v>
      </c>
      <c r="F23">
        <v>1</v>
      </c>
      <c r="H23">
        <v>0</v>
      </c>
      <c r="I23">
        <f>IF(C23="",(Settings!$B$14-C$60)/365.25,(C23-C$60)/365.25)</f>
        <v>1.5906913073237507</v>
      </c>
      <c r="J23">
        <f>IF(D23="",(Settings!$B$14-D$60)/365.25,(D23-D$60)/365.25)</f>
        <v>2.9541409993155372</v>
      </c>
      <c r="K23">
        <f>IF(E23="",(Settings!$B$14-E$60)/365.25,(E23-E$60)/365.25)</f>
        <v>8.5010266940451746</v>
      </c>
      <c r="L23">
        <f t="shared" si="0"/>
        <v>4.3486196668948205</v>
      </c>
      <c r="M23">
        <f>Settings!$B$19+ROUND(I23,0)</f>
        <v>2030</v>
      </c>
      <c r="N23">
        <f>Settings!$B$19+ROUND(J23,0)</f>
        <v>2031</v>
      </c>
      <c r="O23">
        <f>Settings!$B$19+ROUND(K23,0)</f>
        <v>2037</v>
      </c>
      <c r="P23">
        <f t="shared" si="1"/>
        <v>4.3486196668948205</v>
      </c>
      <c r="Q23">
        <f t="shared" si="2"/>
        <v>1</v>
      </c>
      <c r="R23">
        <f t="shared" si="3"/>
        <v>2028</v>
      </c>
      <c r="S23">
        <f t="shared" si="4"/>
        <v>4.3486196668948205</v>
      </c>
      <c r="T23">
        <f t="shared" si="5"/>
        <v>7</v>
      </c>
      <c r="U23">
        <f t="shared" si="6"/>
        <v>2030</v>
      </c>
    </row>
    <row r="24" spans="1:21">
      <c r="A24" t="str">
        <f>Demand!A24</f>
        <v>KGZ</v>
      </c>
      <c r="B24" t="str">
        <f>Demand!B24</f>
        <v>Kyrgyzstan</v>
      </c>
      <c r="C24" s="7">
        <f>IF(INDEX(Introductions!D$11:D$66,MATCH($B24,Introductions!$A$11:$A$66,0))="","",INDEX(Introductions!D$11:D$66,MATCH($B24,Introductions!$A$11:$A$66,0)))</f>
        <v>42450</v>
      </c>
      <c r="D24" s="7">
        <f>IF(INDEX(Introductions!E$11:E$66,MATCH($B24,Introductions!$A$11:$A$66,0))="","",INDEX(Introductions!E$11:E$66,MATCH($B24,Introductions!$A$11:$A$66,0)))</f>
        <v>43814</v>
      </c>
      <c r="E24" s="7">
        <f>IF(INDEX(Introductions!F$11:F$66,MATCH($B24,Introductions!$A$11:$A$66,0))="","",INDEX(Introductions!F$11:F$66,MATCH($B24,Introductions!$A$11:$A$66,0)))</f>
        <v>44866</v>
      </c>
      <c r="F24">
        <v>0</v>
      </c>
      <c r="H24">
        <v>0</v>
      </c>
      <c r="I24">
        <f>IF(C24="",(Settings!$B$14-C$60)/365.25,(C24-C$60)/365.25)</f>
        <v>6.6885694729637235</v>
      </c>
      <c r="J24">
        <f>IF(D24="",(Settings!$B$14-D$60)/365.25,(D24-D$60)/365.25)</f>
        <v>8.4106776180698155</v>
      </c>
      <c r="K24">
        <f>IF(E24="",(Settings!$B$14-E$60)/365.25,(E24-E$60)/365.25)</f>
        <v>11.586584531143053</v>
      </c>
      <c r="L24">
        <f t="shared" si="0"/>
        <v>8.8952772073921977</v>
      </c>
      <c r="M24">
        <f>Settings!$B$19+ROUND(I24,0)</f>
        <v>2035</v>
      </c>
      <c r="N24">
        <f>Settings!$B$19+ROUND(J24,0)</f>
        <v>2036</v>
      </c>
      <c r="O24">
        <f>Settings!$B$19+ROUND(K24,0)</f>
        <v>2040</v>
      </c>
      <c r="P24">
        <f t="shared" si="1"/>
        <v>1008.8952772073922</v>
      </c>
      <c r="Q24">
        <f t="shared" si="2"/>
        <v>38</v>
      </c>
      <c r="R24">
        <f t="shared" si="3"/>
        <v>2041</v>
      </c>
      <c r="S24">
        <f t="shared" si="4"/>
        <v>8.8952772073921977</v>
      </c>
      <c r="T24">
        <f t="shared" si="5"/>
        <v>36</v>
      </c>
      <c r="U24">
        <f t="shared" si="6"/>
        <v>2041</v>
      </c>
    </row>
    <row r="25" spans="1:21">
      <c r="A25" t="str">
        <f>Demand!A25</f>
        <v>KHM</v>
      </c>
      <c r="B25" t="str">
        <f>Demand!B25</f>
        <v>Cambodia</v>
      </c>
      <c r="C25" s="7">
        <f>IF(INDEX(Introductions!D$11:D$66,MATCH($B25,Introductions!$A$11:$A$66,0))="","",INDEX(Introductions!D$11:D$66,MATCH($B25,Introductions!$A$11:$A$66,0)))</f>
        <v>42018</v>
      </c>
      <c r="D25" s="7">
        <f>IF(INDEX(Introductions!E$11:E$66,MATCH($B25,Introductions!$A$11:$A$66,0))="","",INDEX(Introductions!E$11:E$66,MATCH($B25,Introductions!$A$11:$A$66,0)))</f>
        <v>46001</v>
      </c>
      <c r="E25" s="7">
        <f>IF(INDEX(Introductions!F$11:F$66,MATCH($B25,Introductions!$A$11:$A$66,0))="","",INDEX(Introductions!F$11:F$66,MATCH($B25,Introductions!$A$11:$A$66,0)))</f>
        <v>45200</v>
      </c>
      <c r="F25">
        <v>0</v>
      </c>
      <c r="H25">
        <v>0</v>
      </c>
      <c r="I25">
        <f>IF(C25="",(Settings!$B$14-C$60)/365.25,(C25-C$60)/365.25)</f>
        <v>5.505817932922656</v>
      </c>
      <c r="J25">
        <f>IF(D25="",(Settings!$B$14-D$60)/365.25,(D25-D$60)/365.25)</f>
        <v>14.39835728952772</v>
      </c>
      <c r="K25">
        <f>IF(E25="",(Settings!$B$14-E$60)/365.25,(E25-E$60)/365.25)</f>
        <v>12.501026694045175</v>
      </c>
      <c r="L25">
        <f t="shared" si="0"/>
        <v>10.801733972165183</v>
      </c>
      <c r="M25">
        <f>Settings!$B$19+ROUND(I25,0)</f>
        <v>2034</v>
      </c>
      <c r="N25">
        <f>Settings!$B$19+ROUND(J25,0)</f>
        <v>2042</v>
      </c>
      <c r="O25">
        <f>Settings!$B$19+ROUND(K25,0)</f>
        <v>2041</v>
      </c>
      <c r="P25">
        <f t="shared" si="1"/>
        <v>1010.8017339721652</v>
      </c>
      <c r="Q25">
        <f t="shared" si="2"/>
        <v>43</v>
      </c>
      <c r="R25">
        <f t="shared" si="3"/>
        <v>2041</v>
      </c>
      <c r="S25">
        <f t="shared" si="4"/>
        <v>10.801733972165183</v>
      </c>
      <c r="T25">
        <f t="shared" si="5"/>
        <v>42</v>
      </c>
      <c r="U25">
        <f t="shared" si="6"/>
        <v>2041</v>
      </c>
    </row>
    <row r="26" spans="1:21">
      <c r="A26" t="str">
        <f>Demand!A26</f>
        <v>LAO</v>
      </c>
      <c r="B26" t="str">
        <f>Demand!B26</f>
        <v>Lao People's Democratic Republic</v>
      </c>
      <c r="C26" s="7">
        <f>IF(INDEX(Introductions!D$11:D$66,MATCH($B26,Introductions!$A$11:$A$66,0))="","",INDEX(Introductions!D$11:D$66,MATCH($B26,Introductions!$A$11:$A$66,0)))</f>
        <v>41549</v>
      </c>
      <c r="D26" s="7" t="str">
        <f>IF(INDEX(Introductions!E$11:E$66,MATCH($B26,Introductions!$A$11:$A$66,0))="","",INDEX(Introductions!E$11:E$66,MATCH($B26,Introductions!$A$11:$A$66,0)))</f>
        <v/>
      </c>
      <c r="E26" s="7">
        <f>IF(INDEX(Introductions!F$11:F$66,MATCH($B26,Introductions!$A$11:$A$66,0))="","",INDEX(Introductions!F$11:F$66,MATCH($B26,Introductions!$A$11:$A$66,0)))</f>
        <v>43862</v>
      </c>
      <c r="F26">
        <v>0</v>
      </c>
      <c r="H26">
        <v>0</v>
      </c>
      <c r="I26">
        <f>IF(C26="",(Settings!$B$14-C$60)/365.25,(C26-C$60)/365.25)</f>
        <v>4.2217659137577002</v>
      </c>
      <c r="J26">
        <f>IF(D26="",(Settings!$B$14-D$60)/365.25,(D26-D$60)/365.25)</f>
        <v>15.200547570157427</v>
      </c>
      <c r="K26">
        <f>IF(E26="",(Settings!$B$14-E$60)/365.25,(E26-E$60)/365.25)</f>
        <v>8.8377823408624234</v>
      </c>
      <c r="L26">
        <f t="shared" si="0"/>
        <v>9.4200319415925176</v>
      </c>
      <c r="M26">
        <f>Settings!$B$19+ROUND(I26,0)</f>
        <v>2032</v>
      </c>
      <c r="N26">
        <f>Settings!$B$19+ROUND(J26,0)</f>
        <v>2043</v>
      </c>
      <c r="O26">
        <f>Settings!$B$19+ROUND(K26,0)</f>
        <v>2037</v>
      </c>
      <c r="P26">
        <f t="shared" si="1"/>
        <v>1009.4200319415925</v>
      </c>
      <c r="Q26">
        <f t="shared" si="2"/>
        <v>40</v>
      </c>
      <c r="R26">
        <f t="shared" si="3"/>
        <v>2041</v>
      </c>
      <c r="S26">
        <f t="shared" si="4"/>
        <v>9.4200319415925176</v>
      </c>
      <c r="T26">
        <f t="shared" si="5"/>
        <v>38</v>
      </c>
      <c r="U26">
        <f t="shared" si="6"/>
        <v>2041</v>
      </c>
    </row>
    <row r="27" spans="1:21">
      <c r="A27" t="str">
        <f>Demand!A27</f>
        <v>LBR</v>
      </c>
      <c r="B27" t="str">
        <f>Demand!B27</f>
        <v>Liberia</v>
      </c>
      <c r="C27" s="7">
        <f>IF(INDEX(Introductions!D$11:D$66,MATCH($B27,Introductions!$A$11:$A$66,0))="","",INDEX(Introductions!D$11:D$66,MATCH($B27,Introductions!$A$11:$A$66,0)))</f>
        <v>41648</v>
      </c>
      <c r="D27" s="7">
        <f>IF(INDEX(Introductions!E$11:E$66,MATCH($B27,Introductions!$A$11:$A$66,0))="","",INDEX(Introductions!E$11:E$66,MATCH($B27,Introductions!$A$11:$A$66,0)))</f>
        <v>42485</v>
      </c>
      <c r="E27" s="7">
        <f>IF(INDEX(Introductions!F$11:F$66,MATCH($B27,Introductions!$A$11:$A$66,0))="","",INDEX(Introductions!F$11:F$66,MATCH($B27,Introductions!$A$11:$A$66,0)))</f>
        <v>43794</v>
      </c>
      <c r="F27">
        <v>0</v>
      </c>
      <c r="H27">
        <v>0</v>
      </c>
      <c r="I27">
        <f>IF(C27="",(Settings!$B$14-C$60)/365.25,(C27-C$60)/365.25)</f>
        <v>4.4928131416837784</v>
      </c>
      <c r="J27">
        <f>IF(D27="",(Settings!$B$14-D$60)/365.25,(D27-D$60)/365.25)</f>
        <v>4.7720739219712529</v>
      </c>
      <c r="K27">
        <f>IF(E27="",(Settings!$B$14-E$60)/365.25,(E27-E$60)/365.25)</f>
        <v>8.6516084873374393</v>
      </c>
      <c r="L27">
        <f t="shared" si="0"/>
        <v>5.9721651836641572</v>
      </c>
      <c r="M27">
        <f>Settings!$B$19+ROUND(I27,0)</f>
        <v>2032</v>
      </c>
      <c r="N27">
        <f>Settings!$B$19+ROUND(J27,0)</f>
        <v>2033</v>
      </c>
      <c r="O27">
        <f>Settings!$B$19+ROUND(K27,0)</f>
        <v>2037</v>
      </c>
      <c r="P27">
        <f t="shared" si="1"/>
        <v>1005.9721651836642</v>
      </c>
      <c r="Q27">
        <f t="shared" si="2"/>
        <v>18</v>
      </c>
      <c r="R27">
        <f t="shared" si="3"/>
        <v>2033</v>
      </c>
      <c r="S27">
        <f t="shared" si="4"/>
        <v>5.9721651836641572</v>
      </c>
      <c r="T27">
        <f t="shared" si="5"/>
        <v>15</v>
      </c>
      <c r="U27">
        <f t="shared" si="6"/>
        <v>2031</v>
      </c>
    </row>
    <row r="28" spans="1:21">
      <c r="A28" t="str">
        <f>Demand!A28</f>
        <v>LSO</v>
      </c>
      <c r="B28" t="str">
        <f>Demand!B28</f>
        <v>Lesotho</v>
      </c>
      <c r="C28" s="7">
        <f>IF(INDEX(Introductions!D$11:D$66,MATCH($B28,Introductions!$A$11:$A$66,0))="","",INDEX(Introductions!D$11:D$66,MATCH($B28,Introductions!$A$11:$A$66,0)))</f>
        <v>42195</v>
      </c>
      <c r="D28" s="7">
        <f>IF(INDEX(Introductions!E$11:E$66,MATCH($B28,Introductions!$A$11:$A$66,0))="","",INDEX(Introductions!E$11:E$66,MATCH($B28,Introductions!$A$11:$A$66,0)))</f>
        <v>43087</v>
      </c>
      <c r="E28" s="7">
        <f>IF(INDEX(Introductions!F$11:F$66,MATCH($B28,Introductions!$A$11:$A$66,0))="","",INDEX(Introductions!F$11:F$66,MATCH($B28,Introductions!$A$11:$A$66,0)))</f>
        <v>44652</v>
      </c>
      <c r="F28">
        <v>0</v>
      </c>
      <c r="H28">
        <v>0</v>
      </c>
      <c r="I28">
        <f>IF(C28="",(Settings!$B$14-C$60)/365.25,(C28-C$60)/365.25)</f>
        <v>5.9904175222450373</v>
      </c>
      <c r="J28">
        <f>IF(D28="",(Settings!$B$14-D$60)/365.25,(D28-D$60)/365.25)</f>
        <v>6.4202600958247773</v>
      </c>
      <c r="K28">
        <f>IF(E28="",(Settings!$B$14-E$60)/365.25,(E28-E$60)/365.25)</f>
        <v>11.000684462696784</v>
      </c>
      <c r="L28">
        <f t="shared" si="0"/>
        <v>7.8037873602555337</v>
      </c>
      <c r="M28">
        <f>Settings!$B$19+ROUND(I28,0)</f>
        <v>2034</v>
      </c>
      <c r="N28">
        <f>Settings!$B$19+ROUND(J28,0)</f>
        <v>2034</v>
      </c>
      <c r="O28">
        <f>Settings!$B$19+ROUND(K28,0)</f>
        <v>2039</v>
      </c>
      <c r="P28">
        <f t="shared" si="1"/>
        <v>1007.8037873602556</v>
      </c>
      <c r="Q28">
        <f t="shared" si="2"/>
        <v>32</v>
      </c>
      <c r="R28">
        <f t="shared" si="3"/>
        <v>2036</v>
      </c>
      <c r="S28">
        <f t="shared" si="4"/>
        <v>7.8037873602555337</v>
      </c>
      <c r="T28">
        <f t="shared" si="5"/>
        <v>30</v>
      </c>
      <c r="U28">
        <f t="shared" si="6"/>
        <v>2036</v>
      </c>
    </row>
    <row r="29" spans="1:21">
      <c r="A29" t="str">
        <f>Demand!A29</f>
        <v>MDG</v>
      </c>
      <c r="B29" t="str">
        <f>Demand!B29</f>
        <v>Madagascar</v>
      </c>
      <c r="C29" s="7">
        <f>IF(INDEX(Introductions!D$11:D$66,MATCH($B29,Introductions!$A$11:$A$66,0))="","",INDEX(Introductions!D$11:D$66,MATCH($B29,Introductions!$A$11:$A$66,0)))</f>
        <v>41218</v>
      </c>
      <c r="D29" s="7">
        <f>IF(INDEX(Introductions!E$11:E$66,MATCH($B29,Introductions!$A$11:$A$66,0))="","",INDEX(Introductions!E$11:E$66,MATCH($B29,Introductions!$A$11:$A$66,0)))</f>
        <v>41764</v>
      </c>
      <c r="E29" s="7">
        <f>IF(INDEX(Introductions!F$11:F$66,MATCH($B29,Introductions!$A$11:$A$66,0))="","",INDEX(Introductions!F$11:F$66,MATCH($B29,Introductions!$A$11:$A$66,0)))</f>
        <v>45992</v>
      </c>
      <c r="F29">
        <v>0</v>
      </c>
      <c r="H29">
        <v>0</v>
      </c>
      <c r="I29">
        <f>IF(C29="",(Settings!$B$14-C$60)/365.25,(C29-C$60)/365.25)</f>
        <v>3.3155373032169746</v>
      </c>
      <c r="J29">
        <f>IF(D29="",(Settings!$B$14-D$60)/365.25,(D29-D$60)/365.25)</f>
        <v>2.7980835044490076</v>
      </c>
      <c r="K29">
        <f>IF(E29="",(Settings!$B$14-E$60)/365.25,(E29-E$60)/365.25)</f>
        <v>14.669404517453799</v>
      </c>
      <c r="L29">
        <f t="shared" si="0"/>
        <v>6.9276751083732604</v>
      </c>
      <c r="M29">
        <f>Settings!$B$19+ROUND(I29,0)</f>
        <v>2031</v>
      </c>
      <c r="N29">
        <f>Settings!$B$19+ROUND(J29,0)</f>
        <v>2031</v>
      </c>
      <c r="O29">
        <f>Settings!$B$19+ROUND(K29,0)</f>
        <v>2043</v>
      </c>
      <c r="P29">
        <f t="shared" si="1"/>
        <v>1006.9276751083733</v>
      </c>
      <c r="Q29">
        <f t="shared" si="2"/>
        <v>27</v>
      </c>
      <c r="R29">
        <f t="shared" si="3"/>
        <v>2035</v>
      </c>
      <c r="S29">
        <f t="shared" si="4"/>
        <v>6.9276751083732604</v>
      </c>
      <c r="T29">
        <f t="shared" si="5"/>
        <v>25</v>
      </c>
      <c r="U29">
        <f t="shared" si="6"/>
        <v>2035</v>
      </c>
    </row>
    <row r="30" spans="1:21">
      <c r="A30" t="str">
        <f>Demand!A30</f>
        <v>MLI</v>
      </c>
      <c r="B30" t="str">
        <f>Demand!B30</f>
        <v>Mali</v>
      </c>
      <c r="C30" s="7">
        <f>IF(INDEX(Introductions!D$11:D$66,MATCH($B30,Introductions!$A$11:$A$66,0))="","",INDEX(Introductions!D$11:D$66,MATCH($B30,Introductions!$A$11:$A$66,0)))</f>
        <v>40617</v>
      </c>
      <c r="D30" s="7">
        <f>IF(INDEX(Introductions!E$11:E$66,MATCH($B30,Introductions!$A$11:$A$66,0))="","",INDEX(Introductions!E$11:E$66,MATCH($B30,Introductions!$A$11:$A$66,0)))</f>
        <v>41653</v>
      </c>
      <c r="E30" s="7">
        <f>IF(INDEX(Introductions!F$11:F$66,MATCH($B30,Introductions!$A$11:$A$66,0))="","",INDEX(Introductions!F$11:F$66,MATCH($B30,Introductions!$A$11:$A$66,0)))</f>
        <v>45597</v>
      </c>
      <c r="F30">
        <v>0</v>
      </c>
      <c r="H30">
        <v>0</v>
      </c>
      <c r="I30">
        <f>IF(C30="",(Settings!$B$14-C$60)/365.25,(C30-C$60)/365.25)</f>
        <v>1.6700889801505818</v>
      </c>
      <c r="J30">
        <f>IF(D30="",(Settings!$B$14-D$60)/365.25,(D30-D$60)/365.25)</f>
        <v>2.4941820670773445</v>
      </c>
      <c r="K30">
        <f>IF(E30="",(Settings!$B$14-E$60)/365.25,(E30-E$60)/365.25)</f>
        <v>13.587953456536619</v>
      </c>
      <c r="L30">
        <f t="shared" si="0"/>
        <v>5.9174081679215149</v>
      </c>
      <c r="M30">
        <f>Settings!$B$19+ROUND(I30,0)</f>
        <v>2030</v>
      </c>
      <c r="N30">
        <f>Settings!$B$19+ROUND(J30,0)</f>
        <v>2030</v>
      </c>
      <c r="O30">
        <f>Settings!$B$19+ROUND(K30,0)</f>
        <v>2042</v>
      </c>
      <c r="P30">
        <f t="shared" si="1"/>
        <v>1005.9174081679215</v>
      </c>
      <c r="Q30">
        <f t="shared" si="2"/>
        <v>17</v>
      </c>
      <c r="R30">
        <f t="shared" si="3"/>
        <v>2033</v>
      </c>
      <c r="S30">
        <f t="shared" si="4"/>
        <v>5.9174081679215149</v>
      </c>
      <c r="T30">
        <f t="shared" si="5"/>
        <v>14</v>
      </c>
      <c r="U30">
        <f t="shared" si="6"/>
        <v>2031</v>
      </c>
    </row>
    <row r="31" spans="1:21">
      <c r="A31" t="str">
        <f>Demand!A31</f>
        <v>MMR</v>
      </c>
      <c r="B31" t="str">
        <f>Demand!B31</f>
        <v>Myanmar</v>
      </c>
      <c r="C31" s="7">
        <f>IF(INDEX(Introductions!D$11:D$66,MATCH($B31,Introductions!$A$11:$A$66,0))="","",INDEX(Introductions!D$11:D$66,MATCH($B31,Introductions!$A$11:$A$66,0)))</f>
        <v>42552</v>
      </c>
      <c r="D31" s="7">
        <f>IF(INDEX(Introductions!E$11:E$66,MATCH($B31,Introductions!$A$11:$A$66,0))="","",INDEX(Introductions!E$11:E$66,MATCH($B31,Introductions!$A$11:$A$66,0)))</f>
        <v>43863</v>
      </c>
      <c r="E31" s="7">
        <f>IF(INDEX(Introductions!F$11:F$66,MATCH($B31,Introductions!$A$11:$A$66,0))="","",INDEX(Introductions!F$11:F$66,MATCH($B31,Introductions!$A$11:$A$66,0)))</f>
        <v>44124</v>
      </c>
      <c r="F31">
        <v>0</v>
      </c>
      <c r="H31">
        <v>0</v>
      </c>
      <c r="I31">
        <f>IF(C31="",(Settings!$B$14-C$60)/365.25,(C31-C$60)/365.25)</f>
        <v>6.967830253251198</v>
      </c>
      <c r="J31">
        <f>IF(D31="",(Settings!$B$14-D$60)/365.25,(D31-D$60)/365.25)</f>
        <v>8.5448323066392877</v>
      </c>
      <c r="K31">
        <f>IF(E31="",(Settings!$B$14-E$60)/365.25,(E31-E$60)/365.25)</f>
        <v>9.5550992470910341</v>
      </c>
      <c r="L31">
        <f t="shared" si="0"/>
        <v>8.3559206023271742</v>
      </c>
      <c r="M31">
        <f>Settings!$B$19+ROUND(I31,0)</f>
        <v>2035</v>
      </c>
      <c r="N31">
        <f>Settings!$B$19+ROUND(J31,0)</f>
        <v>2037</v>
      </c>
      <c r="O31">
        <f>Settings!$B$19+ROUND(K31,0)</f>
        <v>2038</v>
      </c>
      <c r="P31">
        <f t="shared" si="1"/>
        <v>1008.3559206023272</v>
      </c>
      <c r="Q31">
        <f t="shared" si="2"/>
        <v>34</v>
      </c>
      <c r="R31">
        <f t="shared" si="3"/>
        <v>2039</v>
      </c>
      <c r="S31">
        <f t="shared" si="4"/>
        <v>8.3559206023271742</v>
      </c>
      <c r="T31">
        <f t="shared" si="5"/>
        <v>32</v>
      </c>
      <c r="U31">
        <f t="shared" si="6"/>
        <v>2036</v>
      </c>
    </row>
    <row r="32" spans="1:21">
      <c r="A32" t="str">
        <f>Demand!A32</f>
        <v>MOZ</v>
      </c>
      <c r="B32" t="str">
        <f>Demand!B32</f>
        <v>Mozambique</v>
      </c>
      <c r="C32" s="7">
        <f>IF(INDEX(Introductions!D$11:D$66,MATCH($B32,Introductions!$A$11:$A$66,0))="","",INDEX(Introductions!D$11:D$66,MATCH($B32,Introductions!$A$11:$A$66,0)))</f>
        <v>41365</v>
      </c>
      <c r="D32" s="7">
        <f>IF(INDEX(Introductions!E$11:E$66,MATCH($B32,Introductions!$A$11:$A$66,0))="","",INDEX(Introductions!E$11:E$66,MATCH($B32,Introductions!$A$11:$A$66,0)))</f>
        <v>42251</v>
      </c>
      <c r="E32" s="7">
        <f>IF(INDEX(Introductions!F$11:F$66,MATCH($B32,Introductions!$A$11:$A$66,0))="","",INDEX(Introductions!F$11:F$66,MATCH($B32,Introductions!$A$11:$A$66,0)))</f>
        <v>44515</v>
      </c>
      <c r="F32">
        <v>0</v>
      </c>
      <c r="H32">
        <v>0</v>
      </c>
      <c r="I32">
        <f>IF(C32="",(Settings!$B$14-C$60)/365.25,(C32-C$60)/365.25)</f>
        <v>3.7180013689253935</v>
      </c>
      <c r="J32">
        <f>IF(D32="",(Settings!$B$14-D$60)/365.25,(D32-D$60)/365.25)</f>
        <v>4.131416837782341</v>
      </c>
      <c r="K32">
        <f>IF(E32="",(Settings!$B$14-E$60)/365.25,(E32-E$60)/365.25)</f>
        <v>10.625598904859686</v>
      </c>
      <c r="L32">
        <f t="shared" si="0"/>
        <v>6.1583390371891404</v>
      </c>
      <c r="M32">
        <f>Settings!$B$19+ROUND(I32,0)</f>
        <v>2032</v>
      </c>
      <c r="N32">
        <f>Settings!$B$19+ROUND(J32,0)</f>
        <v>2032</v>
      </c>
      <c r="O32">
        <f>Settings!$B$19+ROUND(K32,0)</f>
        <v>2039</v>
      </c>
      <c r="P32">
        <f t="shared" si="1"/>
        <v>1006.1583390371892</v>
      </c>
      <c r="Q32">
        <f t="shared" si="2"/>
        <v>20</v>
      </c>
      <c r="R32">
        <f t="shared" si="3"/>
        <v>2034</v>
      </c>
      <c r="S32">
        <f t="shared" si="4"/>
        <v>6.1583390371891404</v>
      </c>
      <c r="T32">
        <f t="shared" si="5"/>
        <v>18</v>
      </c>
      <c r="U32">
        <f t="shared" si="6"/>
        <v>2033</v>
      </c>
    </row>
    <row r="33" spans="1:21">
      <c r="A33" t="str">
        <f>Demand!A33</f>
        <v>MRT</v>
      </c>
      <c r="B33" t="str">
        <f>Demand!B33</f>
        <v>Mauritania</v>
      </c>
      <c r="C33" s="7">
        <f>IF(INDEX(Introductions!D$11:D$66,MATCH($B33,Introductions!$A$11:$A$66,0))="","",INDEX(Introductions!D$11:D$66,MATCH($B33,Introductions!$A$11:$A$66,0)))</f>
        <v>41590</v>
      </c>
      <c r="D33" s="7">
        <f>IF(INDEX(Introductions!E$11:E$66,MATCH($B33,Introductions!$A$11:$A$66,0))="","",INDEX(Introductions!E$11:E$66,MATCH($B33,Introductions!$A$11:$A$66,0)))</f>
        <v>41979</v>
      </c>
      <c r="E33" s="7">
        <f>IF(INDEX(Introductions!F$11:F$66,MATCH($B33,Introductions!$A$11:$A$66,0))="","",INDEX(Introductions!F$11:F$66,MATCH($B33,Introductions!$A$11:$A$66,0)))</f>
        <v>44284</v>
      </c>
      <c r="F33">
        <v>0</v>
      </c>
      <c r="H33">
        <v>0</v>
      </c>
      <c r="I33">
        <f>IF(C33="",(Settings!$B$14-C$60)/365.25,(C33-C$60)/365.25)</f>
        <v>4.3340177960301167</v>
      </c>
      <c r="J33">
        <f>IF(D33="",(Settings!$B$14-D$60)/365.25,(D33-D$60)/365.25)</f>
        <v>3.3867214236824092</v>
      </c>
      <c r="K33">
        <f>IF(E33="",(Settings!$B$14-E$60)/365.25,(E33-E$60)/365.25)</f>
        <v>9.9931553730321703</v>
      </c>
      <c r="L33">
        <f t="shared" si="0"/>
        <v>5.904631530914898</v>
      </c>
      <c r="M33">
        <f>Settings!$B$19+ROUND(I33,0)</f>
        <v>2032</v>
      </c>
      <c r="N33">
        <f>Settings!$B$19+ROUND(J33,0)</f>
        <v>2031</v>
      </c>
      <c r="O33">
        <f>Settings!$B$19+ROUND(K33,0)</f>
        <v>2038</v>
      </c>
      <c r="P33">
        <f t="shared" si="1"/>
        <v>1005.9046315309149</v>
      </c>
      <c r="Q33">
        <f t="shared" si="2"/>
        <v>16</v>
      </c>
      <c r="R33">
        <f t="shared" si="3"/>
        <v>2032</v>
      </c>
      <c r="S33">
        <f t="shared" si="4"/>
        <v>5.904631530914898</v>
      </c>
      <c r="T33">
        <f t="shared" si="5"/>
        <v>13</v>
      </c>
      <c r="U33">
        <f t="shared" si="6"/>
        <v>2031</v>
      </c>
    </row>
    <row r="34" spans="1:21">
      <c r="A34" t="str">
        <f>Demand!A34</f>
        <v>MWI</v>
      </c>
      <c r="B34" t="str">
        <f>Demand!B34</f>
        <v>Malawi</v>
      </c>
      <c r="C34" s="7">
        <f>IF(INDEX(Introductions!D$11:D$66,MATCH($B34,Introductions!$A$11:$A$66,0))="","",INDEX(Introductions!D$11:D$66,MATCH($B34,Introductions!$A$11:$A$66,0)))</f>
        <v>40859</v>
      </c>
      <c r="D34" s="7">
        <f>IF(INDEX(Introductions!E$11:E$66,MATCH($B34,Introductions!$A$11:$A$66,0))="","",INDEX(Introductions!E$11:E$66,MATCH($B34,Introductions!$A$11:$A$66,0)))</f>
        <v>41211</v>
      </c>
      <c r="E34" s="7">
        <f>IF(INDEX(Introductions!F$11:F$66,MATCH($B34,Introductions!$A$11:$A$66,0))="","",INDEX(Introductions!F$11:F$66,MATCH($B34,Introductions!$A$11:$A$66,0)))</f>
        <v>43466</v>
      </c>
      <c r="F34">
        <v>0</v>
      </c>
      <c r="H34">
        <v>0</v>
      </c>
      <c r="I34">
        <f>IF(C34="",(Settings!$B$14-C$60)/365.25,(C34-C$60)/365.25)</f>
        <v>2.3326488706365502</v>
      </c>
      <c r="J34">
        <f>IF(D34="",(Settings!$B$14-D$60)/365.25,(D34-D$60)/365.25)</f>
        <v>1.2840520191649556</v>
      </c>
      <c r="K34">
        <f>IF(E34="",(Settings!$B$14-E$60)/365.25,(E34-E$60)/365.25)</f>
        <v>7.7535934291581112</v>
      </c>
      <c r="L34">
        <f t="shared" si="0"/>
        <v>3.7900981063198724</v>
      </c>
      <c r="M34">
        <f>Settings!$B$19+ROUND(I34,0)</f>
        <v>2030</v>
      </c>
      <c r="N34">
        <f>Settings!$B$19+ROUND(J34,0)</f>
        <v>2029</v>
      </c>
      <c r="O34">
        <f>Settings!$B$19+ROUND(K34,0)</f>
        <v>2036</v>
      </c>
      <c r="P34">
        <f t="shared" si="1"/>
        <v>1003.7900981063199</v>
      </c>
      <c r="Q34">
        <f t="shared" si="2"/>
        <v>9</v>
      </c>
      <c r="R34">
        <f t="shared" si="3"/>
        <v>2031</v>
      </c>
      <c r="S34">
        <f t="shared" si="4"/>
        <v>3.7900981063198724</v>
      </c>
      <c r="T34">
        <f t="shared" si="5"/>
        <v>3</v>
      </c>
      <c r="U34">
        <f t="shared" si="6"/>
        <v>2029</v>
      </c>
    </row>
    <row r="35" spans="1:21">
      <c r="A35" t="str">
        <f>Demand!A35</f>
        <v>NER</v>
      </c>
      <c r="B35" t="str">
        <f>Demand!B35</f>
        <v>Niger</v>
      </c>
      <c r="C35" s="7">
        <f>IF(INDEX(Introductions!D$11:D$66,MATCH($B35,Introductions!$A$11:$A$66,0))="","",INDEX(Introductions!D$11:D$66,MATCH($B35,Introductions!$A$11:$A$66,0)))</f>
        <v>41856</v>
      </c>
      <c r="D35" s="7">
        <f>IF(INDEX(Introductions!E$11:E$66,MATCH($B35,Introductions!$A$11:$A$66,0))="","",INDEX(Introductions!E$11:E$66,MATCH($B35,Introductions!$A$11:$A$66,0)))</f>
        <v>41856</v>
      </c>
      <c r="E35" s="7" t="str">
        <f>IF(INDEX(Introductions!F$11:F$66,MATCH($B35,Introductions!$A$11:$A$66,0))="","",INDEX(Introductions!F$11:F$66,MATCH($B35,Introductions!$A$11:$A$66,0)))</f>
        <v/>
      </c>
      <c r="F35">
        <v>0</v>
      </c>
      <c r="H35">
        <v>0</v>
      </c>
      <c r="I35">
        <f>IF(C35="",(Settings!$B$14-C$60)/365.25,(C35-C$60)/365.25)</f>
        <v>5.0622861054072557</v>
      </c>
      <c r="J35">
        <f>IF(D35="",(Settings!$B$14-D$60)/365.25,(D35-D$60)/365.25)</f>
        <v>3.0499657768651609</v>
      </c>
      <c r="K35">
        <f>IF(E35="",(Settings!$B$14-E$60)/365.25,(E35-E$60)/365.25)</f>
        <v>15.496235455167694</v>
      </c>
      <c r="L35">
        <f t="shared" si="0"/>
        <v>7.8694957791467033</v>
      </c>
      <c r="M35">
        <f>Settings!$B$19+ROUND(I35,0)</f>
        <v>2033</v>
      </c>
      <c r="N35">
        <f>Settings!$B$19+ROUND(J35,0)</f>
        <v>2031</v>
      </c>
      <c r="O35">
        <f>Settings!$B$19+ROUND(K35,0)</f>
        <v>2043</v>
      </c>
      <c r="P35">
        <f t="shared" si="1"/>
        <v>1007.8694957791467</v>
      </c>
      <c r="Q35">
        <f t="shared" si="2"/>
        <v>33</v>
      </c>
      <c r="R35">
        <f t="shared" si="3"/>
        <v>2037</v>
      </c>
      <c r="S35">
        <f t="shared" si="4"/>
        <v>7.8694957791467033</v>
      </c>
      <c r="T35">
        <f t="shared" si="5"/>
        <v>31</v>
      </c>
      <c r="U35">
        <f t="shared" si="6"/>
        <v>2036</v>
      </c>
    </row>
    <row r="36" spans="1:21">
      <c r="A36" t="str">
        <f>Demand!A36</f>
        <v>NGA</v>
      </c>
      <c r="B36" t="str">
        <f>Demand!B36</f>
        <v>Nigeria</v>
      </c>
      <c r="C36" s="7">
        <f>IF(INDEX(Introductions!D$11:D$66,MATCH($B36,Introductions!$A$11:$A$66,0))="","",INDEX(Introductions!D$11:D$66,MATCH($B36,Introductions!$A$11:$A$66,0)))</f>
        <v>41995</v>
      </c>
      <c r="D36" s="7">
        <f>IF(INDEX(Introductions!E$11:E$66,MATCH($B36,Introductions!$A$11:$A$66,0))="","",INDEX(Introductions!E$11:E$66,MATCH($B36,Introductions!$A$11:$A$66,0)))</f>
        <v>44795</v>
      </c>
      <c r="E36" s="7">
        <f>IF(INDEX(Introductions!F$11:F$66,MATCH($B36,Introductions!$A$11:$A$66,0))="","",INDEX(Introductions!F$11:F$66,MATCH($B36,Introductions!$A$11:$A$66,0)))</f>
        <v>45223</v>
      </c>
      <c r="F36">
        <v>1</v>
      </c>
      <c r="H36">
        <v>0</v>
      </c>
      <c r="I36">
        <f>IF(C36="",(Settings!$B$14-C$60)/365.25,(C36-C$60)/365.25)</f>
        <v>5.4428473648186175</v>
      </c>
      <c r="J36">
        <f>IF(D36="",(Settings!$B$14-D$60)/365.25,(D36-D$60)/365.25)</f>
        <v>11.096509240246407</v>
      </c>
      <c r="K36">
        <f>IF(E36="",(Settings!$B$14-E$60)/365.25,(E36-E$60)/365.25)</f>
        <v>12.563997262149213</v>
      </c>
      <c r="L36">
        <f t="shared" si="0"/>
        <v>9.7011179557380789</v>
      </c>
      <c r="M36">
        <f>Settings!$B$19+ROUND(I36,0)</f>
        <v>2033</v>
      </c>
      <c r="N36">
        <f>Settings!$B$19+ROUND(J36,0)</f>
        <v>2039</v>
      </c>
      <c r="O36">
        <f>Settings!$B$19+ROUND(K36,0)</f>
        <v>2041</v>
      </c>
      <c r="P36">
        <f t="shared" si="1"/>
        <v>9.7011179557380789</v>
      </c>
      <c r="Q36">
        <f t="shared" si="2"/>
        <v>5</v>
      </c>
      <c r="R36">
        <f t="shared" si="3"/>
        <v>2030</v>
      </c>
      <c r="S36">
        <f t="shared" si="4"/>
        <v>9.7011179557380789</v>
      </c>
      <c r="T36">
        <f t="shared" si="5"/>
        <v>40</v>
      </c>
      <c r="U36">
        <f t="shared" si="6"/>
        <v>2041</v>
      </c>
    </row>
    <row r="37" spans="1:21">
      <c r="A37" t="str">
        <f>Demand!A37</f>
        <v>NPL</v>
      </c>
      <c r="B37" t="str">
        <f>Demand!B37</f>
        <v>Nepal</v>
      </c>
      <c r="C37" s="7">
        <f>IF(INDEX(Introductions!D$11:D$66,MATCH($B37,Introductions!$A$11:$A$66,0))="","",INDEX(Introductions!D$11:D$66,MATCH($B37,Introductions!$A$11:$A$66,0)))</f>
        <v>42023</v>
      </c>
      <c r="D37" s="7">
        <f>IF(INDEX(Introductions!E$11:E$66,MATCH($B37,Introductions!$A$11:$A$66,0))="","",INDEX(Introductions!E$11:E$66,MATCH($B37,Introductions!$A$11:$A$66,0)))</f>
        <v>44014</v>
      </c>
      <c r="E37" s="7">
        <f>IF(INDEX(Introductions!F$11:F$66,MATCH($B37,Introductions!$A$11:$A$66,0))="","",INDEX(Introductions!F$11:F$66,MATCH($B37,Introductions!$A$11:$A$66,0)))</f>
        <v>45692</v>
      </c>
      <c r="F37">
        <v>0</v>
      </c>
      <c r="H37">
        <v>0</v>
      </c>
      <c r="I37">
        <f>IF(C37="",(Settings!$B$14-C$60)/365.25,(C37-C$60)/365.25)</f>
        <v>5.5195071868583163</v>
      </c>
      <c r="J37">
        <f>IF(D37="",(Settings!$B$14-D$60)/365.25,(D37-D$60)/365.25)</f>
        <v>8.9582477754962362</v>
      </c>
      <c r="K37">
        <f>IF(E37="",(Settings!$B$14-E$60)/365.25,(E37-E$60)/365.25)</f>
        <v>13.848049281314168</v>
      </c>
      <c r="L37">
        <f t="shared" si="0"/>
        <v>9.4419347478895741</v>
      </c>
      <c r="M37">
        <f>Settings!$B$19+ROUND(I37,0)</f>
        <v>2034</v>
      </c>
      <c r="N37">
        <f>Settings!$B$19+ROUND(J37,0)</f>
        <v>2037</v>
      </c>
      <c r="O37">
        <f>Settings!$B$19+ROUND(K37,0)</f>
        <v>2042</v>
      </c>
      <c r="P37">
        <f t="shared" si="1"/>
        <v>1009.4419347478896</v>
      </c>
      <c r="Q37">
        <f t="shared" si="2"/>
        <v>41</v>
      </c>
      <c r="R37">
        <f t="shared" si="3"/>
        <v>2041</v>
      </c>
      <c r="S37">
        <f t="shared" si="4"/>
        <v>9.4419347478895741</v>
      </c>
      <c r="T37">
        <f t="shared" si="5"/>
        <v>39</v>
      </c>
      <c r="U37">
        <f t="shared" si="6"/>
        <v>2041</v>
      </c>
    </row>
    <row r="38" spans="1:21">
      <c r="A38" t="str">
        <f>Demand!A38</f>
        <v>PAK</v>
      </c>
      <c r="B38" t="str">
        <f>Demand!B38</f>
        <v>Pakistan</v>
      </c>
      <c r="C38" s="7">
        <f>IF(INDEX(Introductions!D$11:D$66,MATCH($B38,Introductions!$A$11:$A$66,0))="","",INDEX(Introductions!D$11:D$66,MATCH($B38,Introductions!$A$11:$A$66,0)))</f>
        <v>41191</v>
      </c>
      <c r="D38" s="7">
        <f>IF(INDEX(Introductions!E$11:E$66,MATCH($B38,Introductions!$A$11:$A$66,0))="","",INDEX(Introductions!E$11:E$66,MATCH($B38,Introductions!$A$11:$A$66,0)))</f>
        <v>43191</v>
      </c>
      <c r="E38" s="7">
        <f>IF(INDEX(Introductions!F$11:F$66,MATCH($B38,Introductions!$A$11:$A$66,0))="","",INDEX(Introductions!F$11:F$66,MATCH($B38,Introductions!$A$11:$A$66,0)))</f>
        <v>45915</v>
      </c>
      <c r="F38">
        <v>1</v>
      </c>
      <c r="G38">
        <v>2034</v>
      </c>
      <c r="H38">
        <v>1</v>
      </c>
      <c r="I38">
        <f>IF(C38="",(Settings!$B$14-C$60)/365.25,(C38-C$60)/365.25)</f>
        <v>3.2416153319644079</v>
      </c>
      <c r="J38">
        <f>IF(D38="",(Settings!$B$14-D$60)/365.25,(D38-D$60)/365.25)</f>
        <v>6.7049965776865159</v>
      </c>
      <c r="K38">
        <f>IF(E38="",(Settings!$B$14-E$60)/365.25,(E38-E$60)/365.25)</f>
        <v>14.458590006844627</v>
      </c>
      <c r="L38">
        <f t="shared" si="0"/>
        <v>8.1350673054985165</v>
      </c>
      <c r="M38">
        <f>Settings!$B$19+ROUND(I38,0)</f>
        <v>2031</v>
      </c>
      <c r="N38">
        <f>Settings!$B$19+ROUND(J38,0)</f>
        <v>2035</v>
      </c>
      <c r="O38">
        <f>Settings!$B$19+ROUND(K38,0)</f>
        <v>2042</v>
      </c>
      <c r="P38" t="str">
        <f t="shared" si="1"/>
        <v/>
      </c>
      <c r="Q38" t="str">
        <f t="shared" si="2"/>
        <v/>
      </c>
      <c r="R38">
        <f t="shared" si="3"/>
        <v>2034</v>
      </c>
      <c r="S38" t="str">
        <f t="shared" si="4"/>
        <v/>
      </c>
      <c r="T38" t="str">
        <f t="shared" si="5"/>
        <v/>
      </c>
      <c r="U38">
        <f t="shared" si="6"/>
        <v>2034</v>
      </c>
    </row>
    <row r="39" spans="1:21">
      <c r="A39" t="str">
        <f>Demand!A39</f>
        <v>PNG</v>
      </c>
      <c r="B39" t="str">
        <f>Demand!B39</f>
        <v>Papua New Guinea</v>
      </c>
      <c r="C39" s="7">
        <f>IF(INDEX(Introductions!D$11:D$66,MATCH($B39,Introductions!$A$11:$A$66,0))="","",INDEX(Introductions!D$11:D$66,MATCH($B39,Introductions!$A$11:$A$66,0)))</f>
        <v>41590</v>
      </c>
      <c r="D39" s="7" t="str">
        <f>IF(INDEX(Introductions!E$11:E$66,MATCH($B39,Introductions!$A$11:$A$66,0))="","",INDEX(Introductions!E$11:E$66,MATCH($B39,Introductions!$A$11:$A$66,0)))</f>
        <v/>
      </c>
      <c r="E39" s="7">
        <f>IF(INDEX(Introductions!F$11:F$66,MATCH($B39,Introductions!$A$11:$A$66,0))="","",INDEX(Introductions!F$11:F$66,MATCH($B39,Introductions!$A$11:$A$66,0)))</f>
        <v>46273</v>
      </c>
      <c r="F39">
        <v>0</v>
      </c>
      <c r="H39">
        <v>0</v>
      </c>
      <c r="I39">
        <f>IF(C39="",(Settings!$B$14-C$60)/365.25,(C39-C$60)/365.25)</f>
        <v>4.3340177960301167</v>
      </c>
      <c r="J39">
        <f>IF(D39="",(Settings!$B$14-D$60)/365.25,(D39-D$60)/365.25)</f>
        <v>15.200547570157427</v>
      </c>
      <c r="K39">
        <f>IF(E39="",(Settings!$B$14-E$60)/365.25,(E39-E$60)/365.25)</f>
        <v>15.43874058863792</v>
      </c>
      <c r="L39">
        <f t="shared" si="0"/>
        <v>11.657768651608487</v>
      </c>
      <c r="M39">
        <f>Settings!$B$19+ROUND(I39,0)</f>
        <v>2032</v>
      </c>
      <c r="N39">
        <f>Settings!$B$19+ROUND(J39,0)</f>
        <v>2043</v>
      </c>
      <c r="O39">
        <f>Settings!$B$19+ROUND(K39,0)</f>
        <v>2043</v>
      </c>
      <c r="P39">
        <f t="shared" si="1"/>
        <v>1011.6577686516085</v>
      </c>
      <c r="Q39">
        <f t="shared" si="2"/>
        <v>45</v>
      </c>
      <c r="R39">
        <f t="shared" si="3"/>
        <v>2041</v>
      </c>
      <c r="S39">
        <f t="shared" si="4"/>
        <v>11.657768651608487</v>
      </c>
      <c r="T39">
        <f t="shared" si="5"/>
        <v>45</v>
      </c>
      <c r="U39">
        <f t="shared" si="6"/>
        <v>2041</v>
      </c>
    </row>
    <row r="40" spans="1:21">
      <c r="A40" t="str">
        <f>Demand!A40</f>
        <v>PRK</v>
      </c>
      <c r="B40" t="str">
        <f>Demand!B40</f>
        <v>Democratic People's Republic of Korea</v>
      </c>
      <c r="C40" s="7" t="str">
        <f>IF(INDEX(Introductions!D$11:D$66,MATCH($B40,Introductions!$A$11:$A$66,0))="","",INDEX(Introductions!D$11:D$66,MATCH($B40,Introductions!$A$11:$A$66,0)))</f>
        <v/>
      </c>
      <c r="D40" s="7" t="str">
        <f>IF(INDEX(Introductions!E$11:E$66,MATCH($B40,Introductions!$A$11:$A$66,0))="","",INDEX(Introductions!E$11:E$66,MATCH($B40,Introductions!$A$11:$A$66,0)))</f>
        <v/>
      </c>
      <c r="E40" s="7" t="str">
        <f>IF(INDEX(Introductions!F$11:F$66,MATCH($B40,Introductions!$A$11:$A$66,0))="","",INDEX(Introductions!F$11:F$66,MATCH($B40,Introductions!$A$11:$A$66,0)))</f>
        <v/>
      </c>
      <c r="F40">
        <v>0</v>
      </c>
      <c r="H40">
        <v>0</v>
      </c>
      <c r="I40">
        <f>IF(C40="",(Settings!$B$14-C$60)/365.25,(C40-C$60)/365.25)</f>
        <v>17.212867898699521</v>
      </c>
      <c r="J40">
        <f>IF(D40="",(Settings!$B$14-D$60)/365.25,(D40-D$60)/365.25)</f>
        <v>15.200547570157427</v>
      </c>
      <c r="K40">
        <f>IF(E40="",(Settings!$B$14-E$60)/365.25,(E40-E$60)/365.25)</f>
        <v>15.496235455167694</v>
      </c>
      <c r="L40">
        <f t="shared" si="0"/>
        <v>15.969883641341546</v>
      </c>
      <c r="M40">
        <f>Settings!$B$19+ROUND(I40,0)</f>
        <v>2045</v>
      </c>
      <c r="N40">
        <f>Settings!$B$19+ROUND(J40,0)</f>
        <v>2043</v>
      </c>
      <c r="O40">
        <f>Settings!$B$19+ROUND(K40,0)</f>
        <v>2043</v>
      </c>
      <c r="P40">
        <f t="shared" si="1"/>
        <v>1015.9698836413415</v>
      </c>
      <c r="Q40">
        <f t="shared" si="2"/>
        <v>51</v>
      </c>
      <c r="R40">
        <f t="shared" si="3"/>
        <v>2041</v>
      </c>
      <c r="S40">
        <f t="shared" si="4"/>
        <v>15.969883641341546</v>
      </c>
      <c r="T40">
        <f t="shared" si="5"/>
        <v>51</v>
      </c>
      <c r="U40">
        <f t="shared" si="6"/>
        <v>2041</v>
      </c>
    </row>
    <row r="41" spans="1:21">
      <c r="A41" t="str">
        <f>Demand!A41</f>
        <v>RWA</v>
      </c>
      <c r="B41" t="str">
        <f>Demand!B41</f>
        <v>Rwanda</v>
      </c>
      <c r="C41" s="7">
        <f>IF(INDEX(Introductions!D$11:D$66,MATCH($B41,Introductions!$A$11:$A$66,0))="","",INDEX(Introductions!D$11:D$66,MATCH($B41,Introductions!$A$11:$A$66,0)))</f>
        <v>40007</v>
      </c>
      <c r="D41" s="7">
        <f>IF(INDEX(Introductions!E$11:E$66,MATCH($B41,Introductions!$A$11:$A$66,0))="","",INDEX(Introductions!E$11:E$66,MATCH($B41,Introductions!$A$11:$A$66,0)))</f>
        <v>41091</v>
      </c>
      <c r="E41" s="7">
        <f>IF(INDEX(Introductions!F$11:F$66,MATCH($B41,Introductions!$A$11:$A$66,0))="","",INDEX(Introductions!F$11:F$66,MATCH($B41,Introductions!$A$11:$A$66,0)))</f>
        <v>40634</v>
      </c>
      <c r="F41">
        <v>0</v>
      </c>
      <c r="H41">
        <v>0</v>
      </c>
      <c r="I41">
        <f>IF(C41="",(Settings!$B$14-C$60)/365.25,(C41-C$60)/365.25)</f>
        <v>0</v>
      </c>
      <c r="J41">
        <f>IF(D41="",(Settings!$B$14-D$60)/365.25,(D41-D$60)/365.25)</f>
        <v>0.95550992470910334</v>
      </c>
      <c r="K41">
        <f>IF(E41="",(Settings!$B$14-E$60)/365.25,(E41-E$60)/365.25)</f>
        <v>0</v>
      </c>
      <c r="L41">
        <f t="shared" si="0"/>
        <v>0.3185033082363678</v>
      </c>
      <c r="M41">
        <f>Settings!$B$19+ROUND(I41,0)</f>
        <v>2028</v>
      </c>
      <c r="N41">
        <f>Settings!$B$19+ROUND(J41,0)</f>
        <v>2029</v>
      </c>
      <c r="O41">
        <f>Settings!$B$19+ROUND(K41,0)</f>
        <v>2028</v>
      </c>
      <c r="P41">
        <f t="shared" si="1"/>
        <v>1000.3185033082364</v>
      </c>
      <c r="Q41">
        <f t="shared" si="2"/>
        <v>7</v>
      </c>
      <c r="R41">
        <f t="shared" si="3"/>
        <v>2030</v>
      </c>
      <c r="S41">
        <f t="shared" si="4"/>
        <v>0.3185033082363678</v>
      </c>
      <c r="T41">
        <f t="shared" si="5"/>
        <v>1</v>
      </c>
      <c r="U41">
        <f t="shared" si="6"/>
        <v>2028</v>
      </c>
    </row>
    <row r="42" spans="1:21">
      <c r="A42" t="str">
        <f>Demand!A42</f>
        <v>SDN</v>
      </c>
      <c r="B42" t="str">
        <f>Demand!B42</f>
        <v>Sudan</v>
      </c>
      <c r="C42" s="7">
        <f>IF(INDEX(Introductions!D$11:D$66,MATCH($B42,Introductions!$A$11:$A$66,0))="","",INDEX(Introductions!D$11:D$66,MATCH($B42,Introductions!$A$11:$A$66,0)))</f>
        <v>41487</v>
      </c>
      <c r="D42" s="7">
        <f>IF(INDEX(Introductions!E$11:E$66,MATCH($B42,Introductions!$A$11:$A$66,0))="","",INDEX(Introductions!E$11:E$66,MATCH($B42,Introductions!$A$11:$A$66,0)))</f>
        <v>40742</v>
      </c>
      <c r="E42" s="7" t="str">
        <f>IF(INDEX(Introductions!F$11:F$66,MATCH($B42,Introductions!$A$11:$A$66,0))="","",INDEX(Introductions!F$11:F$66,MATCH($B42,Introductions!$A$11:$A$66,0)))</f>
        <v/>
      </c>
      <c r="F42">
        <v>0</v>
      </c>
      <c r="H42">
        <v>0</v>
      </c>
      <c r="I42">
        <f>IF(C42="",(Settings!$B$14-C$60)/365.25,(C42-C$60)/365.25)</f>
        <v>4.0520191649555102</v>
      </c>
      <c r="J42">
        <f>IF(D42="",(Settings!$B$14-D$60)/365.25,(D42-D$60)/365.25)</f>
        <v>0</v>
      </c>
      <c r="K42">
        <f>IF(E42="",(Settings!$B$14-E$60)/365.25,(E42-E$60)/365.25)</f>
        <v>15.496235455167694</v>
      </c>
      <c r="L42">
        <f t="shared" si="0"/>
        <v>6.5160848733744006</v>
      </c>
      <c r="M42">
        <f>Settings!$B$19+ROUND(I42,0)</f>
        <v>2032</v>
      </c>
      <c r="N42">
        <f>Settings!$B$19+ROUND(J42,0)</f>
        <v>2028</v>
      </c>
      <c r="O42">
        <f>Settings!$B$19+ROUND(K42,0)</f>
        <v>2043</v>
      </c>
      <c r="P42">
        <f t="shared" si="1"/>
        <v>1006.5160848733744</v>
      </c>
      <c r="Q42">
        <f t="shared" si="2"/>
        <v>23</v>
      </c>
      <c r="R42">
        <f t="shared" si="3"/>
        <v>2034</v>
      </c>
      <c r="S42">
        <f t="shared" si="4"/>
        <v>6.5160848733744006</v>
      </c>
      <c r="T42">
        <f t="shared" si="5"/>
        <v>21</v>
      </c>
      <c r="U42">
        <f t="shared" si="6"/>
        <v>2034</v>
      </c>
    </row>
    <row r="43" spans="1:21">
      <c r="A43" t="str">
        <f>Demand!A43</f>
        <v>SEN</v>
      </c>
      <c r="B43" t="str">
        <f>Demand!B43</f>
        <v>Senegal</v>
      </c>
      <c r="C43" s="7">
        <f>IF(INDEX(Introductions!D$11:D$66,MATCH($B43,Introductions!$A$11:$A$66,0))="","",INDEX(Introductions!D$11:D$66,MATCH($B43,Introductions!$A$11:$A$66,0)))</f>
        <v>41583</v>
      </c>
      <c r="D43" s="7">
        <f>IF(INDEX(Introductions!E$11:E$66,MATCH($B43,Introductions!$A$11:$A$66,0))="","",INDEX(Introductions!E$11:E$66,MATCH($B43,Introductions!$A$11:$A$66,0)))</f>
        <v>41971</v>
      </c>
      <c r="E43" s="7">
        <f>IF(INDEX(Introductions!F$11:F$66,MATCH($B43,Introductions!$A$11:$A$66,0))="","",INDEX(Introductions!F$11:F$66,MATCH($B43,Introductions!$A$11:$A$66,0)))</f>
        <v>43404</v>
      </c>
      <c r="F43">
        <v>0</v>
      </c>
      <c r="H43">
        <v>0</v>
      </c>
      <c r="I43">
        <f>IF(C43="",(Settings!$B$14-C$60)/365.25,(C43-C$60)/365.25)</f>
        <v>4.3148528405201914</v>
      </c>
      <c r="J43">
        <f>IF(D43="",(Settings!$B$14-D$60)/365.25,(D43-D$60)/365.25)</f>
        <v>3.3648186173853527</v>
      </c>
      <c r="K43">
        <f>IF(E43="",(Settings!$B$14-E$60)/365.25,(E43-E$60)/365.25)</f>
        <v>7.5838466803559204</v>
      </c>
      <c r="L43">
        <f t="shared" si="0"/>
        <v>5.0878393794204877</v>
      </c>
      <c r="M43">
        <f>Settings!$B$19+ROUND(I43,0)</f>
        <v>2032</v>
      </c>
      <c r="N43">
        <f>Settings!$B$19+ROUND(J43,0)</f>
        <v>2031</v>
      </c>
      <c r="O43">
        <f>Settings!$B$19+ROUND(K43,0)</f>
        <v>2036</v>
      </c>
      <c r="P43">
        <f t="shared" si="1"/>
        <v>1005.0878393794205</v>
      </c>
      <c r="Q43">
        <f t="shared" si="2"/>
        <v>14</v>
      </c>
      <c r="R43">
        <f t="shared" si="3"/>
        <v>2031</v>
      </c>
      <c r="S43">
        <f t="shared" si="4"/>
        <v>5.0878393794204877</v>
      </c>
      <c r="T43">
        <f t="shared" si="5"/>
        <v>9</v>
      </c>
      <c r="U43">
        <f t="shared" si="6"/>
        <v>2031</v>
      </c>
    </row>
    <row r="44" spans="1:21">
      <c r="A44" t="str">
        <f>Demand!A44</f>
        <v>SLB</v>
      </c>
      <c r="B44" t="str">
        <f>Demand!B44</f>
        <v>Solomon Islands</v>
      </c>
      <c r="C44" s="7">
        <f>IF(INDEX(Introductions!D$11:D$66,MATCH($B44,Introductions!$A$11:$A$66,0))="","",INDEX(Introductions!D$11:D$66,MATCH($B44,Introductions!$A$11:$A$66,0)))</f>
        <v>42052</v>
      </c>
      <c r="D44" s="7">
        <f>IF(INDEX(Introductions!E$11:E$66,MATCH($B44,Introductions!$A$11:$A$66,0))="","",INDEX(Introductions!E$11:E$66,MATCH($B44,Introductions!$A$11:$A$66,0)))</f>
        <v>44007</v>
      </c>
      <c r="E44" s="7">
        <f>IF(INDEX(Introductions!F$11:F$66,MATCH($B44,Introductions!$A$11:$A$66,0))="","",INDEX(Introductions!F$11:F$66,MATCH($B44,Introductions!$A$11:$A$66,0)))</f>
        <v>43586</v>
      </c>
      <c r="F44">
        <v>0</v>
      </c>
      <c r="H44">
        <v>0</v>
      </c>
      <c r="I44">
        <f>IF(C44="",(Settings!$B$14-C$60)/365.25,(C44-C$60)/365.25)</f>
        <v>5.5989048596851472</v>
      </c>
      <c r="J44">
        <f>IF(D44="",(Settings!$B$14-D$60)/365.25,(D44-D$60)/365.25)</f>
        <v>8.9390828199863108</v>
      </c>
      <c r="K44">
        <f>IF(E44="",(Settings!$B$14-E$60)/365.25,(E44-E$60)/365.25)</f>
        <v>8.0821355236139638</v>
      </c>
      <c r="L44">
        <f t="shared" si="0"/>
        <v>7.5400410677618082</v>
      </c>
      <c r="M44">
        <f>Settings!$B$19+ROUND(I44,0)</f>
        <v>2034</v>
      </c>
      <c r="N44">
        <f>Settings!$B$19+ROUND(J44,0)</f>
        <v>2037</v>
      </c>
      <c r="O44">
        <f>Settings!$B$19+ROUND(K44,0)</f>
        <v>2036</v>
      </c>
      <c r="P44">
        <f t="shared" si="1"/>
        <v>1007.5400410677618</v>
      </c>
      <c r="Q44">
        <f t="shared" si="2"/>
        <v>31</v>
      </c>
      <c r="R44">
        <f t="shared" si="3"/>
        <v>2036</v>
      </c>
      <c r="S44">
        <f t="shared" si="4"/>
        <v>7.5400410677618082</v>
      </c>
      <c r="T44">
        <f t="shared" si="5"/>
        <v>29</v>
      </c>
      <c r="U44">
        <f t="shared" si="6"/>
        <v>2036</v>
      </c>
    </row>
    <row r="45" spans="1:21">
      <c r="A45" t="str">
        <f>Demand!A45</f>
        <v>SLE</v>
      </c>
      <c r="B45" t="str">
        <f>Demand!B45</f>
        <v>Sierra Leone</v>
      </c>
      <c r="C45" s="7">
        <f>IF(INDEX(Introductions!D$11:D$66,MATCH($B45,Introductions!$A$11:$A$66,0))="","",INDEX(Introductions!D$11:D$66,MATCH($B45,Introductions!$A$11:$A$66,0)))</f>
        <v>40571</v>
      </c>
      <c r="D45" s="7">
        <f>IF(INDEX(Introductions!E$11:E$66,MATCH($B45,Introductions!$A$11:$A$66,0))="","",INDEX(Introductions!E$11:E$66,MATCH($B45,Introductions!$A$11:$A$66,0)))</f>
        <v>41726</v>
      </c>
      <c r="E45" s="7">
        <f>IF(INDEX(Introductions!F$11:F$66,MATCH($B45,Introductions!$A$11:$A$66,0))="","",INDEX(Introductions!F$11:F$66,MATCH($B45,Introductions!$A$11:$A$66,0)))</f>
        <v>44835</v>
      </c>
      <c r="F45">
        <v>0</v>
      </c>
      <c r="H45">
        <v>0</v>
      </c>
      <c r="I45">
        <f>IF(C45="",(Settings!$B$14-C$60)/365.25,(C45-C$60)/365.25)</f>
        <v>1.5441478439425051</v>
      </c>
      <c r="J45">
        <f>IF(D45="",(Settings!$B$14-D$60)/365.25,(D45-D$60)/365.25)</f>
        <v>2.6940451745379876</v>
      </c>
      <c r="K45">
        <f>IF(E45="",(Settings!$B$14-E$60)/365.25,(E45-E$60)/365.25)</f>
        <v>11.501711156741958</v>
      </c>
      <c r="L45">
        <f t="shared" si="0"/>
        <v>5.2466347250741503</v>
      </c>
      <c r="M45">
        <f>Settings!$B$19+ROUND(I45,0)</f>
        <v>2030</v>
      </c>
      <c r="N45">
        <f>Settings!$B$19+ROUND(J45,0)</f>
        <v>2031</v>
      </c>
      <c r="O45">
        <f>Settings!$B$19+ROUND(K45,0)</f>
        <v>2040</v>
      </c>
      <c r="P45">
        <f t="shared" si="1"/>
        <v>1005.2466347250742</v>
      </c>
      <c r="Q45">
        <f t="shared" si="2"/>
        <v>15</v>
      </c>
      <c r="R45">
        <f t="shared" si="3"/>
        <v>2031</v>
      </c>
      <c r="S45">
        <f t="shared" si="4"/>
        <v>5.2466347250741503</v>
      </c>
      <c r="T45">
        <f t="shared" si="5"/>
        <v>11</v>
      </c>
      <c r="U45">
        <f t="shared" si="6"/>
        <v>2031</v>
      </c>
    </row>
    <row r="46" spans="1:21">
      <c r="A46" t="str">
        <f>Demand!A46</f>
        <v>SOM</v>
      </c>
      <c r="B46" t="str">
        <f>Demand!B46</f>
        <v>Somalia</v>
      </c>
      <c r="C46" s="7">
        <f>IF(INDEX(Introductions!D$11:D$66,MATCH($B46,Introductions!$A$11:$A$66,0))="","",INDEX(Introductions!D$11:D$66,MATCH($B46,Introductions!$A$11:$A$66,0)))</f>
        <v>45770</v>
      </c>
      <c r="D46" s="7">
        <f>IF(INDEX(Introductions!E$11:E$66,MATCH($B46,Introductions!$A$11:$A$66,0))="","",INDEX(Introductions!E$11:E$66,MATCH($B46,Introductions!$A$11:$A$66,0)))</f>
        <v>45770</v>
      </c>
      <c r="E46" s="7" t="str">
        <f>IF(INDEX(Introductions!F$11:F$66,MATCH($B46,Introductions!$A$11:$A$66,0))="","",INDEX(Introductions!F$11:F$66,MATCH($B46,Introductions!$A$11:$A$66,0)))</f>
        <v/>
      </c>
      <c r="F46">
        <v>0</v>
      </c>
      <c r="H46">
        <v>0</v>
      </c>
      <c r="I46">
        <f>IF(C46="",(Settings!$B$14-C$60)/365.25,(C46-C$60)/365.25)</f>
        <v>15.7782340862423</v>
      </c>
      <c r="J46">
        <f>IF(D46="",(Settings!$B$14-D$60)/365.25,(D46-D$60)/365.25)</f>
        <v>13.765913757700206</v>
      </c>
      <c r="K46">
        <f>IF(E46="",(Settings!$B$14-E$60)/365.25,(E46-E$60)/365.25)</f>
        <v>15.496235455167694</v>
      </c>
      <c r="L46">
        <f t="shared" si="0"/>
        <v>15.013461099703399</v>
      </c>
      <c r="M46">
        <f>Settings!$B$19+ROUND(I46,0)</f>
        <v>2044</v>
      </c>
      <c r="N46">
        <f>Settings!$B$19+ROUND(J46,0)</f>
        <v>2042</v>
      </c>
      <c r="O46">
        <f>Settings!$B$19+ROUND(K46,0)</f>
        <v>2043</v>
      </c>
      <c r="P46">
        <f t="shared" si="1"/>
        <v>1015.0134610997034</v>
      </c>
      <c r="Q46">
        <f t="shared" si="2"/>
        <v>48</v>
      </c>
      <c r="R46">
        <f t="shared" si="3"/>
        <v>2041</v>
      </c>
      <c r="S46">
        <f t="shared" si="4"/>
        <v>15.013461099703399</v>
      </c>
      <c r="T46">
        <f t="shared" si="5"/>
        <v>48</v>
      </c>
      <c r="U46">
        <f t="shared" si="6"/>
        <v>2041</v>
      </c>
    </row>
    <row r="47" spans="1:21">
      <c r="A47" t="str">
        <f>Demand!A47</f>
        <v>SSD</v>
      </c>
      <c r="B47" t="str">
        <f>Demand!B47</f>
        <v>South Sudan</v>
      </c>
      <c r="C47" s="7">
        <f>IF(INDEX(Introductions!D$11:D$66,MATCH($B47,Introductions!$A$11:$A$66,0))="","",INDEX(Introductions!D$11:D$66,MATCH($B47,Introductions!$A$11:$A$66,0)))</f>
        <v>45804</v>
      </c>
      <c r="D47" s="7">
        <f>IF(INDEX(Introductions!E$11:E$66,MATCH($B47,Introductions!$A$11:$A$66,0))="","",INDEX(Introductions!E$11:E$66,MATCH($B47,Introductions!$A$11:$A$66,0)))</f>
        <v>45804</v>
      </c>
      <c r="E47" s="7" t="str">
        <f>IF(INDEX(Introductions!F$11:F$66,MATCH($B47,Introductions!$A$11:$A$66,0))="","",INDEX(Introductions!F$11:F$66,MATCH($B47,Introductions!$A$11:$A$66,0)))</f>
        <v/>
      </c>
      <c r="F47">
        <v>0</v>
      </c>
      <c r="H47">
        <v>0</v>
      </c>
      <c r="I47">
        <f>IF(C47="",(Settings!$B$14-C$60)/365.25,(C47-C$60)/365.25)</f>
        <v>15.871321013004792</v>
      </c>
      <c r="J47">
        <f>IF(D47="",(Settings!$B$14-D$60)/365.25,(D47-D$60)/365.25)</f>
        <v>13.859000684462696</v>
      </c>
      <c r="K47">
        <f>IF(E47="",(Settings!$B$14-E$60)/365.25,(E47-E$60)/365.25)</f>
        <v>15.496235455167694</v>
      </c>
      <c r="L47">
        <f t="shared" si="0"/>
        <v>15.075519050878393</v>
      </c>
      <c r="M47">
        <f>Settings!$B$19+ROUND(I47,0)</f>
        <v>2044</v>
      </c>
      <c r="N47">
        <f>Settings!$B$19+ROUND(J47,0)</f>
        <v>2042</v>
      </c>
      <c r="O47">
        <f>Settings!$B$19+ROUND(K47,0)</f>
        <v>2043</v>
      </c>
      <c r="P47">
        <f t="shared" si="1"/>
        <v>1015.0755190508784</v>
      </c>
      <c r="Q47">
        <f t="shared" si="2"/>
        <v>49</v>
      </c>
      <c r="R47">
        <f t="shared" si="3"/>
        <v>2041</v>
      </c>
      <c r="S47">
        <f t="shared" si="4"/>
        <v>15.075519050878393</v>
      </c>
      <c r="T47">
        <f t="shared" si="5"/>
        <v>49</v>
      </c>
      <c r="U47">
        <f t="shared" si="6"/>
        <v>2041</v>
      </c>
    </row>
    <row r="48" spans="1:21">
      <c r="A48" t="str">
        <f>Demand!A48</f>
        <v>STP</v>
      </c>
      <c r="B48" t="str">
        <f>Demand!B48</f>
        <v>Sao Tome and Principe</v>
      </c>
      <c r="C48" s="7">
        <f>IF(INDEX(Introductions!D$11:D$66,MATCH($B48,Introductions!$A$11:$A$66,0))="","",INDEX(Introductions!D$11:D$66,MATCH($B48,Introductions!$A$11:$A$66,0)))</f>
        <v>41243</v>
      </c>
      <c r="D48" s="7">
        <f>IF(INDEX(Introductions!E$11:E$66,MATCH($B48,Introductions!$A$11:$A$66,0))="","",INDEX(Introductions!E$11:E$66,MATCH($B48,Introductions!$A$11:$A$66,0)))</f>
        <v>42635</v>
      </c>
      <c r="E48" s="7">
        <f>IF(INDEX(Introductions!F$11:F$66,MATCH($B48,Introductions!$A$11:$A$66,0))="","",INDEX(Introductions!F$11:F$66,MATCH($B48,Introductions!$A$11:$A$66,0)))</f>
        <v>44470</v>
      </c>
      <c r="F48">
        <v>0</v>
      </c>
      <c r="H48">
        <v>0</v>
      </c>
      <c r="I48">
        <f>IF(C48="",(Settings!$B$14-C$60)/365.25,(C48-C$60)/365.25)</f>
        <v>3.3839835728952772</v>
      </c>
      <c r="J48">
        <f>IF(D48="",(Settings!$B$14-D$60)/365.25,(D48-D$60)/365.25)</f>
        <v>5.1827515400410675</v>
      </c>
      <c r="K48">
        <f>IF(E48="",(Settings!$B$14-E$60)/365.25,(E48-E$60)/365.25)</f>
        <v>10.50239561943874</v>
      </c>
      <c r="L48">
        <f t="shared" si="0"/>
        <v>6.3563769107916954</v>
      </c>
      <c r="M48">
        <f>Settings!$B$19+ROUND(I48,0)</f>
        <v>2031</v>
      </c>
      <c r="N48">
        <f>Settings!$B$19+ROUND(J48,0)</f>
        <v>2033</v>
      </c>
      <c r="O48">
        <f>Settings!$B$19+ROUND(K48,0)</f>
        <v>2039</v>
      </c>
      <c r="P48">
        <f t="shared" si="1"/>
        <v>1006.3563769107917</v>
      </c>
      <c r="Q48">
        <f t="shared" si="2"/>
        <v>21</v>
      </c>
      <c r="R48">
        <f t="shared" si="3"/>
        <v>2034</v>
      </c>
      <c r="S48">
        <f t="shared" si="4"/>
        <v>6.3563769107916954</v>
      </c>
      <c r="T48">
        <f t="shared" si="5"/>
        <v>19</v>
      </c>
      <c r="U48">
        <f t="shared" si="6"/>
        <v>2034</v>
      </c>
    </row>
    <row r="49" spans="1:21">
      <c r="A49" t="str">
        <f>Demand!A49</f>
        <v>SYR</v>
      </c>
      <c r="B49" t="str">
        <f>Demand!B49</f>
        <v>Syrian Arab Republic</v>
      </c>
      <c r="C49" s="7" t="str">
        <f>IF(INDEX(Introductions!D$11:D$66,MATCH($B49,Introductions!$A$11:$A$66,0))="","",INDEX(Introductions!D$11:D$66,MATCH($B49,Introductions!$A$11:$A$66,0)))</f>
        <v/>
      </c>
      <c r="D49" s="7" t="str">
        <f>IF(INDEX(Introductions!E$11:E$66,MATCH($B49,Introductions!$A$11:$A$66,0))="","",INDEX(Introductions!E$11:E$66,MATCH($B49,Introductions!$A$11:$A$66,0)))</f>
        <v/>
      </c>
      <c r="E49" s="7" t="str">
        <f>IF(INDEX(Introductions!F$11:F$66,MATCH($B49,Introductions!$A$11:$A$66,0))="","",INDEX(Introductions!F$11:F$66,MATCH($B49,Introductions!$A$11:$A$66,0)))</f>
        <v/>
      </c>
      <c r="F49">
        <v>0</v>
      </c>
      <c r="H49">
        <v>0</v>
      </c>
      <c r="I49">
        <f>IF(C49="",(Settings!$B$14-C$60)/365.25,(C49-C$60)/365.25)</f>
        <v>17.212867898699521</v>
      </c>
      <c r="J49">
        <f>IF(D49="",(Settings!$B$14-D$60)/365.25,(D49-D$60)/365.25)</f>
        <v>15.200547570157427</v>
      </c>
      <c r="K49">
        <f>IF(E49="",(Settings!$B$14-E$60)/365.25,(E49-E$60)/365.25)</f>
        <v>15.496235455167694</v>
      </c>
      <c r="L49">
        <f t="shared" si="0"/>
        <v>15.969883641341546</v>
      </c>
      <c r="M49">
        <f>Settings!$B$19+ROUND(I49,0)</f>
        <v>2045</v>
      </c>
      <c r="N49">
        <f>Settings!$B$19+ROUND(J49,0)</f>
        <v>2043</v>
      </c>
      <c r="O49">
        <f>Settings!$B$19+ROUND(K49,0)</f>
        <v>2043</v>
      </c>
      <c r="P49">
        <f t="shared" si="1"/>
        <v>1015.9698836413415</v>
      </c>
      <c r="Q49">
        <f t="shared" si="2"/>
        <v>51</v>
      </c>
      <c r="R49">
        <f t="shared" si="3"/>
        <v>2041</v>
      </c>
      <c r="S49">
        <f t="shared" si="4"/>
        <v>15.969883641341546</v>
      </c>
      <c r="T49">
        <f t="shared" si="5"/>
        <v>51</v>
      </c>
      <c r="U49">
        <f t="shared" si="6"/>
        <v>2041</v>
      </c>
    </row>
    <row r="50" spans="1:21">
      <c r="A50" t="str">
        <f>Demand!A50</f>
        <v>TCD</v>
      </c>
      <c r="B50" t="str">
        <f>Demand!B50</f>
        <v>Chad</v>
      </c>
      <c r="C50" s="7">
        <f>IF(INDEX(Introductions!D$11:D$66,MATCH($B50,Introductions!$A$11:$A$66,0))="","",INDEX(Introductions!D$11:D$66,MATCH($B50,Introductions!$A$11:$A$66,0)))</f>
        <v>45590</v>
      </c>
      <c r="D50" s="7">
        <f>IF(INDEX(Introductions!E$11:E$66,MATCH($B50,Introductions!$A$11:$A$66,0))="","",INDEX(Introductions!E$11:E$66,MATCH($B50,Introductions!$A$11:$A$66,0)))</f>
        <v>45590</v>
      </c>
      <c r="E50" s="7" t="str">
        <f>IF(INDEX(Introductions!F$11:F$66,MATCH($B50,Introductions!$A$11:$A$66,0))="","",INDEX(Introductions!F$11:F$66,MATCH($B50,Introductions!$A$11:$A$66,0)))</f>
        <v/>
      </c>
      <c r="F50">
        <v>0</v>
      </c>
      <c r="H50">
        <v>0</v>
      </c>
      <c r="I50">
        <f>IF(C50="",(Settings!$B$14-C$60)/365.25,(C50-C$60)/365.25)</f>
        <v>15.285420944558522</v>
      </c>
      <c r="J50">
        <f>IF(D50="",(Settings!$B$14-D$60)/365.25,(D50-D$60)/365.25)</f>
        <v>13.273100616016427</v>
      </c>
      <c r="K50">
        <f>IF(E50="",(Settings!$B$14-E$60)/365.25,(E50-E$60)/365.25)</f>
        <v>15.496235455167694</v>
      </c>
      <c r="L50">
        <f t="shared" si="0"/>
        <v>14.684919005247549</v>
      </c>
      <c r="M50">
        <f>Settings!$B$19+ROUND(I50,0)</f>
        <v>2043</v>
      </c>
      <c r="N50">
        <f>Settings!$B$19+ROUND(J50,0)</f>
        <v>2041</v>
      </c>
      <c r="O50">
        <f>Settings!$B$19+ROUND(K50,0)</f>
        <v>2043</v>
      </c>
      <c r="P50">
        <f t="shared" si="1"/>
        <v>1014.6849190052476</v>
      </c>
      <c r="Q50">
        <f t="shared" si="2"/>
        <v>47</v>
      </c>
      <c r="R50">
        <f t="shared" si="3"/>
        <v>2041</v>
      </c>
      <c r="S50">
        <f t="shared" si="4"/>
        <v>14.684919005247549</v>
      </c>
      <c r="T50">
        <f t="shared" si="5"/>
        <v>47</v>
      </c>
      <c r="U50">
        <f t="shared" si="6"/>
        <v>2041</v>
      </c>
    </row>
    <row r="51" spans="1:21">
      <c r="A51" t="str">
        <f>Demand!A51</f>
        <v>TGO</v>
      </c>
      <c r="B51" t="str">
        <f>Demand!B51</f>
        <v>Togo</v>
      </c>
      <c r="C51" s="7">
        <f>IF(INDEX(Introductions!D$11:D$66,MATCH($B51,Introductions!$A$11:$A$66,0))="","",INDEX(Introductions!D$11:D$66,MATCH($B51,Introductions!$A$11:$A$66,0)))</f>
        <v>41809</v>
      </c>
      <c r="D51" s="7">
        <f>IF(INDEX(Introductions!E$11:E$66,MATCH($B51,Introductions!$A$11:$A$66,0))="","",INDEX(Introductions!E$11:E$66,MATCH($B51,Introductions!$A$11:$A$66,0)))</f>
        <v>41809</v>
      </c>
      <c r="E51" s="7">
        <f>IF(INDEX(Introductions!F$11:F$66,MATCH($B51,Introductions!$A$11:$A$66,0))="","",INDEX(Introductions!F$11:F$66,MATCH($B51,Introductions!$A$11:$A$66,0)))</f>
        <v>45258</v>
      </c>
      <c r="F51">
        <v>0</v>
      </c>
      <c r="H51">
        <v>0</v>
      </c>
      <c r="I51">
        <f>IF(C51="",(Settings!$B$14-C$60)/365.25,(C51-C$60)/365.25)</f>
        <v>4.9336071184120467</v>
      </c>
      <c r="J51">
        <f>IF(D51="",(Settings!$B$14-D$60)/365.25,(D51-D$60)/365.25)</f>
        <v>2.9212867898699519</v>
      </c>
      <c r="K51">
        <f>IF(E51="",(Settings!$B$14-E$60)/365.25,(E51-E$60)/365.25)</f>
        <v>12.659822039698836</v>
      </c>
      <c r="L51">
        <f t="shared" si="0"/>
        <v>6.8382386493269456</v>
      </c>
      <c r="M51">
        <f>Settings!$B$19+ROUND(I51,0)</f>
        <v>2033</v>
      </c>
      <c r="N51">
        <f>Settings!$B$19+ROUND(J51,0)</f>
        <v>2031</v>
      </c>
      <c r="O51">
        <f>Settings!$B$19+ROUND(K51,0)</f>
        <v>2041</v>
      </c>
      <c r="P51">
        <f t="shared" si="1"/>
        <v>1006.838238649327</v>
      </c>
      <c r="Q51">
        <f t="shared" si="2"/>
        <v>25</v>
      </c>
      <c r="R51">
        <f t="shared" si="3"/>
        <v>2035</v>
      </c>
      <c r="S51">
        <f t="shared" si="4"/>
        <v>6.8382386493269456</v>
      </c>
      <c r="T51">
        <f t="shared" si="5"/>
        <v>23</v>
      </c>
      <c r="U51">
        <f t="shared" si="6"/>
        <v>2034</v>
      </c>
    </row>
    <row r="52" spans="1:21">
      <c r="A52" t="str">
        <f>Demand!A52</f>
        <v>TJK</v>
      </c>
      <c r="B52" t="str">
        <f>Demand!B52</f>
        <v>Tajikistan</v>
      </c>
      <c r="C52" s="7">
        <f>IF(INDEX(Introductions!D$11:D$66,MATCH($B52,Introductions!$A$11:$A$66,0))="","",INDEX(Introductions!D$11:D$66,MATCH($B52,Introductions!$A$11:$A$66,0)))</f>
        <v>44866</v>
      </c>
      <c r="D52" s="7">
        <f>IF(INDEX(Introductions!E$11:E$66,MATCH($B52,Introductions!$A$11:$A$66,0))="","",INDEX(Introductions!E$11:E$66,MATCH($B52,Introductions!$A$11:$A$66,0)))</f>
        <v>42009</v>
      </c>
      <c r="E52" s="7">
        <f>IF(INDEX(Introductions!F$11:F$66,MATCH($B52,Introductions!$A$11:$A$66,0))="","",INDEX(Introductions!F$11:F$66,MATCH($B52,Introductions!$A$11:$A$66,0)))</f>
        <v>45931</v>
      </c>
      <c r="F52">
        <v>0</v>
      </c>
      <c r="H52">
        <v>0</v>
      </c>
      <c r="I52">
        <f>IF(C52="",(Settings!$B$14-C$60)/365.25,(C52-C$60)/365.25)</f>
        <v>13.30321697467488</v>
      </c>
      <c r="J52">
        <f>IF(D52="",(Settings!$B$14-D$60)/365.25,(D52-D$60)/365.25)</f>
        <v>3.4688569472963722</v>
      </c>
      <c r="K52">
        <f>IF(E52="",(Settings!$B$14-E$60)/365.25,(E52-E$60)/365.25)</f>
        <v>14.50239561943874</v>
      </c>
      <c r="L52">
        <f t="shared" si="0"/>
        <v>10.424823180469998</v>
      </c>
      <c r="M52">
        <f>Settings!$B$19+ROUND(I52,0)</f>
        <v>2041</v>
      </c>
      <c r="N52">
        <f>Settings!$B$19+ROUND(J52,0)</f>
        <v>2031</v>
      </c>
      <c r="O52">
        <f>Settings!$B$19+ROUND(K52,0)</f>
        <v>2043</v>
      </c>
      <c r="P52">
        <f t="shared" si="1"/>
        <v>1010.42482318047</v>
      </c>
      <c r="Q52">
        <f t="shared" si="2"/>
        <v>42</v>
      </c>
      <c r="R52">
        <f t="shared" si="3"/>
        <v>2041</v>
      </c>
      <c r="S52">
        <f t="shared" si="4"/>
        <v>10.424823180469998</v>
      </c>
      <c r="T52">
        <f t="shared" si="5"/>
        <v>41</v>
      </c>
      <c r="U52">
        <f t="shared" si="6"/>
        <v>2041</v>
      </c>
    </row>
    <row r="53" spans="1:21">
      <c r="A53" t="str">
        <f>Demand!A53</f>
        <v>TLS</v>
      </c>
      <c r="B53" t="str">
        <f>Demand!B53</f>
        <v>Timor-Leste</v>
      </c>
      <c r="C53" s="7">
        <f>IF(INDEX(Introductions!D$11:D$66,MATCH($B53,Introductions!$A$11:$A$66,0))="","",INDEX(Introductions!D$11:D$66,MATCH($B53,Introductions!$A$11:$A$66,0)))</f>
        <v>44938</v>
      </c>
      <c r="D53" s="7">
        <f>IF(INDEX(Introductions!E$11:E$66,MATCH($B53,Introductions!$A$11:$A$66,0))="","",INDEX(Introductions!E$11:E$66,MATCH($B53,Introductions!$A$11:$A$66,0)))</f>
        <v>43800</v>
      </c>
      <c r="E53" s="7">
        <f>IF(INDEX(Introductions!F$11:F$66,MATCH($B53,Introductions!$A$11:$A$66,0))="","",INDEX(Introductions!F$11:F$66,MATCH($B53,Introductions!$A$11:$A$66,0)))</f>
        <v>45512</v>
      </c>
      <c r="F53">
        <v>0</v>
      </c>
      <c r="H53">
        <v>0</v>
      </c>
      <c r="I53">
        <f>IF(C53="",(Settings!$B$14-C$60)/365.25,(C53-C$60)/365.25)</f>
        <v>13.500342231348391</v>
      </c>
      <c r="J53">
        <f>IF(D53="",(Settings!$B$14-D$60)/365.25,(D53-D$60)/365.25)</f>
        <v>8.3723477070499666</v>
      </c>
      <c r="K53">
        <f>IF(E53="",(Settings!$B$14-E$60)/365.25,(E53-E$60)/365.25)</f>
        <v>13.35523613963039</v>
      </c>
      <c r="L53">
        <f t="shared" si="0"/>
        <v>11.742642026009584</v>
      </c>
      <c r="M53">
        <f>Settings!$B$19+ROUND(I53,0)</f>
        <v>2042</v>
      </c>
      <c r="N53">
        <f>Settings!$B$19+ROUND(J53,0)</f>
        <v>2036</v>
      </c>
      <c r="O53">
        <f>Settings!$B$19+ROUND(K53,0)</f>
        <v>2041</v>
      </c>
      <c r="P53">
        <f t="shared" si="1"/>
        <v>1011.7426420260095</v>
      </c>
      <c r="Q53">
        <f t="shared" si="2"/>
        <v>46</v>
      </c>
      <c r="R53">
        <f t="shared" si="3"/>
        <v>2041</v>
      </c>
      <c r="S53">
        <f t="shared" si="4"/>
        <v>11.742642026009584</v>
      </c>
      <c r="T53">
        <f t="shared" si="5"/>
        <v>46</v>
      </c>
      <c r="U53">
        <f t="shared" si="6"/>
        <v>2041</v>
      </c>
    </row>
    <row r="54" spans="1:21">
      <c r="A54" t="str">
        <f>Demand!A54</f>
        <v>TZA</v>
      </c>
      <c r="B54" t="str">
        <f>Demand!B54</f>
        <v>UR Tanzania</v>
      </c>
      <c r="C54" s="7">
        <f>IF(INDEX(Introductions!D$11:D$66,MATCH($B54,Introductions!$A$11:$A$66,0))="","",INDEX(Introductions!D$11:D$66,MATCH($B54,Introductions!$A$11:$A$66,0)))</f>
        <v>41275</v>
      </c>
      <c r="D54" s="7">
        <f>IF(INDEX(Introductions!E$11:E$66,MATCH($B54,Introductions!$A$11:$A$66,0))="","",INDEX(Introductions!E$11:E$66,MATCH($B54,Introductions!$A$11:$A$66,0)))</f>
        <v>41275</v>
      </c>
      <c r="E54" s="7">
        <f>IF(INDEX(Introductions!F$11:F$66,MATCH($B54,Introductions!$A$11:$A$66,0))="","",INDEX(Introductions!F$11:F$66,MATCH($B54,Introductions!$A$11:$A$66,0)))</f>
        <v>43191</v>
      </c>
      <c r="F54">
        <v>0</v>
      </c>
      <c r="H54">
        <v>0</v>
      </c>
      <c r="I54">
        <f>IF(C54="",(Settings!$B$14-C$60)/365.25,(C54-C$60)/365.25)</f>
        <v>3.4715947980835042</v>
      </c>
      <c r="J54">
        <f>IF(D54="",(Settings!$B$14-D$60)/365.25,(D54-D$60)/365.25)</f>
        <v>1.4592744695414099</v>
      </c>
      <c r="K54">
        <f>IF(E54="",(Settings!$B$14-E$60)/365.25,(E54-E$60)/365.25)</f>
        <v>7.0006844626967828</v>
      </c>
      <c r="L54">
        <f t="shared" si="0"/>
        <v>3.9771845767738987</v>
      </c>
      <c r="M54">
        <f>Settings!$B$19+ROUND(I54,0)</f>
        <v>2031</v>
      </c>
      <c r="N54">
        <f>Settings!$B$19+ROUND(J54,0)</f>
        <v>2029</v>
      </c>
      <c r="O54">
        <f>Settings!$B$19+ROUND(K54,0)</f>
        <v>2035</v>
      </c>
      <c r="P54">
        <f t="shared" si="1"/>
        <v>1003.9771845767739</v>
      </c>
      <c r="Q54">
        <f t="shared" si="2"/>
        <v>10</v>
      </c>
      <c r="R54">
        <f t="shared" si="3"/>
        <v>2031</v>
      </c>
      <c r="S54">
        <f t="shared" si="4"/>
        <v>3.9771845767738987</v>
      </c>
      <c r="T54">
        <f t="shared" si="5"/>
        <v>4</v>
      </c>
      <c r="U54">
        <f t="shared" si="6"/>
        <v>2029</v>
      </c>
    </row>
    <row r="55" spans="1:21">
      <c r="A55" t="str">
        <f>Demand!A55</f>
        <v>UGA</v>
      </c>
      <c r="B55" t="str">
        <f>Demand!B55</f>
        <v>Uganda</v>
      </c>
      <c r="C55" s="7">
        <f>IF(INDEX(Introductions!D$11:D$66,MATCH($B55,Introductions!$A$11:$A$66,0))="","",INDEX(Introductions!D$11:D$66,MATCH($B55,Introductions!$A$11:$A$66,0)))</f>
        <v>41391</v>
      </c>
      <c r="D55" s="7">
        <f>IF(INDEX(Introductions!E$11:E$66,MATCH($B55,Introductions!$A$11:$A$66,0))="","",INDEX(Introductions!E$11:E$66,MATCH($B55,Introductions!$A$11:$A$66,0)))</f>
        <v>43277</v>
      </c>
      <c r="E55" s="7">
        <f>IF(INDEX(Introductions!F$11:F$66,MATCH($B55,Introductions!$A$11:$A$66,0))="","",INDEX(Introductions!F$11:F$66,MATCH($B55,Introductions!$A$11:$A$66,0)))</f>
        <v>42309</v>
      </c>
      <c r="F55">
        <v>1</v>
      </c>
      <c r="H55">
        <v>0</v>
      </c>
      <c r="I55">
        <f>IF(C55="",(Settings!$B$14-C$60)/365.25,(C55-C$60)/365.25)</f>
        <v>3.7891854893908281</v>
      </c>
      <c r="J55">
        <f>IF(D55="",(Settings!$B$14-D$60)/365.25,(D55-D$60)/365.25)</f>
        <v>6.9404517453798764</v>
      </c>
      <c r="K55">
        <f>IF(E55="",(Settings!$B$14-E$60)/365.25,(E55-E$60)/365.25)</f>
        <v>4.5859000684462696</v>
      </c>
      <c r="L55">
        <f t="shared" si="0"/>
        <v>5.1051791010723244</v>
      </c>
      <c r="M55">
        <f>Settings!$B$19+ROUND(I55,0)</f>
        <v>2032</v>
      </c>
      <c r="N55">
        <f>Settings!$B$19+ROUND(J55,0)</f>
        <v>2035</v>
      </c>
      <c r="O55">
        <f>Settings!$B$19+ROUND(K55,0)</f>
        <v>2033</v>
      </c>
      <c r="P55">
        <f t="shared" si="1"/>
        <v>5.1051791010723244</v>
      </c>
      <c r="Q55">
        <f t="shared" si="2"/>
        <v>2</v>
      </c>
      <c r="R55">
        <f t="shared" si="3"/>
        <v>2029</v>
      </c>
      <c r="S55">
        <f t="shared" si="4"/>
        <v>5.1051791010723244</v>
      </c>
      <c r="T55">
        <f t="shared" si="5"/>
        <v>10</v>
      </c>
      <c r="U55">
        <f t="shared" si="6"/>
        <v>2031</v>
      </c>
    </row>
    <row r="56" spans="1:21">
      <c r="A56" t="str">
        <f>Demand!A56</f>
        <v>YEM</v>
      </c>
      <c r="B56" t="str">
        <f>Demand!B56</f>
        <v>Yemen</v>
      </c>
      <c r="C56" s="7">
        <f>IF(INDEX(Introductions!D$11:D$66,MATCH($B56,Introductions!$A$11:$A$66,0))="","",INDEX(Introductions!D$11:D$66,MATCH($B56,Introductions!$A$11:$A$66,0)))</f>
        <v>40572</v>
      </c>
      <c r="D56" s="7">
        <f>IF(INDEX(Introductions!E$11:E$66,MATCH($B56,Introductions!$A$11:$A$66,0))="","",INDEX(Introductions!E$11:E$66,MATCH($B56,Introductions!$A$11:$A$66,0)))</f>
        <v>41122</v>
      </c>
      <c r="E56" s="7" t="str">
        <f>IF(INDEX(Introductions!F$11:F$66,MATCH($B56,Introductions!$A$11:$A$66,0))="","",INDEX(Introductions!F$11:F$66,MATCH($B56,Introductions!$A$11:$A$66,0)))</f>
        <v/>
      </c>
      <c r="F56">
        <v>0</v>
      </c>
      <c r="H56">
        <v>0</v>
      </c>
      <c r="I56">
        <f>IF(C56="",(Settings!$B$14-C$60)/365.25,(C56-C$60)/365.25)</f>
        <v>1.5468856947296372</v>
      </c>
      <c r="J56">
        <f>IF(D56="",(Settings!$B$14-D$60)/365.25,(D56-D$60)/365.25)</f>
        <v>1.0403832991101984</v>
      </c>
      <c r="K56">
        <f>IF(E56="",(Settings!$B$14-E$60)/365.25,(E56-E$60)/365.25)</f>
        <v>15.496235455167694</v>
      </c>
      <c r="L56">
        <f t="shared" si="0"/>
        <v>6.0278348163358437</v>
      </c>
      <c r="M56">
        <f>Settings!$B$19+ROUND(I56,0)</f>
        <v>2030</v>
      </c>
      <c r="N56">
        <f>Settings!$B$19+ROUND(J56,0)</f>
        <v>2029</v>
      </c>
      <c r="O56">
        <f>Settings!$B$19+ROUND(K56,0)</f>
        <v>2043</v>
      </c>
      <c r="P56">
        <f t="shared" si="1"/>
        <v>1006.0278348163358</v>
      </c>
      <c r="Q56">
        <f t="shared" si="2"/>
        <v>19</v>
      </c>
      <c r="R56">
        <f t="shared" si="3"/>
        <v>2034</v>
      </c>
      <c r="S56">
        <f t="shared" si="4"/>
        <v>6.0278348163358437</v>
      </c>
      <c r="T56">
        <f t="shared" si="5"/>
        <v>16</v>
      </c>
      <c r="U56">
        <f t="shared" si="6"/>
        <v>2032</v>
      </c>
    </row>
    <row r="57" spans="1:21">
      <c r="A57" t="str">
        <f>Demand!A57</f>
        <v>ZMB</v>
      </c>
      <c r="B57" t="str">
        <f>Demand!B57</f>
        <v>Zambia</v>
      </c>
      <c r="C57" s="7">
        <f>IF(INDEX(Introductions!D$11:D$66,MATCH($B57,Introductions!$A$11:$A$66,0))="","",INDEX(Introductions!D$11:D$66,MATCH($B57,Introductions!$A$11:$A$66,0)))</f>
        <v>41404</v>
      </c>
      <c r="D57" s="7">
        <f>IF(INDEX(Introductions!E$11:E$66,MATCH($B57,Introductions!$A$11:$A$66,0))="","",INDEX(Introductions!E$11:E$66,MATCH($B57,Introductions!$A$11:$A$66,0)))</f>
        <v>41030</v>
      </c>
      <c r="E57" s="7">
        <f>IF(INDEX(Introductions!F$11:F$66,MATCH($B57,Introductions!$A$11:$A$66,0))="","",INDEX(Introductions!F$11:F$66,MATCH($B57,Introductions!$A$11:$A$66,0)))</f>
        <v>43617</v>
      </c>
      <c r="F57">
        <v>0</v>
      </c>
      <c r="H57">
        <v>0</v>
      </c>
      <c r="I57">
        <f>IF(C57="",(Settings!$B$14-C$60)/365.25,(C57-C$60)/365.25)</f>
        <v>3.8247775496235454</v>
      </c>
      <c r="J57">
        <f>IF(D57="",(Settings!$B$14-D$60)/365.25,(D57-D$60)/365.25)</f>
        <v>0.7885010266940452</v>
      </c>
      <c r="K57">
        <f>IF(E57="",(Settings!$B$14-E$60)/365.25,(E57-E$60)/365.25)</f>
        <v>8.1670088980150588</v>
      </c>
      <c r="L57">
        <f t="shared" si="0"/>
        <v>4.26009582477755</v>
      </c>
      <c r="M57">
        <f>Settings!$B$19+ROUND(I57,0)</f>
        <v>2032</v>
      </c>
      <c r="N57">
        <f>Settings!$B$19+ROUND(J57,0)</f>
        <v>2029</v>
      </c>
      <c r="O57">
        <f>Settings!$B$19+ROUND(K57,0)</f>
        <v>2036</v>
      </c>
      <c r="P57">
        <f t="shared" si="1"/>
        <v>1004.2600958247775</v>
      </c>
      <c r="Q57">
        <f t="shared" si="2"/>
        <v>11</v>
      </c>
      <c r="R57">
        <f t="shared" si="3"/>
        <v>2031</v>
      </c>
      <c r="S57">
        <f t="shared" si="4"/>
        <v>4.26009582477755</v>
      </c>
      <c r="T57">
        <f t="shared" si="5"/>
        <v>5</v>
      </c>
      <c r="U57">
        <f t="shared" si="6"/>
        <v>2030</v>
      </c>
    </row>
    <row r="58" spans="1:21">
      <c r="A58" t="str">
        <f>Demand!A58</f>
        <v>ZWE</v>
      </c>
      <c r="B58" t="str">
        <f>Demand!B58</f>
        <v>Zimbabwe</v>
      </c>
      <c r="C58" s="7">
        <f>IF(INDEX(Introductions!D$11:D$66,MATCH($B58,Introductions!$A$11:$A$66,0))="","",INDEX(Introductions!D$11:D$66,MATCH($B58,Introductions!$A$11:$A$66,0)))</f>
        <v>41116</v>
      </c>
      <c r="D58" s="7">
        <f>IF(INDEX(Introductions!E$11:E$66,MATCH($B58,Introductions!$A$11:$A$66,0))="","",INDEX(Introductions!E$11:E$66,MATCH($B58,Introductions!$A$11:$A$66,0)))</f>
        <v>41760</v>
      </c>
      <c r="E58" s="7">
        <f>IF(INDEX(Introductions!F$11:F$66,MATCH($B58,Introductions!$A$11:$A$66,0))="","",INDEX(Introductions!F$11:F$66,MATCH($B58,Introductions!$A$11:$A$66,0)))</f>
        <v>43221</v>
      </c>
      <c r="F58">
        <v>0</v>
      </c>
      <c r="H58">
        <v>0</v>
      </c>
      <c r="I58">
        <f>IF(C58="",(Settings!$B$14-C$60)/365.25,(C58-C$60)/365.25)</f>
        <v>3.0362765229295001</v>
      </c>
      <c r="J58">
        <f>IF(D58="",(Settings!$B$14-D$60)/365.25,(D58-D$60)/365.25)</f>
        <v>2.7871321013004793</v>
      </c>
      <c r="K58">
        <f>IF(E58="",(Settings!$B$14-E$60)/365.25,(E58-E$60)/365.25)</f>
        <v>7.0828199863107457</v>
      </c>
      <c r="L58">
        <f t="shared" si="0"/>
        <v>4.3020762035135753</v>
      </c>
      <c r="M58">
        <f>Settings!$B$19+ROUND(I58,0)</f>
        <v>2031</v>
      </c>
      <c r="N58">
        <f>Settings!$B$19+ROUND(J58,0)</f>
        <v>2031</v>
      </c>
      <c r="O58">
        <f>Settings!$B$19+ROUND(K58,0)</f>
        <v>2035</v>
      </c>
      <c r="P58">
        <f t="shared" si="1"/>
        <v>1004.3020762035136</v>
      </c>
      <c r="Q58">
        <f t="shared" si="2"/>
        <v>12</v>
      </c>
      <c r="R58">
        <f t="shared" si="3"/>
        <v>2031</v>
      </c>
      <c r="S58">
        <f t="shared" si="4"/>
        <v>4.3020762035135753</v>
      </c>
      <c r="T58">
        <f t="shared" si="5"/>
        <v>6</v>
      </c>
      <c r="U58">
        <f t="shared" si="6"/>
        <v>2030</v>
      </c>
    </row>
    <row r="59" spans="1:21">
      <c r="C59" s="6"/>
      <c r="D59" s="6"/>
      <c r="E59" s="6"/>
    </row>
    <row r="60" spans="1:21">
      <c r="A60" t="s">
        <v>179</v>
      </c>
      <c r="C60" s="6">
        <f>MIN(C3:C58)</f>
        <v>40007</v>
      </c>
      <c r="D60" s="6">
        <f>MIN(D3:D58)</f>
        <v>40742</v>
      </c>
      <c r="E60" s="6">
        <f>MIN(E3:E58)</f>
        <v>40634</v>
      </c>
    </row>
    <row r="61" spans="1:21">
      <c r="C61" s="6"/>
      <c r="D61" s="6"/>
      <c r="E61" s="6"/>
    </row>
    <row r="62" spans="1:21">
      <c r="A62" s="8" t="s">
        <v>180</v>
      </c>
      <c r="C62" s="6"/>
      <c r="D62" s="6"/>
      <c r="E62" s="6"/>
    </row>
    <row r="63" spans="1:21">
      <c r="A63" t="s">
        <v>181</v>
      </c>
      <c r="B63" t="s">
        <v>182</v>
      </c>
      <c r="C63" t="s">
        <v>183</v>
      </c>
      <c r="D63" t="s">
        <v>184</v>
      </c>
      <c r="E63" t="s">
        <v>185</v>
      </c>
    </row>
    <row r="64" spans="1:21">
      <c r="A64">
        <v>2028</v>
      </c>
      <c r="B64">
        <v>1</v>
      </c>
      <c r="C64">
        <f t="shared" ref="C64:C76" si="7">COUNTIF($G$3:$G$58,A64)</f>
        <v>0</v>
      </c>
      <c r="D64">
        <f t="shared" ref="D64:D76" si="8">B64-C64</f>
        <v>1</v>
      </c>
      <c r="E64">
        <v>1</v>
      </c>
    </row>
    <row r="65" spans="1:5">
      <c r="A65">
        <v>2029</v>
      </c>
      <c r="B65">
        <v>3</v>
      </c>
      <c r="C65">
        <f t="shared" si="7"/>
        <v>0</v>
      </c>
      <c r="D65">
        <f t="shared" si="8"/>
        <v>3</v>
      </c>
      <c r="E65">
        <f t="shared" ref="E65:E77" si="9">E64+D64</f>
        <v>2</v>
      </c>
    </row>
    <row r="66" spans="1:5">
      <c r="A66">
        <v>2030</v>
      </c>
      <c r="B66">
        <v>3</v>
      </c>
      <c r="C66">
        <f t="shared" si="7"/>
        <v>0</v>
      </c>
      <c r="D66">
        <f t="shared" si="8"/>
        <v>3</v>
      </c>
      <c r="E66">
        <f t="shared" si="9"/>
        <v>5</v>
      </c>
    </row>
    <row r="67" spans="1:5">
      <c r="A67">
        <v>2031</v>
      </c>
      <c r="B67">
        <v>8</v>
      </c>
      <c r="C67">
        <f t="shared" si="7"/>
        <v>0</v>
      </c>
      <c r="D67">
        <f t="shared" si="8"/>
        <v>8</v>
      </c>
      <c r="E67">
        <f t="shared" si="9"/>
        <v>8</v>
      </c>
    </row>
    <row r="68" spans="1:5">
      <c r="A68">
        <v>2032</v>
      </c>
      <c r="B68">
        <v>2</v>
      </c>
      <c r="C68">
        <f t="shared" si="7"/>
        <v>1</v>
      </c>
      <c r="D68">
        <f t="shared" si="8"/>
        <v>1</v>
      </c>
      <c r="E68">
        <f t="shared" si="9"/>
        <v>16</v>
      </c>
    </row>
    <row r="69" spans="1:5">
      <c r="A69">
        <v>2033</v>
      </c>
      <c r="B69">
        <v>2</v>
      </c>
      <c r="C69">
        <f t="shared" si="7"/>
        <v>0</v>
      </c>
      <c r="D69">
        <f t="shared" si="8"/>
        <v>2</v>
      </c>
      <c r="E69">
        <f t="shared" si="9"/>
        <v>17</v>
      </c>
    </row>
    <row r="70" spans="1:5">
      <c r="A70">
        <v>2034</v>
      </c>
      <c r="B70">
        <v>6</v>
      </c>
      <c r="C70">
        <f t="shared" si="7"/>
        <v>1</v>
      </c>
      <c r="D70">
        <f t="shared" si="8"/>
        <v>5</v>
      </c>
      <c r="E70">
        <f t="shared" si="9"/>
        <v>19</v>
      </c>
    </row>
    <row r="71" spans="1:5">
      <c r="A71">
        <v>2035</v>
      </c>
      <c r="B71">
        <v>5</v>
      </c>
      <c r="C71">
        <f t="shared" si="7"/>
        <v>0</v>
      </c>
      <c r="D71">
        <f t="shared" si="8"/>
        <v>5</v>
      </c>
      <c r="E71">
        <f t="shared" si="9"/>
        <v>24</v>
      </c>
    </row>
    <row r="72" spans="1:5">
      <c r="A72">
        <v>2036</v>
      </c>
      <c r="B72">
        <v>4</v>
      </c>
      <c r="C72">
        <f t="shared" si="7"/>
        <v>0</v>
      </c>
      <c r="D72">
        <f t="shared" si="8"/>
        <v>4</v>
      </c>
      <c r="E72">
        <f t="shared" si="9"/>
        <v>29</v>
      </c>
    </row>
    <row r="73" spans="1:5">
      <c r="A73">
        <v>2037</v>
      </c>
      <c r="B73">
        <v>2</v>
      </c>
      <c r="C73">
        <f t="shared" si="7"/>
        <v>1</v>
      </c>
      <c r="D73">
        <f t="shared" si="8"/>
        <v>1</v>
      </c>
      <c r="E73">
        <f t="shared" si="9"/>
        <v>33</v>
      </c>
    </row>
    <row r="74" spans="1:5">
      <c r="A74">
        <v>2038</v>
      </c>
      <c r="B74">
        <v>0</v>
      </c>
      <c r="C74">
        <f t="shared" si="7"/>
        <v>0</v>
      </c>
      <c r="D74">
        <f t="shared" si="8"/>
        <v>0</v>
      </c>
      <c r="E74">
        <f t="shared" si="9"/>
        <v>34</v>
      </c>
    </row>
    <row r="75" spans="1:5">
      <c r="A75">
        <v>2039</v>
      </c>
      <c r="B75">
        <v>1</v>
      </c>
      <c r="C75">
        <f t="shared" si="7"/>
        <v>0</v>
      </c>
      <c r="D75">
        <f t="shared" si="8"/>
        <v>1</v>
      </c>
      <c r="E75">
        <f t="shared" si="9"/>
        <v>34</v>
      </c>
    </row>
    <row r="76" spans="1:5">
      <c r="A76">
        <v>2040</v>
      </c>
      <c r="B76">
        <v>0</v>
      </c>
      <c r="C76">
        <f t="shared" si="7"/>
        <v>0</v>
      </c>
      <c r="D76">
        <f t="shared" si="8"/>
        <v>0</v>
      </c>
      <c r="E76">
        <f t="shared" si="9"/>
        <v>35</v>
      </c>
    </row>
    <row r="77" spans="1:5">
      <c r="A77">
        <v>2041</v>
      </c>
      <c r="B77" t="s">
        <v>186</v>
      </c>
      <c r="E77">
        <f t="shared" si="9"/>
        <v>35</v>
      </c>
    </row>
    <row r="78" spans="1:5">
      <c r="C78" s="6"/>
      <c r="D78" s="6"/>
      <c r="E78" s="6"/>
    </row>
    <row r="79" spans="1:5">
      <c r="C79" s="6"/>
      <c r="D79" s="6"/>
      <c r="E79" s="6"/>
    </row>
    <row r="80" spans="1:5">
      <c r="C80" s="6"/>
      <c r="D80" s="6"/>
      <c r="E80" s="6"/>
    </row>
    <row r="81" spans="3:5">
      <c r="C81" s="6"/>
      <c r="D81" s="6"/>
      <c r="E81" s="6"/>
    </row>
    <row r="82" spans="3:5">
      <c r="C82" s="6"/>
      <c r="D82" s="6"/>
      <c r="E82" s="6"/>
    </row>
    <row r="83" spans="3:5">
      <c r="C83" s="6"/>
      <c r="D83" s="6"/>
      <c r="E83" s="6"/>
    </row>
    <row r="84" spans="3:5">
      <c r="C84" s="6"/>
      <c r="D84" s="6"/>
      <c r="E84" s="6"/>
    </row>
    <row r="85" spans="3:5">
      <c r="C85" s="6"/>
      <c r="D85" s="6"/>
      <c r="E85" s="6"/>
    </row>
    <row r="86" spans="3:5">
      <c r="C86" s="6"/>
      <c r="D86" s="6"/>
      <c r="E86" s="6"/>
    </row>
    <row r="87" spans="3:5">
      <c r="C87" s="6"/>
      <c r="D87" s="6"/>
      <c r="E87" s="6"/>
    </row>
    <row r="88" spans="3:5">
      <c r="C88" s="6"/>
      <c r="D88" s="6"/>
      <c r="E88" s="6"/>
    </row>
    <row r="89" spans="3:5">
      <c r="C89" s="6"/>
      <c r="D89" s="6"/>
      <c r="E89" s="6"/>
    </row>
    <row r="90" spans="3:5">
      <c r="C90" s="6"/>
      <c r="D90" s="6"/>
      <c r="E90" s="6"/>
    </row>
    <row r="91" spans="3:5">
      <c r="C91" s="6"/>
      <c r="D91" s="6"/>
      <c r="E91" s="6"/>
    </row>
    <row r="92" spans="3:5">
      <c r="C92" s="6"/>
      <c r="D92" s="6"/>
      <c r="E92" s="6"/>
    </row>
    <row r="93" spans="3:5">
      <c r="C93" s="6"/>
      <c r="D93" s="6"/>
      <c r="E93" s="6"/>
    </row>
    <row r="94" spans="3:5">
      <c r="C94" s="6"/>
      <c r="D94" s="6"/>
      <c r="E94" s="6"/>
    </row>
    <row r="95" spans="3:5">
      <c r="C95" s="6"/>
      <c r="D95" s="6"/>
      <c r="E95" s="6"/>
    </row>
    <row r="96" spans="3:5">
      <c r="C96" s="6"/>
      <c r="D96" s="6"/>
      <c r="E96" s="6"/>
    </row>
    <row r="97" spans="3:5">
      <c r="C97" s="6"/>
      <c r="D97" s="6"/>
      <c r="E97" s="6"/>
    </row>
    <row r="98" spans="3:5">
      <c r="C98" s="6"/>
      <c r="D98" s="6"/>
      <c r="E98" s="6"/>
    </row>
    <row r="99" spans="3:5">
      <c r="C99" s="6"/>
      <c r="D99" s="6"/>
      <c r="E99" s="6"/>
    </row>
    <row r="100" spans="3:5">
      <c r="C100" s="6"/>
      <c r="D100" s="6"/>
      <c r="E100" s="6"/>
    </row>
    <row r="101" spans="3:5">
      <c r="C101" s="6"/>
      <c r="D101" s="6"/>
      <c r="E101" s="6"/>
    </row>
    <row r="102" spans="3:5">
      <c r="C102" s="6"/>
      <c r="D102" s="6"/>
      <c r="E102" s="6"/>
    </row>
    <row r="103" spans="3:5">
      <c r="C103" s="6"/>
      <c r="D103" s="6"/>
      <c r="E103" s="6"/>
    </row>
    <row r="104" spans="3:5">
      <c r="C104" s="6"/>
      <c r="D104" s="6"/>
      <c r="E104" s="6"/>
    </row>
    <row r="105" spans="3:5">
      <c r="C105" s="6"/>
      <c r="D105" s="6"/>
      <c r="E105" s="6"/>
    </row>
    <row r="106" spans="3:5">
      <c r="C106" s="6"/>
      <c r="D106" s="6"/>
      <c r="E106" s="6"/>
    </row>
    <row r="107" spans="3:5">
      <c r="C107" s="6"/>
      <c r="D107" s="6"/>
      <c r="E107" s="6"/>
    </row>
    <row r="108" spans="3:5">
      <c r="C108" s="6"/>
      <c r="D108" s="6"/>
      <c r="E108" s="6"/>
    </row>
    <row r="109" spans="3:5">
      <c r="C109" s="6"/>
      <c r="D109" s="6"/>
      <c r="E109" s="6"/>
    </row>
    <row r="110" spans="3:5">
      <c r="C110" s="6"/>
      <c r="D110" s="6"/>
      <c r="E110" s="6"/>
    </row>
    <row r="111" spans="3:5">
      <c r="C111" s="6"/>
      <c r="D111" s="6"/>
      <c r="E111" s="6"/>
    </row>
    <row r="112" spans="3:5">
      <c r="C112" s="6"/>
      <c r="D112" s="6"/>
      <c r="E112" s="6"/>
    </row>
    <row r="113" spans="3:5">
      <c r="C113" s="6"/>
      <c r="D113" s="6"/>
      <c r="E113" s="6"/>
    </row>
    <row r="114" spans="3:5">
      <c r="C114" s="6"/>
      <c r="D114" s="6"/>
      <c r="E114" s="6"/>
    </row>
    <row r="115" spans="3:5">
      <c r="C115" s="6"/>
      <c r="D115" s="6"/>
      <c r="E115" s="6"/>
    </row>
    <row r="116" spans="3:5">
      <c r="C116" s="6"/>
      <c r="D116" s="6"/>
      <c r="E116" s="6"/>
    </row>
    <row r="117" spans="3:5">
      <c r="C117" s="6"/>
      <c r="D117" s="6"/>
      <c r="E117" s="6"/>
    </row>
    <row r="118" spans="3:5">
      <c r="C118" s="6"/>
      <c r="D118" s="6"/>
      <c r="E118" s="6"/>
    </row>
    <row r="119" spans="3:5">
      <c r="C119" s="6"/>
      <c r="D119" s="6"/>
      <c r="E119" s="6"/>
    </row>
    <row r="120" spans="3:5">
      <c r="C120" s="6"/>
      <c r="D120" s="6"/>
      <c r="E120" s="6"/>
    </row>
    <row r="121" spans="3:5">
      <c r="C121" s="6"/>
      <c r="D121" s="6"/>
      <c r="E121" s="6"/>
    </row>
    <row r="122" spans="3:5">
      <c r="C122" s="6"/>
      <c r="D122" s="6"/>
      <c r="E122" s="6"/>
    </row>
    <row r="123" spans="3:5">
      <c r="C123" s="6"/>
      <c r="D123" s="6"/>
      <c r="E123" s="6"/>
    </row>
    <row r="124" spans="3:5">
      <c r="C124" s="6"/>
      <c r="D124" s="6"/>
      <c r="E124" s="6"/>
    </row>
    <row r="125" spans="3:5">
      <c r="C125" s="6"/>
      <c r="D125" s="6"/>
      <c r="E125" s="6"/>
    </row>
    <row r="126" spans="3:5">
      <c r="C126" s="6"/>
      <c r="D126" s="6"/>
      <c r="E126" s="6"/>
    </row>
    <row r="127" spans="3:5">
      <c r="C127" s="6"/>
      <c r="D127" s="6"/>
      <c r="E127" s="6"/>
    </row>
    <row r="128" spans="3:5">
      <c r="C128" s="6"/>
      <c r="D128" s="6"/>
      <c r="E128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44CD9-2DFF-4DFC-A93E-492AD442E261}">
  <dimension ref="A1:F66"/>
  <sheetViews>
    <sheetView workbookViewId="0"/>
  </sheetViews>
  <sheetFormatPr defaultRowHeight="15"/>
  <cols>
    <col min="4" max="6" width="10.28515625" bestFit="1" customWidth="1"/>
  </cols>
  <sheetData>
    <row r="1" spans="1:6" s="4" customFormat="1">
      <c r="A1" s="4" t="s">
        <v>221</v>
      </c>
    </row>
    <row r="10" spans="1:6">
      <c r="A10" t="s">
        <v>175</v>
      </c>
      <c r="D10" t="s">
        <v>176</v>
      </c>
      <c r="E10" t="s">
        <v>177</v>
      </c>
      <c r="F10" t="s">
        <v>178</v>
      </c>
    </row>
    <row r="11" spans="1:6">
      <c r="A11" t="s">
        <v>122</v>
      </c>
      <c r="D11" s="6">
        <v>40007</v>
      </c>
      <c r="E11" s="6">
        <v>41091</v>
      </c>
      <c r="F11" s="6">
        <v>40634</v>
      </c>
    </row>
    <row r="12" spans="1:6">
      <c r="A12" t="s">
        <v>80</v>
      </c>
      <c r="D12" s="6">
        <v>40044</v>
      </c>
      <c r="E12" s="6">
        <v>41500</v>
      </c>
      <c r="F12" s="6">
        <v>43739</v>
      </c>
    </row>
    <row r="13" spans="1:6">
      <c r="A13" t="s">
        <v>86</v>
      </c>
      <c r="D13" s="6">
        <v>40588</v>
      </c>
      <c r="E13" s="6">
        <v>41821</v>
      </c>
      <c r="F13" s="6">
        <v>43739</v>
      </c>
    </row>
    <row r="14" spans="1:6">
      <c r="A14" t="s">
        <v>108</v>
      </c>
      <c r="D14" s="6">
        <v>40859</v>
      </c>
      <c r="E14" s="6">
        <v>41211</v>
      </c>
      <c r="F14" s="6">
        <v>43466</v>
      </c>
    </row>
    <row r="15" spans="1:6">
      <c r="A15" t="s">
        <v>150</v>
      </c>
      <c r="D15" s="6">
        <v>41391</v>
      </c>
      <c r="E15" s="6">
        <v>43277</v>
      </c>
      <c r="F15" s="6">
        <v>42309</v>
      </c>
    </row>
    <row r="16" spans="1:6">
      <c r="A16" t="s">
        <v>154</v>
      </c>
      <c r="D16" s="6">
        <v>41404</v>
      </c>
      <c r="E16" s="6">
        <v>41030</v>
      </c>
      <c r="F16" s="6">
        <v>43617</v>
      </c>
    </row>
    <row r="17" spans="1:6">
      <c r="A17" t="s">
        <v>126</v>
      </c>
      <c r="D17" s="6">
        <v>41583</v>
      </c>
      <c r="E17" s="6">
        <v>41971</v>
      </c>
      <c r="F17" s="6">
        <v>43404</v>
      </c>
    </row>
    <row r="18" spans="1:6">
      <c r="A18" t="s">
        <v>74</v>
      </c>
      <c r="D18" s="6">
        <v>40831</v>
      </c>
      <c r="E18" s="6">
        <v>41585</v>
      </c>
      <c r="F18" s="6">
        <v>43405</v>
      </c>
    </row>
    <row r="19" spans="1:6">
      <c r="A19" t="s">
        <v>76</v>
      </c>
      <c r="D19" s="6">
        <v>41025</v>
      </c>
      <c r="E19" s="6">
        <v>41025</v>
      </c>
      <c r="F19" s="6">
        <v>45942</v>
      </c>
    </row>
    <row r="20" spans="1:6">
      <c r="A20" t="s">
        <v>62</v>
      </c>
      <c r="D20" s="6">
        <v>40725</v>
      </c>
      <c r="E20" s="6">
        <v>41726</v>
      </c>
      <c r="F20" s="6">
        <v>44158</v>
      </c>
    </row>
    <row r="21" spans="1:6">
      <c r="A21" t="s">
        <v>152</v>
      </c>
      <c r="D21" s="6">
        <v>40572</v>
      </c>
      <c r="E21" s="6">
        <v>41122</v>
      </c>
      <c r="F21" s="6"/>
    </row>
    <row r="22" spans="1:6">
      <c r="A22" t="s">
        <v>148</v>
      </c>
      <c r="D22" s="6">
        <v>41275</v>
      </c>
      <c r="E22" s="6">
        <v>41275</v>
      </c>
      <c r="F22" s="6">
        <v>43191</v>
      </c>
    </row>
    <row r="23" spans="1:6">
      <c r="A23" t="s">
        <v>50</v>
      </c>
      <c r="D23" s="6">
        <v>40806</v>
      </c>
      <c r="E23" s="6">
        <v>41624</v>
      </c>
      <c r="F23" s="6">
        <v>46141</v>
      </c>
    </row>
    <row r="24" spans="1:6">
      <c r="A24" t="s">
        <v>156</v>
      </c>
      <c r="D24" s="6">
        <v>41116</v>
      </c>
      <c r="E24" s="6">
        <v>41760</v>
      </c>
      <c r="F24" s="6">
        <v>43221</v>
      </c>
    </row>
    <row r="25" spans="1:6">
      <c r="A25" t="s">
        <v>130</v>
      </c>
      <c r="D25" s="6">
        <v>40571</v>
      </c>
      <c r="E25" s="6">
        <v>41726</v>
      </c>
      <c r="F25" s="6">
        <v>44835</v>
      </c>
    </row>
    <row r="26" spans="1:6">
      <c r="A26" t="s">
        <v>100</v>
      </c>
      <c r="D26" s="6">
        <v>40617</v>
      </c>
      <c r="E26" s="6">
        <v>41653</v>
      </c>
      <c r="F26" s="6">
        <v>45597</v>
      </c>
    </row>
    <row r="27" spans="1:6">
      <c r="A27" t="s">
        <v>54</v>
      </c>
      <c r="D27" s="6">
        <v>41578</v>
      </c>
      <c r="E27" s="6">
        <v>41578</v>
      </c>
      <c r="F27" s="6">
        <v>44652</v>
      </c>
    </row>
    <row r="28" spans="1:6">
      <c r="A28" t="s">
        <v>106</v>
      </c>
      <c r="D28" s="6">
        <v>41590</v>
      </c>
      <c r="E28" s="6">
        <v>41979</v>
      </c>
      <c r="F28" s="6">
        <v>44284</v>
      </c>
    </row>
    <row r="29" spans="1:6">
      <c r="A29" t="s">
        <v>124</v>
      </c>
      <c r="D29" s="6">
        <v>41487</v>
      </c>
      <c r="E29" s="6">
        <v>40742</v>
      </c>
      <c r="F29" s="6"/>
    </row>
    <row r="30" spans="1:6">
      <c r="A30" t="s">
        <v>94</v>
      </c>
      <c r="D30" s="6">
        <v>41648</v>
      </c>
      <c r="E30" s="6">
        <v>42485</v>
      </c>
      <c r="F30" s="6">
        <v>43794</v>
      </c>
    </row>
    <row r="31" spans="1:6">
      <c r="A31" t="s">
        <v>60</v>
      </c>
      <c r="D31" s="6">
        <v>41912</v>
      </c>
      <c r="E31" s="6">
        <v>42795</v>
      </c>
      <c r="F31" s="6">
        <v>43770</v>
      </c>
    </row>
    <row r="32" spans="1:6">
      <c r="A32" t="s">
        <v>104</v>
      </c>
      <c r="D32" s="6">
        <v>41365</v>
      </c>
      <c r="E32" s="6">
        <v>42251</v>
      </c>
      <c r="F32" s="6">
        <v>44515</v>
      </c>
    </row>
    <row r="33" spans="1:6">
      <c r="A33" t="s">
        <v>70</v>
      </c>
      <c r="D33" s="6">
        <v>41249</v>
      </c>
      <c r="E33" s="6">
        <v>41812</v>
      </c>
      <c r="F33" s="6">
        <v>45998</v>
      </c>
    </row>
    <row r="34" spans="1:6">
      <c r="A34" t="s">
        <v>98</v>
      </c>
      <c r="D34" s="6">
        <v>41218</v>
      </c>
      <c r="E34" s="6">
        <v>41764</v>
      </c>
      <c r="F34" s="6">
        <v>45992</v>
      </c>
    </row>
    <row r="35" spans="1:6">
      <c r="A35" t="s">
        <v>136</v>
      </c>
      <c r="D35" s="6">
        <v>41243</v>
      </c>
      <c r="E35" s="6">
        <v>42635</v>
      </c>
      <c r="F35" s="6">
        <v>44470</v>
      </c>
    </row>
    <row r="36" spans="1:6">
      <c r="A36" t="s">
        <v>48</v>
      </c>
      <c r="D36" s="6">
        <v>41428</v>
      </c>
      <c r="E36" s="6">
        <v>41757</v>
      </c>
      <c r="F36" s="6">
        <v>46023</v>
      </c>
    </row>
    <row r="37" spans="1:6">
      <c r="A37" t="s">
        <v>52</v>
      </c>
      <c r="D37" s="6">
        <v>40750</v>
      </c>
      <c r="E37" s="6">
        <v>43800</v>
      </c>
      <c r="F37" s="6">
        <v>45992</v>
      </c>
    </row>
    <row r="38" spans="1:6">
      <c r="A38" t="s">
        <v>66</v>
      </c>
      <c r="D38" s="6">
        <v>41193</v>
      </c>
      <c r="E38" s="6">
        <v>41753</v>
      </c>
      <c r="F38" s="6"/>
    </row>
    <row r="39" spans="1:6">
      <c r="A39" t="s">
        <v>128</v>
      </c>
      <c r="D39" s="6">
        <v>42052</v>
      </c>
      <c r="E39" s="6">
        <v>44007</v>
      </c>
      <c r="F39" s="6">
        <v>43586</v>
      </c>
    </row>
    <row r="40" spans="1:6">
      <c r="A40" t="s">
        <v>72</v>
      </c>
      <c r="D40" s="6">
        <v>42217</v>
      </c>
      <c r="E40" s="6">
        <v>41865</v>
      </c>
      <c r="F40" s="6">
        <v>44866</v>
      </c>
    </row>
    <row r="41" spans="1:6">
      <c r="A41" t="s">
        <v>142</v>
      </c>
      <c r="D41" s="6">
        <v>41809</v>
      </c>
      <c r="E41" s="6">
        <v>41809</v>
      </c>
      <c r="F41" s="6">
        <v>45258</v>
      </c>
    </row>
    <row r="42" spans="1:6">
      <c r="A42" t="s">
        <v>110</v>
      </c>
      <c r="D42" s="6">
        <v>41856</v>
      </c>
      <c r="E42" s="6">
        <v>41856</v>
      </c>
      <c r="F42" s="6"/>
    </row>
    <row r="43" spans="1:6">
      <c r="A43" t="s">
        <v>96</v>
      </c>
      <c r="D43" s="6">
        <v>42195</v>
      </c>
      <c r="E43" s="6">
        <v>43087</v>
      </c>
      <c r="F43" s="6">
        <v>44652</v>
      </c>
    </row>
    <row r="44" spans="1:6">
      <c r="A44" t="s">
        <v>116</v>
      </c>
      <c r="D44" s="6">
        <v>41191</v>
      </c>
      <c r="E44" s="6">
        <v>43191</v>
      </c>
      <c r="F44" s="6">
        <v>45915</v>
      </c>
    </row>
    <row r="45" spans="1:6">
      <c r="A45" t="s">
        <v>64</v>
      </c>
      <c r="D45" s="6">
        <v>40909</v>
      </c>
      <c r="E45" s="6">
        <v>43800</v>
      </c>
      <c r="F45" s="6"/>
    </row>
    <row r="46" spans="1:6">
      <c r="A46" t="s">
        <v>82</v>
      </c>
      <c r="D46" s="6">
        <v>42174</v>
      </c>
      <c r="E46" s="6">
        <v>42332</v>
      </c>
      <c r="F46" s="6"/>
    </row>
    <row r="47" spans="1:6">
      <c r="A47" t="s">
        <v>46</v>
      </c>
      <c r="D47" s="6">
        <v>41615</v>
      </c>
      <c r="E47" s="6">
        <v>43101</v>
      </c>
      <c r="F47" s="6"/>
    </row>
    <row r="48" spans="1:6">
      <c r="A48" t="s">
        <v>114</v>
      </c>
      <c r="D48" s="6">
        <v>42023</v>
      </c>
      <c r="E48" s="6">
        <v>44014</v>
      </c>
      <c r="F48" s="6">
        <v>45692</v>
      </c>
    </row>
    <row r="49" spans="1:6">
      <c r="A49" t="s">
        <v>92</v>
      </c>
      <c r="D49" s="6">
        <v>41549</v>
      </c>
      <c r="E49" s="6"/>
      <c r="F49" s="6">
        <v>43862</v>
      </c>
    </row>
    <row r="50" spans="1:6">
      <c r="A50" t="s">
        <v>102</v>
      </c>
      <c r="D50" s="6">
        <v>42552</v>
      </c>
      <c r="E50" s="6">
        <v>43863</v>
      </c>
      <c r="F50" s="6">
        <v>44124</v>
      </c>
    </row>
    <row r="51" spans="1:6">
      <c r="A51" t="s">
        <v>88</v>
      </c>
      <c r="D51" s="6">
        <v>42450</v>
      </c>
      <c r="E51" s="6">
        <v>43814</v>
      </c>
      <c r="F51" s="6">
        <v>44866</v>
      </c>
    </row>
    <row r="52" spans="1:6">
      <c r="A52" t="s">
        <v>84</v>
      </c>
      <c r="D52" s="6">
        <v>43402</v>
      </c>
      <c r="E52" s="6">
        <v>41756</v>
      </c>
      <c r="F52" s="6"/>
    </row>
    <row r="53" spans="1:6">
      <c r="A53" t="s">
        <v>112</v>
      </c>
      <c r="D53" s="6">
        <v>41995</v>
      </c>
      <c r="E53" s="6">
        <v>44795</v>
      </c>
      <c r="F53" s="6">
        <v>45223</v>
      </c>
    </row>
    <row r="54" spans="1:6">
      <c r="A54" t="s">
        <v>138</v>
      </c>
      <c r="D54" s="6"/>
      <c r="E54" s="6"/>
      <c r="F54" s="6"/>
    </row>
    <row r="55" spans="1:6">
      <c r="A55" t="s">
        <v>58</v>
      </c>
      <c r="D55" s="6">
        <v>40724</v>
      </c>
      <c r="E55" s="6"/>
      <c r="F55" s="6"/>
    </row>
    <row r="56" spans="1:6">
      <c r="A56" t="s">
        <v>144</v>
      </c>
      <c r="D56" s="6">
        <v>44866</v>
      </c>
      <c r="E56" s="6">
        <v>42009</v>
      </c>
      <c r="F56" s="6">
        <v>45931</v>
      </c>
    </row>
    <row r="57" spans="1:6">
      <c r="A57" t="s">
        <v>90</v>
      </c>
      <c r="D57" s="6">
        <v>42018</v>
      </c>
      <c r="E57" s="6">
        <v>46001</v>
      </c>
      <c r="F57" s="6">
        <v>45200</v>
      </c>
    </row>
    <row r="58" spans="1:6">
      <c r="A58" t="s">
        <v>118</v>
      </c>
      <c r="D58" s="6">
        <v>41590</v>
      </c>
      <c r="E58" s="6"/>
      <c r="F58" s="6">
        <v>46273</v>
      </c>
    </row>
    <row r="59" spans="1:6">
      <c r="A59" t="s">
        <v>56</v>
      </c>
      <c r="D59" s="6">
        <v>42084</v>
      </c>
      <c r="E59" s="6"/>
      <c r="F59" s="6">
        <v>45589</v>
      </c>
    </row>
    <row r="60" spans="1:6">
      <c r="A60" t="s">
        <v>146</v>
      </c>
      <c r="D60" s="6">
        <v>44938</v>
      </c>
      <c r="E60" s="6">
        <v>43800</v>
      </c>
      <c r="F60" s="6">
        <v>45512</v>
      </c>
    </row>
    <row r="61" spans="1:6">
      <c r="A61" t="s">
        <v>140</v>
      </c>
      <c r="D61" s="6">
        <v>45590</v>
      </c>
      <c r="E61" s="6">
        <v>45590</v>
      </c>
      <c r="F61" s="6"/>
    </row>
    <row r="62" spans="1:6">
      <c r="A62" t="s">
        <v>68</v>
      </c>
      <c r="D62" s="6"/>
      <c r="E62" s="6"/>
      <c r="F62" s="6">
        <v>45987</v>
      </c>
    </row>
    <row r="63" spans="1:6">
      <c r="A63" t="s">
        <v>78</v>
      </c>
      <c r="D63" s="6"/>
      <c r="E63" s="6"/>
      <c r="F63" s="6"/>
    </row>
    <row r="64" spans="1:6">
      <c r="A64" t="s">
        <v>132</v>
      </c>
      <c r="D64" s="6">
        <v>45770</v>
      </c>
      <c r="E64" s="6">
        <v>45770</v>
      </c>
      <c r="F64" s="6"/>
    </row>
    <row r="65" spans="1:6">
      <c r="A65" t="s">
        <v>134</v>
      </c>
      <c r="D65" s="6">
        <v>45804</v>
      </c>
      <c r="E65" s="6">
        <v>45804</v>
      </c>
      <c r="F65" s="6"/>
    </row>
    <row r="66" spans="1:6">
      <c r="A66" t="s">
        <v>120</v>
      </c>
      <c r="D66" s="6"/>
      <c r="E66" s="6"/>
      <c r="F66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d43fc8-324d-415d-a068-ddd99381b85a">
      <Terms xmlns="http://schemas.microsoft.com/office/infopath/2007/PartnerControls"/>
    </lcf76f155ced4ddcb4097134ff3c332f>
    <TaxCatchAll xmlns="a58da66d-7c6a-432b-b979-1ca66629dce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5AF987309144193B81B97A411EE7A" ma:contentTypeVersion="16" ma:contentTypeDescription="Create a new document." ma:contentTypeScope="" ma:versionID="c32eee398d065a6836f36a50d272b7d7">
  <xsd:schema xmlns:xsd="http://www.w3.org/2001/XMLSchema" xmlns:xs="http://www.w3.org/2001/XMLSchema" xmlns:p="http://schemas.microsoft.com/office/2006/metadata/properties" xmlns:ns2="06d43fc8-324d-415d-a068-ddd99381b85a" xmlns:ns3="a58da66d-7c6a-432b-b979-1ca66629dcec" targetNamespace="http://schemas.microsoft.com/office/2006/metadata/properties" ma:root="true" ma:fieldsID="309b6ba5cae71267984db389f0629e69" ns2:_="" ns3:_="">
    <xsd:import namespace="06d43fc8-324d-415d-a068-ddd99381b85a"/>
    <xsd:import namespace="a58da66d-7c6a-432b-b979-1ca66629dc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d43fc8-324d-415d-a068-ddd99381b8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5e2b2fc-0517-44cc-85bc-21d743cacc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8da66d-7c6a-432b-b979-1ca66629dce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3fee90c-cd77-4045-b975-45f49622bb15}" ma:internalName="TaxCatchAll" ma:showField="CatchAllData" ma:web="a58da66d-7c6a-432b-b979-1ca66629dc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E55436-8C50-447C-A608-5D8305A098E7}">
  <ds:schemaRefs>
    <ds:schemaRef ds:uri="http://schemas.microsoft.com/office/2006/metadata/properties"/>
    <ds:schemaRef ds:uri="http://schemas.microsoft.com/office/infopath/2007/PartnerControls"/>
    <ds:schemaRef ds:uri="06d43fc8-324d-415d-a068-ddd99381b85a"/>
    <ds:schemaRef ds:uri="a58da66d-7c6a-432b-b979-1ca66629dcec"/>
  </ds:schemaRefs>
</ds:datastoreItem>
</file>

<file path=customXml/itemProps2.xml><?xml version="1.0" encoding="utf-8"?>
<ds:datastoreItem xmlns:ds="http://schemas.openxmlformats.org/officeDocument/2006/customXml" ds:itemID="{8053462E-EB84-4C85-8F03-F59F00315D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407FBE-F54F-41F0-9499-8F7931A34B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d43fc8-324d-415d-a068-ddd99381b85a"/>
    <ds:schemaRef ds:uri="a58da66d-7c6a-432b-b979-1ca66629dc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17009a6-20de-461a-8894-0312a395cac9}" enabled="0" method="" siteId="{717009a6-20de-461a-8894-0312a395cac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Settings</vt:lpstr>
      <vt:lpstr>Demand</vt:lpstr>
      <vt:lpstr>Schedule</vt:lpstr>
      <vt:lpstr>Introductions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justin.r.ortiz.95@alum.dartmouth.org</dc:creator>
  <dc:description/>
  <cp:lastModifiedBy>Ortiz, Justin</cp:lastModifiedBy>
  <cp:revision>0</cp:revision>
  <dcterms:created xsi:type="dcterms:W3CDTF">2026-10-01T20:11:34Z</dcterms:created>
  <dcterms:modified xsi:type="dcterms:W3CDTF">2026-10-24T20:10:15Z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0x010100C405AF987309144193B81B97A411EE7A</vt:lpwstr>
  </property>
  <property fmtid="{D5CDD505-2E9C-101B-9397-08002B2CF9AE}" pid="3" name="MediaServiceImageTags">
    <vt:lpwstr/>
  </property>
</Properties>
</file>