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1060" windowHeight="15800" activeTab="1"/>
  </bookViews>
  <sheets>
    <sheet name="README" sheetId="1" r:id="rId1"/>
    <sheet name="Settings" sheetId="2" r:id="rId2"/>
    <sheet name="Calculator" sheetId="3" r:id="rId3"/>
    <sheet name="Feasibility" sheetId="4" r:id="rId4"/>
    <sheet name="Compare_Scenarios" sheetId="5" r:id="rId5"/>
    <sheet name="Export_Priorities" sheetId="6" r:id="rId6"/>
    <sheet name="Countries" sheetId="7" r:id="rId7"/>
    <sheet name="Pathogens" sheetId="8" r:id="rId8"/>
    <sheet name="Endemicity" sheetId="9" r:id="rId9"/>
    <sheet name="SubScores_Burden" sheetId="10" r:id="rId10"/>
    <sheet name="SubScores_Epidemic" sheetId="11" r:id="rId11"/>
    <sheet name="SubScores_WES" sheetId="12" r:id="rId12"/>
    <sheet name="SubScores_SurvGap" sheetId="13" r:id="rId13"/>
    <sheet name="SubScores_Intervene" sheetId="14" r:id="rId14"/>
    <sheet name="SubScores_AMR" sheetId="15" r:id="rId15"/>
    <sheet name="SubScores_Equity" sheetId="16" r:id="rId16"/>
    <sheet name="Thresholds" sheetId="17" r:id="rId17"/>
    <sheet name="Sources" sheetId="18" r:id="rId18"/>
    <sheet name="DataSources" sheetId="19" r:id="rId19"/>
  </sheets>
  <definedNames>
    <definedName name="_xlnm._FilterDatabase" localSheetId="3" hidden="1">Feasibility!$A$5:$I$69</definedName>
    <definedName name="_xlnm._FilterDatabase" localSheetId="5" hidden="1">Export_Priorities!$A$5:$J$69</definedName>
    <definedName name="CountryList">Countries!$B$2:$B$55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<sst xmlns="http://schemas.openxmlformats.org/spreadsheetml/2006/main" count="6355" uniqueCount="882">
  <si>
    <t>Pathogen Priority Scoring Matrix Calculator — Africa</t>
  </si>
  <si>
    <t>Version 1.0 • Aligned to WHO R&amp;D Blueprint, Africa CDC priority pathogens, IHR (2005), IHME GBD 2021</t>
  </si>
  <si>
    <t>PURPOSE</t>
  </si>
  <si>
    <t>This workbook converts subjective 'gut-feel' pathogen prioritisation into an OBJECTIVE, AUDITABLE score.</t>
  </si>
  <si>
    <t>For each of 7 criteria, the user enters raw indicator values (or accepts WHO/Africa CDC defaults).</t>
  </si>
  <si>
    <t>Formulas convert raw indicators to 1–5 scores using WHO-aligned thresholds; weighted aggregation produces</t>
  </si>
  <si>
    <t>a composite Priority Score (0–100) and a Tier (Always-on / Seasonal-Regional / Event-driven).</t>
  </si>
  <si>
    <t>WORKBOOK MAP</t>
  </si>
  <si>
    <t xml:space="preserve">  1. README — this sheet</t>
  </si>
  <si>
    <t xml:space="preserve">  2. Settings — criterion weights, tier thresholds, master toggles</t>
  </si>
  <si>
    <t xml:space="preserve">  3. Countries — 54 African countries with WHO/Africa CDC defaults (population, U5 mortality, WASH, IDSR, lab, PHEIC history, fragility)</t>
  </si>
  <si>
    <t xml:space="preserve">  4. Pathogens — 64 pathogens (WHO R&amp;D Blueprint, Africa CDC priority, AMR markers, NTDs) with pathogen-intrinsic properties</t>
  </si>
  <si>
    <t xml:space="preserve">  5. Calculator — MAIN SHEET. Pick a country in cell B3. All scores recalculate live for all 64 pathogens.</t>
  </si>
  <si>
    <t xml:space="preserve">  6. SubScores_Burden — sub-indicator detail for criterion 1</t>
  </si>
  <si>
    <t xml:space="preserve">  7. SubScores_Epidemic — sub-indicator detail for criterion 2</t>
  </si>
  <si>
    <t xml:space="preserve">  8. SubScores_WES — sub-indicator detail for criterion 3 (WES suitability)</t>
  </si>
  <si>
    <t xml:space="preserve">  9. SubScores_SurvGap — sub-indicator detail for criterion 4</t>
  </si>
  <si>
    <t xml:space="preserve"> 10. SubScores_Intervene — sub-indicator detail for criterion 5</t>
  </si>
  <si>
    <t xml:space="preserve"> 11. SubScores_AMR — sub-indicator detail for criterion 6</t>
  </si>
  <si>
    <t xml:space="preserve"> 12. SubScores_Equity — sub-indicator detail for criterion 7</t>
  </si>
  <si>
    <t xml:space="preserve"> 13. Thresholds — all numeric cut-offs used to convert raw values to 1–5 scores (transparent, editable)</t>
  </si>
  <si>
    <t xml:space="preserve"> 14. DataSources — full citation list with URLs</t>
  </si>
  <si>
    <t>HOW TO USE (5 STEPS)</t>
  </si>
  <si>
    <t xml:space="preserve">  1. Open the 'Calculator' sheet.</t>
  </si>
  <si>
    <t xml:space="preserve">  2. In cell B3, choose your country from the dropdown.</t>
  </si>
  <si>
    <t xml:space="preserve">  3. Review the auto-computed Composite Score and Tier columns.</t>
  </si>
  <si>
    <t xml:space="preserve">  4. Sort the table by Composite Score to see your top WES targets.</t>
  </si>
  <si>
    <t xml:space="preserve">  5. To override any default, edit the corresponding cell on the SubScores_* sheets (yellow = input).</t>
  </si>
  <si>
    <t>COLOUR LEGEND</t>
  </si>
  <si>
    <t xml:space="preserve">  • Yellow fill / blue text = user input or default value (editable)</t>
  </si>
  <si>
    <t xml:space="preserve">  • Green fill / black text = formula (do not edit)</t>
  </si>
  <si>
    <t xml:space="preserve">  • Orange fill = data gap / regional proxy used</t>
  </si>
  <si>
    <t xml:space="preserve">  • Header dark blue = section header</t>
  </si>
  <si>
    <t>DATA SOURCES (see DataSources tab for full list)</t>
  </si>
  <si>
    <t xml:space="preserve">  • WHO R&amp;D Blueprint priority pathogens (2024 update)</t>
  </si>
  <si>
    <t xml:space="preserve">  • Africa CDC Priority Pathogens List (2023)</t>
  </si>
  <si>
    <t xml:space="preserve">  • IHME Global Burden of Disease 2021 — Africa region</t>
  </si>
  <si>
    <t xml:space="preserve">  • WHO AFRO IDSR situation reports</t>
  </si>
  <si>
    <t xml:space="preserve">  • WHO/UNICEF JMP for water &amp; sanitation 2024</t>
  </si>
  <si>
    <t xml:space="preserve">  • Africa CDC Continental Framework for AMR Control (2023-2027)</t>
  </si>
  <si>
    <t xml:space="preserve">  • WHO Global Tuberculosis Report 2024</t>
  </si>
  <si>
    <t xml:space="preserve">  • WHO IHR (2005) State Party Self-Assessment Annual Reports</t>
  </si>
  <si>
    <t>DISCLAIMER</t>
  </si>
  <si>
    <t>Default values are illustrative regional benchmarks suitable for pilot prioritisation. Countries should</t>
  </si>
  <si>
    <t>validate every cell against their own NICD/NPHI/Ministry of Health surveillance bulletins before using</t>
  </si>
  <si>
    <t>this matrix for resource allocation or budgetary commitments.</t>
  </si>
  <si>
    <t>New sheets in v3:</t>
  </si>
  <si>
    <t>• Compare_Scenarios — pick up to 4 countries (row 4) for side-by-side composite scores per pathogen.</t>
  </si>
  <si>
    <t>• Export_Priorities — auto-ranked, print-ready Tier list for the country selected in Calculator!B3.</t>
  </si>
  <si>
    <t>Version 4 — 2026-07-30</t>
  </si>
  <si>
    <t>Country reference data on the Countries sheet fully refreshed from primary sources. All 54 AU member states now carry sourced values for all nine indicators; nothing is imputed.</t>
  </si>
  <si>
    <t>Population: UN WPP 2025 estimate. U5 mortality: UN IGME 2024. Water &amp; sanitation: WHO/UNICEF JMP 2024. IDSR &amp; laboratory capacity: WHO IHR SPAR 2nd edition, 2023 round (rescaled from 0-100 to 1-5; raw scores kept in columns P-Q). Fragility: Fund for Peace FSI 2023.</t>
  </si>
  <si>
    <t>Health Index is now two measures side by side — IHME HAQ Index (GBD 2019) in column I and WHO UHC Service Coverage Index (SDG 3.8.1, 2023) in column J — with a blended average in column H. The blended value is what the scoring engine reads, so all downstream scores stay driven by one field.</t>
  </si>
  <si>
    <t>The old "PHEIC events last 5y" field is renamed "WHO-notified outbreak events last 5y" and is now counted from the WHO Disease Outbreak News archive (2021 onward), collapsing repeat postings for the same country and disease within 180 days into one event. Scoring thresholds are unchanged.</t>
  </si>
  <si>
    <t>New Sources sheet documents every indicator: organisation, dataset, vintage, units, URL, extraction method and known limitations, including the SPAR self-assessment bias caveat.</t>
  </si>
  <si>
    <t>Two columns were inserted into the Countries sheet for the second health measure; all VLOOKUP column offsets across Calculator, Compare_Scenarios, Export_Priorities and the SubScores sheets were re-pointed accordingly.</t>
  </si>
  <si>
    <t>v5 — what changed</t>
  </si>
  <si>
    <t>1. Countries sheet: 16 new indicators (sewer coverage, urbanisation, safely managed WASH, DTP3/MCV1/Pol3, HIV, stunting, GLASS, INFORM climate, refugees/IDPs, points of entry, polio ES sites, NGS capacity, lab network tier).</t>
  </si>
  <si>
    <t>2. Pathogens sheet: 10 new attributes (shedding duration and load, asymptomatic fraction, assay tier and cost, wastewater detectability, variant-typing value, countermeasure, NGS requirement, clinical surveillance coverage).</t>
  </si>
  <si>
    <t>3. NEW Endemicity sheet: every country x pathogen classed Endemic / Sporadic / Emerging / Not present. Fully editable — correct your own row.</t>
  </si>
  <si>
    <t>4. Endemicity-aware scoring: the composite now answers a different question depending on the class.</t>
  </si>
  <si>
    <t xml:space="preserve">      Endemic  -&gt; trend and intensity monitoring: burden and actionability up-weighted, epidemic potential down-weighted.</t>
  </si>
  <si>
    <t xml:space="preserve">      Sporadic -&gt; early detection sensitivity: epidemic potential and WES fit dominate; low endemic burden no longer penalises the score.</t>
  </si>
  <si>
    <t xml:space="preserve">      Emerging -&gt; horizon scanning: importation pathways and assay availability dominate.</t>
  </si>
  <si>
    <t xml:space="preserve">      Not present -&gt; excluded from the ranked panel and listed as watch-only.</t>
  </si>
  <si>
    <t>5. Programme stage (Calculator!B4): Pilot (Pathway A) or Expanding (Pathway B). Pilots weight WES fit, method maturity and cost; expanders weight marginal information gain over existing clinical surveillance. Both weight sets are editable on Settings.</t>
  </si>
  <si>
    <t>6. NEW Feasibility sheet: a 0-100 capability score per pathogen and a Do now / Invest to enable / Low-cost add-on / Defer quadrant. This is the sheet that answers 'what do we actually start with in year 1'.</t>
  </si>
  <si>
    <t>7. Compare_Scenarios and Export_Priorities now run on the v5 engine; Export flags the year-1 panel.</t>
  </si>
  <si>
    <t>8. The v4 composite is retained on Calculator columns K and L as a legacy comparison. Set Settings!B48 to OFF to run v5 with uniform multipliers.</t>
  </si>
  <si>
    <t>STATUS: under development. Indicator values and endemicity classes are indicative and require national verification before operational use.</t>
  </si>
  <si>
    <t>Settings — Weights &amp; Thresholds</t>
  </si>
  <si>
    <t>Criterion code</t>
  </si>
  <si>
    <t>Criterion name</t>
  </si>
  <si>
    <t>Weight</t>
  </si>
  <si>
    <t>BURDEN</t>
  </si>
  <si>
    <t>Disease burden</t>
  </si>
  <si>
    <t>EPIDEMIC</t>
  </si>
  <si>
    <t>Epidemic / pandemic potential</t>
  </si>
  <si>
    <t>WES_FIT</t>
  </si>
  <si>
    <t>WES suitability (sheddable in wastewater)</t>
  </si>
  <si>
    <t>SURV_GAP</t>
  </si>
  <si>
    <t>Clinical surveillance gap</t>
  </si>
  <si>
    <t>INTERVENE</t>
  </si>
  <si>
    <t>Actionability (intervention available)</t>
  </si>
  <si>
    <t>AMR</t>
  </si>
  <si>
    <t>AMR / treatment-failure risk</t>
  </si>
  <si>
    <t>EQUITY</t>
  </si>
  <si>
    <t>Vulnerable-population &amp; equity impact</t>
  </si>
  <si>
    <t>TOTAL</t>
  </si>
  <si>
    <t>Tier thresholds (composite 0-100)</t>
  </si>
  <si>
    <t>Always-on (Tier 1) ≥</t>
  </si>
  <si>
    <t>Seasonal/Regional (Tier 2) ≥</t>
  </si>
  <si>
    <t>Event-driven (Tier 3) ≥</t>
  </si>
  <si>
    <t>v5 — Programme-stage weight profiles</t>
  </si>
  <si>
    <t>Edit the Pilot and Expanding columns only. 'Active' follows Calculator!B4 and must total 1.00.</t>
  </si>
  <si>
    <t>Active weight</t>
  </si>
  <si>
    <t>Pilot (Pathway A)</t>
  </si>
  <si>
    <t>Expanding (Pathway B)</t>
  </si>
  <si>
    <t>INFO_GAIN</t>
  </si>
  <si>
    <t>Marginal information gain over clinical surveillance</t>
  </si>
  <si>
    <t>OPS_READY</t>
  </si>
  <si>
    <t>Operational readiness (method maturity, NGS, cost, catchment)</t>
  </si>
  <si>
    <t>Endemicity mode multipliers (applied to the weights above)</t>
  </si>
  <si>
    <t>Criterion</t>
  </si>
  <si>
    <t>Endemic</t>
  </si>
  <si>
    <t>Sporadic</t>
  </si>
  <si>
    <t>Emerging</t>
  </si>
  <si>
    <t>Not present</t>
  </si>
  <si>
    <t>Uniform</t>
  </si>
  <si>
    <t>Effective weight total</t>
  </si>
  <si>
    <t>Toggles</t>
  </si>
  <si>
    <t>Endemicity-aware mode (ON = v5 dual-objective, OFF = uniform)</t>
  </si>
  <si>
    <t>ON</t>
  </si>
  <si>
    <t>Priority threshold for 'Do now' (0-100)</t>
  </si>
  <si>
    <t>Feasibility threshold for 'Do now' (0-100)</t>
  </si>
  <si>
    <t>'Not present' suppression factor (0-1)</t>
  </si>
  <si>
    <t>Pathogen Priority Calculator — select country in B3</t>
  </si>
  <si>
    <t>Country:</t>
  </si>
  <si>
    <t>Kenya</t>
  </si>
  <si>
    <t>Reference data refreshed 2026-07-30 — provenance on the Sources sheet</t>
  </si>
  <si>
    <t>Programme stage:</t>
  </si>
  <si>
    <t>← drives the weight profile on Settings</t>
  </si>
  <si>
    <t>Region</t>
  </si>
  <si>
    <t>Population (m)</t>
  </si>
  <si>
    <t>U5 mortality</t>
  </si>
  <si>
    <t>Sanitation %</t>
  </si>
  <si>
    <t>Water %</t>
  </si>
  <si>
    <t>Health Index (blended)</t>
  </si>
  <si>
    <t xml:space="preserve">  of which: IHME HAQ</t>
  </si>
  <si>
    <t xml:space="preserve">  of which: WHO UHC SCI</t>
  </si>
  <si>
    <t>Surveillance strength (1-5)</t>
  </si>
  <si>
    <t>Lab capacity</t>
  </si>
  <si>
    <t>WHO outbreak events 5y</t>
  </si>
  <si>
    <t>Fragility</t>
  </si>
  <si>
    <t>Sewer-connected pop. %</t>
  </si>
  <si>
    <t>Urban population %</t>
  </si>
  <si>
    <t>Safely managed sanitation %</t>
  </si>
  <si>
    <t>DTP3 coverage %</t>
  </si>
  <si>
    <t>MCV1 coverage %</t>
  </si>
  <si>
    <t>HIV prevalence %</t>
  </si>
  <si>
    <t>Under-5 stunting %</t>
  </si>
  <si>
    <t>INFORM climate exposure</t>
  </si>
  <si>
    <t>Refugees+IDPs /1,000</t>
  </si>
  <si>
    <t>PoE / mobility index</t>
  </si>
  <si>
    <t>Polio ES sites</t>
  </si>
  <si>
    <t>NGS capacity (0-3)</t>
  </si>
  <si>
    <t>Lab network tier (0-3)</t>
  </si>
  <si>
    <t>Code</t>
  </si>
  <si>
    <t>Pathogen</t>
  </si>
  <si>
    <t>Category</t>
  </si>
  <si>
    <t>Burden (1-5)</t>
  </si>
  <si>
    <t>Epidemic (1-5)</t>
  </si>
  <si>
    <t>WES Fit (1-5)</t>
  </si>
  <si>
    <t>Surv Gap (1-5)</t>
  </si>
  <si>
    <t>Intervene (1-5)</t>
  </si>
  <si>
    <t>AMR (1-5)</t>
  </si>
  <si>
    <t>Equity (1-5)</t>
  </si>
  <si>
    <t>Composite v4 (legacy)</t>
  </si>
  <si>
    <t>Tier v4 (legacy)</t>
  </si>
  <si>
    <t>Endemicity class</t>
  </si>
  <si>
    <t>cls#</t>
  </si>
  <si>
    <t>Info gain (1-5)</t>
  </si>
  <si>
    <t>Ops readiness (1-5)</t>
  </si>
  <si>
    <t>Scoring objective</t>
  </si>
  <si>
    <t>Composite v5 (0-100)</t>
  </si>
  <si>
    <t>Tier (v5)</t>
  </si>
  <si>
    <t>Feasibility (0-100)</t>
  </si>
  <si>
    <t>Quadrant</t>
  </si>
  <si>
    <t>Recommended action</t>
  </si>
  <si>
    <t>POLIO</t>
  </si>
  <si>
    <t>Poliovirus (WPV1, cVDPV2)</t>
  </si>
  <si>
    <t>Vaccine-preventable viral</t>
  </si>
  <si>
    <t>MEASLES</t>
  </si>
  <si>
    <t>Measles virus</t>
  </si>
  <si>
    <t>RUBELLA</t>
  </si>
  <si>
    <t>Rubella virus</t>
  </si>
  <si>
    <t>YF</t>
  </si>
  <si>
    <t>Yellow fever virus</t>
  </si>
  <si>
    <t>Arbovirus</t>
  </si>
  <si>
    <t>DENGUE</t>
  </si>
  <si>
    <t>Dengue virus (1-4)</t>
  </si>
  <si>
    <t>CHIK</t>
  </si>
  <si>
    <t>Chikungunya virus</t>
  </si>
  <si>
    <t>ZIKA</t>
  </si>
  <si>
    <t>Zika virus</t>
  </si>
  <si>
    <t>WNV</t>
  </si>
  <si>
    <t>West Nile virus</t>
  </si>
  <si>
    <t>RVF</t>
  </si>
  <si>
    <t>Rift Valley fever virus</t>
  </si>
  <si>
    <t>VHF/zoonotic</t>
  </si>
  <si>
    <t>CCHF</t>
  </si>
  <si>
    <t>Crimean-Congo hemorrhagic fever</t>
  </si>
  <si>
    <t>EBOV</t>
  </si>
  <si>
    <t>Ebola virus (Zaire/Sudan)</t>
  </si>
  <si>
    <t>MARV</t>
  </si>
  <si>
    <t>Marburg virus</t>
  </si>
  <si>
    <t>LASV</t>
  </si>
  <si>
    <t>Lassa virus</t>
  </si>
  <si>
    <t>MPOX</t>
  </si>
  <si>
    <t>Monkeypox virus (clade I/II)</t>
  </si>
  <si>
    <t>Emerging viral</t>
  </si>
  <si>
    <t>SARS2</t>
  </si>
  <si>
    <t>SARS-CoV-2</t>
  </si>
  <si>
    <t>Respiratory viral</t>
  </si>
  <si>
    <t>MERS</t>
  </si>
  <si>
    <t>MERS-CoV</t>
  </si>
  <si>
    <t>FLUA</t>
  </si>
  <si>
    <t>Influenza A (H1N1, H3N2)</t>
  </si>
  <si>
    <t>H5N1</t>
  </si>
  <si>
    <t>Influenza A H5N1 (avian)</t>
  </si>
  <si>
    <t>Respiratory viral/zoonotic</t>
  </si>
  <si>
    <t>RSV</t>
  </si>
  <si>
    <t>Respiratory syncytial virus</t>
  </si>
  <si>
    <t>ADENO</t>
  </si>
  <si>
    <t>Adenovirus (resp + enteric)</t>
  </si>
  <si>
    <t>Respiratory/enteric viral</t>
  </si>
  <si>
    <t>NIPAH</t>
  </si>
  <si>
    <t>Nipah virus</t>
  </si>
  <si>
    <t>Emerging viral/zoonotic</t>
  </si>
  <si>
    <t>HEPA</t>
  </si>
  <si>
    <t>Hepatitis A virus</t>
  </si>
  <si>
    <t>Enteric viral</t>
  </si>
  <si>
    <t>HEPE</t>
  </si>
  <si>
    <t>Hepatitis E virus</t>
  </si>
  <si>
    <t>NORO</t>
  </si>
  <si>
    <t>Norovirus GI/GII</t>
  </si>
  <si>
    <t>ROTA</t>
  </si>
  <si>
    <t>Rotavirus A</t>
  </si>
  <si>
    <t>SAPO</t>
  </si>
  <si>
    <t>Sapovirus</t>
  </si>
  <si>
    <t>ASTRO</t>
  </si>
  <si>
    <t>Astrovirus</t>
  </si>
  <si>
    <t>ENTV</t>
  </si>
  <si>
    <t>Enteroviruses (non-polio)</t>
  </si>
  <si>
    <t>PARECH</t>
  </si>
  <si>
    <t>Parechovirus</t>
  </si>
  <si>
    <t>VCHOL</t>
  </si>
  <si>
    <t>Vibrio cholerae O1/O139</t>
  </si>
  <si>
    <t>Enteric bacterial</t>
  </si>
  <si>
    <t>VPAR</t>
  </si>
  <si>
    <t>Vibrio parahaemolyticus</t>
  </si>
  <si>
    <t>STYPHI</t>
  </si>
  <si>
    <t>Salmonella Typhi</t>
  </si>
  <si>
    <t>STYPM</t>
  </si>
  <si>
    <t>Salmonella Paratyphi A/B</t>
  </si>
  <si>
    <t>INTS</t>
  </si>
  <si>
    <t>Invasive non-typhoidal Salmonella</t>
  </si>
  <si>
    <t>SHIG</t>
  </si>
  <si>
    <t>Shigella spp.</t>
  </si>
  <si>
    <t>ECOLI</t>
  </si>
  <si>
    <t>Pathogenic E. coli (ETEC/EPEC/EHEC)</t>
  </si>
  <si>
    <t>CAMP</t>
  </si>
  <si>
    <t>Campylobacter jejuni/coli</t>
  </si>
  <si>
    <t>YERS</t>
  </si>
  <si>
    <t>Yersinia enterocolitica</t>
  </si>
  <si>
    <t>CDIFF</t>
  </si>
  <si>
    <t>Clostridioides difficile</t>
  </si>
  <si>
    <t>LEPTO</t>
  </si>
  <si>
    <t>Leptospira spp.</t>
  </si>
  <si>
    <t>Bacterial zoonotic</t>
  </si>
  <si>
    <t>BRUC</t>
  </si>
  <si>
    <t>Brucella spp.</t>
  </si>
  <si>
    <t>COX</t>
  </si>
  <si>
    <t>Coxiella burnetii</t>
  </si>
  <si>
    <t>BURK</t>
  </si>
  <si>
    <t>Burkholderia pseudomallei</t>
  </si>
  <si>
    <t>Bacterial environmental</t>
  </si>
  <si>
    <t>PLAGUE</t>
  </si>
  <si>
    <t>Yersinia pestis</t>
  </si>
  <si>
    <t>MTB</t>
  </si>
  <si>
    <t>Mycobacterium tuberculosis</t>
  </si>
  <si>
    <t>Mycobacterial</t>
  </si>
  <si>
    <t>CRYPT</t>
  </si>
  <si>
    <t>Cryptosporidium spp.</t>
  </si>
  <si>
    <t>Enteric protozoan</t>
  </si>
  <si>
    <t>GIA</t>
  </si>
  <si>
    <t>Giardia duodenalis</t>
  </si>
  <si>
    <t>ENTH</t>
  </si>
  <si>
    <t>Entamoeba histolytica</t>
  </si>
  <si>
    <t>SCHISTO</t>
  </si>
  <si>
    <t>Schistosoma spp.</t>
  </si>
  <si>
    <t>Helminth</t>
  </si>
  <si>
    <t>STH</t>
  </si>
  <si>
    <t>Soil-transmitted helminths</t>
  </si>
  <si>
    <t>GUINEA</t>
  </si>
  <si>
    <t>Guinea worm (Dracunculus)</t>
  </si>
  <si>
    <t>ESBL</t>
  </si>
  <si>
    <t>ESBL genes (blaCTX-M)</t>
  </si>
  <si>
    <t>AMR marker</t>
  </si>
  <si>
    <t>CRE</t>
  </si>
  <si>
    <t>Carbapenemase: blaNDM</t>
  </si>
  <si>
    <t>CRE2</t>
  </si>
  <si>
    <t>Carbapenemase: blaKPC</t>
  </si>
  <si>
    <t>CRE3</t>
  </si>
  <si>
    <t>Carbapenemase: blaOXA-48</t>
  </si>
  <si>
    <t>MCR1</t>
  </si>
  <si>
    <t>Colistin resistance: mcr-1</t>
  </si>
  <si>
    <t>VANA</t>
  </si>
  <si>
    <t>Vancomycin resistance: vanA</t>
  </si>
  <si>
    <t>MECA</t>
  </si>
  <si>
    <t>Methicillin resistance: mecA (MRSA)</t>
  </si>
  <si>
    <t>BLATEM</t>
  </si>
  <si>
    <t>blaTEM/SHV broad-spectrum BL</t>
  </si>
  <si>
    <t>HEPB</t>
  </si>
  <si>
    <t>Hepatitis B virus</t>
  </si>
  <si>
    <t>Bloodborne viral</t>
  </si>
  <si>
    <t>HIV</t>
  </si>
  <si>
    <t>HIV-1</t>
  </si>
  <si>
    <t>ZIKAR</t>
  </si>
  <si>
    <t>Rabies virus (env. proxy)</t>
  </si>
  <si>
    <t>Zoonotic viral</t>
  </si>
  <si>
    <t>ANTH</t>
  </si>
  <si>
    <t>Bacillus anthracis (spores)</t>
  </si>
  <si>
    <t>LEISH</t>
  </si>
  <si>
    <t>Leishmania spp.</t>
  </si>
  <si>
    <t>Protozoan vectorborne</t>
  </si>
  <si>
    <t>Feasibility gate — can this country actually run this assay?</t>
  </si>
  <si>
    <t>Scored for the country selected on Calculator!B3 and the stage on Calculator!B4. Feasibility = 30% assay availability + 25% NGS fit + 15% cost + 15% catchment coverage + 15% national lab tier.</t>
  </si>
  <si>
    <t>Stage:</t>
  </si>
  <si>
    <t>Assay tier</t>
  </si>
  <si>
    <t>Cost band</t>
  </si>
  <si>
    <t>NGS needed</t>
  </si>
  <si>
    <t>Priority (v5)</t>
  </si>
  <si>
    <t>What this means</t>
  </si>
  <si>
    <t>Quadrant key: Do now = high priority + feasible · Invest to enable = high priority, capability gap · Low-cost add-on = feasible but lower priority · Defer = neither.</t>
  </si>
  <si>
    <t>Compare Scenarios — up to 4 countries side-by-side</t>
  </si>
  <si>
    <t>Change the four country names in row 4 (blue). Composites use the v5 endemicity-aware engine and the programme stage selected on Calculator!B4. Columns J onward are working cells — hide or ignore them.</t>
  </si>
  <si>
    <t>DR Congo</t>
  </si>
  <si>
    <t>Tanzania</t>
  </si>
  <si>
    <t>Uganda</t>
  </si>
  <si>
    <t>s1_1</t>
  </si>
  <si>
    <t>s2_1</t>
  </si>
  <si>
    <t>s3_1</t>
  </si>
  <si>
    <t>s4_1</t>
  </si>
  <si>
    <t>s5_1</t>
  </si>
  <si>
    <t>s6_1</t>
  </si>
  <si>
    <t>s7_1</t>
  </si>
  <si>
    <t>s8_1</t>
  </si>
  <si>
    <t>s9_1</t>
  </si>
  <si>
    <t>class_1</t>
  </si>
  <si>
    <t>cls#_1</t>
  </si>
  <si>
    <t>s1_2</t>
  </si>
  <si>
    <t>s2_2</t>
  </si>
  <si>
    <t>s3_2</t>
  </si>
  <si>
    <t>s4_2</t>
  </si>
  <si>
    <t>s5_2</t>
  </si>
  <si>
    <t>s6_2</t>
  </si>
  <si>
    <t>s7_2</t>
  </si>
  <si>
    <t>s8_2</t>
  </si>
  <si>
    <t>s9_2</t>
  </si>
  <si>
    <t>class_2</t>
  </si>
  <si>
    <t>cls#_2</t>
  </si>
  <si>
    <t>s1_3</t>
  </si>
  <si>
    <t>s2_3</t>
  </si>
  <si>
    <t>s3_3</t>
  </si>
  <si>
    <t>s4_3</t>
  </si>
  <si>
    <t>s5_3</t>
  </si>
  <si>
    <t>s6_3</t>
  </si>
  <si>
    <t>s7_3</t>
  </si>
  <si>
    <t>s8_3</t>
  </si>
  <si>
    <t>s9_3</t>
  </si>
  <si>
    <t>class_3</t>
  </si>
  <si>
    <t>cls#_3</t>
  </si>
  <si>
    <t>s1_4</t>
  </si>
  <si>
    <t>s2_4</t>
  </si>
  <si>
    <t>s3_4</t>
  </si>
  <si>
    <t>s4_4</t>
  </si>
  <si>
    <t>s5_4</t>
  </si>
  <si>
    <t>s6_4</t>
  </si>
  <si>
    <t>s7_4</t>
  </si>
  <si>
    <t>s8_4</t>
  </si>
  <si>
    <t>s9_4</t>
  </si>
  <si>
    <t>class_4</t>
  </si>
  <si>
    <t>cls#_4</t>
  </si>
  <si>
    <t>Same pathogen, different country, different answer — that difference is the point of the tool.</t>
  </si>
  <si>
    <t>Export — Country Priority List</t>
  </si>
  <si>
    <t>Auto-generated, ranked by the v5 endemicity-aware composite for the country on Calculator!B3 and the stage on Calculator!B4. Pathogens classed 'Not present' sink to the bottom. Column N is a working column.</t>
  </si>
  <si>
    <t>Generated:</t>
  </si>
  <si>
    <t>Year-1 panel size:</t>
  </si>
  <si>
    <t>Rank</t>
  </si>
  <si>
    <t>Composite (0-100)</t>
  </si>
  <si>
    <t>Tier</t>
  </si>
  <si>
    <t>Endemicity</t>
  </si>
  <si>
    <t>Feasibility</t>
  </si>
  <si>
    <t>Year-1 panel</t>
  </si>
  <si>
    <t>sort key</t>
  </si>
  <si>
    <t>Country</t>
  </si>
  <si>
    <t>Africa CDC Region</t>
  </si>
  <si>
    <t>Population (millions)</t>
  </si>
  <si>
    <t>U5 mortality /1k live births</t>
  </si>
  <si>
    <t>Improved sanitation %</t>
  </si>
  <si>
    <t>Improved water %</t>
  </si>
  <si>
    <t>Health Index (0-100) — blended</t>
  </si>
  <si>
    <t>Health Index A — IHME HAQ (GBD 2019)</t>
  </si>
  <si>
    <t>Health Index B — WHO UHC SCI (SDG 3.8.1)</t>
  </si>
  <si>
    <t>Surveillance system strength (1-5) — formerly "IDSR strength (1-5)"</t>
  </si>
  <si>
    <t>Lab capacity (1-5)</t>
  </si>
  <si>
    <t>WHO-notified outbreak events last 5y</t>
  </si>
  <si>
    <t>Fragility index (FSI 0-120)</t>
  </si>
  <si>
    <t>SPAR C05 Surveillance (0-100)</t>
  </si>
  <si>
    <t>SPAR C04 Laboratory (0-100)</t>
  </si>
  <si>
    <t>Pop. vintage</t>
  </si>
  <si>
    <t>U5 vintage</t>
  </si>
  <si>
    <t>JMP vintage</t>
  </si>
  <si>
    <t>UHC SCI vintage</t>
  </si>
  <si>
    <t>SPAR round</t>
  </si>
  <si>
    <t>FSI edition</t>
  </si>
  <si>
    <t>Data completeness</t>
  </si>
  <si>
    <t>Sewered / sewer-connected pop. %</t>
  </si>
  <si>
    <t>Safely managed drinking water %</t>
  </si>
  <si>
    <t>Pol3 coverage %</t>
  </si>
  <si>
    <t>HIV prevalence, adults %</t>
  </si>
  <si>
    <t>GLASS AMR enrolment (0-2)</t>
  </si>
  <si>
    <t>INFORM climate/flood exposure (0-10)</t>
  </si>
  <si>
    <t>Refugees + IDPs per 1,000 pop.</t>
  </si>
  <si>
    <t>Points-of-entry / mobility index (0-5)</t>
  </si>
  <si>
    <t>Existing polio ES sites (count)</t>
  </si>
  <si>
    <t>National lab network tier (0-3)</t>
  </si>
  <si>
    <t>v5 indicator block — vintage / status</t>
  </si>
  <si>
    <t>DZ</t>
  </si>
  <si>
    <t>Algeria</t>
  </si>
  <si>
    <t>North</t>
  </si>
  <si>
    <t>UN WPP 2025</t>
  </si>
  <si>
    <t>UN IGME 2024</t>
  </si>
  <si>
    <t>JMP 2024</t>
  </si>
  <si>
    <t>WHO GHO 2023</t>
  </si>
  <si>
    <t>SPAR 2nd ed. 2025 (WHO GHO SDGIHR2021)</t>
  </si>
  <si>
    <t>FSI 2023</t>
  </si>
  <si>
    <t>Complete — all 9 indicators sourced</t>
  </si>
  <si>
    <t>JMP/UN-Habitat 2024; WUP 2018; WUENIC 2024; UNAIDS 2024; JME 2024; WHO GLASS 2024; INFORM 2025; UNHCR 2024; GPEI ES list 2025 — indicative, verify nationally</t>
  </si>
  <si>
    <t>EG</t>
  </si>
  <si>
    <t>Egypt</t>
  </si>
  <si>
    <t>LY</t>
  </si>
  <si>
    <t>Libya</t>
  </si>
  <si>
    <t>MA</t>
  </si>
  <si>
    <t>Morocco</t>
  </si>
  <si>
    <t>SD</t>
  </si>
  <si>
    <t>Sudan</t>
  </si>
  <si>
    <t>TN</t>
  </si>
  <si>
    <t>Tunisia</t>
  </si>
  <si>
    <t>BJ</t>
  </si>
  <si>
    <t>Benin</t>
  </si>
  <si>
    <t>West</t>
  </si>
  <si>
    <t>BF</t>
  </si>
  <si>
    <t>Burkina Faso</t>
  </si>
  <si>
    <t>CV</t>
  </si>
  <si>
    <t>Cabo Verde</t>
  </si>
  <si>
    <t>CI</t>
  </si>
  <si>
    <t>Côte d'Ivoire</t>
  </si>
  <si>
    <t>GM</t>
  </si>
  <si>
    <t>Gambia</t>
  </si>
  <si>
    <t>GH</t>
  </si>
  <si>
    <t>Ghana</t>
  </si>
  <si>
    <t>GN</t>
  </si>
  <si>
    <t>Guinea</t>
  </si>
  <si>
    <t>GW</t>
  </si>
  <si>
    <t>Guinea-Bissau</t>
  </si>
  <si>
    <t>LR</t>
  </si>
  <si>
    <t>Liberia</t>
  </si>
  <si>
    <t>ML</t>
  </si>
  <si>
    <t>Mali</t>
  </si>
  <si>
    <t>MR</t>
  </si>
  <si>
    <t>Mauritania</t>
  </si>
  <si>
    <t>NE</t>
  </si>
  <si>
    <t>Niger</t>
  </si>
  <si>
    <t>NG</t>
  </si>
  <si>
    <t>Nigeria</t>
  </si>
  <si>
    <t>SN</t>
  </si>
  <si>
    <t>Senegal</t>
  </si>
  <si>
    <t>SL</t>
  </si>
  <si>
    <t>Sierra Leone</t>
  </si>
  <si>
    <t>TG</t>
  </si>
  <si>
    <t>Togo</t>
  </si>
  <si>
    <t>BI</t>
  </si>
  <si>
    <t>Burundi</t>
  </si>
  <si>
    <t>East</t>
  </si>
  <si>
    <t>KM</t>
  </si>
  <si>
    <t>Comoros</t>
  </si>
  <si>
    <t>DJ</t>
  </si>
  <si>
    <t>Djibouti</t>
  </si>
  <si>
    <t>JMP 2023</t>
  </si>
  <si>
    <t>ER</t>
  </si>
  <si>
    <t>Eritrea</t>
  </si>
  <si>
    <t>JMP 2016</t>
  </si>
  <si>
    <t>ET</t>
  </si>
  <si>
    <t>Ethiopia</t>
  </si>
  <si>
    <t>KE</t>
  </si>
  <si>
    <t>MG</t>
  </si>
  <si>
    <t>Madagascar</t>
  </si>
  <si>
    <t>MW</t>
  </si>
  <si>
    <t>Malawi</t>
  </si>
  <si>
    <t>MU</t>
  </si>
  <si>
    <t>Mauritius</t>
  </si>
  <si>
    <t>MZ</t>
  </si>
  <si>
    <t>Mozambique</t>
  </si>
  <si>
    <t>RW</t>
  </si>
  <si>
    <t>Rwanda</t>
  </si>
  <si>
    <t>SC</t>
  </si>
  <si>
    <t>Seychelles</t>
  </si>
  <si>
    <t>SO</t>
  </si>
  <si>
    <t>Somalia</t>
  </si>
  <si>
    <t>SS</t>
  </si>
  <si>
    <t>South Sudan</t>
  </si>
  <si>
    <t>TZ</t>
  </si>
  <si>
    <t>UG</t>
  </si>
  <si>
    <t>ZM</t>
  </si>
  <si>
    <t>Zambia</t>
  </si>
  <si>
    <t>ZW</t>
  </si>
  <si>
    <t>Zimbabwe</t>
  </si>
  <si>
    <t>AO</t>
  </si>
  <si>
    <t>Angola</t>
  </si>
  <si>
    <t>Central</t>
  </si>
  <si>
    <t>JMP 2022</t>
  </si>
  <si>
    <t>CM</t>
  </si>
  <si>
    <t>Cameroon</t>
  </si>
  <si>
    <t>CF</t>
  </si>
  <si>
    <t>Central African Rep.</t>
  </si>
  <si>
    <t>TD</t>
  </si>
  <si>
    <t>Chad</t>
  </si>
  <si>
    <t>CG</t>
  </si>
  <si>
    <t>Congo (Brazzaville)</t>
  </si>
  <si>
    <t>JMP 2021</t>
  </si>
  <si>
    <t>CD</t>
  </si>
  <si>
    <t>GQ</t>
  </si>
  <si>
    <t>Equatorial Guinea</t>
  </si>
  <si>
    <t>JMP 2017</t>
  </si>
  <si>
    <t>GA</t>
  </si>
  <si>
    <t>Gabon</t>
  </si>
  <si>
    <t>ST</t>
  </si>
  <si>
    <t>São Tomé &amp; Príncipe</t>
  </si>
  <si>
    <t>BW</t>
  </si>
  <si>
    <t>Botswana</t>
  </si>
  <si>
    <t>Southern</t>
  </si>
  <si>
    <t>LS</t>
  </si>
  <si>
    <t>Lesotho</t>
  </si>
  <si>
    <t>NA</t>
  </si>
  <si>
    <t>Namibia</t>
  </si>
  <si>
    <t>ZA</t>
  </si>
  <si>
    <t>South Africa</t>
  </si>
  <si>
    <t>SZ</t>
  </si>
  <si>
    <t>Eswatini</t>
  </si>
  <si>
    <t>Sheds in stool (0-3)</t>
  </si>
  <si>
    <t>Sheds in urine (0-3)</t>
  </si>
  <si>
    <t>Sheds in respiratory (0-3)</t>
  </si>
  <si>
    <t>Env. stability (days in wastewater)</t>
  </si>
  <si>
    <t>Detection method</t>
  </si>
  <si>
    <t>Africa incidence /100k</t>
  </si>
  <si>
    <t>CFR %</t>
  </si>
  <si>
    <t>Outbreaks last 10y (Africa)</t>
  </si>
  <si>
    <t>R0 typical</t>
  </si>
  <si>
    <t>IHR PHEIC history (0/1)</t>
  </si>
  <si>
    <t>WASH sensitivity (0-1)</t>
  </si>
  <si>
    <t>Shedding duration (days)</t>
  </si>
  <si>
    <t>Shedding load (log10 copies/L WW)</t>
  </si>
  <si>
    <t>Asymptomatic shedding fraction (0-1)</t>
  </si>
  <si>
    <t>Assay tier (1 routine/2 spec./3 research)</t>
  </si>
  <si>
    <t>Assay cost band (1 low/2 med/3 high)</t>
  </si>
  <si>
    <t>WW detectability vs prevalence (0-3)</t>
  </si>
  <si>
    <t>Variant / lineage typing value (0-3)</t>
  </si>
  <si>
    <t>Countermeasure available in Africa</t>
  </si>
  <si>
    <t>NGS required (0/1)</t>
  </si>
  <si>
    <t>Clinical surveillance coverage, Africa (1-5)</t>
  </si>
  <si>
    <t>RT-qPCR/seq</t>
  </si>
  <si>
    <t>Vaccine (OPV/IPV)</t>
  </si>
  <si>
    <t>RT-qPCR</t>
  </si>
  <si>
    <t>Vaccine</t>
  </si>
  <si>
    <t>Vaccine (RCV)</t>
  </si>
  <si>
    <t>Vaccine + vector control</t>
  </si>
  <si>
    <t>Vaccine (new) + vector control</t>
  </si>
  <si>
    <t>None</t>
  </si>
  <si>
    <t>Veterinary vaccine</t>
  </si>
  <si>
    <t>Ribavirin / supportive</t>
  </si>
  <si>
    <t>Vaccine + mAb therapeutics</t>
  </si>
  <si>
    <t>None licensed (candidates)</t>
  </si>
  <si>
    <t>Ribavirin</t>
  </si>
  <si>
    <t>qPCR</t>
  </si>
  <si>
    <t>Vaccine (MVA-BN) + tecovirimat</t>
  </si>
  <si>
    <t>Vaccine + antivirals</t>
  </si>
  <si>
    <t>Stockpile vaccine</t>
  </si>
  <si>
    <t>mAb + maternal vaccine</t>
  </si>
  <si>
    <t>Supportive</t>
  </si>
  <si>
    <t>Vaccine + WASH</t>
  </si>
  <si>
    <t>Vaccine (limited) + WASH</t>
  </si>
  <si>
    <t>WASH only</t>
  </si>
  <si>
    <t>qPCR/culture</t>
  </si>
  <si>
    <t>OCV + WASH</t>
  </si>
  <si>
    <t>WASH</t>
  </si>
  <si>
    <t>TCV + WASH</t>
  </si>
  <si>
    <t>Antibiotics</t>
  </si>
  <si>
    <t>WASH + antibiotics</t>
  </si>
  <si>
    <t>Antibiotics + IPC</t>
  </si>
  <si>
    <t>BCG + treatment</t>
  </si>
  <si>
    <t>WASH + treatment</t>
  </si>
  <si>
    <t>Praziquantel MDA</t>
  </si>
  <si>
    <t>qPCR/microscopy</t>
  </si>
  <si>
    <t>MDA (albendazole)</t>
  </si>
  <si>
    <t>microscopy</t>
  </si>
  <si>
    <t>WASH / eradication programme</t>
  </si>
  <si>
    <t>qPCR/seq</t>
  </si>
  <si>
    <t>Stewardship + IPC</t>
  </si>
  <si>
    <t>ART</t>
  </si>
  <si>
    <t>Vaccine (PEP)</t>
  </si>
  <si>
    <t>Vaccine + antibiotics</t>
  </si>
  <si>
    <t>Treatment</t>
  </si>
  <si>
    <t>Editable pre-fill. Classes: Endemic / Sporadic / Emerging / Not present. Derived from WHO disease profiles, WHO AFRO weekly bulletins, Africa CDC event-based surveillance and IHME GBD 2021. Values are INDICATIVE — country teams should correct their own row before using the Calculator for national decisions.</t>
  </si>
  <si>
    <t>Sub-scores: Burden</t>
  </si>
  <si>
    <t>All sub-indicator values are auto-derived from Pathogens &amp; Calculator!B3. Edit defaults on Pathogens or Countries to override.</t>
  </si>
  <si>
    <t>Incidence /100k (AFR)</t>
  </si>
  <si>
    <t>Country U5 mortality</t>
  </si>
  <si>
    <t>WASH sensitivity</t>
  </si>
  <si>
    <t>Country Health Index</t>
  </si>
  <si>
    <t>Sub-score (1-5)</t>
  </si>
  <si>
    <t>Sub-scores: Epidemic potential</t>
  </si>
  <si>
    <t>Outbreaks 10y (AFR)</t>
  </si>
  <si>
    <t>R0</t>
  </si>
  <si>
    <t>PHEIC history</t>
  </si>
  <si>
    <t>Country PHEIC 5y</t>
  </si>
  <si>
    <t>Country fragility</t>
  </si>
  <si>
    <t>Sub-scores: WES suitability</t>
  </si>
  <si>
    <t>Stool shedding (0-3)</t>
  </si>
  <si>
    <t>Urine shedding (0-3)</t>
  </si>
  <si>
    <t>Resp shedding (0-3)</t>
  </si>
  <si>
    <t>Total shedding</t>
  </si>
  <si>
    <t>Env. stability (d)</t>
  </si>
  <si>
    <t>Sub-scores: Surveillance gap</t>
  </si>
  <si>
    <t>Surveillance strength</t>
  </si>
  <si>
    <t>Country sanitation %</t>
  </si>
  <si>
    <t>Sub-scores: Actionability / intervention</t>
  </si>
  <si>
    <t>Pathogen category</t>
  </si>
  <si>
    <t>Sub-scores: AMR / treatment-failure risk</t>
  </si>
  <si>
    <t>Sub-scores: Equity &amp; vulnerable populations</t>
  </si>
  <si>
    <t>Fragility index</t>
  </si>
  <si>
    <t>Threshold table — raw indicator → 1-5 score</t>
  </si>
  <si>
    <t>Edit any threshold to retune. Score = 5 is highest priority.</t>
  </si>
  <si>
    <t>Indicator</t>
  </si>
  <si>
    <t>Scoring rule</t>
  </si>
  <si>
    <t>Burden: incidence per 100k</t>
  </si>
  <si>
    <t>≥500=5, ≥200=4, ≥50=3, ≥10=2, &lt;10=1</t>
  </si>
  <si>
    <t>Burden: CFR %</t>
  </si>
  <si>
    <t>≥30=5, ≥10=4, ≥3=3, ≥1=2, &lt;1=1</t>
  </si>
  <si>
    <t>Burden: U5 mortality contribution</t>
  </si>
  <si>
    <t>Country U5MR ≥80 &amp; WASH-sensitive=+1</t>
  </si>
  <si>
    <t>Epidemic: outbreaks last 10y</t>
  </si>
  <si>
    <t>≥8=5, ≥5=4, ≥3=3, ≥1=2, 0=1</t>
  </si>
  <si>
    <t>Epidemic: R0</t>
  </si>
  <si>
    <t>≥5=5, ≥3=4, ≥2=3, ≥1.2=2, &lt;1.2=1</t>
  </si>
  <si>
    <t>Epidemic: PHEIC history</t>
  </si>
  <si>
    <t>Yes=+2 to score</t>
  </si>
  <si>
    <t>WES suitability: shedding sum (stool+urine+resp)</t>
  </si>
  <si>
    <t>≥6=5, ≥4=4, ≥3=3, ≥2=2, &lt;2=1</t>
  </si>
  <si>
    <t>WES suitability: env. stability</t>
  </si>
  <si>
    <t>≥30d=5, ≥14=4, ≥7=3, ≥3=2, &lt;3=1</t>
  </si>
  <si>
    <t>WES suitability: WASH sensitivity</t>
  </si>
  <si>
    <t>≥0.8=5, ≥0.6=4, ≥0.4=3, ≥0.2=2, &lt;0.2=1</t>
  </si>
  <si>
    <t>Surv gap: country surveillance system strength</t>
  </si>
  <si>
    <t>1=5, 2=4, 3=3, 4=2, 5=1 (inverse). Strength = ROUND(1+4*(0.6*SPAR C05/100 + 0.2*SPAR C04/100 + 0.1*NGS/3 + 0.1*lab-network tier/3)), clamped 1-5</t>
  </si>
  <si>
    <t>Surv gap: country lab capacity</t>
  </si>
  <si>
    <t>1=5, 2=4, 3=3, 4=2, 5=1 (inverse)</t>
  </si>
  <si>
    <t>Intervention: vaccine + treatment availability</t>
  </si>
  <si>
    <t>Both=5, vaccine only=4, tx only=3, supportive=2, none=1</t>
  </si>
  <si>
    <t>AMR: WHO BPPL tier</t>
  </si>
  <si>
    <t>Critical=5, High=4, Medium=3, Low=2, NA=1</t>
  </si>
  <si>
    <t>Equity: U5 mortality</t>
  </si>
  <si>
    <t>≥80=5, ≥50=4, ≥30=3, ≥15=2, &lt;15=1</t>
  </si>
  <si>
    <t>Equity: sanitation gap</t>
  </si>
  <si>
    <t>&lt;25=5, &lt;40=4, &lt;60=3, &lt;80=2, ≥80=1</t>
  </si>
  <si>
    <t>Equity: fragility index</t>
  </si>
  <si>
    <t>≥100=5, ≥85=4, ≥70=3, ≥50=2, &lt;50=1</t>
  </si>
  <si>
    <t>Surv gap: country lab capacity (derived)</t>
  </si>
  <si>
    <t>Lab capacity = ROUND(SPAR C04/20), clamped 1-5</t>
  </si>
  <si>
    <t>Column</t>
  </si>
  <si>
    <t>Source organisation</t>
  </si>
  <si>
    <t>Dataset / series</t>
  </si>
  <si>
    <t>Vintage</t>
  </si>
  <si>
    <t>Units / scale</t>
  </si>
  <si>
    <t>URL</t>
  </si>
  <si>
    <t>Method note</t>
  </si>
  <si>
    <t>D</t>
  </si>
  <si>
    <t>UN DESA, Population Division</t>
  </si>
  <si>
    <t>World Population Prospects — total population (retrieved via World Bank WDI SP.POP.TOTL)</t>
  </si>
  <si>
    <t>2025 estimate</t>
  </si>
  <si>
    <t>millions of persons</t>
  </si>
  <si>
    <t>https://population.un.org/wpp/</t>
  </si>
  <si>
    <t>Most recent non-empty value per country; divided by 1,000,000 and rounded to 0.1m.</t>
  </si>
  <si>
    <t>E</t>
  </si>
  <si>
    <t>UN Inter-agency Group for Child Mortality Estimation (UN IGME)</t>
  </si>
  <si>
    <t>Under-five mortality rate (retrieved via World Bank WDI SH.DYN.MORT)</t>
  </si>
  <si>
    <t>2024</t>
  </si>
  <si>
    <t>deaths per 1,000 live births</t>
  </si>
  <si>
    <t>https://childmortality.org/</t>
  </si>
  <si>
    <t>Most recent non-empty value per country.</t>
  </si>
  <si>
    <t>F</t>
  </si>
  <si>
    <t>WHO/UNICEF Joint Monitoring Programme (JMP)</t>
  </si>
  <si>
    <t>Population using at least basic sanitation services (SDG 6.2.1) — WHO GHO WSH_SANITATION_BASIC</t>
  </si>
  <si>
    <t>% of total population</t>
  </si>
  <si>
    <t>https://washdata.org/</t>
  </si>
  <si>
    <t>Total (national) disaggregation; most recent year available per country.</t>
  </si>
  <si>
    <t>G</t>
  </si>
  <si>
    <t>Population using at least basic drinking-water services (SDG 6.1.1) — WHO GHO WSH_WATER_BASIC</t>
  </si>
  <si>
    <t>Health Index — blended</t>
  </si>
  <si>
    <t>H</t>
  </si>
  <si>
    <t>Derived</t>
  </si>
  <si>
    <t>Arithmetic mean of Health Index A and Health Index B</t>
  </si>
  <si>
    <t>—</t>
  </si>
  <si>
    <t>0-100</t>
  </si>
  <si>
    <t>In-cell formula =AVERAGE(I:J). This blended value is what the scoring engine consumes, so the two underlying measures are weighted equally.</t>
  </si>
  <si>
    <t>Health Index A — HAQ</t>
  </si>
  <si>
    <t>I</t>
  </si>
  <si>
    <t>Institute for Health Metrics and Evaluation (IHME)</t>
  </si>
  <si>
    <t>Healthcare Access and Quality (HAQ) Index, overall 0-74 years, GBD 2019</t>
  </si>
  <si>
    <t>2019</t>
  </si>
  <si>
    <t>https://ghdx.healthdata.org/record/ihme-data/gbd-2019-healthcare-access-and-quality-1990-2019</t>
  </si>
  <si>
    <t>Extracted from the published country table in Lozano et al., Lancet Glob Health 2022;10:e1715-43. GBD 2019 is the most recent published HAQ round; GBD 2021 did not release an updated HAQ Index.</t>
  </si>
  <si>
    <t>Health Index B — UHC SCI</t>
  </si>
  <si>
    <t>J</t>
  </si>
  <si>
    <t>World Health Organization</t>
  </si>
  <si>
    <t>UHC Service Coverage Index (SDG 3.8.1) — WHO GHO UHC_INDEX_REPORTED</t>
  </si>
  <si>
    <t>2023</t>
  </si>
  <si>
    <t>https://www.who.int/data/gho/data/indicators/indicator-details/GHO/uhc-index-of-service-coverage</t>
  </si>
  <si>
    <t>Most recent reported value per country.</t>
  </si>
  <si>
    <t>IDSR strength (1-5)</t>
  </si>
  <si>
    <t>K</t>
  </si>
  <si>
    <t>IHR State Party Self-Assessment Annual Report (SPAR), 2nd edition — capacity C05 Surveillance</t>
  </si>
  <si>
    <t>2023 round</t>
  </si>
  <si>
    <t>1-5 (rescaled)</t>
  </si>
  <si>
    <t>https://extranet.who.int/e-spar</t>
  </si>
  <si>
    <t>SPAR 0-100 score rescaled to 1-5 by dividing by 20 and rounding, floored at 1. Raw 0-100 score retained in column P for audit.</t>
  </si>
  <si>
    <t>L</t>
  </si>
  <si>
    <t>IHR State Party Self-Assessment Annual Report (SPAR), 2nd edition — capacity C04 Laboratory</t>
  </si>
  <si>
    <t>SPAR 0-100 score rescaled to 1-5 by dividing by 20 and rounding, floored at 1. Raw 0-100 score retained in column Q for audit.</t>
  </si>
  <si>
    <t>M</t>
  </si>
  <si>
    <t>Disease Outbreak News (DON) archive</t>
  </si>
  <si>
    <t>1 Jan 2021 - 2026-07-30</t>
  </si>
  <si>
    <t>count of distinct events</t>
  </si>
  <si>
    <t>https://www.who.int/emergencies/disease-outbreak-news</t>
  </si>
  <si>
    <t>Repeat DON postings for the same country and disease within 180 days are collapsed into a single event, so the count reflects distinct episodes rather than publication volume.</t>
  </si>
  <si>
    <t>N</t>
  </si>
  <si>
    <t>Fund for Peace</t>
  </si>
  <si>
    <t>Fragile States Index — Total score</t>
  </si>
  <si>
    <t>2023 edition</t>
  </si>
  <si>
    <t>0-120</t>
  </si>
  <si>
    <t>https://fragilestatesindex.org/excel/</t>
  </si>
  <si>
    <t>2023 is the most recent machine-readable release published on the FSI download page at the extraction date.</t>
  </si>
  <si>
    <t>CAVEATS AND KNOWN LIMITATIONS</t>
  </si>
  <si>
    <t>1. SPAR is self-assessed.</t>
  </si>
  <si>
    <t>States Parties score their own IHR capacities, which introduces a documented optimism bias relative to externally validated Joint External Evaluation (JEE) scores. Where a country has a recent JEE, the JEE D1 (laboratory) and D2 (surveillance) technical-area scores should be preferred and manually substituted in columns K-L. The raw SPAR 0-100 values are retained in columns P-Q so any substitution is auditable.</t>
  </si>
  <si>
    <t>2. Column M is not a count of PHEICs.</t>
  </si>
  <si>
    <t>Only a handful of Public Health Emergencies of International Concern have ever been declared, so a literal PHEIC count would be zero for almost every country and would carry no discriminating information. The column instead counts distinct WHO-notified outbreak events published in Disease Outbreak News, which is the closest reproducible proxy for event frequency. The column header and the Thresholds sheet were both updated to reflect this. Scoring thresholds (&gt;=2 events) were calibrated against the previous field and are unchanged.</t>
  </si>
  <si>
    <t>3. HAQ vintage lags the other indicators.</t>
  </si>
  <si>
    <t>The HAQ Index is from GBD 2019 because IHME has not published an updated HAQ round since. Blending it with the 2023 UHC SCI mitigates but does not eliminate the vintage mismatch. Countries whose health system changed materially after 2019 will be understated or overstated on column I.</t>
  </si>
  <si>
    <t>4. Data completeness.</t>
  </si>
  <si>
    <t>All 54 AU member states carry sourced values for all nine indicators; no cell in this refresh is imputed, interpolated or estimated. Column X records this per country. The Sahrawi Arab Democratic Republic (SADR), an AU member, is not included because none of the source datasets report it separately.</t>
  </si>
  <si>
    <t>5. Rescaling is lossy.</t>
  </si>
  <si>
    <t>The 1-5 bands for IDSR and laboratory capacity compress a 100-point scale into five steps, so countries 10-15 SPAR points apart can share a band. Use columns P-Q when a finer comparison is needed.</t>
  </si>
  <si>
    <t>Extraction date</t>
  </si>
  <si>
    <t>2026-07-30</t>
  </si>
  <si>
    <t>Extraction method</t>
  </si>
  <si>
    <t>All values pulled programmatically from the public APIs and files listed above and joined on ISO3 country code. No value was typed in by hand except where a source publishes only as PDF (HAQ Index), in which case the published country table was parsed directly.</t>
  </si>
  <si>
    <t>v5 additions — new indicators, endemicity layer and feasibility gate</t>
  </si>
  <si>
    <t>Indicator / layer</t>
  </si>
  <si>
    <t>Organisation</t>
  </si>
  <si>
    <t>Dataset</t>
  </si>
  <si>
    <t>Extracted</t>
  </si>
  <si>
    <t>Note</t>
  </si>
  <si>
    <t>Sewer-connected population %</t>
  </si>
  <si>
    <t>WHO/UNICEF JMP + UN-Habitat</t>
  </si>
  <si>
    <t>JMP sanitation service ladder; UN-Habitat urban infrastructure</t>
  </si>
  <si>
    <t>https://washdata.org/data</t>
  </si>
  <si>
    <t>%</t>
  </si>
  <si>
    <t>Proxy for WES catchment reach — the single strongest constraint on site selection.</t>
  </si>
  <si>
    <t>UN DESA</t>
  </si>
  <si>
    <t>World Urbanization Prospects</t>
  </si>
  <si>
    <t>2018 rev.</t>
  </si>
  <si>
    <t>https://population.un.org/wup/</t>
  </si>
  <si>
    <t>Used with sewer % to size catchments.</t>
  </si>
  <si>
    <t>Safely managed sanitation / water %</t>
  </si>
  <si>
    <t>WHO/UNICEF JMP</t>
  </si>
  <si>
    <t>SDG 6.1.1 / 6.2.1 safely managed service levels</t>
  </si>
  <si>
    <t>Separates 'basic' from 'safely managed' — matters for faecal-oral risk.</t>
  </si>
  <si>
    <t>DTP3 / MCV1 / Pol3 coverage %</t>
  </si>
  <si>
    <t>WHO &amp; UNICEF</t>
  </si>
  <si>
    <t>WUENIC immunisation estimates</t>
  </si>
  <si>
    <t>https://immunizationdata.who.int/</t>
  </si>
  <si>
    <t>Immunity gap modifier for vaccine-preventable pathogens.</t>
  </si>
  <si>
    <t>HIV prevalence, adults</t>
  </si>
  <si>
    <t>UNAIDS</t>
  </si>
  <si>
    <t>AIDSinfo country estimates</t>
  </si>
  <si>
    <t>https://aidsinfo.unaids.org/</t>
  </si>
  <si>
    <t>Severity modifier (TB, iNTS, cryptosporidiosis).</t>
  </si>
  <si>
    <t>UNICEF / WHO / World Bank</t>
  </si>
  <si>
    <t>Joint Malnutrition Estimates</t>
  </si>
  <si>
    <t>https://data.unicef.org/</t>
  </si>
  <si>
    <t>Severity modifier for enteric pathogens.</t>
  </si>
  <si>
    <t>GLASS AMR enrolment</t>
  </si>
  <si>
    <t>WHO</t>
  </si>
  <si>
    <t>Global AMR and Use Surveillance System country list</t>
  </si>
  <si>
    <t>https://www.who.int/initiatives/glass</t>
  </si>
  <si>
    <t>0-2</t>
  </si>
  <si>
    <t>0 = not enrolled, 1 = enrolled, 2 = reporting.</t>
  </si>
  <si>
    <t>Climate / flood exposure</t>
  </si>
  <si>
    <t>INFORM (JRC)</t>
  </si>
  <si>
    <t>INFORM Risk Index — natural hazard, flood component</t>
  </si>
  <si>
    <t>2025</t>
  </si>
  <si>
    <t>https://drmkc.jrc.ec.europa.eu/inform-index</t>
  </si>
  <si>
    <t>0-10</t>
  </si>
  <si>
    <t>Drives cholera and enteric seasonality risk.</t>
  </si>
  <si>
    <t>Refugees + IDPs per 1,000</t>
  </si>
  <si>
    <t>UNHCR</t>
  </si>
  <si>
    <t>Refugee Data Finder + IDMC</t>
  </si>
  <si>
    <t>https://www.unhcr.org/refugee-statistics/</t>
  </si>
  <si>
    <t>per 1,000</t>
  </si>
  <si>
    <t>Congregate settings change catchment logic.</t>
  </si>
  <si>
    <t>Points of entry / mobility</t>
  </si>
  <si>
    <t>WHO IHR SPAR C-PoE (+ air traffic proxy)</t>
  </si>
  <si>
    <t>e-SPAR</t>
  </si>
  <si>
    <t>0-5</t>
  </si>
  <si>
    <t>Importation-pathway weight for the Emerging objective.</t>
  </si>
  <si>
    <t>Existing polio ES sites</t>
  </si>
  <si>
    <t>GPEI</t>
  </si>
  <si>
    <t>Environmental surveillance site listing</t>
  </si>
  <si>
    <t>https://polioeradication.org/</t>
  </si>
  <si>
    <t>count</t>
  </si>
  <si>
    <t>Best single predictor of WES start-up speed.</t>
  </si>
  <si>
    <t>NGS capacity</t>
  </si>
  <si>
    <t>Africa CDC / Africa PGI</t>
  </si>
  <si>
    <t>Pathogen genomics capacity mapping</t>
  </si>
  <si>
    <t>https://africacdc.org/institutes/ipg/</t>
  </si>
  <si>
    <t>0-3</t>
  </si>
  <si>
    <t>Gates every sequencing-dependent pathogen.</t>
  </si>
  <si>
    <t>National lab network tier</t>
  </si>
  <si>
    <t>WHO IHR SPAR C04 + Africa CDC</t>
  </si>
  <si>
    <t>e-SPAR laboratory capacity</t>
  </si>
  <si>
    <t>Feeds the feasibility gate.</t>
  </si>
  <si>
    <t>Endemicity classification</t>
  </si>
  <si>
    <t>WHO / WHO AFRO / Africa CDC / IHME</t>
  </si>
  <si>
    <t>Disease profiles, AFRO Weekly Bulletin, Africa CDC EBS, GBD 2021</t>
  </si>
  <si>
    <t>2021-2026</t>
  </si>
  <si>
    <t>https://www.afro.who.int/health-topics</t>
  </si>
  <si>
    <t>E/S/M/N</t>
  </si>
  <si>
    <t>INDICATIVE pre-fill. 3,456 country-pathogen cells; not every cell is individually referenced. Country teams must review their own row.</t>
  </si>
  <si>
    <t>Pathogen shedding / assay attributes</t>
  </si>
  <si>
    <t>Peer-reviewed WES literature + WHO ES guidance</t>
  </si>
  <si>
    <t>Shedding duration, load, assay tier, LOD, NGS need</t>
  </si>
  <si>
    <t>2020-2025</t>
  </si>
  <si>
    <t>https://www.who.int/publications</t>
  </si>
  <si>
    <t>various</t>
  </si>
  <si>
    <t>Consensus values from published WES method studies; refine locally as national assay data accumulate.</t>
  </si>
  <si>
    <t>CAVEAT (v5)</t>
  </si>
  <si>
    <t>The v5 indicator block and the endemicity grid are compiled indicative values assembled from the sources named above. They are fit for prioritisation dialogue and workshop use, not for publication or resource allocation without national verification. Every cell is editable by design.</t>
  </si>
  <si>
    <t>Data Sources &amp; Citations (pathogen-level). Country-level indicator provenance: see the Sources sheet.</t>
  </si>
  <si>
    <t>Source</t>
  </si>
  <si>
    <t>WHO R&amp;D Blueprint priority pathogens (2024 update)</t>
  </si>
  <si>
    <t>https://www.who.int/activities/prioritizing-diseases-for-research-and-development-in-emergency-contexts</t>
  </si>
  <si>
    <t>Africa CDC Priority Pathogens List (2023)</t>
  </si>
  <si>
    <t>https://africacdc.org/</t>
  </si>
  <si>
    <t>IHME Global Burden of Disease 2021 (GBD Compare)</t>
  </si>
  <si>
    <t>https://vizhub.healthdata.org/gbd-compare/</t>
  </si>
  <si>
    <t>WHO AFRO IDSR Weekly Bulletins</t>
  </si>
  <si>
    <t>https://www.afro.who.int/health-topics/disease-outbreaks/outbreaks-and-other-emergencies-updates</t>
  </si>
  <si>
    <t>WHO/UNICEF JMP for Water Supply, Sanitation and Hygiene 2024</t>
  </si>
  <si>
    <t>WHO Global TB Report 2024</t>
  </si>
  <si>
    <t>https://www.who.int/teams/global-tuberculosis-programme/tb-reports</t>
  </si>
  <si>
    <t>WHO IHR State Party Self-Assessment Annual Reports (SPAR)</t>
  </si>
  <si>
    <t>https://extranet.who.int/sph/spar</t>
  </si>
  <si>
    <t>Africa CDC Continental Framework for AMR Control 2023-2027</t>
  </si>
  <si>
    <t>https://africacdc.org/download/africa-cdc-framework-for-antimicrobial-resistance-control-2023-2027/</t>
  </si>
  <si>
    <t>WHO Bacterial Priority Pathogens List 2024 (BPPL)</t>
  </si>
  <si>
    <t>https://www.who.int/publications/i/item/9789240093461</t>
  </si>
  <si>
    <t>Fund for Peace Fragile States Index 2024</t>
  </si>
  <si>
    <t>https://fragilestatesindex.org/</t>
  </si>
  <si>
    <t>UNDP Human Development Report 2023/24</t>
  </si>
  <si>
    <t>https://hdr.undp.org/</t>
  </si>
  <si>
    <t>WorldPop population estimates 2023</t>
  </si>
  <si>
    <t>https://www.worldpop.org/</t>
  </si>
  <si>
    <t>UNICEF Child Mortality Estimates 2023 (IGME)</t>
  </si>
  <si>
    <t>WHO Global Cholera Surveillance</t>
  </si>
  <si>
    <t>https://www.who.int/teams/global-task-force-on-cholera-control</t>
  </si>
  <si>
    <t>Africa CDC Mpox dashboard</t>
  </si>
  <si>
    <t>https://africacdc.org/disease/mpox/</t>
  </si>
  <si>
    <t>WHO Global Health Observatory — IHR SPAR 2nd edition capacity scores (SDGIHR2021), 2025 reporting round</t>
  </si>
  <si>
    <t>https://ghoapi.azureedge.net/api/SDGIHR2021</t>
  </si>
  <si>
    <t>Country reference data (v6 refresh) — SPAR C04/C05 re-derived for all 54 countries from WHO GHO; surveillance &amp; lab capacity now formula-derived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</si>
</sst>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0.0"/>
    <numFmt numFmtId="177" formatCode="0.0%"/>
  </numFmts>
  <fonts count="56">
    <font>
      <sz val="11"/>
      <color theme="1"/>
      <name val="Calibri"/>
      <charset val="1"/>
    </font>
    <font>
      <b/>
      <sz val="16"/>
      <color rgb="FF1F4E78"/>
      <name val="Calibri"/>
      <charset val="134"/>
    </font>
    <font>
      <b/>
      <sz val="11"/>
      <color rgb="FFFFFFFF"/>
      <name val="Calibri"/>
      <charset val="134"/>
    </font>
    <font>
      <u/>
      <sz val="11"/>
      <color rgb="FF0563C1"/>
      <name val="Cambria"/>
      <charset val="134"/>
    </font>
    <font>
      <b/>
      <sz val="10"/>
      <name val="Arial"/>
      <charset val="134"/>
    </font>
    <font>
      <b/>
      <sz val="10"/>
      <color rgb="FFFFFFFF"/>
      <name val="Arial"/>
      <charset val="134"/>
    </font>
    <font>
      <sz val="10"/>
      <name val="Arial"/>
      <charset val="134"/>
    </font>
    <font>
      <b/>
      <sz val="11"/>
      <color rgb="FF1F4E5F"/>
      <name val="Arial"/>
      <charset val="134"/>
    </font>
    <font>
      <sz val="10"/>
      <color rgb="FF000000"/>
      <name val="Arial"/>
      <charset val="134"/>
    </font>
    <font>
      <b/>
      <sz val="11"/>
      <color rgb="FFC00000"/>
      <name val="Arial"/>
      <charset val="134"/>
    </font>
    <font>
      <sz val="11"/>
      <color rgb="FFC00000"/>
      <name val="Arial"/>
      <charset val="134"/>
    </font>
    <font>
      <i/>
      <sz val="9"/>
      <color rgb="FF595959"/>
      <name val="Cambria"/>
      <charset val="134"/>
    </font>
    <font>
      <b/>
      <sz val="11"/>
      <name val="Calibri"/>
      <charset val="134"/>
    </font>
    <font>
      <sz val="10"/>
      <color rgb="FF006100"/>
      <name val="Calibri"/>
      <charset val="134"/>
    </font>
    <font>
      <sz val="7"/>
      <color rgb="FF0000FF"/>
      <name val="Arial"/>
      <charset val="134"/>
    </font>
    <font>
      <i/>
      <sz val="9"/>
      <name val="Arial"/>
      <charset val="134"/>
    </font>
    <font>
      <sz val="10"/>
      <color rgb="FF0000FF"/>
      <name val="Calibri"/>
      <charset val="134"/>
    </font>
    <font>
      <sz val="10"/>
      <color rgb="FF0000FF"/>
      <name val="Arial"/>
      <charset val="134"/>
    </font>
    <font>
      <sz val="9"/>
      <color rgb="FF595959"/>
      <name val="Arial"/>
      <charset val="134"/>
    </font>
    <font>
      <sz val="10"/>
      <color rgb="FF008000"/>
      <name val="Arial"/>
      <charset val="134"/>
    </font>
    <font>
      <b/>
      <sz val="14"/>
      <color rgb="FF1F3864"/>
      <name val="Arial"/>
      <charset val="134"/>
    </font>
    <font>
      <i/>
      <sz val="10"/>
      <color rgb="FF555555"/>
      <name val="Arial"/>
      <charset val="134"/>
    </font>
    <font>
      <sz val="11"/>
      <color rgb="FF008000"/>
      <name val="Arial"/>
      <charset val="134"/>
    </font>
    <font>
      <sz val="8"/>
      <color rgb="FF999999"/>
      <name val="Arial"/>
      <charset val="134"/>
    </font>
    <font>
      <b/>
      <sz val="11"/>
      <color rgb="FF008000"/>
      <name val="Arial"/>
      <charset val="134"/>
    </font>
    <font>
      <b/>
      <sz val="11"/>
      <name val="Cambria"/>
      <charset val="134"/>
    </font>
    <font>
      <b/>
      <sz val="11"/>
      <color rgb="FFFFFFFF"/>
      <name val="Arial"/>
      <charset val="134"/>
    </font>
    <font>
      <sz val="8"/>
      <name val="Arial"/>
      <charset val="134"/>
    </font>
    <font>
      <b/>
      <sz val="13"/>
      <color rgb="FF1F4E5F"/>
      <name val="Arial"/>
      <charset val="134"/>
    </font>
    <font>
      <i/>
      <sz val="9"/>
      <color rgb="FF808080"/>
      <name val="Arial"/>
      <charset val="134"/>
    </font>
    <font>
      <i/>
      <sz val="9"/>
      <color rgb="FF595959"/>
      <name val="Arial"/>
      <charset val="134"/>
    </font>
    <font>
      <b/>
      <sz val="10"/>
      <color rgb="FF000000"/>
      <name val="Arial"/>
      <charset val="134"/>
    </font>
    <font>
      <sz val="10"/>
      <color rgb="FF000000"/>
      <name val="Calibri"/>
      <charset val="134"/>
    </font>
    <font>
      <b/>
      <sz val="11"/>
      <name val="Arial"/>
      <charset val="134"/>
    </font>
    <font>
      <i/>
      <sz val="10"/>
      <color rgb="FF595959"/>
      <name val="Cambria"/>
      <charset val="134"/>
    </font>
    <font>
      <b/>
      <sz val="10"/>
      <color rgb="FF1F4E5F"/>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5">
    <fill>
      <patternFill patternType="none"/>
    </fill>
    <fill>
      <patternFill patternType="gray125"/>
    </fill>
    <fill>
      <patternFill patternType="solid">
        <fgColor rgb="FF1F4E78"/>
        <bgColor rgb="FF1F3864"/>
      </patternFill>
    </fill>
    <fill>
      <patternFill patternType="solid">
        <fgColor rgb="FF1F4E5F"/>
        <bgColor indexed="64"/>
      </patternFill>
    </fill>
    <fill>
      <patternFill patternType="solid">
        <fgColor rgb="FFFFF2CC"/>
        <bgColor rgb="FFFCE4D6"/>
      </patternFill>
    </fill>
    <fill>
      <patternFill patternType="solid">
        <fgColor rgb="FFE2EFDA"/>
        <bgColor rgb="FFFCE4D6"/>
      </patternFill>
    </fill>
    <fill>
      <patternFill patternType="solid">
        <fgColor rgb="FFFFE699"/>
        <bgColor indexed="64"/>
      </patternFill>
    </fill>
    <fill>
      <patternFill patternType="solid">
        <fgColor rgb="FFE2EFDA"/>
        <bgColor indexed="64"/>
      </patternFill>
    </fill>
    <fill>
      <patternFill patternType="solid">
        <fgColor rgb="FFDDEBF7"/>
        <bgColor indexed="64"/>
      </patternFill>
    </fill>
    <fill>
      <patternFill patternType="solid">
        <fgColor rgb="FFF8CBAD"/>
        <bgColor indexed="64"/>
      </patternFill>
    </fill>
    <fill>
      <patternFill patternType="solid">
        <fgColor rgb="FF1F3864"/>
        <bgColor rgb="FF1F4E78"/>
      </patternFill>
    </fill>
    <fill>
      <patternFill patternType="solid">
        <fgColor rgb="FFFFF2B2"/>
        <bgColor indexed="64"/>
      </patternFill>
    </fill>
    <fill>
      <patternFill patternType="solid">
        <fgColor theme="8" tint="0.799981688894314"/>
        <bgColor rgb="FFFCE4D6"/>
      </patternFill>
    </fill>
    <fill>
      <patternFill patternType="solid">
        <fgColor theme="9" tint="0.799981688894314"/>
        <bgColor indexed="64"/>
      </patternFill>
    </fill>
    <fill>
      <patternFill patternType="solid">
        <fgColor rgb="FFFCE4D6"/>
        <bgColor rgb="FFFFF2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CCCCCC"/>
      </left>
      <right style="thin">
        <color rgb="FFCCCCCC"/>
      </right>
      <top style="thin">
        <color rgb="FFCCCCCC"/>
      </top>
      <bottom style="thin">
        <color rgb="FFCCCCCC"/>
      </bottom>
      <diagonal/>
    </border>
    <border>
      <left style="thin">
        <color rgb="FFB4B4B4"/>
      </left>
      <right style="thin">
        <color rgb="FFB4B4B4"/>
      </right>
      <top style="thin">
        <color rgb="FFB4B4B4"/>
      </top>
      <bottom style="thin">
        <color rgb="FFB4B4B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15" borderId="3"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4" applyNumberFormat="0" applyFill="0" applyAlignment="0" applyProtection="0">
      <alignment vertical="center"/>
    </xf>
    <xf numFmtId="0" fontId="43" fillId="0" borderId="4" applyNumberFormat="0" applyFill="0" applyAlignment="0" applyProtection="0">
      <alignment vertical="center"/>
    </xf>
    <xf numFmtId="0" fontId="44" fillId="0" borderId="5" applyNumberFormat="0" applyFill="0" applyAlignment="0" applyProtection="0">
      <alignment vertical="center"/>
    </xf>
    <xf numFmtId="0" fontId="44" fillId="0" borderId="0" applyNumberFormat="0" applyFill="0" applyBorder="0" applyAlignment="0" applyProtection="0">
      <alignment vertical="center"/>
    </xf>
    <xf numFmtId="0" fontId="45" fillId="16" borderId="6" applyNumberFormat="0" applyAlignment="0" applyProtection="0">
      <alignment vertical="center"/>
    </xf>
    <xf numFmtId="0" fontId="46" fillId="17" borderId="7" applyNumberFormat="0" applyAlignment="0" applyProtection="0">
      <alignment vertical="center"/>
    </xf>
    <xf numFmtId="0" fontId="47" fillId="17" borderId="6" applyNumberFormat="0" applyAlignment="0" applyProtection="0">
      <alignment vertical="center"/>
    </xf>
    <xf numFmtId="0" fontId="48" fillId="18" borderId="8" applyNumberFormat="0" applyAlignment="0" applyProtection="0">
      <alignment vertical="center"/>
    </xf>
    <xf numFmtId="0" fontId="49" fillId="0" borderId="9" applyNumberFormat="0" applyFill="0" applyAlignment="0" applyProtection="0">
      <alignment vertical="center"/>
    </xf>
    <xf numFmtId="0" fontId="50" fillId="0" borderId="10" applyNumberFormat="0" applyFill="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5" fillId="35" borderId="0" applyNumberFormat="0" applyBorder="0" applyAlignment="0" applyProtection="0">
      <alignment vertical="center"/>
    </xf>
    <xf numFmtId="0" fontId="55" fillId="36" borderId="0" applyNumberFormat="0" applyBorder="0" applyAlignment="0" applyProtection="0">
      <alignment vertical="center"/>
    </xf>
    <xf numFmtId="0" fontId="54" fillId="37" borderId="0" applyNumberFormat="0" applyBorder="0" applyAlignment="0" applyProtection="0">
      <alignment vertical="center"/>
    </xf>
    <xf numFmtId="0" fontId="54" fillId="38" borderId="0" applyNumberFormat="0" applyBorder="0" applyAlignment="0" applyProtection="0">
      <alignment vertical="center"/>
    </xf>
    <xf numFmtId="0" fontId="55" fillId="39" borderId="0" applyNumberFormat="0" applyBorder="0" applyAlignment="0" applyProtection="0">
      <alignment vertical="center"/>
    </xf>
    <xf numFmtId="0" fontId="55" fillId="40" borderId="0" applyNumberFormat="0" applyBorder="0" applyAlignment="0" applyProtection="0">
      <alignment vertical="center"/>
    </xf>
    <xf numFmtId="0" fontId="54" fillId="41" borderId="0" applyNumberFormat="0" applyBorder="0" applyAlignment="0" applyProtection="0">
      <alignment vertical="center"/>
    </xf>
    <xf numFmtId="0" fontId="54" fillId="42" borderId="0" applyNumberFormat="0" applyBorder="0" applyAlignment="0" applyProtection="0">
      <alignment vertical="center"/>
    </xf>
    <xf numFmtId="0" fontId="55" fillId="13" borderId="0" applyNumberFormat="0" applyBorder="0" applyAlignment="0" applyProtection="0">
      <alignment vertical="center"/>
    </xf>
    <xf numFmtId="0" fontId="55" fillId="43" borderId="0" applyNumberFormat="0" applyBorder="0" applyAlignment="0" applyProtection="0">
      <alignment vertical="center"/>
    </xf>
    <xf numFmtId="0" fontId="54" fillId="44" borderId="0" applyNumberFormat="0" applyBorder="0" applyAlignment="0" applyProtection="0">
      <alignment vertical="center"/>
    </xf>
  </cellStyleXfs>
  <cellXfs count="94">
    <xf numFmtId="0" fontId="0" fillId="0" borderId="0" xfId="0" applyAlignment="1"/>
    <xf numFmtId="0" fontId="1" fillId="0" borderId="0" xfId="0" applyFont="1" applyAlignment="1"/>
    <xf numFmtId="0" fontId="2" fillId="2" borderId="0" xfId="0" applyFont="1" applyFill="1" applyAlignment="1"/>
    <xf numFmtId="0" fontId="3" fillId="0" borderId="0" xfId="0" applyFont="1" applyAlignment="1"/>
    <xf numFmtId="0" fontId="4" fillId="0" borderId="0" xfId="0" applyFont="1"/>
    <xf numFmtId="0" fontId="0" fillId="0" borderId="0" xfId="0"/>
    <xf numFmtId="0" fontId="5" fillId="3" borderId="0" xfId="0" applyFont="1" applyFill="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4" fillId="0" borderId="0" xfId="0" applyFont="1" applyAlignment="1">
      <alignment vertical="top" wrapText="1"/>
    </xf>
    <xf numFmtId="0" fontId="7" fillId="0" borderId="0" xfId="0" applyFont="1"/>
    <xf numFmtId="0" fontId="5" fillId="3" borderId="0" xfId="0" applyFont="1" applyFill="1" applyAlignment="1">
      <alignment vertical="top" wrapText="1"/>
    </xf>
    <xf numFmtId="0" fontId="8" fillId="0" borderId="0" xfId="0" applyFont="1" applyAlignment="1">
      <alignment vertical="top" wrapText="1"/>
    </xf>
    <xf numFmtId="0" fontId="9" fillId="0" borderId="0" xfId="0" applyFont="1"/>
    <xf numFmtId="0" fontId="10" fillId="0" borderId="0" xfId="0" applyFont="1" applyAlignment="1">
      <alignment vertical="top" wrapText="1"/>
    </xf>
    <xf numFmtId="0" fontId="0" fillId="4" borderId="0" xfId="0" applyFill="1" applyAlignment="1"/>
    <xf numFmtId="0" fontId="11" fillId="0" borderId="0" xfId="0" applyFont="1" applyAlignment="1"/>
    <xf numFmtId="0" fontId="2" fillId="2" borderId="0" xfId="0" applyFont="1" applyFill="1" applyAlignment="1">
      <alignment horizontal="center" vertical="center" wrapText="1"/>
    </xf>
    <xf numFmtId="0" fontId="12" fillId="0" borderId="0" xfId="0" applyFont="1" applyAlignment="1"/>
    <xf numFmtId="0" fontId="13" fillId="4" borderId="0" xfId="0" applyFont="1" applyFill="1" applyAlignment="1">
      <alignment horizontal="center" vertical="center" wrapText="1"/>
    </xf>
    <xf numFmtId="0" fontId="12" fillId="5" borderId="0" xfId="0" applyFont="1" applyFill="1" applyAlignment="1">
      <alignment horizontal="center" vertical="center" wrapText="1"/>
    </xf>
    <xf numFmtId="0" fontId="13" fillId="4" borderId="0" xfId="0" applyFont="1" applyFill="1" applyAlignment="1"/>
    <xf numFmtId="0" fontId="5" fillId="3" borderId="0" xfId="0" applyFont="1" applyFill="1"/>
    <xf numFmtId="0" fontId="5" fillId="3" borderId="0" xfId="0" applyFont="1" applyFill="1" applyAlignment="1">
      <alignment horizontal="center" textRotation="90"/>
    </xf>
    <xf numFmtId="0" fontId="8" fillId="0" borderId="0" xfId="0" applyFont="1"/>
    <xf numFmtId="0" fontId="14" fillId="6" borderId="0" xfId="0" applyFont="1" applyFill="1" applyAlignment="1">
      <alignment horizontal="center"/>
    </xf>
    <xf numFmtId="0" fontId="14" fillId="7" borderId="0" xfId="0" applyFont="1" applyFill="1" applyAlignment="1">
      <alignment horizontal="center"/>
    </xf>
    <xf numFmtId="0" fontId="14" fillId="8" borderId="0" xfId="0" applyFont="1" applyFill="1" applyAlignment="1">
      <alignment horizontal="center"/>
    </xf>
    <xf numFmtId="0" fontId="14" fillId="9" borderId="0" xfId="0" applyFont="1" applyFill="1" applyAlignment="1">
      <alignment horizontal="center"/>
    </xf>
    <xf numFmtId="0" fontId="15" fillId="0" borderId="0" xfId="0" applyFont="1"/>
    <xf numFmtId="0" fontId="0" fillId="0" borderId="0" xfId="0" applyAlignment="1">
      <alignment horizontal="center"/>
    </xf>
    <xf numFmtId="0" fontId="5" fillId="3" borderId="0" xfId="0" applyFont="1" applyFill="1" applyAlignment="1">
      <alignment horizontal="center" vertical="top" wrapText="1"/>
    </xf>
    <xf numFmtId="0" fontId="16" fillId="4" borderId="0" xfId="0" applyFont="1" applyFill="1" applyAlignment="1">
      <alignment horizontal="center"/>
    </xf>
    <xf numFmtId="0" fontId="17" fillId="0" borderId="0" xfId="0" applyFont="1" applyAlignment="1">
      <alignment horizontal="center"/>
    </xf>
    <xf numFmtId="0" fontId="17" fillId="0" borderId="0" xfId="0" applyFont="1" applyAlignment="1">
      <alignment horizontal="center" vertical="top" wrapText="1"/>
    </xf>
    <xf numFmtId="0" fontId="0" fillId="0" borderId="0" xfId="0" applyAlignment="1">
      <alignment horizontal="center" vertical="center"/>
    </xf>
    <xf numFmtId="0" fontId="5" fillId="3" borderId="0" xfId="0" applyFont="1" applyFill="1" applyAlignment="1">
      <alignment horizontal="center" vertical="center" wrapText="1"/>
    </xf>
    <xf numFmtId="0" fontId="8" fillId="0" borderId="0" xfId="0" applyFont="1" applyAlignment="1">
      <alignment horizontal="center" vertical="center"/>
    </xf>
    <xf numFmtId="176" fontId="17" fillId="0" borderId="0" xfId="0" applyNumberFormat="1" applyFont="1" applyAlignment="1">
      <alignment horizontal="center" vertical="center"/>
    </xf>
    <xf numFmtId="176" fontId="8" fillId="0" borderId="0" xfId="0" applyNumberFormat="1"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wrapText="1"/>
    </xf>
    <xf numFmtId="0" fontId="20" fillId="0" borderId="0" xfId="0" applyFont="1" applyAlignment="1"/>
    <xf numFmtId="0" fontId="21" fillId="0" borderId="0" xfId="0" applyFont="1" applyAlignment="1">
      <alignment vertical="top" wrapText="1"/>
    </xf>
    <xf numFmtId="0" fontId="22" fillId="0" borderId="0" xfId="0" applyFont="1" applyAlignment="1"/>
    <xf numFmtId="0" fontId="22" fillId="0" borderId="0" xfId="0" applyFont="1" applyAlignment="1">
      <alignment horizontal="center"/>
    </xf>
    <xf numFmtId="0" fontId="19" fillId="0" borderId="0" xfId="0" applyFont="1"/>
    <xf numFmtId="0" fontId="8" fillId="0" borderId="0" xfId="0" applyFont="1" applyAlignment="1">
      <alignment horizontal="center"/>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23" fillId="0" borderId="0" xfId="0" applyFont="1"/>
    <xf numFmtId="0" fontId="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0" xfId="0" applyFont="1" applyAlignment="1">
      <alignment horizontal="center"/>
    </xf>
    <xf numFmtId="0" fontId="24" fillId="0" borderId="0" xfId="0" applyFont="1" applyAlignment="1">
      <alignment horizontal="center"/>
    </xf>
    <xf numFmtId="0" fontId="25" fillId="0" borderId="0" xfId="0" applyFont="1" applyAlignment="1"/>
    <xf numFmtId="0" fontId="21" fillId="0" borderId="0" xfId="0" applyFont="1" applyAlignment="1"/>
    <xf numFmtId="0" fontId="26" fillId="10" borderId="0" xfId="0" applyFont="1" applyFill="1" applyAlignment="1">
      <alignment horizontal="center" vertical="center" wrapText="1"/>
    </xf>
    <xf numFmtId="0" fontId="17" fillId="11" borderId="0" xfId="0" applyFont="1" applyFill="1" applyAlignment="1">
      <alignment horizontal="center" vertical="center" wrapText="1"/>
    </xf>
    <xf numFmtId="0" fontId="22" fillId="0" borderId="1" xfId="0" applyFont="1" applyBorder="1" applyAlignment="1">
      <alignment horizontal="left" vertical="center" wrapText="1"/>
    </xf>
    <xf numFmtId="0" fontId="27" fillId="0" borderId="0" xfId="0" applyFont="1"/>
    <xf numFmtId="0" fontId="15" fillId="0" borderId="0" xfId="0" applyFont="1" applyAlignment="1"/>
    <xf numFmtId="0" fontId="0" fillId="0" borderId="0" xfId="0" applyAlignment="1">
      <alignment vertical="center"/>
    </xf>
    <xf numFmtId="0" fontId="28" fillId="0" borderId="0" xfId="0" applyFont="1" applyAlignment="1">
      <alignment vertical="center"/>
    </xf>
    <xf numFmtId="0" fontId="15"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vertical="center"/>
    </xf>
    <xf numFmtId="0" fontId="1" fillId="0" borderId="0" xfId="0" applyFont="1" applyAlignment="1">
      <alignment vertical="center"/>
    </xf>
    <xf numFmtId="0" fontId="12" fillId="0" borderId="0" xfId="0" applyFont="1" applyAlignment="1">
      <alignment vertical="center"/>
    </xf>
    <xf numFmtId="0" fontId="16" fillId="12" borderId="0" xfId="0" applyFont="1" applyFill="1" applyAlignment="1">
      <alignment horizontal="center" vertical="center"/>
    </xf>
    <xf numFmtId="0" fontId="29" fillId="0" borderId="0" xfId="0" applyFont="1"/>
    <xf numFmtId="0" fontId="7" fillId="0" borderId="0" xfId="0" applyFont="1" applyAlignment="1">
      <alignment horizontal="center"/>
    </xf>
    <xf numFmtId="0" fontId="4" fillId="0" borderId="0" xfId="0" applyFont="1" applyAlignment="1">
      <alignment vertical="center"/>
    </xf>
    <xf numFmtId="0" fontId="17" fillId="11" borderId="0" xfId="0" applyFont="1" applyFill="1" applyAlignment="1">
      <alignment horizontal="center" vertical="center"/>
    </xf>
    <xf numFmtId="0" fontId="13" fillId="5" borderId="0" xfId="0" applyFont="1" applyFill="1" applyAlignment="1">
      <alignment horizontal="center" vertical="center"/>
    </xf>
    <xf numFmtId="0" fontId="30" fillId="0" borderId="0" xfId="0" applyFont="1" applyAlignment="1">
      <alignment horizontal="center"/>
    </xf>
    <xf numFmtId="176" fontId="18" fillId="0" borderId="0" xfId="0" applyNumberFormat="1" applyFont="1" applyAlignment="1">
      <alignment horizontal="center"/>
    </xf>
    <xf numFmtId="0" fontId="31" fillId="0" borderId="0" xfId="0" applyFont="1" applyAlignment="1">
      <alignment horizontal="left" vertical="center"/>
    </xf>
    <xf numFmtId="0" fontId="19" fillId="13" borderId="0" xfId="0" applyFont="1" applyFill="1" applyAlignment="1">
      <alignment horizontal="center" vertical="center"/>
    </xf>
    <xf numFmtId="0" fontId="2" fillId="2" borderId="2"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14" borderId="2" xfId="0" applyFont="1" applyFill="1" applyBorder="1" applyAlignment="1">
      <alignment horizontal="center" vertical="center" wrapText="1"/>
    </xf>
    <xf numFmtId="177" fontId="16" fillId="4" borderId="0" xfId="0" applyNumberFormat="1" applyFont="1" applyFill="1" applyAlignment="1">
      <alignment horizontal="center"/>
    </xf>
    <xf numFmtId="177" fontId="12" fillId="0" borderId="0" xfId="0" applyNumberFormat="1" applyFont="1" applyAlignment="1"/>
    <xf numFmtId="0" fontId="0" fillId="4" borderId="0" xfId="0" applyFill="1" applyAlignment="1">
      <alignment horizontal="center"/>
    </xf>
    <xf numFmtId="0" fontId="33" fillId="0" borderId="0" xfId="0" applyFont="1"/>
    <xf numFmtId="0" fontId="33" fillId="0" borderId="0" xfId="0" applyFont="1" applyAlignment="1">
      <alignment horizontal="center"/>
    </xf>
    <xf numFmtId="0" fontId="33" fillId="0" borderId="0" xfId="0" applyFont="1" applyAlignment="1">
      <alignment horizontal="center" vertical="center"/>
    </xf>
    <xf numFmtId="0" fontId="17" fillId="11" borderId="0" xfId="0" applyFont="1" applyFill="1" applyAlignment="1">
      <alignment horizontal="center"/>
    </xf>
    <xf numFmtId="0" fontId="34" fillId="0" borderId="0" xfId="0" applyFont="1" applyAlignment="1"/>
    <xf numFmtId="0" fontId="35" fillId="0" borderId="0" xfId="0" applyFont="1" applyAlignment="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6">
    <dxf>
      <alignment vertical="center"/>
    </dxf>
    <dxf>
      <alignment vertical="center"/>
    </dxf>
    <dxf>
      <alignment vertical="center"/>
    </dxf>
    <dxf/>
    <dxf/>
    <dxf/>
    <dxf/>
    <dxf/>
    <dxf/>
    <dxf/>
    <dxf/>
    <dxf/>
    <dxf>
      <font>
        <b val="1"/>
        <color rgb="FFFFFFFF"/>
      </font>
      <fill>
        <patternFill patternType="solid">
          <bgColor rgb="FFC00000"/>
        </patternFill>
      </fill>
    </dxf>
    <dxf>
      <font>
        <b val="1"/>
        <color rgb="FFFFFFFF"/>
      </font>
      <fill>
        <patternFill patternType="solid">
          <bgColor rgb="FFED7D31"/>
        </patternFill>
      </fill>
    </dxf>
    <dxf>
      <fill>
        <patternFill patternType="solid">
          <bgColor rgb="FFFFC000"/>
        </patternFill>
      </fill>
    </dxf>
    <dxf>
      <fill>
        <patternFill patternType="solid">
          <bgColor rgb="FFBFBFB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2CC"/>
      <rgbColor rgb="00CCFFFF"/>
      <rgbColor rgb="00660066"/>
      <rgbColor rgb="00FF8080"/>
      <rgbColor rgb="000563C1"/>
      <rgbColor rgb="00CCCCCC"/>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CE4D6"/>
      <rgbColor rgb="003366FF"/>
      <rgbColor rgb="0033CCCC"/>
      <rgbColor rgb="0099CC00"/>
      <rgbColor rgb="00FFC000"/>
      <rgbColor rgb="00FF9900"/>
      <rgbColor rgb="00ED7D31"/>
      <rgbColor rgb="00595959"/>
      <rgbColor rgb="00B4B4B4"/>
      <rgbColor rgb="001F3864"/>
      <rgbColor rgb="00339966"/>
      <rgbColor rgb="00006100"/>
      <rgbColor rgb="00333300"/>
      <rgbColor rgb="00993300"/>
      <rgbColor rgb="00993366"/>
      <rgbColor rgb="001F4E78"/>
      <rgbColor rgb="005555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ables/table1.xml><?xml version="1.0" encoding="utf-8"?>
<table xmlns="http://schemas.openxmlformats.org/spreadsheetml/2006/main" id="1" name="PathogenScores" displayName="PathogenScores" ref="A33:L97" totalsRowShown="0">
  <autoFilter xmlns:etc="http://www.wps.cn/officeDocument/2017/etCustomData" ref="A33:L97" etc:filterBottomFollowUsedRange="0"/>
  <tableColumns count="12">
    <tableColumn id="1" name="Code" dataDxfId="0"/>
    <tableColumn id="2" name="Pathogen" dataDxfId="1"/>
    <tableColumn id="3" name="Category" dataDxfId="2"/>
    <tableColumn id="4" name="Burden (1-5)" dataDxfId="3"/>
    <tableColumn id="5" name="Epidemic (1-5)" dataDxfId="4"/>
    <tableColumn id="6" name="WES Fit (1-5)" dataDxfId="5"/>
    <tableColumn id="7" name="Surv Gap (1-5)" dataDxfId="6"/>
    <tableColumn id="8" name="Intervene (1-5)" dataDxfId="7"/>
    <tableColumn id="9" name="AMR (1-5)" dataDxfId="8"/>
    <tableColumn id="10" name="Equity (1-5)" dataDxfId="9"/>
    <tableColumn id="11" name="Composite v4 (legacy)" dataDxfId="10"/>
    <tableColumn id="12" name="Tier v4 (legacy)" dataDxfId="1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9.xml.rels><?xml version="1.0" encoding="UTF-8" standalone="yes"?>
<Relationships xmlns="http://schemas.openxmlformats.org/package/2006/relationships"><Relationship Id="rId9" Type="http://schemas.openxmlformats.org/officeDocument/2006/relationships/hyperlink" Target="https://www.who.int/publications/i/item/9789240093461" TargetMode="External"/><Relationship Id="rId8" Type="http://schemas.openxmlformats.org/officeDocument/2006/relationships/hyperlink" Target="https://africacdc.org/download/africa-cdc-framework-for-antimicrobial-resistance-control-2023-2027/" TargetMode="External"/><Relationship Id="rId7" Type="http://schemas.openxmlformats.org/officeDocument/2006/relationships/hyperlink" Target="https://extranet.who.int/sph/spar" TargetMode="External"/><Relationship Id="rId6" Type="http://schemas.openxmlformats.org/officeDocument/2006/relationships/hyperlink" Target="https://www.who.int/teams/global-tuberculosis-programme/tb-reports" TargetMode="External"/><Relationship Id="rId5" Type="http://schemas.openxmlformats.org/officeDocument/2006/relationships/hyperlink" Target="https://washdata.org/" TargetMode="External"/><Relationship Id="rId4" Type="http://schemas.openxmlformats.org/officeDocument/2006/relationships/hyperlink" Target="https://www.afro.who.int/health-topics/disease-outbreaks/outbreaks-and-other-emergencies-updates" TargetMode="External"/><Relationship Id="rId3" Type="http://schemas.openxmlformats.org/officeDocument/2006/relationships/hyperlink" Target="https://vizhub.healthdata.org/gbd-compare/" TargetMode="External"/><Relationship Id="rId2" Type="http://schemas.openxmlformats.org/officeDocument/2006/relationships/hyperlink" Target="https://africacdc.org/" TargetMode="External"/><Relationship Id="rId15" Type="http://schemas.openxmlformats.org/officeDocument/2006/relationships/hyperlink" Target="https://africacdc.org/disease/mpox/" TargetMode="External"/><Relationship Id="rId14" Type="http://schemas.openxmlformats.org/officeDocument/2006/relationships/hyperlink" Target="https://www.who.int/teams/global-task-force-on-cholera-control" TargetMode="External"/><Relationship Id="rId13" Type="http://schemas.openxmlformats.org/officeDocument/2006/relationships/hyperlink" Target="https://childmortality.org/" TargetMode="External"/><Relationship Id="rId12" Type="http://schemas.openxmlformats.org/officeDocument/2006/relationships/hyperlink" Target="https://www.worldpop.org/" TargetMode="External"/><Relationship Id="rId11" Type="http://schemas.openxmlformats.org/officeDocument/2006/relationships/hyperlink" Target="https://hdr.undp.org/" TargetMode="External"/><Relationship Id="rId10" Type="http://schemas.openxmlformats.org/officeDocument/2006/relationships/hyperlink" Target="https://fragilestatesindex.org/" TargetMode="External"/><Relationship Id="rId1" Type="http://schemas.openxmlformats.org/officeDocument/2006/relationships/hyperlink" Target="https://www.who.int/activities/prioritizing-diseases-for-research-and-development-in-emergency-contex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79"/>
  <sheetViews>
    <sheetView workbookViewId="0">
      <selection activeCell="A1" sqref="A1"/>
    </sheetView>
  </sheetViews>
  <sheetFormatPr defaultColWidth="8.5" defaultRowHeight="15" customHeight="1"/>
  <cols>
    <col min="1" max="1" width="140" customWidth="1"/>
  </cols>
  <sheetData>
    <row r="1" ht="19.5" customHeight="1" spans="1:1">
      <c r="A1" s="1" t="s">
        <v>0</v>
      </c>
    </row>
    <row r="2" customHeight="1" spans="1:1">
      <c r="A2" s="92" t="s">
        <v>1</v>
      </c>
    </row>
    <row r="4" customHeight="1" spans="1:1">
      <c r="A4" s="18" t="s">
        <v>2</v>
      </c>
    </row>
    <row r="5" customHeight="1" spans="1:1">
      <c r="A5" t="s">
        <v>3</v>
      </c>
    </row>
    <row r="6" customHeight="1" spans="1:1">
      <c r="A6" t="s">
        <v>4</v>
      </c>
    </row>
    <row r="7" customHeight="1" spans="1:1">
      <c r="A7" t="s">
        <v>5</v>
      </c>
    </row>
    <row r="8" customHeight="1" spans="1:1">
      <c r="A8" t="s">
        <v>6</v>
      </c>
    </row>
    <row r="10" customHeight="1" spans="1:1">
      <c r="A10" s="18" t="s">
        <v>7</v>
      </c>
    </row>
    <row r="11" customHeight="1" spans="1:1">
      <c r="A11" t="s">
        <v>8</v>
      </c>
    </row>
    <row r="12" customHeight="1" spans="1:1">
      <c r="A12" t="s">
        <v>9</v>
      </c>
    </row>
    <row r="13" customHeight="1" spans="1:1">
      <c r="A13" t="s">
        <v>10</v>
      </c>
    </row>
    <row r="14" customHeight="1" spans="1:1">
      <c r="A14" t="s">
        <v>11</v>
      </c>
    </row>
    <row r="15" customHeight="1" spans="1:1">
      <c r="A15" t="s">
        <v>12</v>
      </c>
    </row>
    <row r="16" customHeight="1" spans="1:1">
      <c r="A16" t="s">
        <v>13</v>
      </c>
    </row>
    <row r="17" customHeight="1" spans="1:1">
      <c r="A17" t="s">
        <v>14</v>
      </c>
    </row>
    <row r="18" customHeight="1" spans="1:1">
      <c r="A18" t="s">
        <v>15</v>
      </c>
    </row>
    <row r="19" customHeight="1" spans="1:1">
      <c r="A19" t="s">
        <v>16</v>
      </c>
    </row>
    <row r="20" customHeight="1" spans="1:1">
      <c r="A20" t="s">
        <v>17</v>
      </c>
    </row>
    <row r="21" customHeight="1" spans="1:1">
      <c r="A21" t="s">
        <v>18</v>
      </c>
    </row>
    <row r="22" customHeight="1" spans="1:1">
      <c r="A22" t="s">
        <v>19</v>
      </c>
    </row>
    <row r="23" customHeight="1" spans="1:1">
      <c r="A23" t="s">
        <v>20</v>
      </c>
    </row>
    <row r="24" customHeight="1" spans="1:1">
      <c r="A24" t="s">
        <v>21</v>
      </c>
    </row>
    <row r="26" customHeight="1" spans="1:1">
      <c r="A26" s="18" t="s">
        <v>22</v>
      </c>
    </row>
    <row r="27" customHeight="1" spans="1:1">
      <c r="A27" t="s">
        <v>23</v>
      </c>
    </row>
    <row r="28" customHeight="1" spans="1:1">
      <c r="A28" t="s">
        <v>24</v>
      </c>
    </row>
    <row r="29" customHeight="1" spans="1:1">
      <c r="A29" t="s">
        <v>25</v>
      </c>
    </row>
    <row r="30" customHeight="1" spans="1:1">
      <c r="A30" t="s">
        <v>26</v>
      </c>
    </row>
    <row r="31" customHeight="1" spans="1:1">
      <c r="A31" t="s">
        <v>27</v>
      </c>
    </row>
    <row r="33" customHeight="1" spans="1:1">
      <c r="A33" s="18" t="s">
        <v>28</v>
      </c>
    </row>
    <row r="34" customHeight="1" spans="1:1">
      <c r="A34" t="s">
        <v>29</v>
      </c>
    </row>
    <row r="35" customHeight="1" spans="1:1">
      <c r="A35" t="s">
        <v>30</v>
      </c>
    </row>
    <row r="36" customHeight="1" spans="1:1">
      <c r="A36" t="s">
        <v>31</v>
      </c>
    </row>
    <row r="37" customHeight="1" spans="1:1">
      <c r="A37" t="s">
        <v>32</v>
      </c>
    </row>
    <row r="39" customHeight="1" spans="1:1">
      <c r="A39" s="18" t="s">
        <v>33</v>
      </c>
    </row>
    <row r="40" customHeight="1" spans="1:1">
      <c r="A40" t="s">
        <v>34</v>
      </c>
    </row>
    <row r="41" customHeight="1" spans="1:1">
      <c r="A41" t="s">
        <v>35</v>
      </c>
    </row>
    <row r="42" customHeight="1" spans="1:1">
      <c r="A42" t="s">
        <v>36</v>
      </c>
    </row>
    <row r="43" customHeight="1" spans="1:1">
      <c r="A43" t="s">
        <v>37</v>
      </c>
    </row>
    <row r="44" customHeight="1" spans="1:1">
      <c r="A44" t="s">
        <v>38</v>
      </c>
    </row>
    <row r="45" customHeight="1" spans="1:1">
      <c r="A45" t="s">
        <v>39</v>
      </c>
    </row>
    <row r="46" customHeight="1" spans="1:1">
      <c r="A46" t="s">
        <v>40</v>
      </c>
    </row>
    <row r="47" customHeight="1" spans="1:1">
      <c r="A47" t="s">
        <v>41</v>
      </c>
    </row>
    <row r="49" customHeight="1" spans="1:1">
      <c r="A49" s="18" t="s">
        <v>42</v>
      </c>
    </row>
    <row r="50" customHeight="1" spans="1:1">
      <c r="A50" t="s">
        <v>43</v>
      </c>
    </row>
    <row r="51" customHeight="1" spans="1:1">
      <c r="A51" t="s">
        <v>44</v>
      </c>
    </row>
    <row r="52" customHeight="1" spans="1:1">
      <c r="A52" t="s">
        <v>45</v>
      </c>
    </row>
    <row r="54" customHeight="1" spans="1:1">
      <c r="A54" s="57" t="s">
        <v>46</v>
      </c>
    </row>
    <row r="55" customHeight="1" spans="1:1">
      <c r="A55" t="s">
        <v>47</v>
      </c>
    </row>
    <row r="56" customHeight="1" spans="1:1">
      <c r="A56" t="s">
        <v>48</v>
      </c>
    </row>
    <row r="58" ht="16" spans="1:1">
      <c r="A58" s="9" t="s">
        <v>49</v>
      </c>
    </row>
    <row r="59" ht="16" spans="1:1">
      <c r="A59" s="7" t="s">
        <v>50</v>
      </c>
    </row>
    <row r="60" ht="31" spans="1:1">
      <c r="A60" s="7" t="s">
        <v>51</v>
      </c>
    </row>
    <row r="61" ht="31" spans="1:1">
      <c r="A61" s="7" t="s">
        <v>52</v>
      </c>
    </row>
    <row r="62" ht="31" spans="1:1">
      <c r="A62" s="7" t="s">
        <v>53</v>
      </c>
    </row>
    <row r="63" ht="16" spans="1:1">
      <c r="A63" s="7" t="s">
        <v>54</v>
      </c>
    </row>
    <row r="64" ht="31" spans="1:1">
      <c r="A64" s="7" t="s">
        <v>55</v>
      </c>
    </row>
    <row r="66" ht="16" spans="1:1">
      <c r="A66" s="93" t="s">
        <v>56</v>
      </c>
    </row>
    <row r="67" ht="31" spans="1:1">
      <c r="A67" s="12" t="s">
        <v>57</v>
      </c>
    </row>
    <row r="68" ht="31" spans="1:1">
      <c r="A68" s="12" t="s">
        <v>58</v>
      </c>
    </row>
    <row r="69" ht="16" spans="1:1">
      <c r="A69" s="12" t="s">
        <v>59</v>
      </c>
    </row>
    <row r="70" ht="16" spans="1:1">
      <c r="A70" s="12" t="s">
        <v>60</v>
      </c>
    </row>
    <row r="71" ht="16" spans="1:1">
      <c r="A71" s="12" t="s">
        <v>61</v>
      </c>
    </row>
    <row r="72" ht="16" spans="1:1">
      <c r="A72" s="12" t="s">
        <v>62</v>
      </c>
    </row>
    <row r="73" ht="16" spans="1:1">
      <c r="A73" s="12" t="s">
        <v>63</v>
      </c>
    </row>
    <row r="74" ht="16" spans="1:1">
      <c r="A74" s="12" t="s">
        <v>64</v>
      </c>
    </row>
    <row r="75" ht="31" spans="1:1">
      <c r="A75" s="12" t="s">
        <v>65</v>
      </c>
    </row>
    <row r="76" ht="31" spans="1:1">
      <c r="A76" s="12" t="s">
        <v>66</v>
      </c>
    </row>
    <row r="77" ht="16" spans="1:1">
      <c r="A77" s="12" t="s">
        <v>67</v>
      </c>
    </row>
    <row r="78" ht="16" spans="1:1">
      <c r="A78" s="12" t="s">
        <v>68</v>
      </c>
    </row>
    <row r="79" ht="16" spans="1:1">
      <c r="A79" s="93" t="s">
        <v>69</v>
      </c>
    </row>
  </sheetData>
  <pageMargins left="0.75" right="0.75" top="1" bottom="1" header="0.511811023622047" footer="0.511811023622047"/>
  <pageSetup paperSize="9" fitToHeight="0"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tabSelected="1" workbookViewId="0">
      <selection activeCell="B20" sqref="B20"/>
    </sheetView>
  </sheetViews>
  <sheetFormatPr defaultColWidth="8.5" defaultRowHeight="15" customHeight="1" outlineLevelCol="5"/>
  <cols>
    <col min="1" max="1" width="51.8359375" customWidth="1"/>
    <col min="2" max="2" width="52" customWidth="1"/>
    <col min="3" max="3" width="16" customWidth="1"/>
    <col min="4" max="6" width="16" style="5" customWidth="1"/>
  </cols>
  <sheetData>
    <row r="1" ht="19.5" customHeight="1" spans="1:3">
      <c r="A1" s="1" t="s">
        <v>70</v>
      </c>
    </row>
    <row r="3" customHeight="1" spans="1:3">
      <c r="A3" s="2" t="s">
        <v>71</v>
      </c>
      <c r="B3" s="2" t="s">
        <v>72</v>
      </c>
      <c r="C3" s="2" t="s">
        <v>73</v>
      </c>
    </row>
    <row r="4" customHeight="1" spans="1:3">
      <c r="A4" s="18" t="s">
        <v>74</v>
      </c>
      <c r="B4" t="s">
        <v>75</v>
      </c>
      <c r="C4" s="85">
        <v>0.2</v>
      </c>
    </row>
    <row r="5" customHeight="1" spans="1:3">
      <c r="A5" s="18" t="s">
        <v>76</v>
      </c>
      <c r="B5" t="s">
        <v>77</v>
      </c>
      <c r="C5" s="85">
        <v>0.2</v>
      </c>
    </row>
    <row r="6" customHeight="1" spans="1:3">
      <c r="A6" s="18" t="s">
        <v>78</v>
      </c>
      <c r="B6" t="s">
        <v>79</v>
      </c>
      <c r="C6" s="85">
        <v>0.15</v>
      </c>
    </row>
    <row r="7" customHeight="1" spans="1:3">
      <c r="A7" s="18" t="s">
        <v>80</v>
      </c>
      <c r="B7" t="s">
        <v>81</v>
      </c>
      <c r="C7" s="85">
        <v>0.15</v>
      </c>
    </row>
    <row r="8" customHeight="1" spans="1:3">
      <c r="A8" s="18" t="s">
        <v>82</v>
      </c>
      <c r="B8" t="s">
        <v>83</v>
      </c>
      <c r="C8" s="85">
        <v>0.1</v>
      </c>
    </row>
    <row r="9" customHeight="1" spans="1:3">
      <c r="A9" s="18" t="s">
        <v>84</v>
      </c>
      <c r="B9" t="s">
        <v>85</v>
      </c>
      <c r="C9" s="85">
        <v>0.1</v>
      </c>
    </row>
    <row r="10" customHeight="1" spans="1:3">
      <c r="A10" s="18" t="s">
        <v>86</v>
      </c>
      <c r="B10" t="s">
        <v>87</v>
      </c>
      <c r="C10" s="85">
        <v>0.1</v>
      </c>
    </row>
    <row r="11" customHeight="1" spans="1:3">
      <c r="B11" s="18" t="s">
        <v>88</v>
      </c>
      <c r="C11" s="86">
        <f>SUM(C4:C10)</f>
        <v>1</v>
      </c>
    </row>
    <row r="13" customHeight="1" spans="1:3">
      <c r="A13" s="18" t="s">
        <v>89</v>
      </c>
    </row>
    <row r="14" customHeight="1" spans="1:3">
      <c r="A14" t="s">
        <v>90</v>
      </c>
      <c r="B14" s="87">
        <v>70</v>
      </c>
    </row>
    <row r="15" customHeight="1" spans="1:3">
      <c r="A15" t="s">
        <v>91</v>
      </c>
      <c r="B15" s="87">
        <v>50</v>
      </c>
    </row>
    <row r="16" customHeight="1" spans="1:3">
      <c r="A16" t="s">
        <v>92</v>
      </c>
      <c r="B16" s="87">
        <v>30</v>
      </c>
    </row>
    <row r="20" ht="16.8" spans="1:5">
      <c r="A20" s="10" t="s">
        <v>93</v>
      </c>
    </row>
    <row r="21" spans="1:5">
      <c r="A21" s="29" t="s">
        <v>94</v>
      </c>
    </row>
    <row r="22" ht="31" spans="1:5">
      <c r="A22" s="36" t="s">
        <v>71</v>
      </c>
      <c r="B22" s="36" t="s">
        <v>72</v>
      </c>
      <c r="C22" s="36" t="s">
        <v>95</v>
      </c>
      <c r="D22" s="36" t="s">
        <v>96</v>
      </c>
      <c r="E22" s="36" t="s">
        <v>97</v>
      </c>
    </row>
    <row r="23" ht="15.2" spans="1:5">
      <c r="A23" s="37" t="s">
        <v>74</v>
      </c>
      <c r="B23" s="37" t="s">
        <v>75</v>
      </c>
      <c r="C23" s="48">
        <f>IF(LEFT(Calculator!$B$4,5)="Pilot",D23,E23)</f>
        <v>0.16</v>
      </c>
      <c r="D23" s="33">
        <v>0.16</v>
      </c>
      <c r="E23" s="33">
        <v>0.16</v>
      </c>
    </row>
    <row r="24" ht="15.2" spans="1:5">
      <c r="A24" s="37" t="s">
        <v>76</v>
      </c>
      <c r="B24" s="37" t="s">
        <v>77</v>
      </c>
      <c r="C24" s="48">
        <f>IF(LEFT(Calculator!$B$4,5)="Pilot",D24,E24)</f>
        <v>0.14</v>
      </c>
      <c r="D24" s="33">
        <v>0.14</v>
      </c>
      <c r="E24" s="33">
        <v>0.16</v>
      </c>
    </row>
    <row r="25" ht="15.2" spans="1:5">
      <c r="A25" s="37" t="s">
        <v>78</v>
      </c>
      <c r="B25" s="37" t="s">
        <v>79</v>
      </c>
      <c r="C25" s="48">
        <f>IF(LEFT(Calculator!$B$4,5)="Pilot",D25,E25)</f>
        <v>0.18</v>
      </c>
      <c r="D25" s="33">
        <v>0.18</v>
      </c>
      <c r="E25" s="33">
        <v>0.1</v>
      </c>
    </row>
    <row r="26" ht="15.2" spans="1:5">
      <c r="A26" s="37" t="s">
        <v>80</v>
      </c>
      <c r="B26" s="37" t="s">
        <v>81</v>
      </c>
      <c r="C26" s="48">
        <f>IF(LEFT(Calculator!$B$4,5)="Pilot",D26,E26)</f>
        <v>0.1</v>
      </c>
      <c r="D26" s="33">
        <v>0.1</v>
      </c>
      <c r="E26" s="33">
        <v>0.13</v>
      </c>
    </row>
    <row r="27" ht="15.2" spans="1:5">
      <c r="A27" s="37" t="s">
        <v>82</v>
      </c>
      <c r="B27" s="37" t="s">
        <v>83</v>
      </c>
      <c r="C27" s="48">
        <f>IF(LEFT(Calculator!$B$4,5)="Pilot",D27,E27)</f>
        <v>0.1</v>
      </c>
      <c r="D27" s="33">
        <v>0.1</v>
      </c>
      <c r="E27" s="33">
        <v>0.1</v>
      </c>
    </row>
    <row r="28" ht="15.2" spans="1:5">
      <c r="A28" s="37" t="s">
        <v>84</v>
      </c>
      <c r="B28" s="37" t="s">
        <v>85</v>
      </c>
      <c r="C28" s="48">
        <f>IF(LEFT(Calculator!$B$4,5)="Pilot",D28,E28)</f>
        <v>0.05</v>
      </c>
      <c r="D28" s="33">
        <v>0.05</v>
      </c>
      <c r="E28" s="33">
        <v>0.1</v>
      </c>
    </row>
    <row r="29" ht="15.2" spans="1:5">
      <c r="A29" s="37" t="s">
        <v>86</v>
      </c>
      <c r="B29" s="37" t="s">
        <v>87</v>
      </c>
      <c r="C29" s="48">
        <f>IF(LEFT(Calculator!$B$4,5)="Pilot",D29,E29)</f>
        <v>0.08</v>
      </c>
      <c r="D29" s="33">
        <v>0.08</v>
      </c>
      <c r="E29" s="33">
        <v>0.09</v>
      </c>
    </row>
    <row r="30" ht="15.2" spans="1:5">
      <c r="A30" s="37" t="s">
        <v>98</v>
      </c>
      <c r="B30" s="37" t="s">
        <v>99</v>
      </c>
      <c r="C30" s="48">
        <f>IF(LEFT(Calculator!$B$4,5)="Pilot",D30,E30)</f>
        <v>0.04</v>
      </c>
      <c r="D30" s="33">
        <v>0.04</v>
      </c>
      <c r="E30" s="33">
        <v>0.12</v>
      </c>
    </row>
    <row r="31" ht="15.2" spans="1:5">
      <c r="A31" s="37" t="s">
        <v>100</v>
      </c>
      <c r="B31" s="37" t="s">
        <v>101</v>
      </c>
      <c r="C31" s="48">
        <f>IF(LEFT(Calculator!$B$4,5)="Pilot",D31,E31)</f>
        <v>0.15</v>
      </c>
      <c r="D31" s="33">
        <v>0.15</v>
      </c>
      <c r="E31" s="33">
        <v>0.04</v>
      </c>
    </row>
    <row r="32" ht="16.8" spans="1:5">
      <c r="B32" s="88" t="s">
        <v>88</v>
      </c>
      <c r="C32" s="89">
        <f>SUM(C23:C31)</f>
        <v>1</v>
      </c>
      <c r="D32" s="89">
        <f>SUM(D23:D31)</f>
        <v>1</v>
      </c>
      <c r="E32" s="89">
        <f>SUM(E23:E31)</f>
        <v>1</v>
      </c>
    </row>
    <row r="34" ht="16.8" spans="1:6">
      <c r="A34" s="10" t="s">
        <v>102</v>
      </c>
    </row>
    <row r="35" ht="16" spans="1:6">
      <c r="A35" s="36" t="s">
        <v>103</v>
      </c>
      <c r="B35" s="31" t="s">
        <v>104</v>
      </c>
      <c r="C35" s="31" t="s">
        <v>105</v>
      </c>
      <c r="D35" s="31" t="s">
        <v>106</v>
      </c>
      <c r="E35" s="31" t="s">
        <v>107</v>
      </c>
      <c r="F35" s="31" t="s">
        <v>108</v>
      </c>
    </row>
    <row r="36" ht="15.2" spans="1:6">
      <c r="A36" s="37" t="s">
        <v>74</v>
      </c>
      <c r="B36" s="33">
        <v>1.4</v>
      </c>
      <c r="C36" s="33">
        <v>0.6</v>
      </c>
      <c r="D36" s="33">
        <v>0.3</v>
      </c>
      <c r="E36" s="33">
        <v>0.1</v>
      </c>
      <c r="F36" s="33">
        <v>1</v>
      </c>
    </row>
    <row r="37" ht="15.2" spans="1:6">
      <c r="A37" s="37" t="s">
        <v>76</v>
      </c>
      <c r="B37" s="33">
        <v>0.7</v>
      </c>
      <c r="C37" s="33">
        <v>1.5</v>
      </c>
      <c r="D37" s="33">
        <v>1.4</v>
      </c>
      <c r="E37" s="33">
        <v>0.2</v>
      </c>
      <c r="F37" s="33">
        <v>1</v>
      </c>
    </row>
    <row r="38" ht="15.2" spans="1:6">
      <c r="A38" s="37" t="s">
        <v>78</v>
      </c>
      <c r="B38" s="33">
        <v>1</v>
      </c>
      <c r="C38" s="33">
        <v>1.2</v>
      </c>
      <c r="D38" s="33">
        <v>1.2</v>
      </c>
      <c r="E38" s="33">
        <v>0.5</v>
      </c>
      <c r="F38" s="33">
        <v>1</v>
      </c>
    </row>
    <row r="39" ht="15.2" spans="1:6">
      <c r="A39" s="37" t="s">
        <v>80</v>
      </c>
      <c r="B39" s="33">
        <v>1.1</v>
      </c>
      <c r="C39" s="33">
        <v>1.2</v>
      </c>
      <c r="D39" s="33">
        <v>1</v>
      </c>
      <c r="E39" s="33">
        <v>0.3</v>
      </c>
      <c r="F39" s="33">
        <v>1</v>
      </c>
    </row>
    <row r="40" ht="15.2" spans="1:6">
      <c r="A40" s="37" t="s">
        <v>82</v>
      </c>
      <c r="B40" s="33">
        <v>1.3</v>
      </c>
      <c r="C40" s="33">
        <v>1</v>
      </c>
      <c r="D40" s="33">
        <v>0.7</v>
      </c>
      <c r="E40" s="33">
        <v>0.2</v>
      </c>
      <c r="F40" s="33">
        <v>1</v>
      </c>
    </row>
    <row r="41" ht="15.2" spans="1:6">
      <c r="A41" s="37" t="s">
        <v>84</v>
      </c>
      <c r="B41" s="33">
        <v>1.2</v>
      </c>
      <c r="C41" s="33">
        <v>0.9</v>
      </c>
      <c r="D41" s="33">
        <v>0.6</v>
      </c>
      <c r="E41" s="33">
        <v>0.2</v>
      </c>
      <c r="F41" s="33">
        <v>1</v>
      </c>
    </row>
    <row r="42" ht="15.2" spans="1:6">
      <c r="A42" s="37" t="s">
        <v>86</v>
      </c>
      <c r="B42" s="33">
        <v>1.2</v>
      </c>
      <c r="C42" s="33">
        <v>0.9</v>
      </c>
      <c r="D42" s="33">
        <v>0.6</v>
      </c>
      <c r="E42" s="33">
        <v>0.2</v>
      </c>
      <c r="F42" s="33">
        <v>1</v>
      </c>
    </row>
    <row r="43" ht="15.2" spans="1:6">
      <c r="A43" s="37" t="s">
        <v>98</v>
      </c>
      <c r="B43" s="33">
        <v>1</v>
      </c>
      <c r="C43" s="33">
        <v>1.2</v>
      </c>
      <c r="D43" s="33">
        <v>1.3</v>
      </c>
      <c r="E43" s="33">
        <v>0.3</v>
      </c>
      <c r="F43" s="33">
        <v>1</v>
      </c>
    </row>
    <row r="44" ht="15.2" spans="1:6">
      <c r="A44" s="37" t="s">
        <v>100</v>
      </c>
      <c r="B44" s="33">
        <v>1</v>
      </c>
      <c r="C44" s="33">
        <v>1</v>
      </c>
      <c r="D44" s="33">
        <v>1.1</v>
      </c>
      <c r="E44" s="33">
        <v>0.5</v>
      </c>
      <c r="F44" s="33">
        <v>1</v>
      </c>
    </row>
    <row r="45" ht="16.8" spans="1:6">
      <c r="A45" s="90" t="s">
        <v>109</v>
      </c>
      <c r="B45" s="48">
        <f>SUMPRODUCT($C$23:$C$31,B36:B44)</f>
        <v>1.088</v>
      </c>
      <c r="C45" s="48">
        <f>SUMPRODUCT($C$23:$C$31,C36:C44)</f>
        <v>1.057</v>
      </c>
      <c r="D45" s="48">
        <f>SUMPRODUCT($C$23:$C$31,D36:D44)</f>
        <v>0.925</v>
      </c>
      <c r="E45" s="48">
        <f>SUMPRODUCT($C$23:$C$31,E36:E44)</f>
        <v>0.297</v>
      </c>
      <c r="F45" s="48">
        <f>SUMPRODUCT($C$23:$C$31,F36:F44)</f>
        <v>1</v>
      </c>
    </row>
    <row r="47" ht="16.8" spans="1:6">
      <c r="A47" s="10" t="s">
        <v>110</v>
      </c>
    </row>
    <row r="48" ht="15.2" spans="1:6">
      <c r="A48" s="24" t="s">
        <v>111</v>
      </c>
      <c r="B48" s="91" t="s">
        <v>112</v>
      </c>
    </row>
    <row r="49" ht="15.2" spans="1:2">
      <c r="A49" s="24" t="s">
        <v>113</v>
      </c>
      <c r="B49" s="91">
        <v>65</v>
      </c>
    </row>
    <row r="50" ht="15.2" spans="1:2">
      <c r="A50" s="24" t="s">
        <v>114</v>
      </c>
      <c r="B50" s="91">
        <v>70</v>
      </c>
    </row>
    <row r="51" ht="15.2" spans="1:2">
      <c r="A51" s="24" t="s">
        <v>115</v>
      </c>
      <c r="B51" s="91">
        <v>0.35</v>
      </c>
    </row>
  </sheetData>
  <pageMargins left="0.75" right="0.75" top="1" bottom="1" header="0.511811023622047" footer="0.511811023622047"/>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7"/>
  <sheetViews>
    <sheetView workbookViewId="0">
      <pane xSplit="3" ySplit="33" topLeftCell="I34" activePane="bottomRight" state="frozen"/>
      <selection/>
      <selection pane="topRight"/>
      <selection pane="bottomLeft"/>
      <selection pane="bottomRight" activeCell="C9" sqref="C9"/>
    </sheetView>
  </sheetViews>
  <sheetFormatPr defaultColWidth="8.5" defaultRowHeight="15" customHeight="1"/>
  <cols>
    <col min="1" max="1" width="24.3359375" style="64" customWidth="1"/>
    <col min="2" max="2" width="38" style="64" customWidth="1"/>
    <col min="3" max="3" width="27.6640625" style="64" customWidth="1"/>
    <col min="4" max="10" width="22" customWidth="1"/>
    <col min="11" max="11" width="14" customWidth="1"/>
    <col min="12" max="12" width="26" customWidth="1"/>
    <col min="13" max="13" width="14" style="30" customWidth="1"/>
    <col min="14" max="14" width="5" style="30" customWidth="1"/>
    <col min="15" max="16" width="18" style="30" customWidth="1"/>
    <col min="17" max="17" width="28" style="35" customWidth="1"/>
    <col min="18" max="18" width="18" style="35" customWidth="1"/>
    <col min="19" max="19" width="26" style="35" customWidth="1"/>
    <col min="20" max="20" width="10.3359375" style="30" customWidth="1"/>
    <col min="21" max="21" width="18" style="35" customWidth="1"/>
    <col min="22" max="22" width="46" style="5" customWidth="1"/>
  </cols>
  <sheetData>
    <row r="1" ht="19.5" customHeight="1" spans="1:22">
      <c r="A1" s="69" t="s">
        <v>116</v>
      </c>
    </row>
    <row r="3" customHeight="1" spans="1:22">
      <c r="A3" s="70" t="s">
        <v>117</v>
      </c>
      <c r="B3" s="71" t="s">
        <v>118</v>
      </c>
      <c r="D3" s="72" t="s">
        <v>119</v>
      </c>
      <c r="N3" s="73"/>
    </row>
    <row r="4" ht="15.2" spans="1:22">
      <c r="A4" s="74" t="s">
        <v>120</v>
      </c>
      <c r="B4" s="75" t="s">
        <v>96</v>
      </c>
      <c r="C4" s="66" t="s">
        <v>121</v>
      </c>
    </row>
    <row r="5" customHeight="1" spans="1:22">
      <c r="A5" s="70" t="s">
        <v>122</v>
      </c>
      <c r="B5" s="76" t="str">
        <f>VLOOKUP(B3,Countries!$B$2:$N$55,2,FALSE())</f>
        <v>East</v>
      </c>
    </row>
    <row r="6" customHeight="1" spans="1:22">
      <c r="A6" s="70" t="s">
        <v>123</v>
      </c>
      <c r="B6" s="76">
        <f>VLOOKUP(B3,Countries!$B$2:$N$55,3,FALSE())</f>
        <v>57.5</v>
      </c>
    </row>
    <row r="7" customHeight="1" spans="1:22">
      <c r="A7" s="70" t="s">
        <v>124</v>
      </c>
      <c r="B7" s="76">
        <f>VLOOKUP(B3,Countries!$B$2:$N$55,4,FALSE())</f>
        <v>38.8</v>
      </c>
    </row>
    <row r="8" customHeight="1" spans="1:22">
      <c r="A8" s="70" t="s">
        <v>125</v>
      </c>
      <c r="B8" s="76">
        <f>VLOOKUP(B3,Countries!$B$2:$N$55,5,FALSE())</f>
        <v>40.9</v>
      </c>
    </row>
    <row r="9" customHeight="1" spans="1:22">
      <c r="A9" s="70" t="s">
        <v>126</v>
      </c>
      <c r="B9" s="76">
        <f>VLOOKUP(B3,Countries!$B$2:$N$55,6,FALSE())</f>
        <v>65.6</v>
      </c>
    </row>
    <row r="10" customHeight="1" spans="1:22">
      <c r="A10" s="70" t="s">
        <v>127</v>
      </c>
      <c r="B10" s="76">
        <f>VLOOKUP(B3,Countries!$B$2:$N$55,7,FALSE())</f>
        <v>45.2</v>
      </c>
      <c r="D10" s="77" t="s">
        <v>128</v>
      </c>
      <c r="E10" s="78">
        <f>VLOOKUP($B$3,Countries!$B$2:$N$55,8,FALSE())</f>
        <v>33.4</v>
      </c>
      <c r="F10" s="77" t="s">
        <v>129</v>
      </c>
      <c r="G10" s="78">
        <f>VLOOKUP($B$3,Countries!$B$2:$N$55,9,FALSE())</f>
        <v>57</v>
      </c>
    </row>
    <row r="11" customHeight="1" spans="1:22">
      <c r="A11" s="70" t="s">
        <v>130</v>
      </c>
      <c r="B11" s="76">
        <f>VLOOKUP(B3,Countries!$B$2:$N$55,10,FALSE())</f>
        <v>4</v>
      </c>
    </row>
    <row r="12" customHeight="1" spans="1:22">
      <c r="A12" s="70" t="s">
        <v>131</v>
      </c>
      <c r="B12" s="76">
        <f>VLOOKUP(B3,Countries!$B$2:$N$55,11,FALSE())</f>
        <v>4</v>
      </c>
    </row>
    <row r="13" customHeight="1" spans="1:22">
      <c r="A13" s="70" t="s">
        <v>132</v>
      </c>
      <c r="B13" s="76">
        <f>VLOOKUP(B3,Countries!$B$2:$N$55,12,FALSE())</f>
        <v>3</v>
      </c>
    </row>
    <row r="14" customHeight="1" spans="1:22">
      <c r="A14" s="70" t="s">
        <v>133</v>
      </c>
      <c r="B14" s="76">
        <f>VLOOKUP(B3,Countries!$B$2:$N$55,13,FALSE())</f>
        <v>87.8</v>
      </c>
    </row>
    <row r="15" ht="15.2" spans="1:22">
      <c r="A15" s="79" t="s">
        <v>134</v>
      </c>
      <c r="B15" s="80">
        <f>IFERROR(VLOOKUP($B$3,Countries!$B$2:$AN$55,24,FALSE),"n/a")</f>
        <v>15</v>
      </c>
    </row>
    <row r="16" customFormat="1" ht="16.8" spans="1:22">
      <c r="A16" s="79" t="s">
        <v>135</v>
      </c>
      <c r="B16" s="80">
        <f>IFERROR(VLOOKUP($B$3,Countries!$B$2:$AN$55,25,FALSE),"n/a")</f>
        <v>29</v>
      </c>
      <c r="C16" s="64"/>
      <c r="P16" s="30"/>
      <c r="Q16" s="35"/>
      <c r="R16" s="35"/>
      <c r="S16" s="35"/>
      <c r="T16" s="30"/>
      <c r="U16" s="35"/>
      <c r="V16" s="5"/>
    </row>
    <row r="17" customFormat="1" ht="16.8" spans="1:22">
      <c r="A17" s="79" t="s">
        <v>136</v>
      </c>
      <c r="B17" s="80">
        <f>IFERROR(VLOOKUP($B$3,Countries!$B$2:$AN$55,26,FALSE),"n/a")</f>
        <v>33</v>
      </c>
      <c r="C17" s="64"/>
      <c r="M17" s="30"/>
      <c r="N17" s="48"/>
      <c r="O17" s="55"/>
      <c r="P17" s="30"/>
      <c r="Q17" s="35"/>
      <c r="R17" s="35"/>
      <c r="S17" s="35"/>
      <c r="T17" s="30"/>
      <c r="U17" s="35"/>
      <c r="V17" s="5"/>
    </row>
    <row r="18" customFormat="1" ht="16.8" spans="1:22">
      <c r="A18" s="79" t="s">
        <v>137</v>
      </c>
      <c r="B18" s="80">
        <f>IFERROR(VLOOKUP($B$3,Countries!$B$2:$AN$55,28,FALSE),"n/a")</f>
        <v>91</v>
      </c>
      <c r="C18" s="64"/>
      <c r="M18" s="30"/>
      <c r="N18" s="48"/>
      <c r="O18" s="55"/>
      <c r="P18" s="30"/>
      <c r="Q18" s="35"/>
      <c r="R18" s="35"/>
      <c r="S18" s="35"/>
      <c r="T18" s="30"/>
      <c r="U18" s="35"/>
      <c r="V18" s="5"/>
    </row>
    <row r="19" customFormat="1" ht="16.8" spans="1:22">
      <c r="A19" s="79" t="s">
        <v>138</v>
      </c>
      <c r="B19" s="80">
        <f>IFERROR(VLOOKUP($B$3,Countries!$B$2:$AN$55,29,FALSE),"n/a")</f>
        <v>89</v>
      </c>
      <c r="C19" s="64"/>
      <c r="M19" s="30"/>
      <c r="N19" s="48"/>
      <c r="O19" s="55"/>
      <c r="P19" s="30"/>
      <c r="Q19" s="35"/>
      <c r="R19" s="35"/>
      <c r="S19" s="35"/>
      <c r="T19" s="30"/>
      <c r="U19" s="35"/>
      <c r="V19" s="5"/>
    </row>
    <row r="20" customFormat="1" ht="16.8" spans="1:22">
      <c r="A20" s="79" t="s">
        <v>139</v>
      </c>
      <c r="B20" s="80">
        <f>IFERROR(VLOOKUP($B$3,Countries!$B$2:$AN$55,31,FALSE),"n/a")</f>
        <v>3.7</v>
      </c>
      <c r="C20" s="64"/>
      <c r="M20" s="30"/>
      <c r="N20" s="48"/>
      <c r="O20" s="55"/>
      <c r="P20" s="30"/>
      <c r="Q20" s="35"/>
      <c r="R20" s="35"/>
      <c r="S20" s="35"/>
      <c r="T20" s="30"/>
      <c r="U20" s="35"/>
      <c r="V20" s="5"/>
    </row>
    <row r="21" customFormat="1" ht="16.8" spans="1:22">
      <c r="A21" s="79" t="s">
        <v>140</v>
      </c>
      <c r="B21" s="80">
        <f>IFERROR(VLOOKUP($B$3,Countries!$B$2:$AN$55,32,FALSE),"n/a")</f>
        <v>17.6</v>
      </c>
      <c r="C21" s="64"/>
      <c r="M21" s="30"/>
      <c r="N21" s="48"/>
      <c r="O21" s="55"/>
      <c r="P21" s="30"/>
      <c r="Q21" s="35"/>
      <c r="R21" s="35"/>
      <c r="S21" s="35"/>
      <c r="T21" s="30"/>
      <c r="U21" s="35"/>
      <c r="V21" s="5"/>
    </row>
    <row r="22" customFormat="1" ht="16.8" spans="1:22">
      <c r="A22" s="79" t="s">
        <v>141</v>
      </c>
      <c r="B22" s="80">
        <f>IFERROR(VLOOKUP($B$3,Countries!$B$2:$AN$55,34,FALSE),"n/a")</f>
        <v>5.8</v>
      </c>
      <c r="C22" s="64"/>
      <c r="M22" s="30"/>
      <c r="N22" s="48"/>
      <c r="O22" s="55"/>
      <c r="P22" s="30"/>
      <c r="Q22" s="35"/>
      <c r="R22" s="35"/>
      <c r="S22" s="35"/>
      <c r="T22" s="30"/>
      <c r="U22" s="35"/>
      <c r="V22" s="5"/>
    </row>
    <row r="23" customFormat="1" ht="16.8" spans="1:22">
      <c r="A23" s="79" t="s">
        <v>142</v>
      </c>
      <c r="B23" s="80">
        <f>IFERROR(VLOOKUP($B$3,Countries!$B$2:$AN$55,35,FALSE),"n/a")</f>
        <v>12</v>
      </c>
      <c r="C23" s="64"/>
      <c r="M23" s="30"/>
      <c r="N23" s="48"/>
      <c r="O23" s="55"/>
      <c r="P23" s="30"/>
      <c r="Q23" s="35"/>
      <c r="R23" s="35"/>
      <c r="S23" s="35"/>
      <c r="T23" s="30"/>
      <c r="U23" s="35"/>
      <c r="V23" s="5"/>
    </row>
    <row r="24" customFormat="1" ht="16.8" spans="1:22">
      <c r="A24" s="79" t="s">
        <v>143</v>
      </c>
      <c r="B24" s="80">
        <f>IFERROR(VLOOKUP($B$3,Countries!$B$2:$AN$55,36,FALSE),"n/a")</f>
        <v>4</v>
      </c>
      <c r="C24" s="64"/>
      <c r="M24" s="30"/>
      <c r="N24" s="48"/>
      <c r="O24" s="55"/>
      <c r="P24" s="30"/>
      <c r="Q24" s="35"/>
      <c r="R24" s="35"/>
      <c r="S24" s="35"/>
      <c r="T24" s="30"/>
      <c r="U24" s="35"/>
      <c r="V24" s="5"/>
    </row>
    <row r="25" customFormat="1" ht="16.8" spans="1:22">
      <c r="A25" s="79" t="s">
        <v>144</v>
      </c>
      <c r="B25" s="80">
        <f>IFERROR(VLOOKUP($B$3,Countries!$B$2:$AN$55,37,FALSE),"n/a")</f>
        <v>12</v>
      </c>
      <c r="C25" s="64"/>
      <c r="M25" s="30"/>
      <c r="N25" s="48"/>
      <c r="O25" s="55"/>
      <c r="P25" s="30"/>
      <c r="Q25" s="35"/>
      <c r="R25" s="35"/>
      <c r="S25" s="35"/>
      <c r="T25" s="30"/>
      <c r="U25" s="35"/>
      <c r="V25" s="5"/>
    </row>
    <row r="26" customFormat="1" ht="16.8" spans="1:22">
      <c r="A26" s="79" t="s">
        <v>145</v>
      </c>
      <c r="B26" s="80">
        <f>IFERROR(VLOOKUP($B$3,Countries!$B$2:$AN$55,38,FALSE),"n/a")</f>
        <v>3</v>
      </c>
      <c r="C26" s="64"/>
      <c r="M26" s="30"/>
      <c r="N26" s="48"/>
      <c r="O26" s="55"/>
      <c r="P26" s="30"/>
      <c r="Q26" s="35"/>
      <c r="R26" s="35"/>
      <c r="S26" s="35"/>
      <c r="T26" s="30"/>
      <c r="U26" s="35"/>
      <c r="V26" s="5"/>
    </row>
    <row r="27" customFormat="1" ht="16.8" spans="1:22">
      <c r="A27" s="79" t="s">
        <v>146</v>
      </c>
      <c r="B27" s="80">
        <f>IFERROR(VLOOKUP($B$3,Countries!$B$2:$AN$55,39,FALSE),"n/a")</f>
        <v>3</v>
      </c>
      <c r="C27" s="64"/>
      <c r="M27" s="30"/>
      <c r="N27" s="48"/>
      <c r="O27" s="55"/>
      <c r="P27" s="30"/>
      <c r="Q27" s="35"/>
      <c r="R27" s="35"/>
      <c r="S27" s="35"/>
      <c r="T27" s="30"/>
      <c r="U27" s="35"/>
      <c r="V27" s="5"/>
    </row>
    <row r="28" customFormat="1" ht="16.8" spans="1:22">
      <c r="A28" s="64"/>
      <c r="B28" s="64"/>
      <c r="C28" s="64"/>
      <c r="M28" s="30"/>
      <c r="N28" s="48"/>
      <c r="O28" s="55"/>
      <c r="P28" s="30"/>
      <c r="Q28" s="35"/>
      <c r="R28" s="35"/>
      <c r="S28" s="35"/>
      <c r="T28" s="30"/>
      <c r="U28" s="35"/>
      <c r="V28" s="5"/>
    </row>
    <row r="29" customFormat="1" ht="16.8" spans="1:22">
      <c r="A29" s="64"/>
      <c r="B29" s="64"/>
      <c r="C29" s="64"/>
      <c r="M29" s="30"/>
      <c r="N29" s="48"/>
      <c r="O29" s="55"/>
      <c r="P29" s="30"/>
      <c r="Q29" s="35"/>
      <c r="R29" s="35"/>
      <c r="S29" s="35"/>
      <c r="T29" s="30"/>
      <c r="U29" s="35"/>
      <c r="V29" s="5"/>
    </row>
    <row r="30" customFormat="1" customHeight="1" spans="1:22">
      <c r="A30" s="64"/>
      <c r="B30" s="64"/>
      <c r="C30" s="64"/>
      <c r="M30" s="30"/>
      <c r="N30" s="48"/>
      <c r="O30" s="55"/>
      <c r="P30" s="30"/>
      <c r="Q30" s="35"/>
      <c r="R30" s="35"/>
      <c r="S30" s="35"/>
      <c r="T30" s="30"/>
      <c r="U30" s="35"/>
      <c r="V30" s="5"/>
    </row>
    <row r="31" customFormat="1" ht="16.8" spans="1:22">
      <c r="A31" s="64"/>
      <c r="B31" s="64"/>
      <c r="C31" s="64"/>
      <c r="M31" s="30"/>
      <c r="N31" s="48"/>
      <c r="O31" s="55"/>
      <c r="P31" s="30"/>
      <c r="Q31" s="35"/>
      <c r="R31" s="35"/>
      <c r="S31" s="35"/>
      <c r="T31" s="30"/>
      <c r="U31" s="35"/>
      <c r="V31" s="5"/>
    </row>
    <row r="33" s="64" customFormat="1" ht="26.25" customHeight="1" spans="1:22">
      <c r="A33" s="81" t="s">
        <v>147</v>
      </c>
      <c r="B33" s="81" t="s">
        <v>148</v>
      </c>
      <c r="C33" s="81" t="s">
        <v>149</v>
      </c>
      <c r="D33" s="81" t="s">
        <v>150</v>
      </c>
      <c r="E33" s="81" t="s">
        <v>151</v>
      </c>
      <c r="F33" s="81" t="s">
        <v>152</v>
      </c>
      <c r="G33" s="81" t="s">
        <v>153</v>
      </c>
      <c r="H33" s="81" t="s">
        <v>154</v>
      </c>
      <c r="I33" s="81" t="s">
        <v>155</v>
      </c>
      <c r="J33" s="81" t="s">
        <v>156</v>
      </c>
      <c r="K33" s="81" t="s">
        <v>157</v>
      </c>
      <c r="L33" s="81" t="s">
        <v>158</v>
      </c>
      <c r="M33" s="36" t="s">
        <v>159</v>
      </c>
      <c r="N33" s="36" t="s">
        <v>160</v>
      </c>
      <c r="O33" s="36" t="s">
        <v>161</v>
      </c>
      <c r="P33" s="36" t="s">
        <v>162</v>
      </c>
      <c r="Q33" s="36" t="s">
        <v>163</v>
      </c>
      <c r="R33" s="36" t="s">
        <v>164</v>
      </c>
      <c r="S33" s="36" t="s">
        <v>165</v>
      </c>
      <c r="T33" s="36" t="s">
        <v>166</v>
      </c>
      <c r="U33" s="36" t="s">
        <v>167</v>
      </c>
      <c r="V33" s="6" t="s">
        <v>168</v>
      </c>
    </row>
    <row r="34" ht="26.25" customHeight="1" spans="1:22">
      <c r="A34" s="70" t="s">
        <v>169</v>
      </c>
      <c r="B34" s="64" t="s">
        <v>170</v>
      </c>
      <c r="C34" s="64" t="s">
        <v>171</v>
      </c>
      <c r="D34" s="82">
        <f>ROUND(MIN(5,IF(Pathogens!I2&gt;=500,5,IF(Pathogens!I2&gt;=200,4,IF(Pathogens!I2&gt;=50,3,IF(Pathogens!I2&gt;=10,2,1))))*0.5+IF(Pathogens!J2&gt;=30,5,IF(Pathogens!J2&gt;=10,4,IF(Pathogens!J2&gt;=3,3,IF(Pathogens!J2&gt;=1,2,1))))*0.4+IF(AND($B$7&gt;=80,Pathogens!N2&gt;=0.5),1,0)*0.1+IF($B$10&lt;50,0.3,0)),0)</f>
        <v>2</v>
      </c>
      <c r="E34" s="82">
        <f>ROUND(MIN(5,IF(Pathogens!K2&gt;=8,5,IF(Pathogens!K2&gt;=5,4,IF(Pathogens!K2&gt;=3,3,IF(Pathogens!K2&gt;=1,2,1))))*0.5+IF(Pathogens!L2&gt;=5,5,IF(Pathogens!L2&gt;=3,4,IF(Pathogens!L2&gt;=2,3,IF(Pathogens!L2&gt;=1.2,2,1))))*0.3+IF(Pathogens!M2=1,2,0)*0.2+IF($B$13&gt;=2,0.5,0)),0)</f>
        <v>5</v>
      </c>
      <c r="F34" s="82">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c r="G34" s="82">
        <f>ROUND(MAX(1,MIN(5,(6-$B$11)*0.5+(6-$B$12)*0.4+(IF(AND(Pathogens!N2&gt;=0.5,$B$8&lt;60),5,IF(Pathogens!N2&gt;=0.5,4,IF(Pathogens!N2&gt;=0.3,3,IF(Pathogens!N2&gt;=0.1,2,1)))))*0.1)),0)</f>
        <v>2</v>
      </c>
      <c r="H34" s="82">
        <f>IF(ISNUMBER(SEARCH("Vaccine-preventable",Pathogens!C2)),2,IF(ISNUMBER(SEARCH("AMR",Pathogens!C2)),5,IF(ISNUMBER(SEARCH("VHF",Pathogens!C2)),4,IF(ISNUMBER(SEARCH("Emerging",Pathogens!C2)),5,IF(ISNUMBER(SEARCH("Mycobacterial",Pathogens!C2)),3,IF(ISNUMBER(SEARCH("Helminth",Pathogens!C2)),3,IF(ISNUMBER(SEARCH("Respiratory",Pathogens!C2)),4,3)))))))</f>
        <v>2</v>
      </c>
      <c r="I34" s="82">
        <f>IF(ISNUMBER(SEARCH("AMR",Pathogens!C2)),5,IF(ISNUMBER(SEARCH("Mycobacterial",Pathogens!C2)),4,IF(ISNUMBER(SEARCH("Enteric bacterial",Pathogens!C2)),3,IF(ISNUMBER(SEARCH("Bacterial",Pathogens!C2)),3,1))))</f>
        <v>1</v>
      </c>
      <c r="J34" s="82">
        <f t="shared" ref="J34:J65" si="0">ROUND(MIN(5,IF($B$7&gt;=80,5,IF($B$7&gt;=50,4,IF($B$7&gt;=30,3,IF($B$7&gt;=15,2,1))))*0.4+IF($B$8&lt;25,5,IF($B$8&lt;40,4,IF($B$8&lt;60,3,IF($B$8&lt;80,2,1))))*0.35+IF($B$14&gt;=100,5,IF($B$14&gt;=85,4,IF($B$14&gt;=70,3,IF($B$14&gt;=50,2,1))))*0.25),0)</f>
        <v>3</v>
      </c>
      <c r="K34" s="83">
        <f>ROUND(((D34*Settings!$C$4)+(E34*Settings!$C$5)+(F34*Settings!$C$6)+(G34*Settings!$C$7)+(H34*Settings!$C$8)+(I34*Settings!$C$9)+(J34*Settings!$C$10))/5*100,1)</f>
        <v>61</v>
      </c>
      <c r="L34" s="84" t="str">
        <f>IF(K34&gt;=Settings!$B$14,"Tier 1 — Always-on",IF(K34&gt;=Settings!$B$15,"Tier 2 — Seasonal/Regional",IF(K34&gt;=Settings!$B$16,"Tier 3 — Event-driven","Tier 4 — Monitor only")))</f>
        <v>Tier 2 — Seasonal/Regional</v>
      </c>
      <c r="M34" s="55" t="str">
        <f>IFERROR(INDEX(Endemicity!$C$2:$BN$55,MATCH($B$3,Endemicity!$B$2:$B$55,0),MATCH($A34,Endemicity!$C$1:$BN$1,0)),"Sporadic")</f>
        <v>Sporadic</v>
      </c>
      <c r="N34" s="48">
        <f>IF(Settings!$B$48="ON",IFERROR(MATCH($M34,Settings!$B$35:$F$35,0),5),5)</f>
        <v>2</v>
      </c>
      <c r="O34" s="48">
        <f>(6-Pathogens!X2)</f>
        <v>2</v>
      </c>
      <c r="P34" s="48">
        <f>ROUND(MIN(5,MAX(1,0.35*IF(Pathogens!R2=1,5,IF(Pathogens!R2=2,3,1))+0.2*IF(Pathogens!S2=1,5,IF(Pathogens!S2=2,3,1))+0.25*IF(Pathogens!W2=1,IF($B$26&gt;=3,5,IF($B$26=2,4,IF($B$26=1,2,1))),5)+0.2*IF($B$15&gt;=50,5,IF($B$15&gt;=25,4,IF($B$15&gt;=10,3,IF($B$15&gt;=5,2,1)))))),0)</f>
        <v>5</v>
      </c>
      <c r="Q34" s="37" t="str">
        <f t="shared" ref="Q34:Q65" si="1">IF($M34="Endemic","Trend / intensity monitoring",IF($M34="Sporadic","Early detection sensitivity",IF($M34="Emerging","Horizon scanning","Watch only — not present")))</f>
        <v>Early detection sensitivity</v>
      </c>
      <c r="R34" s="37">
        <f>ROUND(MIN(100,((D34)*Settings!$C$23*INDEX(Settings!$B$36:$F$44,1,$N34)+(E34)*Settings!$C$24*INDEX(Settings!$B$36:$F$44,2,$N34)+(F34)*Settings!$C$25*INDEX(Settings!$B$36:$F$44,3,$N34)+(G34)*Settings!$C$26*INDEX(Settings!$B$36:$F$44,4,$N34)+(H34)*Settings!$C$27*INDEX(Settings!$B$36:$F$44,5,$N34)+(I34)*Settings!$C$28*INDEX(Settings!$B$36:$F$44,6,$N34)+(J34)*Settings!$C$29*INDEX(Settings!$B$36:$F$44,7,$N34)+(O34)*Settings!$C$30*INDEX(Settings!$B$36:$F$44,8,$N34)+(P34)*Settings!$C$31*INDEX(Settings!$B$36:$F$44,9,$N34))/INDEX(Settings!$B$45:$F$45,1,$N34)/5*100*IF($M34="Not present",Settings!$B$51,1)),1)</f>
        <v>73.2</v>
      </c>
      <c r="S34" s="37" t="str">
        <f>IF($M34="Not present","Tier 4 — Watch only (absent)",IF(R34&gt;=Settings!$B$14,"Tier 1 — Always-on",IF(R34&gt;=Settings!$B$15,"Tier 2 — Seasonal/Regional",IF(R34&gt;=Settings!$B$16,"Tier 3 — Event-driven","Tier 4 — Monitor only"))))</f>
        <v>Tier 1 — Always-on</v>
      </c>
      <c r="T34" s="55">
        <f>Feasibility!$F6</f>
        <v>91</v>
      </c>
      <c r="U34" s="37" t="str">
        <f>IF($M34="Not present","Defer — not present",IF(AND(R34&gt;=Settings!$B$49,T34&gt;=Settings!$B$50),"Do now",IF(AND(R34&gt;=Settings!$B$49,T34&lt;Settings!$B$50),"Invest to enable",IF(AND(R34&lt;Settings!$B$49,T34&gt;=Settings!$B$50),"Low-cost add-on","Defer"))))</f>
        <v>Do now</v>
      </c>
      <c r="V34" s="12" t="str">
        <f t="shared" ref="V34:V65" si="2">IF($U34="Do now",IF($M34="Endemic","Include in always-on panel; report trend vs baseline","Include in year-1 panel; alert on first detection"),IF($U34="Invest to enable","High value — budget for assay/NGS/catchment before adding",IF($U34="Low-cost add-on","Cheap to multiplex onto existing runs; add if capacity allows","Defer to a later phase or event-driven testing only")))</f>
        <v>Include in year-1 panel; alert on first detection</v>
      </c>
    </row>
    <row r="35" ht="26.25" customHeight="1" spans="1:22">
      <c r="A35" s="70" t="s">
        <v>172</v>
      </c>
      <c r="B35" s="64" t="s">
        <v>173</v>
      </c>
      <c r="C35" s="64" t="s">
        <v>171</v>
      </c>
      <c r="D35" s="82">
        <f>ROUND(MIN(5,IF(Pathogens!I3&gt;=500,5,IF(Pathogens!I3&gt;=200,4,IF(Pathogens!I3&gt;=50,3,IF(Pathogens!I3&gt;=10,2,1))))*0.5+IF(Pathogens!J3&gt;=30,5,IF(Pathogens!J3&gt;=10,4,IF(Pathogens!J3&gt;=3,3,IF(Pathogens!J3&gt;=1,2,1))))*0.4+IF(AND($B$7&gt;=80,Pathogens!N3&gt;=0.5),1,0)*0.1+IF($B$10&lt;50,0.3,0)),0)</f>
        <v>3</v>
      </c>
      <c r="E35" s="82">
        <f>ROUND(MIN(5,IF(Pathogens!K3&gt;=8,5,IF(Pathogens!K3&gt;=5,4,IF(Pathogens!K3&gt;=3,3,IF(Pathogens!K3&gt;=1,2,1))))*0.5+IF(Pathogens!L3&gt;=5,5,IF(Pathogens!L3&gt;=3,4,IF(Pathogens!L3&gt;=2,3,IF(Pathogens!L3&gt;=1.2,2,1))))*0.3+IF(Pathogens!M3=1,2,0)*0.2+IF($B$13&gt;=2,0.5,0)),0)</f>
        <v>5</v>
      </c>
      <c r="F35" s="82">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c r="G35" s="82">
        <f>ROUND(MAX(1,MIN(5,(6-$B$11)*0.5+(6-$B$12)*0.4+(IF(AND(Pathogens!N3&gt;=0.5,$B$8&lt;60),5,IF(Pathogens!N3&gt;=0.5,4,IF(Pathogens!N3&gt;=0.3,3,IF(Pathogens!N3&gt;=0.1,2,1)))))*0.1)),0)</f>
        <v>2</v>
      </c>
      <c r="H35" s="82">
        <f>IF(ISNUMBER(SEARCH("Vaccine-preventable",Pathogens!C3)),2,IF(ISNUMBER(SEARCH("AMR",Pathogens!C3)),5,IF(ISNUMBER(SEARCH("VHF",Pathogens!C3)),4,IF(ISNUMBER(SEARCH("Emerging",Pathogens!C3)),5,IF(ISNUMBER(SEARCH("Mycobacterial",Pathogens!C3)),3,IF(ISNUMBER(SEARCH("Helminth",Pathogens!C3)),3,IF(ISNUMBER(SEARCH("Respiratory",Pathogens!C3)),4,3)))))))</f>
        <v>2</v>
      </c>
      <c r="I35" s="82">
        <f>IF(ISNUMBER(SEARCH("AMR",Pathogens!C3)),5,IF(ISNUMBER(SEARCH("Mycobacterial",Pathogens!C3)),4,IF(ISNUMBER(SEARCH("Enteric bacterial",Pathogens!C3)),3,IF(ISNUMBER(SEARCH("Bacterial",Pathogens!C3)),3,1))))</f>
        <v>1</v>
      </c>
      <c r="J35" s="82">
        <f t="shared" si="0"/>
        <v>3</v>
      </c>
      <c r="K35" s="83">
        <f>ROUND(((D35*Settings!$C$4)+(E35*Settings!$C$5)+(F35*Settings!$C$6)+(G35*Settings!$C$7)+(H35*Settings!$C$8)+(I35*Settings!$C$9)+(J35*Settings!$C$10))/5*100,1)</f>
        <v>59</v>
      </c>
      <c r="L35" s="84" t="str">
        <f>IF(K35&gt;=Settings!$B$14,"Tier 1 — Always-on",IF(K35&gt;=Settings!$B$15,"Tier 2 — Seasonal/Regional",IF(K35&gt;=Settings!$B$16,"Tier 3 — Event-driven","Tier 4 — Monitor only")))</f>
        <v>Tier 2 — Seasonal/Regional</v>
      </c>
      <c r="M35" s="55" t="str">
        <f>IFERROR(INDEX(Endemicity!$C$2:$BN$55,MATCH($B$3,Endemicity!$B$2:$B$55,0),MATCH($A35,Endemicity!$C$1:$BN$1,0)),"Sporadic")</f>
        <v>Endemic</v>
      </c>
      <c r="N35" s="48">
        <f>IF(Settings!$B$48="ON",IFERROR(MATCH($M35,Settings!$B$35:$F$35,0),5),5)</f>
        <v>1</v>
      </c>
      <c r="O35" s="48">
        <f>(6-Pathogens!X3)</f>
        <v>2</v>
      </c>
      <c r="P35" s="48">
        <f>ROUND(MIN(5,MAX(1,0.35*IF(Pathogens!R3=1,5,IF(Pathogens!R3=2,3,1))+0.2*IF(Pathogens!S3=1,5,IF(Pathogens!S3=2,3,1))+0.25*IF(Pathogens!W3=1,IF($B$26&gt;=3,5,IF($B$26=2,4,IF($B$26=1,2,1))),5)+0.2*IF($B$15&gt;=50,5,IF($B$15&gt;=25,4,IF($B$15&gt;=10,3,IF($B$15&gt;=5,2,1)))))),0)</f>
        <v>4</v>
      </c>
      <c r="Q35" s="37" t="str">
        <f t="shared" si="1"/>
        <v>Trend / intensity monitoring</v>
      </c>
      <c r="R35" s="37">
        <f>ROUND(MIN(100,((D35)*Settings!$C$23*INDEX(Settings!$B$36:$F$44,1,$N35)+(E35)*Settings!$C$24*INDEX(Settings!$B$36:$F$44,2,$N35)+(F35)*Settings!$C$25*INDEX(Settings!$B$36:$F$44,3,$N35)+(G35)*Settings!$C$26*INDEX(Settings!$B$36:$F$44,4,$N35)+(H35)*Settings!$C$27*INDEX(Settings!$B$36:$F$44,5,$N35)+(I35)*Settings!$C$28*INDEX(Settings!$B$36:$F$44,6,$N35)+(J35)*Settings!$C$29*INDEX(Settings!$B$36:$F$44,7,$N35)+(O35)*Settings!$C$30*INDEX(Settings!$B$36:$F$44,8,$N35)+(P35)*Settings!$C$31*INDEX(Settings!$B$36:$F$44,9,$N35))/INDEX(Settings!$B$45:$F$45,1,$N35)/5*100*IF($M35="Not present",Settings!$B$51,1)),1)</f>
        <v>59</v>
      </c>
      <c r="S35" s="37" t="str">
        <f>IF($M35="Not present","Tier 4 — Watch only (absent)",IF(R35&gt;=Settings!$B$14,"Tier 1 — Always-on",IF(R35&gt;=Settings!$B$15,"Tier 2 — Seasonal/Regional",IF(R35&gt;=Settings!$B$16,"Tier 3 — Event-driven","Tier 4 — Monitor only"))))</f>
        <v>Tier 2 — Seasonal/Regional</v>
      </c>
      <c r="T35" s="55">
        <f>Feasibility!$F7</f>
        <v>79</v>
      </c>
      <c r="U35" s="37" t="str">
        <f>IF($M35="Not present","Defer — not present",IF(AND(R35&gt;=Settings!$B$49,T35&gt;=Settings!$B$50),"Do now",IF(AND(R35&gt;=Settings!$B$49,T35&lt;Settings!$B$50),"Invest to enable",IF(AND(R35&lt;Settings!$B$49,T35&gt;=Settings!$B$50),"Low-cost add-on","Defer"))))</f>
        <v>Low-cost add-on</v>
      </c>
      <c r="V35" s="12" t="str">
        <f t="shared" si="2"/>
        <v>Cheap to multiplex onto existing runs; add if capacity allows</v>
      </c>
    </row>
    <row r="36" ht="26.25" customHeight="1" spans="1:22">
      <c r="A36" s="70" t="s">
        <v>174</v>
      </c>
      <c r="B36" s="64" t="s">
        <v>175</v>
      </c>
      <c r="C36" s="64" t="s">
        <v>171</v>
      </c>
      <c r="D36" s="82">
        <f>ROUND(MIN(5,IF(Pathogens!I4&gt;=500,5,IF(Pathogens!I4&gt;=200,4,IF(Pathogens!I4&gt;=50,3,IF(Pathogens!I4&gt;=10,2,1))))*0.5+IF(Pathogens!J4&gt;=30,5,IF(Pathogens!J4&gt;=10,4,IF(Pathogens!J4&gt;=3,3,IF(Pathogens!J4&gt;=1,2,1))))*0.4+IF(AND($B$7&gt;=80,Pathogens!N4&gt;=0.5),1,0)*0.1+IF($B$10&lt;50,0.3,0)),0)</f>
        <v>2</v>
      </c>
      <c r="E36" s="82">
        <f>ROUND(MIN(5,IF(Pathogens!K4&gt;=8,5,IF(Pathogens!K4&gt;=5,4,IF(Pathogens!K4&gt;=3,3,IF(Pathogens!K4&gt;=1,2,1))))*0.5+IF(Pathogens!L4&gt;=5,5,IF(Pathogens!L4&gt;=3,4,IF(Pathogens!L4&gt;=2,3,IF(Pathogens!L4&gt;=1.2,2,1))))*0.3+IF(Pathogens!M4=1,2,0)*0.2+IF($B$13&gt;=2,0.5,0)),0)</f>
        <v>4</v>
      </c>
      <c r="F36" s="82">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c r="G36" s="82">
        <f>ROUND(MAX(1,MIN(5,(6-$B$11)*0.5+(6-$B$12)*0.4+(IF(AND(Pathogens!N4&gt;=0.5,$B$8&lt;60),5,IF(Pathogens!N4&gt;=0.5,4,IF(Pathogens!N4&gt;=0.3,3,IF(Pathogens!N4&gt;=0.1,2,1)))))*0.1)),0)</f>
        <v>2</v>
      </c>
      <c r="H36" s="82">
        <f>IF(ISNUMBER(SEARCH("Vaccine-preventable",Pathogens!C4)),2,IF(ISNUMBER(SEARCH("AMR",Pathogens!C4)),5,IF(ISNUMBER(SEARCH("VHF",Pathogens!C4)),4,IF(ISNUMBER(SEARCH("Emerging",Pathogens!C4)),5,IF(ISNUMBER(SEARCH("Mycobacterial",Pathogens!C4)),3,IF(ISNUMBER(SEARCH("Helminth",Pathogens!C4)),3,IF(ISNUMBER(SEARCH("Respiratory",Pathogens!C4)),4,3)))))))</f>
        <v>2</v>
      </c>
      <c r="I36" s="82">
        <f>IF(ISNUMBER(SEARCH("AMR",Pathogens!C4)),5,IF(ISNUMBER(SEARCH("Mycobacterial",Pathogens!C4)),4,IF(ISNUMBER(SEARCH("Enteric bacterial",Pathogens!C4)),3,IF(ISNUMBER(SEARCH("Bacterial",Pathogens!C4)),3,1))))</f>
        <v>1</v>
      </c>
      <c r="J36" s="82">
        <f t="shared" si="0"/>
        <v>3</v>
      </c>
      <c r="K36" s="83">
        <f>ROUND(((D36*Settings!$C$4)+(E36*Settings!$C$5)+(F36*Settings!$C$6)+(G36*Settings!$C$7)+(H36*Settings!$C$8)+(I36*Settings!$C$9)+(J36*Settings!$C$10))/5*100,1)</f>
        <v>48</v>
      </c>
      <c r="L36" s="84" t="str">
        <f>IF(K36&gt;=Settings!$B$14,"Tier 1 — Always-on",IF(K36&gt;=Settings!$B$15,"Tier 2 — Seasonal/Regional",IF(K36&gt;=Settings!$B$16,"Tier 3 — Event-driven","Tier 4 — Monitor only")))</f>
        <v>Tier 3 — Event-driven</v>
      </c>
      <c r="M36" s="55" t="str">
        <f>IFERROR(INDEX(Endemicity!$C$2:$BN$55,MATCH($B$3,Endemicity!$B$2:$B$55,0),MATCH($A36,Endemicity!$C$1:$BN$1,0)),"Sporadic")</f>
        <v>Sporadic</v>
      </c>
      <c r="N36" s="48">
        <f>IF(Settings!$B$48="ON",IFERROR(MATCH($M36,Settings!$B$35:$F$35,0),5),5)</f>
        <v>2</v>
      </c>
      <c r="O36" s="48">
        <f>(6-Pathogens!X4)</f>
        <v>4</v>
      </c>
      <c r="P36" s="48">
        <f>ROUND(MIN(5,MAX(1,0.35*IF(Pathogens!R4=1,5,IF(Pathogens!R4=2,3,1))+0.2*IF(Pathogens!S4=1,5,IF(Pathogens!S4=2,3,1))+0.25*IF(Pathogens!W4=1,IF($B$26&gt;=3,5,IF($B$26=2,4,IF($B$26=1,2,1))),5)+0.2*IF($B$15&gt;=50,5,IF($B$15&gt;=25,4,IF($B$15&gt;=10,3,IF($B$15&gt;=5,2,1)))))),0)</f>
        <v>4</v>
      </c>
      <c r="Q36" s="37" t="str">
        <f t="shared" si="1"/>
        <v>Early detection sensitivity</v>
      </c>
      <c r="R36" s="37">
        <f>ROUND(MIN(100,((D36)*Settings!$C$23*INDEX(Settings!$B$36:$F$44,1,$N36)+(E36)*Settings!$C$24*INDEX(Settings!$B$36:$F$44,2,$N36)+(F36)*Settings!$C$25*INDEX(Settings!$B$36:$F$44,3,$N36)+(G36)*Settings!$C$26*INDEX(Settings!$B$36:$F$44,4,$N36)+(H36)*Settings!$C$27*INDEX(Settings!$B$36:$F$44,5,$N36)+(I36)*Settings!$C$28*INDEX(Settings!$B$36:$F$44,6,$N36)+(J36)*Settings!$C$29*INDEX(Settings!$B$36:$F$44,7,$N36)+(O36)*Settings!$C$30*INDEX(Settings!$B$36:$F$44,8,$N36)+(P36)*Settings!$C$31*INDEX(Settings!$B$36:$F$44,9,$N36))/INDEX(Settings!$B$45:$F$45,1,$N36)/5*100*IF($M36="Not present",Settings!$B$51,1)),1)</f>
        <v>56</v>
      </c>
      <c r="S36" s="37" t="str">
        <f>IF($M36="Not present","Tier 4 — Watch only (absent)",IF(R36&gt;=Settings!$B$14,"Tier 1 — Always-on",IF(R36&gt;=Settings!$B$15,"Tier 2 — Seasonal/Regional",IF(R36&gt;=Settings!$B$16,"Tier 3 — Event-driven","Tier 4 — Monitor only"))))</f>
        <v>Tier 2 — Seasonal/Regional</v>
      </c>
      <c r="T36" s="55">
        <f>Feasibility!$F8</f>
        <v>79</v>
      </c>
      <c r="U36" s="37" t="str">
        <f>IF($M36="Not present","Defer — not present",IF(AND(R36&gt;=Settings!$B$49,T36&gt;=Settings!$B$50),"Do now",IF(AND(R36&gt;=Settings!$B$49,T36&lt;Settings!$B$50),"Invest to enable",IF(AND(R36&lt;Settings!$B$49,T36&gt;=Settings!$B$50),"Low-cost add-on","Defer"))))</f>
        <v>Low-cost add-on</v>
      </c>
      <c r="V36" s="12" t="str">
        <f t="shared" si="2"/>
        <v>Cheap to multiplex onto existing runs; add if capacity allows</v>
      </c>
    </row>
    <row r="37" ht="26.25" customHeight="1" spans="1:22">
      <c r="A37" s="70" t="s">
        <v>176</v>
      </c>
      <c r="B37" s="64" t="s">
        <v>177</v>
      </c>
      <c r="C37" s="64" t="s">
        <v>178</v>
      </c>
      <c r="D37" s="82">
        <f>ROUND(MIN(5,IF(Pathogens!I5&gt;=500,5,IF(Pathogens!I5&gt;=200,4,IF(Pathogens!I5&gt;=50,3,IF(Pathogens!I5&gt;=10,2,1))))*0.5+IF(Pathogens!J5&gt;=30,5,IF(Pathogens!J5&gt;=10,4,IF(Pathogens!J5&gt;=3,3,IF(Pathogens!J5&gt;=1,2,1))))*0.4+IF(AND($B$7&gt;=80,Pathogens!N5&gt;=0.5),1,0)*0.1+IF($B$10&lt;50,0.3,0)),0)</f>
        <v>3</v>
      </c>
      <c r="E37" s="82">
        <f>ROUND(MIN(5,IF(Pathogens!K5&gt;=8,5,IF(Pathogens!K5&gt;=5,4,IF(Pathogens!K5&gt;=3,3,IF(Pathogens!K5&gt;=1,2,1))))*0.5+IF(Pathogens!L5&gt;=5,5,IF(Pathogens!L5&gt;=3,4,IF(Pathogens!L5&gt;=2,3,IF(Pathogens!L5&gt;=1.2,2,1))))*0.3+IF(Pathogens!M5=1,2,0)*0.2+IF($B$13&gt;=2,0.5,0)),0)</f>
        <v>4</v>
      </c>
      <c r="F37" s="82">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c r="G37" s="82">
        <f>ROUND(MAX(1,MIN(5,(6-$B$11)*0.5+(6-$B$12)*0.4+(IF(AND(Pathogens!N5&gt;=0.5,$B$8&lt;60),5,IF(Pathogens!N5&gt;=0.5,4,IF(Pathogens!N5&gt;=0.3,3,IF(Pathogens!N5&gt;=0.1,2,1)))))*0.1)),0)</f>
        <v>2</v>
      </c>
      <c r="H37" s="82">
        <f>IF(ISNUMBER(SEARCH("Vaccine-preventable",Pathogens!C5)),2,IF(ISNUMBER(SEARCH("AMR",Pathogens!C5)),5,IF(ISNUMBER(SEARCH("VHF",Pathogens!C5)),4,IF(ISNUMBER(SEARCH("Emerging",Pathogens!C5)),5,IF(ISNUMBER(SEARCH("Mycobacterial",Pathogens!C5)),3,IF(ISNUMBER(SEARCH("Helminth",Pathogens!C5)),3,IF(ISNUMBER(SEARCH("Respiratory",Pathogens!C5)),4,3)))))))</f>
        <v>3</v>
      </c>
      <c r="I37" s="82">
        <f>IF(ISNUMBER(SEARCH("AMR",Pathogens!C5)),5,IF(ISNUMBER(SEARCH("Mycobacterial",Pathogens!C5)),4,IF(ISNUMBER(SEARCH("Enteric bacterial",Pathogens!C5)),3,IF(ISNUMBER(SEARCH("Bacterial",Pathogens!C5)),3,1))))</f>
        <v>1</v>
      </c>
      <c r="J37" s="82">
        <f t="shared" si="0"/>
        <v>3</v>
      </c>
      <c r="K37" s="83">
        <f>ROUND(((D37*Settings!$C$4)+(E37*Settings!$C$5)+(F37*Settings!$C$6)+(G37*Settings!$C$7)+(H37*Settings!$C$8)+(I37*Settings!$C$9)+(J37*Settings!$C$10))/5*100,1)</f>
        <v>51</v>
      </c>
      <c r="L37" s="84" t="str">
        <f>IF(K37&gt;=Settings!$B$14,"Tier 1 — Always-on",IF(K37&gt;=Settings!$B$15,"Tier 2 — Seasonal/Regional",IF(K37&gt;=Settings!$B$16,"Tier 3 — Event-driven","Tier 4 — Monitor only")))</f>
        <v>Tier 2 — Seasonal/Regional</v>
      </c>
      <c r="M37" s="55" t="str">
        <f>IFERROR(INDEX(Endemicity!$C$2:$BN$55,MATCH($B$3,Endemicity!$B$2:$B$55,0),MATCH($A37,Endemicity!$C$1:$BN$1,0)),"Sporadic")</f>
        <v>Endemic</v>
      </c>
      <c r="N37" s="48">
        <f>IF(Settings!$B$48="ON",IFERROR(MATCH($M37,Settings!$B$35:$F$35,0),5),5)</f>
        <v>1</v>
      </c>
      <c r="O37" s="48">
        <f>(6-Pathogens!X5)</f>
        <v>3</v>
      </c>
      <c r="P37" s="48">
        <f>ROUND(MIN(5,MAX(1,0.35*IF(Pathogens!R5=1,5,IF(Pathogens!R5=2,3,1))+0.2*IF(Pathogens!S5=1,5,IF(Pathogens!S5=2,3,1))+0.25*IF(Pathogens!W5=1,IF($B$26&gt;=3,5,IF($B$26=2,4,IF($B$26=1,2,1))),5)+0.2*IF($B$15&gt;=50,5,IF($B$15&gt;=25,4,IF($B$15&gt;=10,3,IF($B$15&gt;=5,2,1)))))),0)</f>
        <v>4</v>
      </c>
      <c r="Q37" s="37" t="str">
        <f t="shared" si="1"/>
        <v>Trend / intensity monitoring</v>
      </c>
      <c r="R37" s="37">
        <f>ROUND(MIN(100,((D37)*Settings!$C$23*INDEX(Settings!$B$36:$F$44,1,$N37)+(E37)*Settings!$C$24*INDEX(Settings!$B$36:$F$44,2,$N37)+(F37)*Settings!$C$25*INDEX(Settings!$B$36:$F$44,3,$N37)+(G37)*Settings!$C$26*INDEX(Settings!$B$36:$F$44,4,$N37)+(H37)*Settings!$C$27*INDEX(Settings!$B$36:$F$44,5,$N37)+(I37)*Settings!$C$28*INDEX(Settings!$B$36:$F$44,6,$N37)+(J37)*Settings!$C$29*INDEX(Settings!$B$36:$F$44,7,$N37)+(O37)*Settings!$C$30*INDEX(Settings!$B$36:$F$44,8,$N37)+(P37)*Settings!$C$31*INDEX(Settings!$B$36:$F$44,9,$N37))/INDEX(Settings!$B$45:$F$45,1,$N37)/5*100*IF($M37="Not present",Settings!$B$51,1)),1)</f>
        <v>53.7</v>
      </c>
      <c r="S37" s="37" t="str">
        <f>IF($M37="Not present","Tier 4 — Watch only (absent)",IF(R37&gt;=Settings!$B$14,"Tier 1 — Always-on",IF(R37&gt;=Settings!$B$15,"Tier 2 — Seasonal/Regional",IF(R37&gt;=Settings!$B$16,"Tier 3 — Event-driven","Tier 4 — Monitor only"))))</f>
        <v>Tier 2 — Seasonal/Regional</v>
      </c>
      <c r="T37" s="55">
        <f>Feasibility!$F9</f>
        <v>79</v>
      </c>
      <c r="U37" s="37" t="str">
        <f>IF($M37="Not present","Defer — not present",IF(AND(R37&gt;=Settings!$B$49,T37&gt;=Settings!$B$50),"Do now",IF(AND(R37&gt;=Settings!$B$49,T37&lt;Settings!$B$50),"Invest to enable",IF(AND(R37&lt;Settings!$B$49,T37&gt;=Settings!$B$50),"Low-cost add-on","Defer"))))</f>
        <v>Low-cost add-on</v>
      </c>
      <c r="V37" s="12" t="str">
        <f t="shared" si="2"/>
        <v>Cheap to multiplex onto existing runs; add if capacity allows</v>
      </c>
    </row>
    <row r="38" ht="26.25" customHeight="1" spans="1:22">
      <c r="A38" s="70" t="s">
        <v>179</v>
      </c>
      <c r="B38" s="64" t="s">
        <v>180</v>
      </c>
      <c r="C38" s="64" t="s">
        <v>178</v>
      </c>
      <c r="D38" s="82">
        <f>ROUND(MIN(5,IF(Pathogens!I6&gt;=500,5,IF(Pathogens!I6&gt;=200,4,IF(Pathogens!I6&gt;=50,3,IF(Pathogens!I6&gt;=10,2,1))))*0.5+IF(Pathogens!J6&gt;=30,5,IF(Pathogens!J6&gt;=10,4,IF(Pathogens!J6&gt;=3,3,IF(Pathogens!J6&gt;=1,2,1))))*0.4+IF(AND($B$7&gt;=80,Pathogens!N6&gt;=0.5),1,0)*0.1+IF($B$10&lt;50,0.3,0)),0)</f>
        <v>2</v>
      </c>
      <c r="E38" s="82">
        <f>ROUND(MIN(5,IF(Pathogens!K6&gt;=8,5,IF(Pathogens!K6&gt;=5,4,IF(Pathogens!K6&gt;=3,3,IF(Pathogens!K6&gt;=1,2,1))))*0.5+IF(Pathogens!L6&gt;=5,5,IF(Pathogens!L6&gt;=3,4,IF(Pathogens!L6&gt;=2,3,IF(Pathogens!L6&gt;=1.2,2,1))))*0.3+IF(Pathogens!M6=1,2,0)*0.2+IF($B$13&gt;=2,0.5,0)),0)</f>
        <v>4</v>
      </c>
      <c r="F38" s="82">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c r="G38" s="82">
        <f>ROUND(MAX(1,MIN(5,(6-$B$11)*0.5+(6-$B$12)*0.4+(IF(AND(Pathogens!N6&gt;=0.5,$B$8&lt;60),5,IF(Pathogens!N6&gt;=0.5,4,IF(Pathogens!N6&gt;=0.3,3,IF(Pathogens!N6&gt;=0.1,2,1)))))*0.1)),0)</f>
        <v>2</v>
      </c>
      <c r="H38" s="82">
        <f>IF(ISNUMBER(SEARCH("Vaccine-preventable",Pathogens!C6)),2,IF(ISNUMBER(SEARCH("AMR",Pathogens!C6)),5,IF(ISNUMBER(SEARCH("VHF",Pathogens!C6)),4,IF(ISNUMBER(SEARCH("Emerging",Pathogens!C6)),5,IF(ISNUMBER(SEARCH("Mycobacterial",Pathogens!C6)),3,IF(ISNUMBER(SEARCH("Helminth",Pathogens!C6)),3,IF(ISNUMBER(SEARCH("Respiratory",Pathogens!C6)),4,3)))))))</f>
        <v>3</v>
      </c>
      <c r="I38" s="82">
        <f>IF(ISNUMBER(SEARCH("AMR",Pathogens!C6)),5,IF(ISNUMBER(SEARCH("Mycobacterial",Pathogens!C6)),4,IF(ISNUMBER(SEARCH("Enteric bacterial",Pathogens!C6)),3,IF(ISNUMBER(SEARCH("Bacterial",Pathogens!C6)),3,1))))</f>
        <v>1</v>
      </c>
      <c r="J38" s="82">
        <f t="shared" si="0"/>
        <v>3</v>
      </c>
      <c r="K38" s="83">
        <f>ROUND(((D38*Settings!$C$4)+(E38*Settings!$C$5)+(F38*Settings!$C$6)+(G38*Settings!$C$7)+(H38*Settings!$C$8)+(I38*Settings!$C$9)+(J38*Settings!$C$10))/5*100,1)</f>
        <v>50</v>
      </c>
      <c r="L38" s="84" t="str">
        <f>IF(K38&gt;=Settings!$B$14,"Tier 1 — Always-on",IF(K38&gt;=Settings!$B$15,"Tier 2 — Seasonal/Regional",IF(K38&gt;=Settings!$B$16,"Tier 3 — Event-driven","Tier 4 — Monitor only")))</f>
        <v>Tier 2 — Seasonal/Regional</v>
      </c>
      <c r="M38" s="55" t="str">
        <f>IFERROR(INDEX(Endemicity!$C$2:$BN$55,MATCH($B$3,Endemicity!$B$2:$B$55,0),MATCH($A38,Endemicity!$C$1:$BN$1,0)),"Sporadic")</f>
        <v>Endemic</v>
      </c>
      <c r="N38" s="48">
        <f>IF(Settings!$B$48="ON",IFERROR(MATCH($M38,Settings!$B$35:$F$35,0),5),5)</f>
        <v>1</v>
      </c>
      <c r="O38" s="48">
        <f>(6-Pathogens!X6)</f>
        <v>3</v>
      </c>
      <c r="P38" s="48">
        <f>ROUND(MIN(5,MAX(1,0.35*IF(Pathogens!R6=1,5,IF(Pathogens!R6=2,3,1))+0.2*IF(Pathogens!S6=1,5,IF(Pathogens!S6=2,3,1))+0.25*IF(Pathogens!W6=1,IF($B$26&gt;=3,5,IF($B$26=2,4,IF($B$26=1,2,1))),5)+0.2*IF($B$15&gt;=50,5,IF($B$15&gt;=25,4,IF($B$15&gt;=10,3,IF($B$15&gt;=5,2,1)))))),0)</f>
        <v>4</v>
      </c>
      <c r="Q38" s="37" t="str">
        <f t="shared" si="1"/>
        <v>Trend / intensity monitoring</v>
      </c>
      <c r="R38" s="37">
        <f>ROUND(MIN(100,((D38)*Settings!$C$23*INDEX(Settings!$B$36:$F$44,1,$N38)+(E38)*Settings!$C$24*INDEX(Settings!$B$36:$F$44,2,$N38)+(F38)*Settings!$C$25*INDEX(Settings!$B$36:$F$44,3,$N38)+(G38)*Settings!$C$26*INDEX(Settings!$B$36:$F$44,4,$N38)+(H38)*Settings!$C$27*INDEX(Settings!$B$36:$F$44,5,$N38)+(I38)*Settings!$C$28*INDEX(Settings!$B$36:$F$44,6,$N38)+(J38)*Settings!$C$29*INDEX(Settings!$B$36:$F$44,7,$N38)+(O38)*Settings!$C$30*INDEX(Settings!$B$36:$F$44,8,$N38)+(P38)*Settings!$C$31*INDEX(Settings!$B$36:$F$44,9,$N38))/INDEX(Settings!$B$45:$F$45,1,$N38)/5*100*IF($M38="Not present",Settings!$B$51,1)),1)</f>
        <v>52.9</v>
      </c>
      <c r="S38" s="37" t="str">
        <f>IF($M38="Not present","Tier 4 — Watch only (absent)",IF(R38&gt;=Settings!$B$14,"Tier 1 — Always-on",IF(R38&gt;=Settings!$B$15,"Tier 2 — Seasonal/Regional",IF(R38&gt;=Settings!$B$16,"Tier 3 — Event-driven","Tier 4 — Monitor only"))))</f>
        <v>Tier 2 — Seasonal/Regional</v>
      </c>
      <c r="T38" s="55">
        <f>Feasibility!$F10</f>
        <v>79</v>
      </c>
      <c r="U38" s="37" t="str">
        <f>IF($M38="Not present","Defer — not present",IF(AND(R38&gt;=Settings!$B$49,T38&gt;=Settings!$B$50),"Do now",IF(AND(R38&gt;=Settings!$B$49,T38&lt;Settings!$B$50),"Invest to enable",IF(AND(R38&lt;Settings!$B$49,T38&gt;=Settings!$B$50),"Low-cost add-on","Defer"))))</f>
        <v>Low-cost add-on</v>
      </c>
      <c r="V38" s="12" t="str">
        <f t="shared" si="2"/>
        <v>Cheap to multiplex onto existing runs; add if capacity allows</v>
      </c>
    </row>
    <row r="39" ht="26.25" customHeight="1" spans="1:22">
      <c r="A39" s="70" t="s">
        <v>181</v>
      </c>
      <c r="B39" s="64" t="s">
        <v>182</v>
      </c>
      <c r="C39" s="64" t="s">
        <v>178</v>
      </c>
      <c r="D39" s="82">
        <f>ROUND(MIN(5,IF(Pathogens!I7&gt;=500,5,IF(Pathogens!I7&gt;=200,4,IF(Pathogens!I7&gt;=50,3,IF(Pathogens!I7&gt;=10,2,1))))*0.5+IF(Pathogens!J7&gt;=30,5,IF(Pathogens!J7&gt;=10,4,IF(Pathogens!J7&gt;=3,3,IF(Pathogens!J7&gt;=1,2,1))))*0.4+IF(AND($B$7&gt;=80,Pathogens!N7&gt;=0.5),1,0)*0.1+IF($B$10&lt;50,0.3,0)),0)</f>
        <v>2</v>
      </c>
      <c r="E39" s="82">
        <f>ROUND(MIN(5,IF(Pathogens!K7&gt;=8,5,IF(Pathogens!K7&gt;=5,4,IF(Pathogens!K7&gt;=3,3,IF(Pathogens!K7&gt;=1,2,1))))*0.5+IF(Pathogens!L7&gt;=5,5,IF(Pathogens!L7&gt;=3,4,IF(Pathogens!L7&gt;=2,3,IF(Pathogens!L7&gt;=1.2,2,1))))*0.3+IF(Pathogens!M7=1,2,0)*0.2+IF($B$13&gt;=2,0.5,0)),0)</f>
        <v>4</v>
      </c>
      <c r="F39" s="82">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c r="G39" s="82">
        <f>ROUND(MAX(1,MIN(5,(6-$B$11)*0.5+(6-$B$12)*0.4+(IF(AND(Pathogens!N7&gt;=0.5,$B$8&lt;60),5,IF(Pathogens!N7&gt;=0.5,4,IF(Pathogens!N7&gt;=0.3,3,IF(Pathogens!N7&gt;=0.1,2,1)))))*0.1)),0)</f>
        <v>2</v>
      </c>
      <c r="H39" s="82">
        <f>IF(ISNUMBER(SEARCH("Vaccine-preventable",Pathogens!C7)),2,IF(ISNUMBER(SEARCH("AMR",Pathogens!C7)),5,IF(ISNUMBER(SEARCH("VHF",Pathogens!C7)),4,IF(ISNUMBER(SEARCH("Emerging",Pathogens!C7)),5,IF(ISNUMBER(SEARCH("Mycobacterial",Pathogens!C7)),3,IF(ISNUMBER(SEARCH("Helminth",Pathogens!C7)),3,IF(ISNUMBER(SEARCH("Respiratory",Pathogens!C7)),4,3)))))))</f>
        <v>3</v>
      </c>
      <c r="I39" s="82">
        <f>IF(ISNUMBER(SEARCH("AMR",Pathogens!C7)),5,IF(ISNUMBER(SEARCH("Mycobacterial",Pathogens!C7)),4,IF(ISNUMBER(SEARCH("Enteric bacterial",Pathogens!C7)),3,IF(ISNUMBER(SEARCH("Bacterial",Pathogens!C7)),3,1))))</f>
        <v>1</v>
      </c>
      <c r="J39" s="82">
        <f t="shared" si="0"/>
        <v>3</v>
      </c>
      <c r="K39" s="83">
        <f>ROUND(((D39*Settings!$C$4)+(E39*Settings!$C$5)+(F39*Settings!$C$6)+(G39*Settings!$C$7)+(H39*Settings!$C$8)+(I39*Settings!$C$9)+(J39*Settings!$C$10))/5*100,1)</f>
        <v>47</v>
      </c>
      <c r="L39" s="84" t="str">
        <f>IF(K39&gt;=Settings!$B$14,"Tier 1 — Always-on",IF(K39&gt;=Settings!$B$15,"Tier 2 — Seasonal/Regional",IF(K39&gt;=Settings!$B$16,"Tier 3 — Event-driven","Tier 4 — Monitor only")))</f>
        <v>Tier 3 — Event-driven</v>
      </c>
      <c r="M39" s="55" t="str">
        <f>IFERROR(INDEX(Endemicity!$C$2:$BN$55,MATCH($B$3,Endemicity!$B$2:$B$55,0),MATCH($A39,Endemicity!$C$1:$BN$1,0)),"Sporadic")</f>
        <v>Endemic</v>
      </c>
      <c r="N39" s="48">
        <f>IF(Settings!$B$48="ON",IFERROR(MATCH($M39,Settings!$B$35:$F$35,0),5),5)</f>
        <v>1</v>
      </c>
      <c r="O39" s="48">
        <f>(6-Pathogens!X7)</f>
        <v>4</v>
      </c>
      <c r="P39" s="48">
        <f>ROUND(MIN(5,MAX(1,0.35*IF(Pathogens!R7=1,5,IF(Pathogens!R7=2,3,1))+0.2*IF(Pathogens!S7=1,5,IF(Pathogens!S7=2,3,1))+0.25*IF(Pathogens!W7=1,IF($B$26&gt;=3,5,IF($B$26=2,4,IF($B$26=1,2,1))),5)+0.2*IF($B$15&gt;=50,5,IF($B$15&gt;=25,4,IF($B$15&gt;=10,3,IF($B$15&gt;=5,2,1)))))),0)</f>
        <v>4</v>
      </c>
      <c r="Q39" s="37" t="str">
        <f t="shared" si="1"/>
        <v>Trend / intensity monitoring</v>
      </c>
      <c r="R39" s="37">
        <f>ROUND(MIN(100,((D39)*Settings!$C$23*INDEX(Settings!$B$36:$F$44,1,$N39)+(E39)*Settings!$C$24*INDEX(Settings!$B$36:$F$44,2,$N39)+(F39)*Settings!$C$25*INDEX(Settings!$B$36:$F$44,3,$N39)+(G39)*Settings!$C$26*INDEX(Settings!$B$36:$F$44,4,$N39)+(H39)*Settings!$C$27*INDEX(Settings!$B$36:$F$44,5,$N39)+(I39)*Settings!$C$28*INDEX(Settings!$B$36:$F$44,6,$N39)+(J39)*Settings!$C$29*INDEX(Settings!$B$36:$F$44,7,$N39)+(O39)*Settings!$C$30*INDEX(Settings!$B$36:$F$44,8,$N39)+(P39)*Settings!$C$31*INDEX(Settings!$B$36:$F$44,9,$N39))/INDEX(Settings!$B$45:$F$45,1,$N39)/5*100*IF($M39="Not present",Settings!$B$51,1)),1)</f>
        <v>50.3</v>
      </c>
      <c r="S39" s="37" t="str">
        <f>IF($M39="Not present","Tier 4 — Watch only (absent)",IF(R39&gt;=Settings!$B$14,"Tier 1 — Always-on",IF(R39&gt;=Settings!$B$15,"Tier 2 — Seasonal/Regional",IF(R39&gt;=Settings!$B$16,"Tier 3 — Event-driven","Tier 4 — Monitor only"))))</f>
        <v>Tier 2 — Seasonal/Regional</v>
      </c>
      <c r="T39" s="55">
        <f>Feasibility!$F11</f>
        <v>79</v>
      </c>
      <c r="U39" s="37" t="str">
        <f>IF($M39="Not present","Defer — not present",IF(AND(R39&gt;=Settings!$B$49,T39&gt;=Settings!$B$50),"Do now",IF(AND(R39&gt;=Settings!$B$49,T39&lt;Settings!$B$50),"Invest to enable",IF(AND(R39&lt;Settings!$B$49,T39&gt;=Settings!$B$50),"Low-cost add-on","Defer"))))</f>
        <v>Low-cost add-on</v>
      </c>
      <c r="V39" s="12" t="str">
        <f t="shared" si="2"/>
        <v>Cheap to multiplex onto existing runs; add if capacity allows</v>
      </c>
    </row>
    <row r="40" ht="26.25" customHeight="1" spans="1:22">
      <c r="A40" s="70" t="s">
        <v>183</v>
      </c>
      <c r="B40" s="64" t="s">
        <v>184</v>
      </c>
      <c r="C40" s="64" t="s">
        <v>178</v>
      </c>
      <c r="D40" s="82">
        <f>ROUND(MIN(5,IF(Pathogens!I8&gt;=500,5,IF(Pathogens!I8&gt;=200,4,IF(Pathogens!I8&gt;=50,3,IF(Pathogens!I8&gt;=10,2,1))))*0.5+IF(Pathogens!J8&gt;=30,5,IF(Pathogens!J8&gt;=10,4,IF(Pathogens!J8&gt;=3,3,IF(Pathogens!J8&gt;=1,2,1))))*0.4+IF(AND($B$7&gt;=80,Pathogens!N8&gt;=0.5),1,0)*0.1+IF($B$10&lt;50,0.3,0)),0)</f>
        <v>1</v>
      </c>
      <c r="E40" s="82">
        <f>ROUND(MIN(5,IF(Pathogens!K8&gt;=8,5,IF(Pathogens!K8&gt;=5,4,IF(Pathogens!K8&gt;=3,3,IF(Pathogens!K8&gt;=1,2,1))))*0.5+IF(Pathogens!L8&gt;=5,5,IF(Pathogens!L8&gt;=3,4,IF(Pathogens!L8&gt;=2,3,IF(Pathogens!L8&gt;=1.2,2,1))))*0.3+IF(Pathogens!M8=1,2,0)*0.2+IF($B$13&gt;=2,0.5,0)),0)</f>
        <v>3</v>
      </c>
      <c r="F40" s="82">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c r="G40" s="82">
        <f>ROUND(MAX(1,MIN(5,(6-$B$11)*0.5+(6-$B$12)*0.4+(IF(AND(Pathogens!N8&gt;=0.5,$B$8&lt;60),5,IF(Pathogens!N8&gt;=0.5,4,IF(Pathogens!N8&gt;=0.3,3,IF(Pathogens!N8&gt;=0.1,2,1)))))*0.1)),0)</f>
        <v>2</v>
      </c>
      <c r="H40" s="82">
        <f>IF(ISNUMBER(SEARCH("Vaccine-preventable",Pathogens!C8)),2,IF(ISNUMBER(SEARCH("AMR",Pathogens!C8)),5,IF(ISNUMBER(SEARCH("VHF",Pathogens!C8)),4,IF(ISNUMBER(SEARCH("Emerging",Pathogens!C8)),5,IF(ISNUMBER(SEARCH("Mycobacterial",Pathogens!C8)),3,IF(ISNUMBER(SEARCH("Helminth",Pathogens!C8)),3,IF(ISNUMBER(SEARCH("Respiratory",Pathogens!C8)),4,3)))))))</f>
        <v>3</v>
      </c>
      <c r="I40" s="82">
        <f>IF(ISNUMBER(SEARCH("AMR",Pathogens!C8)),5,IF(ISNUMBER(SEARCH("Mycobacterial",Pathogens!C8)),4,IF(ISNUMBER(SEARCH("Enteric bacterial",Pathogens!C8)),3,IF(ISNUMBER(SEARCH("Bacterial",Pathogens!C8)),3,1))))</f>
        <v>1</v>
      </c>
      <c r="J40" s="82">
        <f t="shared" si="0"/>
        <v>3</v>
      </c>
      <c r="K40" s="83">
        <f>ROUND(((D40*Settings!$C$4)+(E40*Settings!$C$5)+(F40*Settings!$C$6)+(G40*Settings!$C$7)+(H40*Settings!$C$8)+(I40*Settings!$C$9)+(J40*Settings!$C$10))/5*100,1)</f>
        <v>45</v>
      </c>
      <c r="L40" s="84" t="str">
        <f>IF(K40&gt;=Settings!$B$14,"Tier 1 — Always-on",IF(K40&gt;=Settings!$B$15,"Tier 2 — Seasonal/Regional",IF(K40&gt;=Settings!$B$16,"Tier 3 — Event-driven","Tier 4 — Monitor only")))</f>
        <v>Tier 3 — Event-driven</v>
      </c>
      <c r="M40" s="55" t="str">
        <f>IFERROR(INDEX(Endemicity!$C$2:$BN$55,MATCH($B$3,Endemicity!$B$2:$B$55,0),MATCH($A40,Endemicity!$C$1:$BN$1,0)),"Sporadic")</f>
        <v>Emerging</v>
      </c>
      <c r="N40" s="48">
        <f>IF(Settings!$B$48="ON",IFERROR(MATCH($M40,Settings!$B$35:$F$35,0),5),5)</f>
        <v>3</v>
      </c>
      <c r="O40" s="48">
        <f>(6-Pathogens!X8)</f>
        <v>4</v>
      </c>
      <c r="P40" s="48">
        <f>ROUND(MIN(5,MAX(1,0.35*IF(Pathogens!R8=1,5,IF(Pathogens!R8=2,3,1))+0.2*IF(Pathogens!S8=1,5,IF(Pathogens!S8=2,3,1))+0.25*IF(Pathogens!W8=1,IF($B$26&gt;=3,5,IF($B$26=2,4,IF($B$26=1,2,1))),5)+0.2*IF($B$15&gt;=50,5,IF($B$15&gt;=25,4,IF($B$15&gt;=10,3,IF($B$15&gt;=5,2,1)))))),0)</f>
        <v>4</v>
      </c>
      <c r="Q40" s="37" t="str">
        <f t="shared" si="1"/>
        <v>Horizon scanning</v>
      </c>
      <c r="R40" s="37">
        <f>ROUND(MIN(100,((D40)*Settings!$C$23*INDEX(Settings!$B$36:$F$44,1,$N40)+(E40)*Settings!$C$24*INDEX(Settings!$B$36:$F$44,2,$N40)+(F40)*Settings!$C$25*INDEX(Settings!$B$36:$F$44,3,$N40)+(G40)*Settings!$C$26*INDEX(Settings!$B$36:$F$44,4,$N40)+(H40)*Settings!$C$27*INDEX(Settings!$B$36:$F$44,5,$N40)+(I40)*Settings!$C$28*INDEX(Settings!$B$36:$F$44,6,$N40)+(J40)*Settings!$C$29*INDEX(Settings!$B$36:$F$44,7,$N40)+(O40)*Settings!$C$30*INDEX(Settings!$B$36:$F$44,8,$N40)+(P40)*Settings!$C$31*INDEX(Settings!$B$36:$F$44,9,$N40))/INDEX(Settings!$B$45:$F$45,1,$N40)/5*100*IF($M40="Not present",Settings!$B$51,1)),1)</f>
        <v>59.2</v>
      </c>
      <c r="S40" s="37" t="str">
        <f>IF($M40="Not present","Tier 4 — Watch only (absent)",IF(R40&gt;=Settings!$B$14,"Tier 1 — Always-on",IF(R40&gt;=Settings!$B$15,"Tier 2 — Seasonal/Regional",IF(R40&gt;=Settings!$B$16,"Tier 3 — Event-driven","Tier 4 — Monitor only"))))</f>
        <v>Tier 2 — Seasonal/Regional</v>
      </c>
      <c r="T40" s="55">
        <f>Feasibility!$F12</f>
        <v>79</v>
      </c>
      <c r="U40" s="37" t="str">
        <f>IF($M40="Not present","Defer — not present",IF(AND(R40&gt;=Settings!$B$49,T40&gt;=Settings!$B$50),"Do now",IF(AND(R40&gt;=Settings!$B$49,T40&lt;Settings!$B$50),"Invest to enable",IF(AND(R40&lt;Settings!$B$49,T40&gt;=Settings!$B$50),"Low-cost add-on","Defer"))))</f>
        <v>Low-cost add-on</v>
      </c>
      <c r="V40" s="12" t="str">
        <f t="shared" si="2"/>
        <v>Cheap to multiplex onto existing runs; add if capacity allows</v>
      </c>
    </row>
    <row r="41" ht="26.25" customHeight="1" spans="1:22">
      <c r="A41" s="70" t="s">
        <v>185</v>
      </c>
      <c r="B41" s="64" t="s">
        <v>186</v>
      </c>
      <c r="C41" s="64" t="s">
        <v>178</v>
      </c>
      <c r="D41" s="82">
        <f>ROUND(MIN(5,IF(Pathogens!I9&gt;=500,5,IF(Pathogens!I9&gt;=200,4,IF(Pathogens!I9&gt;=50,3,IF(Pathogens!I9&gt;=10,2,1))))*0.5+IF(Pathogens!J9&gt;=30,5,IF(Pathogens!J9&gt;=10,4,IF(Pathogens!J9&gt;=3,3,IF(Pathogens!J9&gt;=1,2,1))))*0.4+IF(AND($B$7&gt;=80,Pathogens!N9&gt;=0.5),1,0)*0.1+IF($B$10&lt;50,0.3,0)),0)</f>
        <v>2</v>
      </c>
      <c r="E41" s="82">
        <f>ROUND(MIN(5,IF(Pathogens!K9&gt;=8,5,IF(Pathogens!K9&gt;=5,4,IF(Pathogens!K9&gt;=3,3,IF(Pathogens!K9&gt;=1,2,1))))*0.5+IF(Pathogens!L9&gt;=5,5,IF(Pathogens!L9&gt;=3,4,IF(Pathogens!L9&gt;=2,3,IF(Pathogens!L9&gt;=1.2,2,1))))*0.3+IF(Pathogens!M9=1,2,0)*0.2+IF($B$13&gt;=2,0.5,0)),0)</f>
        <v>3</v>
      </c>
      <c r="F41" s="82">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c r="G41" s="82">
        <f>ROUND(MAX(1,MIN(5,(6-$B$11)*0.5+(6-$B$12)*0.4+(IF(AND(Pathogens!N9&gt;=0.5,$B$8&lt;60),5,IF(Pathogens!N9&gt;=0.5,4,IF(Pathogens!N9&gt;=0.3,3,IF(Pathogens!N9&gt;=0.1,2,1)))))*0.1)),0)</f>
        <v>2</v>
      </c>
      <c r="H41" s="82">
        <f>IF(ISNUMBER(SEARCH("Vaccine-preventable",Pathogens!C9)),2,IF(ISNUMBER(SEARCH("AMR",Pathogens!C9)),5,IF(ISNUMBER(SEARCH("VHF",Pathogens!C9)),4,IF(ISNUMBER(SEARCH("Emerging",Pathogens!C9)),5,IF(ISNUMBER(SEARCH("Mycobacterial",Pathogens!C9)),3,IF(ISNUMBER(SEARCH("Helminth",Pathogens!C9)),3,IF(ISNUMBER(SEARCH("Respiratory",Pathogens!C9)),4,3)))))))</f>
        <v>3</v>
      </c>
      <c r="I41" s="82">
        <f>IF(ISNUMBER(SEARCH("AMR",Pathogens!C9)),5,IF(ISNUMBER(SEARCH("Mycobacterial",Pathogens!C9)),4,IF(ISNUMBER(SEARCH("Enteric bacterial",Pathogens!C9)),3,IF(ISNUMBER(SEARCH("Bacterial",Pathogens!C9)),3,1))))</f>
        <v>1</v>
      </c>
      <c r="J41" s="82">
        <f t="shared" si="0"/>
        <v>3</v>
      </c>
      <c r="K41" s="83">
        <f>ROUND(((D41*Settings!$C$4)+(E41*Settings!$C$5)+(F41*Settings!$C$6)+(G41*Settings!$C$7)+(H41*Settings!$C$8)+(I41*Settings!$C$9)+(J41*Settings!$C$10))/5*100,1)</f>
        <v>43</v>
      </c>
      <c r="L41" s="84" t="str">
        <f>IF(K41&gt;=Settings!$B$14,"Tier 1 — Always-on",IF(K41&gt;=Settings!$B$15,"Tier 2 — Seasonal/Regional",IF(K41&gt;=Settings!$B$16,"Tier 3 — Event-driven","Tier 4 — Monitor only")))</f>
        <v>Tier 3 — Event-driven</v>
      </c>
      <c r="M41" s="55" t="str">
        <f>IFERROR(INDEX(Endemicity!$C$2:$BN$55,MATCH($B$3,Endemicity!$B$2:$B$55,0),MATCH($A41,Endemicity!$C$1:$BN$1,0)),"Sporadic")</f>
        <v>Sporadic</v>
      </c>
      <c r="N41" s="48">
        <f>IF(Settings!$B$48="ON",IFERROR(MATCH($M41,Settings!$B$35:$F$35,0),5),5)</f>
        <v>2</v>
      </c>
      <c r="O41" s="48">
        <f>(6-Pathogens!X9)</f>
        <v>5</v>
      </c>
      <c r="P41" s="48">
        <f>ROUND(MIN(5,MAX(1,0.35*IF(Pathogens!R9=1,5,IF(Pathogens!R9=2,3,1))+0.2*IF(Pathogens!S9=1,5,IF(Pathogens!S9=2,3,1))+0.25*IF(Pathogens!W9=1,IF($B$26&gt;=3,5,IF($B$26=2,4,IF($B$26=1,2,1))),5)+0.2*IF($B$15&gt;=50,5,IF($B$15&gt;=25,4,IF($B$15&gt;=10,3,IF($B$15&gt;=5,2,1)))))),0)</f>
        <v>3</v>
      </c>
      <c r="Q41" s="37" t="str">
        <f t="shared" si="1"/>
        <v>Early detection sensitivity</v>
      </c>
      <c r="R41" s="37">
        <f>ROUND(MIN(100,((D41)*Settings!$C$23*INDEX(Settings!$B$36:$F$44,1,$N41)+(E41)*Settings!$C$24*INDEX(Settings!$B$36:$F$44,2,$N41)+(F41)*Settings!$C$25*INDEX(Settings!$B$36:$F$44,3,$N41)+(G41)*Settings!$C$26*INDEX(Settings!$B$36:$F$44,4,$N41)+(H41)*Settings!$C$27*INDEX(Settings!$B$36:$F$44,5,$N41)+(I41)*Settings!$C$28*INDEX(Settings!$B$36:$F$44,6,$N41)+(J41)*Settings!$C$29*INDEX(Settings!$B$36:$F$44,7,$N41)+(O41)*Settings!$C$30*INDEX(Settings!$B$36:$F$44,8,$N41)+(P41)*Settings!$C$31*INDEX(Settings!$B$36:$F$44,9,$N41))/INDEX(Settings!$B$45:$F$45,1,$N41)/5*100*IF($M41="Not present",Settings!$B$51,1)),1)</f>
        <v>47.9</v>
      </c>
      <c r="S41" s="37" t="str">
        <f>IF($M41="Not present","Tier 4 — Watch only (absent)",IF(R41&gt;=Settings!$B$14,"Tier 1 — Always-on",IF(R41&gt;=Settings!$B$15,"Tier 2 — Seasonal/Regional",IF(R41&gt;=Settings!$B$16,"Tier 3 — Event-driven","Tier 4 — Monitor only"))))</f>
        <v>Tier 3 — Event-driven</v>
      </c>
      <c r="T41" s="55">
        <f>Feasibility!$F13</f>
        <v>67</v>
      </c>
      <c r="U41" s="37" t="str">
        <f>IF($M41="Not present","Defer — not present",IF(AND(R41&gt;=Settings!$B$49,T41&gt;=Settings!$B$50),"Do now",IF(AND(R41&gt;=Settings!$B$49,T41&lt;Settings!$B$50),"Invest to enable",IF(AND(R41&lt;Settings!$B$49,T41&gt;=Settings!$B$50),"Low-cost add-on","Defer"))))</f>
        <v>Defer</v>
      </c>
      <c r="V41" s="12" t="str">
        <f t="shared" si="2"/>
        <v>Defer to a later phase or event-driven testing only</v>
      </c>
    </row>
    <row r="42" ht="26.25" customHeight="1" spans="1:22">
      <c r="A42" s="70" t="s">
        <v>187</v>
      </c>
      <c r="B42" s="64" t="s">
        <v>188</v>
      </c>
      <c r="C42" s="64" t="s">
        <v>189</v>
      </c>
      <c r="D42" s="82">
        <f>ROUND(MIN(5,IF(Pathogens!I10&gt;=500,5,IF(Pathogens!I10&gt;=200,4,IF(Pathogens!I10&gt;=50,3,IF(Pathogens!I10&gt;=10,2,1))))*0.5+IF(Pathogens!J10&gt;=30,5,IF(Pathogens!J10&gt;=10,4,IF(Pathogens!J10&gt;=3,3,IF(Pathogens!J10&gt;=1,2,1))))*0.4+IF(AND($B$7&gt;=80,Pathogens!N10&gt;=0.5),1,0)*0.1+IF($B$10&lt;50,0.3,0)),0)</f>
        <v>2</v>
      </c>
      <c r="E42" s="82">
        <f>ROUND(MIN(5,IF(Pathogens!K10&gt;=8,5,IF(Pathogens!K10&gt;=5,4,IF(Pathogens!K10&gt;=3,3,IF(Pathogens!K10&gt;=1,2,1))))*0.5+IF(Pathogens!L10&gt;=5,5,IF(Pathogens!L10&gt;=3,4,IF(Pathogens!L10&gt;=2,3,IF(Pathogens!L10&gt;=1.2,2,1))))*0.3+IF(Pathogens!M10=1,2,0)*0.2+IF($B$13&gt;=2,0.5,0)),0)</f>
        <v>3</v>
      </c>
      <c r="F42" s="82">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c r="G42" s="82">
        <f>ROUND(MAX(1,MIN(5,(6-$B$11)*0.5+(6-$B$12)*0.4+(IF(AND(Pathogens!N10&gt;=0.5,$B$8&lt;60),5,IF(Pathogens!N10&gt;=0.5,4,IF(Pathogens!N10&gt;=0.3,3,IF(Pathogens!N10&gt;=0.1,2,1)))))*0.1)),0)</f>
        <v>2</v>
      </c>
      <c r="H42" s="82">
        <f>IF(ISNUMBER(SEARCH("Vaccine-preventable",Pathogens!C10)),2,IF(ISNUMBER(SEARCH("AMR",Pathogens!C10)),5,IF(ISNUMBER(SEARCH("VHF",Pathogens!C10)),4,IF(ISNUMBER(SEARCH("Emerging",Pathogens!C10)),5,IF(ISNUMBER(SEARCH("Mycobacterial",Pathogens!C10)),3,IF(ISNUMBER(SEARCH("Helminth",Pathogens!C10)),3,IF(ISNUMBER(SEARCH("Respiratory",Pathogens!C10)),4,3)))))))</f>
        <v>4</v>
      </c>
      <c r="I42" s="82">
        <f>IF(ISNUMBER(SEARCH("AMR",Pathogens!C10)),5,IF(ISNUMBER(SEARCH("Mycobacterial",Pathogens!C10)),4,IF(ISNUMBER(SEARCH("Enteric bacterial",Pathogens!C10)),3,IF(ISNUMBER(SEARCH("Bacterial",Pathogens!C10)),3,1))))</f>
        <v>1</v>
      </c>
      <c r="J42" s="82">
        <f t="shared" si="0"/>
        <v>3</v>
      </c>
      <c r="K42" s="83">
        <f>ROUND(((D42*Settings!$C$4)+(E42*Settings!$C$5)+(F42*Settings!$C$6)+(G42*Settings!$C$7)+(H42*Settings!$C$8)+(I42*Settings!$C$9)+(J42*Settings!$C$10))/5*100,1)</f>
        <v>48</v>
      </c>
      <c r="L42" s="84" t="str">
        <f>IF(K42&gt;=Settings!$B$14,"Tier 1 — Always-on",IF(K42&gt;=Settings!$B$15,"Tier 2 — Seasonal/Regional",IF(K42&gt;=Settings!$B$16,"Tier 3 — Event-driven","Tier 4 — Monitor only")))</f>
        <v>Tier 3 — Event-driven</v>
      </c>
      <c r="M42" s="55" t="str">
        <f>IFERROR(INDEX(Endemicity!$C$2:$BN$55,MATCH($B$3,Endemicity!$B$2:$B$55,0),MATCH($A42,Endemicity!$C$1:$BN$1,0)),"Sporadic")</f>
        <v>Endemic</v>
      </c>
      <c r="N42" s="48">
        <f>IF(Settings!$B$48="ON",IFERROR(MATCH($M42,Settings!$B$35:$F$35,0),5),5)</f>
        <v>1</v>
      </c>
      <c r="O42" s="48">
        <f>(6-Pathogens!X10)</f>
        <v>4</v>
      </c>
      <c r="P42" s="48">
        <f>ROUND(MIN(5,MAX(1,0.35*IF(Pathogens!R10=1,5,IF(Pathogens!R10=2,3,1))+0.2*IF(Pathogens!S10=1,5,IF(Pathogens!S10=2,3,1))+0.25*IF(Pathogens!W10=1,IF($B$26&gt;=3,5,IF($B$26=2,4,IF($B$26=1,2,1))),5)+0.2*IF($B$15&gt;=50,5,IF($B$15&gt;=25,4,IF($B$15&gt;=10,3,IF($B$15&gt;=5,2,1)))))),0)</f>
        <v>3</v>
      </c>
      <c r="Q42" s="37" t="str">
        <f t="shared" si="1"/>
        <v>Trend / intensity monitoring</v>
      </c>
      <c r="R42" s="37">
        <f>ROUND(MIN(100,((D42)*Settings!$C$23*INDEX(Settings!$B$36:$F$44,1,$N42)+(E42)*Settings!$C$24*INDEX(Settings!$B$36:$F$44,2,$N42)+(F42)*Settings!$C$25*INDEX(Settings!$B$36:$F$44,3,$N42)+(G42)*Settings!$C$26*INDEX(Settings!$B$36:$F$44,4,$N42)+(H42)*Settings!$C$27*INDEX(Settings!$B$36:$F$44,5,$N42)+(I42)*Settings!$C$28*INDEX(Settings!$B$36:$F$44,6,$N42)+(J42)*Settings!$C$29*INDEX(Settings!$B$36:$F$44,7,$N42)+(O42)*Settings!$C$30*INDEX(Settings!$B$36:$F$44,8,$N42)+(P42)*Settings!$C$31*INDEX(Settings!$B$36:$F$44,9,$N42))/INDEX(Settings!$B$45:$F$45,1,$N42)/5*100*IF($M42="Not present",Settings!$B$51,1)),1)</f>
        <v>51.5</v>
      </c>
      <c r="S42" s="37" t="str">
        <f>IF($M42="Not present","Tier 4 — Watch only (absent)",IF(R42&gt;=Settings!$B$14,"Tier 1 — Always-on",IF(R42&gt;=Settings!$B$15,"Tier 2 — Seasonal/Regional",IF(R42&gt;=Settings!$B$16,"Tier 3 — Event-driven","Tier 4 — Monitor only"))))</f>
        <v>Tier 2 — Seasonal/Regional</v>
      </c>
      <c r="T42" s="55">
        <f>Feasibility!$F14</f>
        <v>67</v>
      </c>
      <c r="U42" s="37" t="str">
        <f>IF($M42="Not present","Defer — not present",IF(AND(R42&gt;=Settings!$B$49,T42&gt;=Settings!$B$50),"Do now",IF(AND(R42&gt;=Settings!$B$49,T42&lt;Settings!$B$50),"Invest to enable",IF(AND(R42&lt;Settings!$B$49,T42&gt;=Settings!$B$50),"Low-cost add-on","Defer"))))</f>
        <v>Defer</v>
      </c>
      <c r="V42" s="12" t="str">
        <f t="shared" si="2"/>
        <v>Defer to a later phase or event-driven testing only</v>
      </c>
    </row>
    <row r="43" ht="26.25" customHeight="1" spans="1:22">
      <c r="A43" s="70" t="s">
        <v>190</v>
      </c>
      <c r="B43" s="64" t="s">
        <v>191</v>
      </c>
      <c r="C43" s="64" t="s">
        <v>189</v>
      </c>
      <c r="D43" s="82">
        <f>ROUND(MIN(5,IF(Pathogens!I11&gt;=500,5,IF(Pathogens!I11&gt;=200,4,IF(Pathogens!I11&gt;=50,3,IF(Pathogens!I11&gt;=10,2,1))))*0.5+IF(Pathogens!J11&gt;=30,5,IF(Pathogens!J11&gt;=10,4,IF(Pathogens!J11&gt;=3,3,IF(Pathogens!J11&gt;=1,2,1))))*0.4+IF(AND($B$7&gt;=80,Pathogens!N11&gt;=0.5),1,0)*0.1+IF($B$10&lt;50,0.3,0)),0)</f>
        <v>3</v>
      </c>
      <c r="E43" s="82">
        <f>ROUND(MIN(5,IF(Pathogens!K11&gt;=8,5,IF(Pathogens!K11&gt;=5,4,IF(Pathogens!K11&gt;=3,3,IF(Pathogens!K11&gt;=1,2,1))))*0.5+IF(Pathogens!L11&gt;=5,5,IF(Pathogens!L11&gt;=3,4,IF(Pathogens!L11&gt;=2,3,IF(Pathogens!L11&gt;=1.2,2,1))))*0.3+IF(Pathogens!M11=1,2,0)*0.2+IF($B$13&gt;=2,0.5,0)),0)</f>
        <v>2</v>
      </c>
      <c r="F43" s="82">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c r="G43" s="82">
        <f>ROUND(MAX(1,MIN(5,(6-$B$11)*0.5+(6-$B$12)*0.4+(IF(AND(Pathogens!N11&gt;=0.5,$B$8&lt;60),5,IF(Pathogens!N11&gt;=0.5,4,IF(Pathogens!N11&gt;=0.3,3,IF(Pathogens!N11&gt;=0.1,2,1)))))*0.1)),0)</f>
        <v>2</v>
      </c>
      <c r="H43" s="82">
        <f>IF(ISNUMBER(SEARCH("Vaccine-preventable",Pathogens!C11)),2,IF(ISNUMBER(SEARCH("AMR",Pathogens!C11)),5,IF(ISNUMBER(SEARCH("VHF",Pathogens!C11)),4,IF(ISNUMBER(SEARCH("Emerging",Pathogens!C11)),5,IF(ISNUMBER(SEARCH("Mycobacterial",Pathogens!C11)),3,IF(ISNUMBER(SEARCH("Helminth",Pathogens!C11)),3,IF(ISNUMBER(SEARCH("Respiratory",Pathogens!C11)),4,3)))))))</f>
        <v>4</v>
      </c>
      <c r="I43" s="82">
        <f>IF(ISNUMBER(SEARCH("AMR",Pathogens!C11)),5,IF(ISNUMBER(SEARCH("Mycobacterial",Pathogens!C11)),4,IF(ISNUMBER(SEARCH("Enteric bacterial",Pathogens!C11)),3,IF(ISNUMBER(SEARCH("Bacterial",Pathogens!C11)),3,1))))</f>
        <v>1</v>
      </c>
      <c r="J43" s="82">
        <f t="shared" si="0"/>
        <v>3</v>
      </c>
      <c r="K43" s="83">
        <f>ROUND(((D43*Settings!$C$4)+(E43*Settings!$C$5)+(F43*Settings!$C$6)+(G43*Settings!$C$7)+(H43*Settings!$C$8)+(I43*Settings!$C$9)+(J43*Settings!$C$10))/5*100,1)</f>
        <v>48</v>
      </c>
      <c r="L43" s="84" t="str">
        <f>IF(K43&gt;=Settings!$B$14,"Tier 1 — Always-on",IF(K43&gt;=Settings!$B$15,"Tier 2 — Seasonal/Regional",IF(K43&gt;=Settings!$B$16,"Tier 3 — Event-driven","Tier 4 — Monitor only")))</f>
        <v>Tier 3 — Event-driven</v>
      </c>
      <c r="M43" s="55" t="str">
        <f>IFERROR(INDEX(Endemicity!$C$2:$BN$55,MATCH($B$3,Endemicity!$B$2:$B$55,0),MATCH($A43,Endemicity!$C$1:$BN$1,0)),"Sporadic")</f>
        <v>Endemic</v>
      </c>
      <c r="N43" s="48">
        <f>IF(Settings!$B$48="ON",IFERROR(MATCH($M43,Settings!$B$35:$F$35,0),5),5)</f>
        <v>1</v>
      </c>
      <c r="O43" s="48">
        <f>(6-Pathogens!X11)</f>
        <v>4</v>
      </c>
      <c r="P43" s="48">
        <f>ROUND(MIN(5,MAX(1,0.35*IF(Pathogens!R11=1,5,IF(Pathogens!R11=2,3,1))+0.2*IF(Pathogens!S11=1,5,IF(Pathogens!S11=2,3,1))+0.25*IF(Pathogens!W11=1,IF($B$26&gt;=3,5,IF($B$26=2,4,IF($B$26=1,2,1))),5)+0.2*IF($B$15&gt;=50,5,IF($B$15&gt;=25,4,IF($B$15&gt;=10,3,IF($B$15&gt;=5,2,1)))))),0)</f>
        <v>3</v>
      </c>
      <c r="Q43" s="37" t="str">
        <f t="shared" si="1"/>
        <v>Trend / intensity monitoring</v>
      </c>
      <c r="R43" s="37">
        <f>ROUND(MIN(100,((D43)*Settings!$C$23*INDEX(Settings!$B$36:$F$44,1,$N43)+(E43)*Settings!$C$24*INDEX(Settings!$B$36:$F$44,2,$N43)+(F43)*Settings!$C$25*INDEX(Settings!$B$36:$F$44,3,$N43)+(G43)*Settings!$C$26*INDEX(Settings!$B$36:$F$44,4,$N43)+(H43)*Settings!$C$27*INDEX(Settings!$B$36:$F$44,5,$N43)+(I43)*Settings!$C$28*INDEX(Settings!$B$36:$F$44,6,$N43)+(J43)*Settings!$C$29*INDEX(Settings!$B$36:$F$44,7,$N43)+(O43)*Settings!$C$30*INDEX(Settings!$B$36:$F$44,8,$N43)+(P43)*Settings!$C$31*INDEX(Settings!$B$36:$F$44,9,$N43))/INDEX(Settings!$B$45:$F$45,1,$N43)/5*100*IF($M43="Not present",Settings!$B$51,1)),1)</f>
        <v>53.8</v>
      </c>
      <c r="S43" s="37" t="str">
        <f>IF($M43="Not present","Tier 4 — Watch only (absent)",IF(R43&gt;=Settings!$B$14,"Tier 1 — Always-on",IF(R43&gt;=Settings!$B$15,"Tier 2 — Seasonal/Regional",IF(R43&gt;=Settings!$B$16,"Tier 3 — Event-driven","Tier 4 — Monitor only"))))</f>
        <v>Tier 2 — Seasonal/Regional</v>
      </c>
      <c r="T43" s="55">
        <f>Feasibility!$F15</f>
        <v>67</v>
      </c>
      <c r="U43" s="37" t="str">
        <f>IF($M43="Not present","Defer — not present",IF(AND(R43&gt;=Settings!$B$49,T43&gt;=Settings!$B$50),"Do now",IF(AND(R43&gt;=Settings!$B$49,T43&lt;Settings!$B$50),"Invest to enable",IF(AND(R43&lt;Settings!$B$49,T43&gt;=Settings!$B$50),"Low-cost add-on","Defer"))))</f>
        <v>Defer</v>
      </c>
      <c r="V43" s="12" t="str">
        <f t="shared" si="2"/>
        <v>Defer to a later phase or event-driven testing only</v>
      </c>
    </row>
    <row r="44" ht="26.25" customHeight="1" spans="1:22">
      <c r="A44" s="70" t="s">
        <v>192</v>
      </c>
      <c r="B44" s="64" t="s">
        <v>193</v>
      </c>
      <c r="C44" s="64" t="s">
        <v>189</v>
      </c>
      <c r="D44" s="82">
        <f>ROUND(MIN(5,IF(Pathogens!I12&gt;=500,5,IF(Pathogens!I12&gt;=200,4,IF(Pathogens!I12&gt;=50,3,IF(Pathogens!I12&gt;=10,2,1))))*0.5+IF(Pathogens!J12&gt;=30,5,IF(Pathogens!J12&gt;=10,4,IF(Pathogens!J12&gt;=3,3,IF(Pathogens!J12&gt;=1,2,1))))*0.4+IF(AND($B$7&gt;=80,Pathogens!N12&gt;=0.5),1,0)*0.1+IF($B$10&lt;50,0.3,0)),0)</f>
        <v>3</v>
      </c>
      <c r="E44" s="82">
        <f>ROUND(MIN(5,IF(Pathogens!K12&gt;=8,5,IF(Pathogens!K12&gt;=5,4,IF(Pathogens!K12&gt;=3,3,IF(Pathogens!K12&gt;=1,2,1))))*0.5+IF(Pathogens!L12&gt;=5,5,IF(Pathogens!L12&gt;=3,4,IF(Pathogens!L12&gt;=2,3,IF(Pathogens!L12&gt;=1.2,2,1))))*0.3+IF(Pathogens!M12=1,2,0)*0.2+IF($B$13&gt;=2,0.5,0)),0)</f>
        <v>4</v>
      </c>
      <c r="F44" s="82">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c r="G44" s="82">
        <f>ROUND(MAX(1,MIN(5,(6-$B$11)*0.5+(6-$B$12)*0.4+(IF(AND(Pathogens!N12&gt;=0.5,$B$8&lt;60),5,IF(Pathogens!N12&gt;=0.5,4,IF(Pathogens!N12&gt;=0.3,3,IF(Pathogens!N12&gt;=0.1,2,1)))))*0.1)),0)</f>
        <v>2</v>
      </c>
      <c r="H44" s="82">
        <f>IF(ISNUMBER(SEARCH("Vaccine-preventable",Pathogens!C12)),2,IF(ISNUMBER(SEARCH("AMR",Pathogens!C12)),5,IF(ISNUMBER(SEARCH("VHF",Pathogens!C12)),4,IF(ISNUMBER(SEARCH("Emerging",Pathogens!C12)),5,IF(ISNUMBER(SEARCH("Mycobacterial",Pathogens!C12)),3,IF(ISNUMBER(SEARCH("Helminth",Pathogens!C12)),3,IF(ISNUMBER(SEARCH("Respiratory",Pathogens!C12)),4,3)))))))</f>
        <v>4</v>
      </c>
      <c r="I44" s="82">
        <f>IF(ISNUMBER(SEARCH("AMR",Pathogens!C12)),5,IF(ISNUMBER(SEARCH("Mycobacterial",Pathogens!C12)),4,IF(ISNUMBER(SEARCH("Enteric bacterial",Pathogens!C12)),3,IF(ISNUMBER(SEARCH("Bacterial",Pathogens!C12)),3,1))))</f>
        <v>1</v>
      </c>
      <c r="J44" s="82">
        <f t="shared" si="0"/>
        <v>3</v>
      </c>
      <c r="K44" s="83">
        <f>ROUND(((D44*Settings!$C$4)+(E44*Settings!$C$5)+(F44*Settings!$C$6)+(G44*Settings!$C$7)+(H44*Settings!$C$8)+(I44*Settings!$C$9)+(J44*Settings!$C$10))/5*100,1)</f>
        <v>62</v>
      </c>
      <c r="L44" s="84" t="str">
        <f>IF(K44&gt;=Settings!$B$14,"Tier 1 — Always-on",IF(K44&gt;=Settings!$B$15,"Tier 2 — Seasonal/Regional",IF(K44&gt;=Settings!$B$16,"Tier 3 — Event-driven","Tier 4 — Monitor only")))</f>
        <v>Tier 2 — Seasonal/Regional</v>
      </c>
      <c r="M44" s="55" t="str">
        <f>IFERROR(INDEX(Endemicity!$C$2:$BN$55,MATCH($B$3,Endemicity!$B$2:$B$55,0),MATCH($A44,Endemicity!$C$1:$BN$1,0)),"Sporadic")</f>
        <v>Sporadic</v>
      </c>
      <c r="N44" s="48">
        <f>IF(Settings!$B$48="ON",IFERROR(MATCH($M44,Settings!$B$35:$F$35,0),5),5)</f>
        <v>2</v>
      </c>
      <c r="O44" s="48">
        <f>(6-Pathogens!X12)</f>
        <v>2</v>
      </c>
      <c r="P44" s="48">
        <f>ROUND(MIN(5,MAX(1,0.35*IF(Pathogens!R12=1,5,IF(Pathogens!R12=2,3,1))+0.2*IF(Pathogens!S12=1,5,IF(Pathogens!S12=2,3,1))+0.25*IF(Pathogens!W12=1,IF($B$26&gt;=3,5,IF($B$26=2,4,IF($B$26=1,2,1))),5)+0.2*IF($B$15&gt;=50,5,IF($B$15&gt;=25,4,IF($B$15&gt;=10,3,IF($B$15&gt;=5,2,1)))))),0)</f>
        <v>4</v>
      </c>
      <c r="Q44" s="37" t="str">
        <f t="shared" si="1"/>
        <v>Early detection sensitivity</v>
      </c>
      <c r="R44" s="37">
        <f>ROUND(MIN(100,((D44)*Settings!$C$23*INDEX(Settings!$B$36:$F$44,1,$N44)+(E44)*Settings!$C$24*INDEX(Settings!$B$36:$F$44,2,$N44)+(F44)*Settings!$C$25*INDEX(Settings!$B$36:$F$44,3,$N44)+(G44)*Settings!$C$26*INDEX(Settings!$B$36:$F$44,4,$N44)+(H44)*Settings!$C$27*INDEX(Settings!$B$36:$F$44,5,$N44)+(I44)*Settings!$C$28*INDEX(Settings!$B$36:$F$44,6,$N44)+(J44)*Settings!$C$29*INDEX(Settings!$B$36:$F$44,7,$N44)+(O44)*Settings!$C$30*INDEX(Settings!$B$36:$F$44,8,$N44)+(P44)*Settings!$C$31*INDEX(Settings!$B$36:$F$44,9,$N44))/INDEX(Settings!$B$45:$F$45,1,$N44)/5*100*IF($M44="Not present",Settings!$B$51,1)),1)</f>
        <v>67.9</v>
      </c>
      <c r="S44" s="37" t="str">
        <f>IF($M44="Not present","Tier 4 — Watch only (absent)",IF(R44&gt;=Settings!$B$14,"Tier 1 — Always-on",IF(R44&gt;=Settings!$B$15,"Tier 2 — Seasonal/Regional",IF(R44&gt;=Settings!$B$16,"Tier 3 — Event-driven","Tier 4 — Monitor only"))))</f>
        <v>Tier 2 — Seasonal/Regional</v>
      </c>
      <c r="T44" s="55">
        <f>Feasibility!$F16</f>
        <v>79</v>
      </c>
      <c r="U44" s="37" t="str">
        <f>IF($M44="Not present","Defer — not present",IF(AND(R44&gt;=Settings!$B$49,T44&gt;=Settings!$B$50),"Do now",IF(AND(R44&gt;=Settings!$B$49,T44&lt;Settings!$B$50),"Invest to enable",IF(AND(R44&lt;Settings!$B$49,T44&gt;=Settings!$B$50),"Low-cost add-on","Defer"))))</f>
        <v>Do now</v>
      </c>
      <c r="V44" s="12" t="str">
        <f t="shared" si="2"/>
        <v>Include in year-1 panel; alert on first detection</v>
      </c>
    </row>
    <row r="45" ht="26.25" customHeight="1" spans="1:22">
      <c r="A45" s="70" t="s">
        <v>194</v>
      </c>
      <c r="B45" s="64" t="s">
        <v>195</v>
      </c>
      <c r="C45" s="64" t="s">
        <v>189</v>
      </c>
      <c r="D45" s="82">
        <f>ROUND(MIN(5,IF(Pathogens!I13&gt;=500,5,IF(Pathogens!I13&gt;=200,4,IF(Pathogens!I13&gt;=50,3,IF(Pathogens!I13&gt;=10,2,1))))*0.5+IF(Pathogens!J13&gt;=30,5,IF(Pathogens!J13&gt;=10,4,IF(Pathogens!J13&gt;=3,3,IF(Pathogens!J13&gt;=1,2,1))))*0.4+IF(AND($B$7&gt;=80,Pathogens!N13&gt;=0.5),1,0)*0.1+IF($B$10&lt;50,0.3,0)),0)</f>
        <v>3</v>
      </c>
      <c r="E45" s="82">
        <f>ROUND(MIN(5,IF(Pathogens!K13&gt;=8,5,IF(Pathogens!K13&gt;=5,4,IF(Pathogens!K13&gt;=3,3,IF(Pathogens!K13&gt;=1,2,1))))*0.5+IF(Pathogens!L13&gt;=5,5,IF(Pathogens!L13&gt;=3,4,IF(Pathogens!L13&gt;=2,3,IF(Pathogens!L13&gt;=1.2,2,1))))*0.3+IF(Pathogens!M13=1,2,0)*0.2+IF($B$13&gt;=2,0.5,0)),0)</f>
        <v>3</v>
      </c>
      <c r="F45" s="82">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c r="G45" s="82">
        <f>ROUND(MAX(1,MIN(5,(6-$B$11)*0.5+(6-$B$12)*0.4+(IF(AND(Pathogens!N13&gt;=0.5,$B$8&lt;60),5,IF(Pathogens!N13&gt;=0.5,4,IF(Pathogens!N13&gt;=0.3,3,IF(Pathogens!N13&gt;=0.1,2,1)))))*0.1)),0)</f>
        <v>2</v>
      </c>
      <c r="H45" s="82">
        <f>IF(ISNUMBER(SEARCH("Vaccine-preventable",Pathogens!C13)),2,IF(ISNUMBER(SEARCH("AMR",Pathogens!C13)),5,IF(ISNUMBER(SEARCH("VHF",Pathogens!C13)),4,IF(ISNUMBER(SEARCH("Emerging",Pathogens!C13)),5,IF(ISNUMBER(SEARCH("Mycobacterial",Pathogens!C13)),3,IF(ISNUMBER(SEARCH("Helminth",Pathogens!C13)),3,IF(ISNUMBER(SEARCH("Respiratory",Pathogens!C13)),4,3)))))))</f>
        <v>4</v>
      </c>
      <c r="I45" s="82">
        <f>IF(ISNUMBER(SEARCH("AMR",Pathogens!C13)),5,IF(ISNUMBER(SEARCH("Mycobacterial",Pathogens!C13)),4,IF(ISNUMBER(SEARCH("Enteric bacterial",Pathogens!C13)),3,IF(ISNUMBER(SEARCH("Bacterial",Pathogens!C13)),3,1))))</f>
        <v>1</v>
      </c>
      <c r="J45" s="82">
        <f t="shared" si="0"/>
        <v>3</v>
      </c>
      <c r="K45" s="83">
        <f>ROUND(((D45*Settings!$C$4)+(E45*Settings!$C$5)+(F45*Settings!$C$6)+(G45*Settings!$C$7)+(H45*Settings!$C$8)+(I45*Settings!$C$9)+(J45*Settings!$C$10))/5*100,1)</f>
        <v>58</v>
      </c>
      <c r="L45" s="84" t="str">
        <f>IF(K45&gt;=Settings!$B$14,"Tier 1 — Always-on",IF(K45&gt;=Settings!$B$15,"Tier 2 — Seasonal/Regional",IF(K45&gt;=Settings!$B$16,"Tier 3 — Event-driven","Tier 4 — Monitor only")))</f>
        <v>Tier 2 — Seasonal/Regional</v>
      </c>
      <c r="M45" s="55" t="str">
        <f>IFERROR(INDEX(Endemicity!$C$2:$BN$55,MATCH($B$3,Endemicity!$B$2:$B$55,0),MATCH($A45,Endemicity!$C$1:$BN$1,0)),"Sporadic")</f>
        <v>Sporadic</v>
      </c>
      <c r="N45" s="48">
        <f>IF(Settings!$B$48="ON",IFERROR(MATCH($M45,Settings!$B$35:$F$35,0),5),5)</f>
        <v>2</v>
      </c>
      <c r="O45" s="48">
        <f>(6-Pathogens!X13)</f>
        <v>2</v>
      </c>
      <c r="P45" s="48">
        <f>ROUND(MIN(5,MAX(1,0.35*IF(Pathogens!R13=1,5,IF(Pathogens!R13=2,3,1))+0.2*IF(Pathogens!S13=1,5,IF(Pathogens!S13=2,3,1))+0.25*IF(Pathogens!W13=1,IF($B$26&gt;=3,5,IF($B$26=2,4,IF($B$26=1,2,1))),5)+0.2*IF($B$15&gt;=50,5,IF($B$15&gt;=25,4,IF($B$15&gt;=10,3,IF($B$15&gt;=5,2,1)))))),0)</f>
        <v>3</v>
      </c>
      <c r="Q45" s="37" t="str">
        <f t="shared" si="1"/>
        <v>Early detection sensitivity</v>
      </c>
      <c r="R45" s="37">
        <f>ROUND(MIN(100,((D45)*Settings!$C$23*INDEX(Settings!$B$36:$F$44,1,$N45)+(E45)*Settings!$C$24*INDEX(Settings!$B$36:$F$44,2,$N45)+(F45)*Settings!$C$25*INDEX(Settings!$B$36:$F$44,3,$N45)+(G45)*Settings!$C$26*INDEX(Settings!$B$36:$F$44,4,$N45)+(H45)*Settings!$C$27*INDEX(Settings!$B$36:$F$44,5,$N45)+(I45)*Settings!$C$28*INDEX(Settings!$B$36:$F$44,6,$N45)+(J45)*Settings!$C$29*INDEX(Settings!$B$36:$F$44,7,$N45)+(O45)*Settings!$C$30*INDEX(Settings!$B$36:$F$44,8,$N45)+(P45)*Settings!$C$31*INDEX(Settings!$B$36:$F$44,9,$N45))/INDEX(Settings!$B$45:$F$45,1,$N45)/5*100*IF($M45="Not present",Settings!$B$51,1)),1)</f>
        <v>61.1</v>
      </c>
      <c r="S45" s="37" t="str">
        <f>IF($M45="Not present","Tier 4 — Watch only (absent)",IF(R45&gt;=Settings!$B$14,"Tier 1 — Always-on",IF(R45&gt;=Settings!$B$15,"Tier 2 — Seasonal/Regional",IF(R45&gt;=Settings!$B$16,"Tier 3 — Event-driven","Tier 4 — Monitor only"))))</f>
        <v>Tier 2 — Seasonal/Regional</v>
      </c>
      <c r="T45" s="55">
        <f>Feasibility!$F17</f>
        <v>67</v>
      </c>
      <c r="U45" s="37" t="str">
        <f>IF($M45="Not present","Defer — not present",IF(AND(R45&gt;=Settings!$B$49,T45&gt;=Settings!$B$50),"Do now",IF(AND(R45&gt;=Settings!$B$49,T45&lt;Settings!$B$50),"Invest to enable",IF(AND(R45&lt;Settings!$B$49,T45&gt;=Settings!$B$50),"Low-cost add-on","Defer"))))</f>
        <v>Defer</v>
      </c>
      <c r="V45" s="12" t="str">
        <f t="shared" si="2"/>
        <v>Defer to a later phase or event-driven testing only</v>
      </c>
    </row>
    <row r="46" ht="26.25" customHeight="1" spans="1:22">
      <c r="A46" s="70" t="s">
        <v>196</v>
      </c>
      <c r="B46" s="64" t="s">
        <v>197</v>
      </c>
      <c r="C46" s="64" t="s">
        <v>189</v>
      </c>
      <c r="D46" s="82">
        <f>ROUND(MIN(5,IF(Pathogens!I14&gt;=500,5,IF(Pathogens!I14&gt;=200,4,IF(Pathogens!I14&gt;=50,3,IF(Pathogens!I14&gt;=10,2,1))))*0.5+IF(Pathogens!J14&gt;=30,5,IF(Pathogens!J14&gt;=10,4,IF(Pathogens!J14&gt;=3,3,IF(Pathogens!J14&gt;=1,2,1))))*0.4+IF(AND($B$7&gt;=80,Pathogens!N14&gt;=0.5),1,0)*0.1+IF($B$10&lt;50,0.3,0)),0)</f>
        <v>2</v>
      </c>
      <c r="E46" s="82">
        <f>ROUND(MIN(5,IF(Pathogens!K14&gt;=8,5,IF(Pathogens!K14&gt;=5,4,IF(Pathogens!K14&gt;=3,3,IF(Pathogens!K14&gt;=1,2,1))))*0.5+IF(Pathogens!L14&gt;=5,5,IF(Pathogens!L14&gt;=3,4,IF(Pathogens!L14&gt;=2,3,IF(Pathogens!L14&gt;=1.2,2,1))))*0.3+IF(Pathogens!M14=1,2,0)*0.2+IF($B$13&gt;=2,0.5,0)),0)</f>
        <v>4</v>
      </c>
      <c r="F46" s="82">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c r="G46" s="82">
        <f>ROUND(MAX(1,MIN(5,(6-$B$11)*0.5+(6-$B$12)*0.4+(IF(AND(Pathogens!N14&gt;=0.5,$B$8&lt;60),5,IF(Pathogens!N14&gt;=0.5,4,IF(Pathogens!N14&gt;=0.3,3,IF(Pathogens!N14&gt;=0.1,2,1)))))*0.1)),0)</f>
        <v>2</v>
      </c>
      <c r="H46" s="82">
        <f>IF(ISNUMBER(SEARCH("Vaccine-preventable",Pathogens!C14)),2,IF(ISNUMBER(SEARCH("AMR",Pathogens!C14)),5,IF(ISNUMBER(SEARCH("VHF",Pathogens!C14)),4,IF(ISNUMBER(SEARCH("Emerging",Pathogens!C14)),5,IF(ISNUMBER(SEARCH("Mycobacterial",Pathogens!C14)),3,IF(ISNUMBER(SEARCH("Helminth",Pathogens!C14)),3,IF(ISNUMBER(SEARCH("Respiratory",Pathogens!C14)),4,3)))))))</f>
        <v>4</v>
      </c>
      <c r="I46" s="82">
        <f>IF(ISNUMBER(SEARCH("AMR",Pathogens!C14)),5,IF(ISNUMBER(SEARCH("Mycobacterial",Pathogens!C14)),4,IF(ISNUMBER(SEARCH("Enteric bacterial",Pathogens!C14)),3,IF(ISNUMBER(SEARCH("Bacterial",Pathogens!C14)),3,1))))</f>
        <v>1</v>
      </c>
      <c r="J46" s="82">
        <f t="shared" si="0"/>
        <v>3</v>
      </c>
      <c r="K46" s="83">
        <f>ROUND(((D46*Settings!$C$4)+(E46*Settings!$C$5)+(F46*Settings!$C$6)+(G46*Settings!$C$7)+(H46*Settings!$C$8)+(I46*Settings!$C$9)+(J46*Settings!$C$10))/5*100,1)</f>
        <v>58</v>
      </c>
      <c r="L46" s="84" t="str">
        <f>IF(K46&gt;=Settings!$B$14,"Tier 1 — Always-on",IF(K46&gt;=Settings!$B$15,"Tier 2 — Seasonal/Regional",IF(K46&gt;=Settings!$B$16,"Tier 3 — Event-driven","Tier 4 — Monitor only")))</f>
        <v>Tier 2 — Seasonal/Regional</v>
      </c>
      <c r="M46" s="55" t="str">
        <f>IFERROR(INDEX(Endemicity!$C$2:$BN$55,MATCH($B$3,Endemicity!$B$2:$B$55,0),MATCH($A46,Endemicity!$C$1:$BN$1,0)),"Sporadic")</f>
        <v>Emerging</v>
      </c>
      <c r="N46" s="48">
        <f>IF(Settings!$B$48="ON",IFERROR(MATCH($M46,Settings!$B$35:$F$35,0),5),5)</f>
        <v>3</v>
      </c>
      <c r="O46" s="48">
        <f>(6-Pathogens!X14)</f>
        <v>3</v>
      </c>
      <c r="P46" s="48">
        <f>ROUND(MIN(5,MAX(1,0.35*IF(Pathogens!R14=1,5,IF(Pathogens!R14=2,3,1))+0.2*IF(Pathogens!S14=1,5,IF(Pathogens!S14=2,3,1))+0.25*IF(Pathogens!W14=1,IF($B$26&gt;=3,5,IF($B$26=2,4,IF($B$26=1,2,1))),5)+0.2*IF($B$15&gt;=50,5,IF($B$15&gt;=25,4,IF($B$15&gt;=10,3,IF($B$15&gt;=5,2,1)))))),0)</f>
        <v>4</v>
      </c>
      <c r="Q46" s="37" t="str">
        <f t="shared" si="1"/>
        <v>Horizon scanning</v>
      </c>
      <c r="R46" s="37">
        <f>ROUND(MIN(100,((D46)*Settings!$C$23*INDEX(Settings!$B$36:$F$44,1,$N46)+(E46)*Settings!$C$24*INDEX(Settings!$B$36:$F$44,2,$N46)+(F46)*Settings!$C$25*INDEX(Settings!$B$36:$F$44,3,$N46)+(G46)*Settings!$C$26*INDEX(Settings!$B$36:$F$44,4,$N46)+(H46)*Settings!$C$27*INDEX(Settings!$B$36:$F$44,5,$N46)+(I46)*Settings!$C$28*INDEX(Settings!$B$36:$F$44,6,$N46)+(J46)*Settings!$C$29*INDEX(Settings!$B$36:$F$44,7,$N46)+(O46)*Settings!$C$30*INDEX(Settings!$B$36:$F$44,8,$N46)+(P46)*Settings!$C$31*INDEX(Settings!$B$36:$F$44,9,$N46))/INDEX(Settings!$B$45:$F$45,1,$N46)/5*100*IF($M46="Not present",Settings!$B$51,1)),1)</f>
        <v>69.5</v>
      </c>
      <c r="S46" s="37" t="str">
        <f>IF($M46="Not present","Tier 4 — Watch only (absent)",IF(R46&gt;=Settings!$B$14,"Tier 1 — Always-on",IF(R46&gt;=Settings!$B$15,"Tier 2 — Seasonal/Regional",IF(R46&gt;=Settings!$B$16,"Tier 3 — Event-driven","Tier 4 — Monitor only"))))</f>
        <v>Tier 2 — Seasonal/Regional</v>
      </c>
      <c r="T46" s="55">
        <f>Feasibility!$F18</f>
        <v>79</v>
      </c>
      <c r="U46" s="37" t="str">
        <f>IF($M46="Not present","Defer — not present",IF(AND(R46&gt;=Settings!$B$49,T46&gt;=Settings!$B$50),"Do now",IF(AND(R46&gt;=Settings!$B$49,T46&lt;Settings!$B$50),"Invest to enable",IF(AND(R46&lt;Settings!$B$49,T46&gt;=Settings!$B$50),"Low-cost add-on","Defer"))))</f>
        <v>Do now</v>
      </c>
      <c r="V46" s="12" t="str">
        <f t="shared" si="2"/>
        <v>Include in year-1 panel; alert on first detection</v>
      </c>
    </row>
    <row r="47" ht="26.25" customHeight="1" spans="1:22">
      <c r="A47" s="70" t="s">
        <v>198</v>
      </c>
      <c r="B47" s="64" t="s">
        <v>199</v>
      </c>
      <c r="C47" s="64" t="s">
        <v>200</v>
      </c>
      <c r="D47" s="82">
        <f>ROUND(MIN(5,IF(Pathogens!I15&gt;=500,5,IF(Pathogens!I15&gt;=200,4,IF(Pathogens!I15&gt;=50,3,IF(Pathogens!I15&gt;=10,2,1))))*0.5+IF(Pathogens!J15&gt;=30,5,IF(Pathogens!J15&gt;=10,4,IF(Pathogens!J15&gt;=3,3,IF(Pathogens!J15&gt;=1,2,1))))*0.4+IF(AND($B$7&gt;=80,Pathogens!N15&gt;=0.5),1,0)*0.1+IF($B$10&lt;50,0.3,0)),0)</f>
        <v>2</v>
      </c>
      <c r="E47" s="82">
        <f>ROUND(MIN(5,IF(Pathogens!K15&gt;=8,5,IF(Pathogens!K15&gt;=5,4,IF(Pathogens!K15&gt;=3,3,IF(Pathogens!K15&gt;=1,2,1))))*0.5+IF(Pathogens!L15&gt;=5,5,IF(Pathogens!L15&gt;=3,4,IF(Pathogens!L15&gt;=2,3,IF(Pathogens!L15&gt;=1.2,2,1))))*0.3+IF(Pathogens!M15=1,2,0)*0.2+IF($B$13&gt;=2,0.5,0)),0)</f>
        <v>4</v>
      </c>
      <c r="F47" s="82">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c r="G47" s="82">
        <f>ROUND(MAX(1,MIN(5,(6-$B$11)*0.5+(6-$B$12)*0.4+(IF(AND(Pathogens!N15&gt;=0.5,$B$8&lt;60),5,IF(Pathogens!N15&gt;=0.5,4,IF(Pathogens!N15&gt;=0.3,3,IF(Pathogens!N15&gt;=0.1,2,1)))))*0.1)),0)</f>
        <v>2</v>
      </c>
      <c r="H47" s="82">
        <f>IF(ISNUMBER(SEARCH("Vaccine-preventable",Pathogens!C15)),2,IF(ISNUMBER(SEARCH("AMR",Pathogens!C15)),5,IF(ISNUMBER(SEARCH("VHF",Pathogens!C15)),4,IF(ISNUMBER(SEARCH("Emerging",Pathogens!C15)),5,IF(ISNUMBER(SEARCH("Mycobacterial",Pathogens!C15)),3,IF(ISNUMBER(SEARCH("Helminth",Pathogens!C15)),3,IF(ISNUMBER(SEARCH("Respiratory",Pathogens!C15)),4,3)))))))</f>
        <v>5</v>
      </c>
      <c r="I47" s="82">
        <f>IF(ISNUMBER(SEARCH("AMR",Pathogens!C15)),5,IF(ISNUMBER(SEARCH("Mycobacterial",Pathogens!C15)),4,IF(ISNUMBER(SEARCH("Enteric bacterial",Pathogens!C15)),3,IF(ISNUMBER(SEARCH("Bacterial",Pathogens!C15)),3,1))))</f>
        <v>1</v>
      </c>
      <c r="J47" s="82">
        <f t="shared" si="0"/>
        <v>3</v>
      </c>
      <c r="K47" s="83">
        <f>ROUND(((D47*Settings!$C$4)+(E47*Settings!$C$5)+(F47*Settings!$C$6)+(G47*Settings!$C$7)+(H47*Settings!$C$8)+(I47*Settings!$C$9)+(J47*Settings!$C$10))/5*100,1)</f>
        <v>60</v>
      </c>
      <c r="L47" s="84" t="str">
        <f>IF(K47&gt;=Settings!$B$14,"Tier 1 — Always-on",IF(K47&gt;=Settings!$B$15,"Tier 2 — Seasonal/Regional",IF(K47&gt;=Settings!$B$16,"Tier 3 — Event-driven","Tier 4 — Monitor only")))</f>
        <v>Tier 2 — Seasonal/Regional</v>
      </c>
      <c r="M47" s="55" t="str">
        <f>IFERROR(INDEX(Endemicity!$C$2:$BN$55,MATCH($B$3,Endemicity!$B$2:$B$55,0),MATCH($A47,Endemicity!$C$1:$BN$1,0)),"Sporadic")</f>
        <v>Endemic</v>
      </c>
      <c r="N47" s="48">
        <f>IF(Settings!$B$48="ON",IFERROR(MATCH($M47,Settings!$B$35:$F$35,0),5),5)</f>
        <v>1</v>
      </c>
      <c r="O47" s="48">
        <f>(6-Pathogens!X15)</f>
        <v>3</v>
      </c>
      <c r="P47" s="48">
        <f>ROUND(MIN(5,MAX(1,0.35*IF(Pathogens!R15=1,5,IF(Pathogens!R15=2,3,1))+0.2*IF(Pathogens!S15=1,5,IF(Pathogens!S15=2,3,1))+0.25*IF(Pathogens!W15=1,IF($B$26&gt;=3,5,IF($B$26=2,4,IF($B$26=1,2,1))),5)+0.2*IF($B$15&gt;=50,5,IF($B$15&gt;=25,4,IF($B$15&gt;=10,3,IF($B$15&gt;=5,2,1)))))),0)</f>
        <v>4</v>
      </c>
      <c r="Q47" s="37" t="str">
        <f t="shared" si="1"/>
        <v>Trend / intensity monitoring</v>
      </c>
      <c r="R47" s="37">
        <f>ROUND(MIN(100,((D47)*Settings!$C$23*INDEX(Settings!$B$36:$F$44,1,$N47)+(E47)*Settings!$C$24*INDEX(Settings!$B$36:$F$44,2,$N47)+(F47)*Settings!$C$25*INDEX(Settings!$B$36:$F$44,3,$N47)+(G47)*Settings!$C$26*INDEX(Settings!$B$36:$F$44,4,$N47)+(H47)*Settings!$C$27*INDEX(Settings!$B$36:$F$44,5,$N47)+(I47)*Settings!$C$28*INDEX(Settings!$B$36:$F$44,6,$N47)+(J47)*Settings!$C$29*INDEX(Settings!$B$36:$F$44,7,$N47)+(O47)*Settings!$C$30*INDEX(Settings!$B$36:$F$44,8,$N47)+(P47)*Settings!$C$31*INDEX(Settings!$B$36:$F$44,9,$N47))/INDEX(Settings!$B$45:$F$45,1,$N47)/5*100*IF($M47="Not present",Settings!$B$51,1)),1)</f>
        <v>64.3</v>
      </c>
      <c r="S47" s="37" t="str">
        <f>IF($M47="Not present","Tier 4 — Watch only (absent)",IF(R47&gt;=Settings!$B$14,"Tier 1 — Always-on",IF(R47&gt;=Settings!$B$15,"Tier 2 — Seasonal/Regional",IF(R47&gt;=Settings!$B$16,"Tier 3 — Event-driven","Tier 4 — Monitor only"))))</f>
        <v>Tier 2 — Seasonal/Regional</v>
      </c>
      <c r="T47" s="55">
        <f>Feasibility!$F19</f>
        <v>79</v>
      </c>
      <c r="U47" s="37" t="str">
        <f>IF($M47="Not present","Defer — not present",IF(AND(R47&gt;=Settings!$B$49,T47&gt;=Settings!$B$50),"Do now",IF(AND(R47&gt;=Settings!$B$49,T47&lt;Settings!$B$50),"Invest to enable",IF(AND(R47&lt;Settings!$B$49,T47&gt;=Settings!$B$50),"Low-cost add-on","Defer"))))</f>
        <v>Low-cost add-on</v>
      </c>
      <c r="V47" s="12" t="str">
        <f t="shared" si="2"/>
        <v>Cheap to multiplex onto existing runs; add if capacity allows</v>
      </c>
    </row>
    <row r="48" ht="26.25" customHeight="1" spans="1:22">
      <c r="A48" s="70" t="s">
        <v>201</v>
      </c>
      <c r="B48" s="64" t="s">
        <v>202</v>
      </c>
      <c r="C48" s="64" t="s">
        <v>203</v>
      </c>
      <c r="D48" s="82">
        <f>ROUND(MIN(5,IF(Pathogens!I16&gt;=500,5,IF(Pathogens!I16&gt;=200,4,IF(Pathogens!I16&gt;=50,3,IF(Pathogens!I16&gt;=10,2,1))))*0.5+IF(Pathogens!J16&gt;=30,5,IF(Pathogens!J16&gt;=10,4,IF(Pathogens!J16&gt;=3,3,IF(Pathogens!J16&gt;=1,2,1))))*0.4+IF(AND($B$7&gt;=80,Pathogens!N16&gt;=0.5),1,0)*0.1+IF($B$10&lt;50,0.3,0)),0)</f>
        <v>3</v>
      </c>
      <c r="E48" s="82">
        <f>ROUND(MIN(5,IF(Pathogens!K16&gt;=8,5,IF(Pathogens!K16&gt;=5,4,IF(Pathogens!K16&gt;=3,3,IF(Pathogens!K16&gt;=1,2,1))))*0.5+IF(Pathogens!L16&gt;=5,5,IF(Pathogens!L16&gt;=3,4,IF(Pathogens!L16&gt;=2,3,IF(Pathogens!L16&gt;=1.2,2,1))))*0.3+IF(Pathogens!M16=1,2,0)*0.2+IF($B$13&gt;=2,0.5,0)),0)</f>
        <v>5</v>
      </c>
      <c r="F48" s="82">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c r="G48" s="82">
        <f>ROUND(MAX(1,MIN(5,(6-$B$11)*0.5+(6-$B$12)*0.4+(IF(AND(Pathogens!N16&gt;=0.5,$B$8&lt;60),5,IF(Pathogens!N16&gt;=0.5,4,IF(Pathogens!N16&gt;=0.3,3,IF(Pathogens!N16&gt;=0.1,2,1)))))*0.1)),0)</f>
        <v>2</v>
      </c>
      <c r="H48" s="82">
        <f>IF(ISNUMBER(SEARCH("Vaccine-preventable",Pathogens!C16)),2,IF(ISNUMBER(SEARCH("AMR",Pathogens!C16)),5,IF(ISNUMBER(SEARCH("VHF",Pathogens!C16)),4,IF(ISNUMBER(SEARCH("Emerging",Pathogens!C16)),5,IF(ISNUMBER(SEARCH("Mycobacterial",Pathogens!C16)),3,IF(ISNUMBER(SEARCH("Helminth",Pathogens!C16)),3,IF(ISNUMBER(SEARCH("Respiratory",Pathogens!C16)),4,3)))))))</f>
        <v>4</v>
      </c>
      <c r="I48" s="82">
        <f>IF(ISNUMBER(SEARCH("AMR",Pathogens!C16)),5,IF(ISNUMBER(SEARCH("Mycobacterial",Pathogens!C16)),4,IF(ISNUMBER(SEARCH("Enteric bacterial",Pathogens!C16)),3,IF(ISNUMBER(SEARCH("Bacterial",Pathogens!C16)),3,1))))</f>
        <v>1</v>
      </c>
      <c r="J48" s="82">
        <f t="shared" si="0"/>
        <v>3</v>
      </c>
      <c r="K48" s="83">
        <f>ROUND(((D48*Settings!$C$4)+(E48*Settings!$C$5)+(F48*Settings!$C$6)+(G48*Settings!$C$7)+(H48*Settings!$C$8)+(I48*Settings!$C$9)+(J48*Settings!$C$10))/5*100,1)</f>
        <v>66</v>
      </c>
      <c r="L48" s="84" t="str">
        <f>IF(K48&gt;=Settings!$B$14,"Tier 1 — Always-on",IF(K48&gt;=Settings!$B$15,"Tier 2 — Seasonal/Regional",IF(K48&gt;=Settings!$B$16,"Tier 3 — Event-driven","Tier 4 — Monitor only")))</f>
        <v>Tier 2 — Seasonal/Regional</v>
      </c>
      <c r="M48" s="55" t="str">
        <f>IFERROR(INDEX(Endemicity!$C$2:$BN$55,MATCH($B$3,Endemicity!$B$2:$B$55,0),MATCH($A48,Endemicity!$C$1:$BN$1,0)),"Sporadic")</f>
        <v>Endemic</v>
      </c>
      <c r="N48" s="48">
        <f>IF(Settings!$B$48="ON",IFERROR(MATCH($M48,Settings!$B$35:$F$35,0),5),5)</f>
        <v>1</v>
      </c>
      <c r="O48" s="48">
        <f>(6-Pathogens!X16)</f>
        <v>2</v>
      </c>
      <c r="P48" s="48">
        <f>ROUND(MIN(5,MAX(1,0.35*IF(Pathogens!R16=1,5,IF(Pathogens!R16=2,3,1))+0.2*IF(Pathogens!S16=1,5,IF(Pathogens!S16=2,3,1))+0.25*IF(Pathogens!W16=1,IF($B$26&gt;=3,5,IF($B$26=2,4,IF($B$26=1,2,1))),5)+0.2*IF($B$15&gt;=50,5,IF($B$15&gt;=25,4,IF($B$15&gt;=10,3,IF($B$15&gt;=5,2,1)))))),0)</f>
        <v>5</v>
      </c>
      <c r="Q48" s="37" t="str">
        <f t="shared" si="1"/>
        <v>Trend / intensity monitoring</v>
      </c>
      <c r="R48" s="37">
        <f>ROUND(MIN(100,((D48)*Settings!$C$23*INDEX(Settings!$B$36:$F$44,1,$N48)+(E48)*Settings!$C$24*INDEX(Settings!$B$36:$F$44,2,$N48)+(F48)*Settings!$C$25*INDEX(Settings!$B$36:$F$44,3,$N48)+(G48)*Settings!$C$26*INDEX(Settings!$B$36:$F$44,4,$N48)+(H48)*Settings!$C$27*INDEX(Settings!$B$36:$F$44,5,$N48)+(I48)*Settings!$C$28*INDEX(Settings!$B$36:$F$44,6,$N48)+(J48)*Settings!$C$29*INDEX(Settings!$B$36:$F$44,7,$N48)+(O48)*Settings!$C$30*INDEX(Settings!$B$36:$F$44,8,$N48)+(P48)*Settings!$C$31*INDEX(Settings!$B$36:$F$44,9,$N48))/INDEX(Settings!$B$45:$F$45,1,$N48)/5*100*IF($M48="Not present",Settings!$B$51,1)),1)</f>
        <v>69.9</v>
      </c>
      <c r="S48" s="37" t="str">
        <f>IF($M48="Not present","Tier 4 — Watch only (absent)",IF(R48&gt;=Settings!$B$14,"Tier 1 — Always-on",IF(R48&gt;=Settings!$B$15,"Tier 2 — Seasonal/Regional",IF(R48&gt;=Settings!$B$16,"Tier 3 — Event-driven","Tier 4 — Monitor only"))))</f>
        <v>Tier 2 — Seasonal/Regional</v>
      </c>
      <c r="T48" s="55">
        <f>Feasibility!$F20</f>
        <v>91</v>
      </c>
      <c r="U48" s="37" t="str">
        <f>IF($M48="Not present","Defer — not present",IF(AND(R48&gt;=Settings!$B$49,T48&gt;=Settings!$B$50),"Do now",IF(AND(R48&gt;=Settings!$B$49,T48&lt;Settings!$B$50),"Invest to enable",IF(AND(R48&lt;Settings!$B$49,T48&gt;=Settings!$B$50),"Low-cost add-on","Defer"))))</f>
        <v>Do now</v>
      </c>
      <c r="V48" s="12" t="str">
        <f t="shared" si="2"/>
        <v>Include in always-on panel; report trend vs baseline</v>
      </c>
    </row>
    <row r="49" ht="26.25" customHeight="1" spans="1:22">
      <c r="A49" s="70" t="s">
        <v>204</v>
      </c>
      <c r="B49" s="64" t="s">
        <v>205</v>
      </c>
      <c r="C49" s="64" t="s">
        <v>203</v>
      </c>
      <c r="D49" s="82">
        <f>ROUND(MIN(5,IF(Pathogens!I17&gt;=500,5,IF(Pathogens!I17&gt;=200,4,IF(Pathogens!I17&gt;=50,3,IF(Pathogens!I17&gt;=10,2,1))))*0.5+IF(Pathogens!J17&gt;=30,5,IF(Pathogens!J17&gt;=10,4,IF(Pathogens!J17&gt;=3,3,IF(Pathogens!J17&gt;=1,2,1))))*0.4+IF(AND($B$7&gt;=80,Pathogens!N17&gt;=0.5),1,0)*0.1+IF($B$10&lt;50,0.3,0)),0)</f>
        <v>3</v>
      </c>
      <c r="E49" s="82">
        <f>ROUND(MIN(5,IF(Pathogens!K17&gt;=8,5,IF(Pathogens!K17&gt;=5,4,IF(Pathogens!K17&gt;=3,3,IF(Pathogens!K17&gt;=1,2,1))))*0.5+IF(Pathogens!L17&gt;=5,5,IF(Pathogens!L17&gt;=3,4,IF(Pathogens!L17&gt;=2,3,IF(Pathogens!L17&gt;=1.2,2,1))))*0.3+IF(Pathogens!M17=1,2,0)*0.2+IF($B$13&gt;=2,0.5,0)),0)</f>
        <v>3</v>
      </c>
      <c r="F49" s="82">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c r="G49" s="82">
        <f>ROUND(MAX(1,MIN(5,(6-$B$11)*0.5+(6-$B$12)*0.4+(IF(AND(Pathogens!N17&gt;=0.5,$B$8&lt;60),5,IF(Pathogens!N17&gt;=0.5,4,IF(Pathogens!N17&gt;=0.3,3,IF(Pathogens!N17&gt;=0.1,2,1)))))*0.1)),0)</f>
        <v>2</v>
      </c>
      <c r="H49" s="82">
        <f>IF(ISNUMBER(SEARCH("Vaccine-preventable",Pathogens!C17)),2,IF(ISNUMBER(SEARCH("AMR",Pathogens!C17)),5,IF(ISNUMBER(SEARCH("VHF",Pathogens!C17)),4,IF(ISNUMBER(SEARCH("Emerging",Pathogens!C17)),5,IF(ISNUMBER(SEARCH("Mycobacterial",Pathogens!C17)),3,IF(ISNUMBER(SEARCH("Helminth",Pathogens!C17)),3,IF(ISNUMBER(SEARCH("Respiratory",Pathogens!C17)),4,3)))))))</f>
        <v>4</v>
      </c>
      <c r="I49" s="82">
        <f>IF(ISNUMBER(SEARCH("AMR",Pathogens!C17)),5,IF(ISNUMBER(SEARCH("Mycobacterial",Pathogens!C17)),4,IF(ISNUMBER(SEARCH("Enteric bacterial",Pathogens!C17)),3,IF(ISNUMBER(SEARCH("Bacterial",Pathogens!C17)),3,1))))</f>
        <v>1</v>
      </c>
      <c r="J49" s="82">
        <f t="shared" si="0"/>
        <v>3</v>
      </c>
      <c r="K49" s="83">
        <f>ROUND(((D49*Settings!$C$4)+(E49*Settings!$C$5)+(F49*Settings!$C$6)+(G49*Settings!$C$7)+(H49*Settings!$C$8)+(I49*Settings!$C$9)+(J49*Settings!$C$10))/5*100,1)</f>
        <v>55</v>
      </c>
      <c r="L49" s="84" t="str">
        <f>IF(K49&gt;=Settings!$B$14,"Tier 1 — Always-on",IF(K49&gt;=Settings!$B$15,"Tier 2 — Seasonal/Regional",IF(K49&gt;=Settings!$B$16,"Tier 3 — Event-driven","Tier 4 — Monitor only")))</f>
        <v>Tier 2 — Seasonal/Regional</v>
      </c>
      <c r="M49" s="55" t="str">
        <f>IFERROR(INDEX(Endemicity!$C$2:$BN$55,MATCH($B$3,Endemicity!$B$2:$B$55,0),MATCH($A49,Endemicity!$C$1:$BN$1,0)),"Sporadic")</f>
        <v>Sporadic</v>
      </c>
      <c r="N49" s="48">
        <f>IF(Settings!$B$48="ON",IFERROR(MATCH($M49,Settings!$B$35:$F$35,0),5),5)</f>
        <v>2</v>
      </c>
      <c r="O49" s="48">
        <f>(6-Pathogens!X17)</f>
        <v>4</v>
      </c>
      <c r="P49" s="48">
        <f>ROUND(MIN(5,MAX(1,0.35*IF(Pathogens!R17=1,5,IF(Pathogens!R17=2,3,1))+0.2*IF(Pathogens!S17=1,5,IF(Pathogens!S17=2,3,1))+0.25*IF(Pathogens!W17=1,IF($B$26&gt;=3,5,IF($B$26=2,4,IF($B$26=1,2,1))),5)+0.2*IF($B$15&gt;=50,5,IF($B$15&gt;=25,4,IF($B$15&gt;=10,3,IF($B$15&gt;=5,2,1)))))),0)</f>
        <v>4</v>
      </c>
      <c r="Q49" s="37" t="str">
        <f t="shared" si="1"/>
        <v>Early detection sensitivity</v>
      </c>
      <c r="R49" s="37">
        <f>ROUND(MIN(100,((D49)*Settings!$C$23*INDEX(Settings!$B$36:$F$44,1,$N49)+(E49)*Settings!$C$24*INDEX(Settings!$B$36:$F$44,2,$N49)+(F49)*Settings!$C$25*INDEX(Settings!$B$36:$F$44,3,$N49)+(G49)*Settings!$C$26*INDEX(Settings!$B$36:$F$44,4,$N49)+(H49)*Settings!$C$27*INDEX(Settings!$B$36:$F$44,5,$N49)+(I49)*Settings!$C$28*INDEX(Settings!$B$36:$F$44,6,$N49)+(J49)*Settings!$C$29*INDEX(Settings!$B$36:$F$44,7,$N49)+(O49)*Settings!$C$30*INDEX(Settings!$B$36:$F$44,8,$N49)+(P49)*Settings!$C$31*INDEX(Settings!$B$36:$F$44,9,$N49))/INDEX(Settings!$B$45:$F$45,1,$N49)/5*100*IF($M49="Not present",Settings!$B$51,1)),1)</f>
        <v>61.7</v>
      </c>
      <c r="S49" s="37" t="str">
        <f>IF($M49="Not present","Tier 4 — Watch only (absent)",IF(R49&gt;=Settings!$B$14,"Tier 1 — Always-on",IF(R49&gt;=Settings!$B$15,"Tier 2 — Seasonal/Regional",IF(R49&gt;=Settings!$B$16,"Tier 3 — Event-driven","Tier 4 — Monitor only"))))</f>
        <v>Tier 2 — Seasonal/Regional</v>
      </c>
      <c r="T49" s="55">
        <f>Feasibility!$F21</f>
        <v>79</v>
      </c>
      <c r="U49" s="37" t="str">
        <f>IF($M49="Not present","Defer — not present",IF(AND(R49&gt;=Settings!$B$49,T49&gt;=Settings!$B$50),"Do now",IF(AND(R49&gt;=Settings!$B$49,T49&lt;Settings!$B$50),"Invest to enable",IF(AND(R49&lt;Settings!$B$49,T49&gt;=Settings!$B$50),"Low-cost add-on","Defer"))))</f>
        <v>Low-cost add-on</v>
      </c>
      <c r="V49" s="12" t="str">
        <f t="shared" si="2"/>
        <v>Cheap to multiplex onto existing runs; add if capacity allows</v>
      </c>
    </row>
    <row r="50" ht="26.25" customHeight="1" spans="1:22">
      <c r="A50" s="70" t="s">
        <v>206</v>
      </c>
      <c r="B50" s="64" t="s">
        <v>207</v>
      </c>
      <c r="C50" s="64" t="s">
        <v>203</v>
      </c>
      <c r="D50" s="82">
        <f>ROUND(MIN(5,IF(Pathogens!I18&gt;=500,5,IF(Pathogens!I18&gt;=200,4,IF(Pathogens!I18&gt;=50,3,IF(Pathogens!I18&gt;=10,2,1))))*0.5+IF(Pathogens!J18&gt;=30,5,IF(Pathogens!J18&gt;=10,4,IF(Pathogens!J18&gt;=3,3,IF(Pathogens!J18&gt;=1,2,1))))*0.4+IF(AND($B$7&gt;=80,Pathogens!N18&gt;=0.5),1,0)*0.1+IF($B$10&lt;50,0.3,0)),0)</f>
        <v>3</v>
      </c>
      <c r="E50" s="82">
        <f>ROUND(MIN(5,IF(Pathogens!K18&gt;=8,5,IF(Pathogens!K18&gt;=5,4,IF(Pathogens!K18&gt;=3,3,IF(Pathogens!K18&gt;=1,2,1))))*0.5+IF(Pathogens!L18&gt;=5,5,IF(Pathogens!L18&gt;=3,4,IF(Pathogens!L18&gt;=2,3,IF(Pathogens!L18&gt;=1.2,2,1))))*0.3+IF(Pathogens!M18=1,2,0)*0.2+IF($B$13&gt;=2,0.5,0)),0)</f>
        <v>4</v>
      </c>
      <c r="F50" s="82">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c r="G50" s="82">
        <f>ROUND(MAX(1,MIN(5,(6-$B$11)*0.5+(6-$B$12)*0.4+(IF(AND(Pathogens!N18&gt;=0.5,$B$8&lt;60),5,IF(Pathogens!N18&gt;=0.5,4,IF(Pathogens!N18&gt;=0.3,3,IF(Pathogens!N18&gt;=0.1,2,1)))))*0.1)),0)</f>
        <v>2</v>
      </c>
      <c r="H50" s="82">
        <f>IF(ISNUMBER(SEARCH("Vaccine-preventable",Pathogens!C18)),2,IF(ISNUMBER(SEARCH("AMR",Pathogens!C18)),5,IF(ISNUMBER(SEARCH("VHF",Pathogens!C18)),4,IF(ISNUMBER(SEARCH("Emerging",Pathogens!C18)),5,IF(ISNUMBER(SEARCH("Mycobacterial",Pathogens!C18)),3,IF(ISNUMBER(SEARCH("Helminth",Pathogens!C18)),3,IF(ISNUMBER(SEARCH("Respiratory",Pathogens!C18)),4,3)))))))</f>
        <v>4</v>
      </c>
      <c r="I50" s="82">
        <f>IF(ISNUMBER(SEARCH("AMR",Pathogens!C18)),5,IF(ISNUMBER(SEARCH("Mycobacterial",Pathogens!C18)),4,IF(ISNUMBER(SEARCH("Enteric bacterial",Pathogens!C18)),3,IF(ISNUMBER(SEARCH("Bacterial",Pathogens!C18)),3,1))))</f>
        <v>1</v>
      </c>
      <c r="J50" s="82">
        <f t="shared" si="0"/>
        <v>3</v>
      </c>
      <c r="K50" s="83">
        <f>ROUND(((D50*Settings!$C$4)+(E50*Settings!$C$5)+(F50*Settings!$C$6)+(G50*Settings!$C$7)+(H50*Settings!$C$8)+(I50*Settings!$C$9)+(J50*Settings!$C$10))/5*100,1)</f>
        <v>59</v>
      </c>
      <c r="L50" s="84" t="str">
        <f>IF(K50&gt;=Settings!$B$14,"Tier 1 — Always-on",IF(K50&gt;=Settings!$B$15,"Tier 2 — Seasonal/Regional",IF(K50&gt;=Settings!$B$16,"Tier 3 — Event-driven","Tier 4 — Monitor only")))</f>
        <v>Tier 2 — Seasonal/Regional</v>
      </c>
      <c r="M50" s="55" t="str">
        <f>IFERROR(INDEX(Endemicity!$C$2:$BN$55,MATCH($B$3,Endemicity!$B$2:$B$55,0),MATCH($A50,Endemicity!$C$1:$BN$1,0)),"Sporadic")</f>
        <v>Endemic</v>
      </c>
      <c r="N50" s="48">
        <f>IF(Settings!$B$48="ON",IFERROR(MATCH($M50,Settings!$B$35:$F$35,0),5),5)</f>
        <v>1</v>
      </c>
      <c r="O50" s="48">
        <f>(6-Pathogens!X18)</f>
        <v>3</v>
      </c>
      <c r="P50" s="48">
        <f>ROUND(MIN(5,MAX(1,0.35*IF(Pathogens!R18=1,5,IF(Pathogens!R18=2,3,1))+0.2*IF(Pathogens!S18=1,5,IF(Pathogens!S18=2,3,1))+0.25*IF(Pathogens!W18=1,IF($B$26&gt;=3,5,IF($B$26=2,4,IF($B$26=1,2,1))),5)+0.2*IF($B$15&gt;=50,5,IF($B$15&gt;=25,4,IF($B$15&gt;=10,3,IF($B$15&gt;=5,2,1)))))),0)</f>
        <v>5</v>
      </c>
      <c r="Q50" s="37" t="str">
        <f t="shared" si="1"/>
        <v>Trend / intensity monitoring</v>
      </c>
      <c r="R50" s="37">
        <f>ROUND(MIN(100,((D50)*Settings!$C$23*INDEX(Settings!$B$36:$F$44,1,$N50)+(E50)*Settings!$C$24*INDEX(Settings!$B$36:$F$44,2,$N50)+(F50)*Settings!$C$25*INDEX(Settings!$B$36:$F$44,3,$N50)+(G50)*Settings!$C$26*INDEX(Settings!$B$36:$F$44,4,$N50)+(H50)*Settings!$C$27*INDEX(Settings!$B$36:$F$44,5,$N50)+(I50)*Settings!$C$28*INDEX(Settings!$B$36:$F$44,6,$N50)+(J50)*Settings!$C$29*INDEX(Settings!$B$36:$F$44,7,$N50)+(O50)*Settings!$C$30*INDEX(Settings!$B$36:$F$44,8,$N50)+(P50)*Settings!$C$31*INDEX(Settings!$B$36:$F$44,9,$N50))/INDEX(Settings!$B$45:$F$45,1,$N50)/5*100*IF($M50="Not present",Settings!$B$51,1)),1)</f>
        <v>65.5</v>
      </c>
      <c r="S50" s="37" t="str">
        <f>IF($M50="Not present","Tier 4 — Watch only (absent)",IF(R50&gt;=Settings!$B$14,"Tier 1 — Always-on",IF(R50&gt;=Settings!$B$15,"Tier 2 — Seasonal/Regional",IF(R50&gt;=Settings!$B$16,"Tier 3 — Event-driven","Tier 4 — Monitor only"))))</f>
        <v>Tier 2 — Seasonal/Regional</v>
      </c>
      <c r="T50" s="55">
        <f>Feasibility!$F22</f>
        <v>91</v>
      </c>
      <c r="U50" s="37" t="str">
        <f>IF($M50="Not present","Defer — not present",IF(AND(R50&gt;=Settings!$B$49,T50&gt;=Settings!$B$50),"Do now",IF(AND(R50&gt;=Settings!$B$49,T50&lt;Settings!$B$50),"Invest to enable",IF(AND(R50&lt;Settings!$B$49,T50&gt;=Settings!$B$50),"Low-cost add-on","Defer"))))</f>
        <v>Do now</v>
      </c>
      <c r="V50" s="12" t="str">
        <f t="shared" si="2"/>
        <v>Include in always-on panel; report trend vs baseline</v>
      </c>
    </row>
    <row r="51" ht="26.25" customHeight="1" spans="1:22">
      <c r="A51" s="70" t="s">
        <v>208</v>
      </c>
      <c r="B51" s="64" t="s">
        <v>209</v>
      </c>
      <c r="C51" s="64" t="s">
        <v>210</v>
      </c>
      <c r="D51" s="82">
        <f>ROUND(MIN(5,IF(Pathogens!I19&gt;=500,5,IF(Pathogens!I19&gt;=200,4,IF(Pathogens!I19&gt;=50,3,IF(Pathogens!I19&gt;=10,2,1))))*0.5+IF(Pathogens!J19&gt;=30,5,IF(Pathogens!J19&gt;=10,4,IF(Pathogens!J19&gt;=3,3,IF(Pathogens!J19&gt;=1,2,1))))*0.4+IF(AND($B$7&gt;=80,Pathogens!N19&gt;=0.5),1,0)*0.1+IF($B$10&lt;50,0.3,0)),0)</f>
        <v>3</v>
      </c>
      <c r="E51" s="82">
        <f>ROUND(MIN(5,IF(Pathogens!K19&gt;=8,5,IF(Pathogens!K19&gt;=5,4,IF(Pathogens!K19&gt;=3,3,IF(Pathogens!K19&gt;=1,2,1))))*0.5+IF(Pathogens!L19&gt;=5,5,IF(Pathogens!L19&gt;=3,4,IF(Pathogens!L19&gt;=2,3,IF(Pathogens!L19&gt;=1.2,2,1))))*0.3+IF(Pathogens!M19=1,2,0)*0.2+IF($B$13&gt;=2,0.5,0)),0)</f>
        <v>3</v>
      </c>
      <c r="F51" s="82">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c r="G51" s="82">
        <f>ROUND(MAX(1,MIN(5,(6-$B$11)*0.5+(6-$B$12)*0.4+(IF(AND(Pathogens!N19&gt;=0.5,$B$8&lt;60),5,IF(Pathogens!N19&gt;=0.5,4,IF(Pathogens!N19&gt;=0.3,3,IF(Pathogens!N19&gt;=0.1,2,1)))))*0.1)),0)</f>
        <v>2</v>
      </c>
      <c r="H51" s="82">
        <f>IF(ISNUMBER(SEARCH("Vaccine-preventable",Pathogens!C19)),2,IF(ISNUMBER(SEARCH("AMR",Pathogens!C19)),5,IF(ISNUMBER(SEARCH("VHF",Pathogens!C19)),4,IF(ISNUMBER(SEARCH("Emerging",Pathogens!C19)),5,IF(ISNUMBER(SEARCH("Mycobacterial",Pathogens!C19)),3,IF(ISNUMBER(SEARCH("Helminth",Pathogens!C19)),3,IF(ISNUMBER(SEARCH("Respiratory",Pathogens!C19)),4,3)))))))</f>
        <v>4</v>
      </c>
      <c r="I51" s="82">
        <f>IF(ISNUMBER(SEARCH("AMR",Pathogens!C19)),5,IF(ISNUMBER(SEARCH("Mycobacterial",Pathogens!C19)),4,IF(ISNUMBER(SEARCH("Enteric bacterial",Pathogens!C19)),3,IF(ISNUMBER(SEARCH("Bacterial",Pathogens!C19)),3,1))))</f>
        <v>1</v>
      </c>
      <c r="J51" s="82">
        <f t="shared" si="0"/>
        <v>3</v>
      </c>
      <c r="K51" s="83">
        <f>ROUND(((D51*Settings!$C$4)+(E51*Settings!$C$5)+(F51*Settings!$C$6)+(G51*Settings!$C$7)+(H51*Settings!$C$8)+(I51*Settings!$C$9)+(J51*Settings!$C$10))/5*100,1)</f>
        <v>58</v>
      </c>
      <c r="L51" s="84" t="str">
        <f>IF(K51&gt;=Settings!$B$14,"Tier 1 — Always-on",IF(K51&gt;=Settings!$B$15,"Tier 2 — Seasonal/Regional",IF(K51&gt;=Settings!$B$16,"Tier 3 — Event-driven","Tier 4 — Monitor only")))</f>
        <v>Tier 2 — Seasonal/Regional</v>
      </c>
      <c r="M51" s="55" t="str">
        <f>IFERROR(INDEX(Endemicity!$C$2:$BN$55,MATCH($B$3,Endemicity!$B$2:$B$55,0),MATCH($A51,Endemicity!$C$1:$BN$1,0)),"Sporadic")</f>
        <v>Emerging</v>
      </c>
      <c r="N51" s="48">
        <f>IF(Settings!$B$48="ON",IFERROR(MATCH($M51,Settings!$B$35:$F$35,0),5),5)</f>
        <v>3</v>
      </c>
      <c r="O51" s="48">
        <f>(6-Pathogens!X19)</f>
        <v>4</v>
      </c>
      <c r="P51" s="48">
        <f>ROUND(MIN(5,MAX(1,0.35*IF(Pathogens!R19=1,5,IF(Pathogens!R19=2,3,1))+0.2*IF(Pathogens!S19=1,5,IF(Pathogens!S19=2,3,1))+0.25*IF(Pathogens!W19=1,IF($B$26&gt;=3,5,IF($B$26=2,4,IF($B$26=1,2,1))),5)+0.2*IF($B$15&gt;=50,5,IF($B$15&gt;=25,4,IF($B$15&gt;=10,3,IF($B$15&gt;=5,2,1)))))),0)</f>
        <v>4</v>
      </c>
      <c r="Q51" s="37" t="str">
        <f t="shared" si="1"/>
        <v>Horizon scanning</v>
      </c>
      <c r="R51" s="37">
        <f>ROUND(MIN(100,((D51)*Settings!$C$23*INDEX(Settings!$B$36:$F$44,1,$N51)+(E51)*Settings!$C$24*INDEX(Settings!$B$36:$F$44,2,$N51)+(F51)*Settings!$C$25*INDEX(Settings!$B$36:$F$44,3,$N51)+(G51)*Settings!$C$26*INDEX(Settings!$B$36:$F$44,4,$N51)+(H51)*Settings!$C$27*INDEX(Settings!$B$36:$F$44,5,$N51)+(I51)*Settings!$C$28*INDEX(Settings!$B$36:$F$44,6,$N51)+(J51)*Settings!$C$29*INDEX(Settings!$B$36:$F$44,7,$N51)+(O51)*Settings!$C$30*INDEX(Settings!$B$36:$F$44,8,$N51)+(P51)*Settings!$C$31*INDEX(Settings!$B$36:$F$44,9,$N51))/INDEX(Settings!$B$45:$F$45,1,$N51)/5*100*IF($M51="Not present",Settings!$B$51,1)),1)</f>
        <v>67.4</v>
      </c>
      <c r="S51" s="37" t="str">
        <f>IF($M51="Not present","Tier 4 — Watch only (absent)",IF(R51&gt;=Settings!$B$14,"Tier 1 — Always-on",IF(R51&gt;=Settings!$B$15,"Tier 2 — Seasonal/Regional",IF(R51&gt;=Settings!$B$16,"Tier 3 — Event-driven","Tier 4 — Monitor only"))))</f>
        <v>Tier 2 — Seasonal/Regional</v>
      </c>
      <c r="T51" s="55">
        <f>Feasibility!$F23</f>
        <v>79</v>
      </c>
      <c r="U51" s="37" t="str">
        <f>IF($M51="Not present","Defer — not present",IF(AND(R51&gt;=Settings!$B$49,T51&gt;=Settings!$B$50),"Do now",IF(AND(R51&gt;=Settings!$B$49,T51&lt;Settings!$B$50),"Invest to enable",IF(AND(R51&lt;Settings!$B$49,T51&gt;=Settings!$B$50),"Low-cost add-on","Defer"))))</f>
        <v>Do now</v>
      </c>
      <c r="V51" s="12" t="str">
        <f t="shared" si="2"/>
        <v>Include in year-1 panel; alert on first detection</v>
      </c>
    </row>
    <row r="52" ht="26.25" customHeight="1" spans="1:22">
      <c r="A52" s="70" t="s">
        <v>211</v>
      </c>
      <c r="B52" s="64" t="s">
        <v>212</v>
      </c>
      <c r="C52" s="64" t="s">
        <v>203</v>
      </c>
      <c r="D52" s="82">
        <f>ROUND(MIN(5,IF(Pathogens!I20&gt;=500,5,IF(Pathogens!I20&gt;=200,4,IF(Pathogens!I20&gt;=50,3,IF(Pathogens!I20&gt;=10,2,1))))*0.5+IF(Pathogens!J20&gt;=30,5,IF(Pathogens!J20&gt;=10,4,IF(Pathogens!J20&gt;=3,3,IF(Pathogens!J20&gt;=1,2,1))))*0.4+IF(AND($B$7&gt;=80,Pathogens!N20&gt;=0.5),1,0)*0.1+IF($B$10&lt;50,0.3,0)),0)</f>
        <v>3</v>
      </c>
      <c r="E52" s="82">
        <f>ROUND(MIN(5,IF(Pathogens!K20&gt;=8,5,IF(Pathogens!K20&gt;=5,4,IF(Pathogens!K20&gt;=3,3,IF(Pathogens!K20&gt;=1,2,1))))*0.5+IF(Pathogens!L20&gt;=5,5,IF(Pathogens!L20&gt;=3,4,IF(Pathogens!L20&gt;=2,3,IF(Pathogens!L20&gt;=1.2,2,1))))*0.3+IF(Pathogens!M20=1,2,0)*0.2+IF($B$13&gt;=2,0.5,0)),0)</f>
        <v>4</v>
      </c>
      <c r="F52" s="82">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c r="G52" s="82">
        <f>ROUND(MAX(1,MIN(5,(6-$B$11)*0.5+(6-$B$12)*0.4+(IF(AND(Pathogens!N20&gt;=0.5,$B$8&lt;60),5,IF(Pathogens!N20&gt;=0.5,4,IF(Pathogens!N20&gt;=0.3,3,IF(Pathogens!N20&gt;=0.1,2,1)))))*0.1)),0)</f>
        <v>2</v>
      </c>
      <c r="H52" s="82">
        <f>IF(ISNUMBER(SEARCH("Vaccine-preventable",Pathogens!C20)),2,IF(ISNUMBER(SEARCH("AMR",Pathogens!C20)),5,IF(ISNUMBER(SEARCH("VHF",Pathogens!C20)),4,IF(ISNUMBER(SEARCH("Emerging",Pathogens!C20)),5,IF(ISNUMBER(SEARCH("Mycobacterial",Pathogens!C20)),3,IF(ISNUMBER(SEARCH("Helminth",Pathogens!C20)),3,IF(ISNUMBER(SEARCH("Respiratory",Pathogens!C20)),4,3)))))))</f>
        <v>4</v>
      </c>
      <c r="I52" s="82">
        <f>IF(ISNUMBER(SEARCH("AMR",Pathogens!C20)),5,IF(ISNUMBER(SEARCH("Mycobacterial",Pathogens!C20)),4,IF(ISNUMBER(SEARCH("Enteric bacterial",Pathogens!C20)),3,IF(ISNUMBER(SEARCH("Bacterial",Pathogens!C20)),3,1))))</f>
        <v>1</v>
      </c>
      <c r="J52" s="82">
        <f t="shared" si="0"/>
        <v>3</v>
      </c>
      <c r="K52" s="83">
        <f>ROUND(((D52*Settings!$C$4)+(E52*Settings!$C$5)+(F52*Settings!$C$6)+(G52*Settings!$C$7)+(H52*Settings!$C$8)+(I52*Settings!$C$9)+(J52*Settings!$C$10))/5*100,1)</f>
        <v>59</v>
      </c>
      <c r="L52" s="84" t="str">
        <f>IF(K52&gt;=Settings!$B$14,"Tier 1 — Always-on",IF(K52&gt;=Settings!$B$15,"Tier 2 — Seasonal/Regional",IF(K52&gt;=Settings!$B$16,"Tier 3 — Event-driven","Tier 4 — Monitor only")))</f>
        <v>Tier 2 — Seasonal/Regional</v>
      </c>
      <c r="M52" s="55" t="str">
        <f>IFERROR(INDEX(Endemicity!$C$2:$BN$55,MATCH($B$3,Endemicity!$B$2:$B$55,0),MATCH($A52,Endemicity!$C$1:$BN$1,0)),"Sporadic")</f>
        <v>Endemic</v>
      </c>
      <c r="N52" s="48">
        <f>IF(Settings!$B$48="ON",IFERROR(MATCH($M52,Settings!$B$35:$F$35,0),5),5)</f>
        <v>1</v>
      </c>
      <c r="O52" s="48">
        <f>(6-Pathogens!X20)</f>
        <v>4</v>
      </c>
      <c r="P52" s="48">
        <f>ROUND(MIN(5,MAX(1,0.35*IF(Pathogens!R20=1,5,IF(Pathogens!R20=2,3,1))+0.2*IF(Pathogens!S20=1,5,IF(Pathogens!S20=2,3,1))+0.25*IF(Pathogens!W20=1,IF($B$26&gt;=3,5,IF($B$26=2,4,IF($B$26=1,2,1))),5)+0.2*IF($B$15&gt;=50,5,IF($B$15&gt;=25,4,IF($B$15&gt;=10,3,IF($B$15&gt;=5,2,1)))))),0)</f>
        <v>5</v>
      </c>
      <c r="Q52" s="37" t="str">
        <f t="shared" si="1"/>
        <v>Trend / intensity monitoring</v>
      </c>
      <c r="R52" s="37">
        <f>ROUND(MIN(100,((D52)*Settings!$C$23*INDEX(Settings!$B$36:$F$44,1,$N52)+(E52)*Settings!$C$24*INDEX(Settings!$B$36:$F$44,2,$N52)+(F52)*Settings!$C$25*INDEX(Settings!$B$36:$F$44,3,$N52)+(G52)*Settings!$C$26*INDEX(Settings!$B$36:$F$44,4,$N52)+(H52)*Settings!$C$27*INDEX(Settings!$B$36:$F$44,5,$N52)+(I52)*Settings!$C$28*INDEX(Settings!$B$36:$F$44,6,$N52)+(J52)*Settings!$C$29*INDEX(Settings!$B$36:$F$44,7,$N52)+(O52)*Settings!$C$30*INDEX(Settings!$B$36:$F$44,8,$N52)+(P52)*Settings!$C$31*INDEX(Settings!$B$36:$F$44,9,$N52))/INDEX(Settings!$B$45:$F$45,1,$N52)/5*100*IF($M52="Not present",Settings!$B$51,1)),1)</f>
        <v>66.2</v>
      </c>
      <c r="S52" s="37" t="str">
        <f>IF($M52="Not present","Tier 4 — Watch only (absent)",IF(R52&gt;=Settings!$B$14,"Tier 1 — Always-on",IF(R52&gt;=Settings!$B$15,"Tier 2 — Seasonal/Regional",IF(R52&gt;=Settings!$B$16,"Tier 3 — Event-driven","Tier 4 — Monitor only"))))</f>
        <v>Tier 2 — Seasonal/Regional</v>
      </c>
      <c r="T52" s="55">
        <f>Feasibility!$F24</f>
        <v>91</v>
      </c>
      <c r="U52" s="37" t="str">
        <f>IF($M52="Not present","Defer — not present",IF(AND(R52&gt;=Settings!$B$49,T52&gt;=Settings!$B$50),"Do now",IF(AND(R52&gt;=Settings!$B$49,T52&lt;Settings!$B$50),"Invest to enable",IF(AND(R52&lt;Settings!$B$49,T52&gt;=Settings!$B$50),"Low-cost add-on","Defer"))))</f>
        <v>Do now</v>
      </c>
      <c r="V52" s="12" t="str">
        <f t="shared" si="2"/>
        <v>Include in always-on panel; report trend vs baseline</v>
      </c>
    </row>
    <row r="53" ht="26.25" customHeight="1" spans="1:22">
      <c r="A53" s="70" t="s">
        <v>213</v>
      </c>
      <c r="B53" s="64" t="s">
        <v>214</v>
      </c>
      <c r="C53" s="64" t="s">
        <v>215</v>
      </c>
      <c r="D53" s="82">
        <f>ROUND(MIN(5,IF(Pathogens!I21&gt;=500,5,IF(Pathogens!I21&gt;=200,4,IF(Pathogens!I21&gt;=50,3,IF(Pathogens!I21&gt;=10,2,1))))*0.5+IF(Pathogens!J21&gt;=30,5,IF(Pathogens!J21&gt;=10,4,IF(Pathogens!J21&gt;=3,3,IF(Pathogens!J21&gt;=1,2,1))))*0.4+IF(AND($B$7&gt;=80,Pathogens!N21&gt;=0.5),1,0)*0.1+IF($B$10&lt;50,0.3,0)),0)</f>
        <v>3</v>
      </c>
      <c r="E53" s="82">
        <f>ROUND(MIN(5,IF(Pathogens!K21&gt;=8,5,IF(Pathogens!K21&gt;=5,4,IF(Pathogens!K21&gt;=3,3,IF(Pathogens!K21&gt;=1,2,1))))*0.5+IF(Pathogens!L21&gt;=5,5,IF(Pathogens!L21&gt;=3,4,IF(Pathogens!L21&gt;=2,3,IF(Pathogens!L21&gt;=1.2,2,1))))*0.3+IF(Pathogens!M21=1,2,0)*0.2+IF($B$13&gt;=2,0.5,0)),0)</f>
        <v>4</v>
      </c>
      <c r="F53" s="82">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c r="G53" s="82">
        <f>ROUND(MAX(1,MIN(5,(6-$B$11)*0.5+(6-$B$12)*0.4+(IF(AND(Pathogens!N21&gt;=0.5,$B$8&lt;60),5,IF(Pathogens!N21&gt;=0.5,4,IF(Pathogens!N21&gt;=0.3,3,IF(Pathogens!N21&gt;=0.1,2,1)))))*0.1)),0)</f>
        <v>2</v>
      </c>
      <c r="H53" s="82">
        <f>IF(ISNUMBER(SEARCH("Vaccine-preventable",Pathogens!C21)),2,IF(ISNUMBER(SEARCH("AMR",Pathogens!C21)),5,IF(ISNUMBER(SEARCH("VHF",Pathogens!C21)),4,IF(ISNUMBER(SEARCH("Emerging",Pathogens!C21)),5,IF(ISNUMBER(SEARCH("Mycobacterial",Pathogens!C21)),3,IF(ISNUMBER(SEARCH("Helminth",Pathogens!C21)),3,IF(ISNUMBER(SEARCH("Respiratory",Pathogens!C21)),4,3)))))))</f>
        <v>4</v>
      </c>
      <c r="I53" s="82">
        <f>IF(ISNUMBER(SEARCH("AMR",Pathogens!C21)),5,IF(ISNUMBER(SEARCH("Mycobacterial",Pathogens!C21)),4,IF(ISNUMBER(SEARCH("Enteric bacterial",Pathogens!C21)),3,IF(ISNUMBER(SEARCH("Bacterial",Pathogens!C21)),3,1))))</f>
        <v>1</v>
      </c>
      <c r="J53" s="82">
        <f t="shared" si="0"/>
        <v>3</v>
      </c>
      <c r="K53" s="83">
        <f>ROUND(((D53*Settings!$C$4)+(E53*Settings!$C$5)+(F53*Settings!$C$6)+(G53*Settings!$C$7)+(H53*Settings!$C$8)+(I53*Settings!$C$9)+(J53*Settings!$C$10))/5*100,1)</f>
        <v>65</v>
      </c>
      <c r="L53" s="84" t="str">
        <f>IF(K53&gt;=Settings!$B$14,"Tier 1 — Always-on",IF(K53&gt;=Settings!$B$15,"Tier 2 — Seasonal/Regional",IF(K53&gt;=Settings!$B$16,"Tier 3 — Event-driven","Tier 4 — Monitor only")))</f>
        <v>Tier 2 — Seasonal/Regional</v>
      </c>
      <c r="M53" s="55" t="str">
        <f>IFERROR(INDEX(Endemicity!$C$2:$BN$55,MATCH($B$3,Endemicity!$B$2:$B$55,0),MATCH($A53,Endemicity!$C$1:$BN$1,0)),"Sporadic")</f>
        <v>Endemic</v>
      </c>
      <c r="N53" s="48">
        <f>IF(Settings!$B$48="ON",IFERROR(MATCH($M53,Settings!$B$35:$F$35,0),5),5)</f>
        <v>1</v>
      </c>
      <c r="O53" s="48">
        <f>(6-Pathogens!X21)</f>
        <v>5</v>
      </c>
      <c r="P53" s="48">
        <f>ROUND(MIN(5,MAX(1,0.35*IF(Pathogens!R21=1,5,IF(Pathogens!R21=2,3,1))+0.2*IF(Pathogens!S21=1,5,IF(Pathogens!S21=2,3,1))+0.25*IF(Pathogens!W21=1,IF($B$26&gt;=3,5,IF($B$26=2,4,IF($B$26=1,2,1))),5)+0.2*IF($B$15&gt;=50,5,IF($B$15&gt;=25,4,IF($B$15&gt;=10,3,IF($B$15&gt;=5,2,1)))))),0)</f>
        <v>5</v>
      </c>
      <c r="Q53" s="37" t="str">
        <f t="shared" si="1"/>
        <v>Trend / intensity monitoring</v>
      </c>
      <c r="R53" s="37">
        <f>ROUND(MIN(100,((D53)*Settings!$C$23*INDEX(Settings!$B$36:$F$44,1,$N53)+(E53)*Settings!$C$24*INDEX(Settings!$B$36:$F$44,2,$N53)+(F53)*Settings!$C$25*INDEX(Settings!$B$36:$F$44,3,$N53)+(G53)*Settings!$C$26*INDEX(Settings!$B$36:$F$44,4,$N53)+(H53)*Settings!$C$27*INDEX(Settings!$B$36:$F$44,5,$N53)+(I53)*Settings!$C$28*INDEX(Settings!$B$36:$F$44,6,$N53)+(J53)*Settings!$C$29*INDEX(Settings!$B$36:$F$44,7,$N53)+(O53)*Settings!$C$30*INDEX(Settings!$B$36:$F$44,8,$N53)+(P53)*Settings!$C$31*INDEX(Settings!$B$36:$F$44,9,$N53))/INDEX(Settings!$B$45:$F$45,1,$N53)/5*100*IF($M53="Not present",Settings!$B$51,1)),1)</f>
        <v>73.6</v>
      </c>
      <c r="S53" s="37" t="str">
        <f>IF($M53="Not present","Tier 4 — Watch only (absent)",IF(R53&gt;=Settings!$B$14,"Tier 1 — Always-on",IF(R53&gt;=Settings!$B$15,"Tier 2 — Seasonal/Regional",IF(R53&gt;=Settings!$B$16,"Tier 3 — Event-driven","Tier 4 — Monitor only"))))</f>
        <v>Tier 1 — Always-on</v>
      </c>
      <c r="T53" s="55">
        <f>Feasibility!$F25</f>
        <v>91</v>
      </c>
      <c r="U53" s="37" t="str">
        <f>IF($M53="Not present","Defer — not present",IF(AND(R53&gt;=Settings!$B$49,T53&gt;=Settings!$B$50),"Do now",IF(AND(R53&gt;=Settings!$B$49,T53&lt;Settings!$B$50),"Invest to enable",IF(AND(R53&lt;Settings!$B$49,T53&gt;=Settings!$B$50),"Low-cost add-on","Defer"))))</f>
        <v>Do now</v>
      </c>
      <c r="V53" s="12" t="str">
        <f t="shared" si="2"/>
        <v>Include in always-on panel; report trend vs baseline</v>
      </c>
    </row>
    <row r="54" ht="26.25" customHeight="1" spans="1:22">
      <c r="A54" s="70" t="s">
        <v>216</v>
      </c>
      <c r="B54" s="64" t="s">
        <v>217</v>
      </c>
      <c r="C54" s="64" t="s">
        <v>218</v>
      </c>
      <c r="D54" s="82">
        <f>ROUND(MIN(5,IF(Pathogens!I22&gt;=500,5,IF(Pathogens!I22&gt;=200,4,IF(Pathogens!I22&gt;=50,3,IF(Pathogens!I22&gt;=10,2,1))))*0.5+IF(Pathogens!J22&gt;=30,5,IF(Pathogens!J22&gt;=10,4,IF(Pathogens!J22&gt;=3,3,IF(Pathogens!J22&gt;=1,2,1))))*0.4+IF(AND($B$7&gt;=80,Pathogens!N22&gt;=0.5),1,0)*0.1+IF($B$10&lt;50,0.3,0)),0)</f>
        <v>3</v>
      </c>
      <c r="E54" s="82">
        <f>ROUND(MIN(5,IF(Pathogens!K22&gt;=8,5,IF(Pathogens!K22&gt;=5,4,IF(Pathogens!K22&gt;=3,3,IF(Pathogens!K22&gt;=1,2,1))))*0.5+IF(Pathogens!L22&gt;=5,5,IF(Pathogens!L22&gt;=3,4,IF(Pathogens!L22&gt;=2,3,IF(Pathogens!L22&gt;=1.2,2,1))))*0.3+IF(Pathogens!M22=1,2,0)*0.2+IF($B$13&gt;=2,0.5,0)),0)</f>
        <v>2</v>
      </c>
      <c r="F54" s="82">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c r="G54" s="82">
        <f>ROUND(MAX(1,MIN(5,(6-$B$11)*0.5+(6-$B$12)*0.4+(IF(AND(Pathogens!N22&gt;=0.5,$B$8&lt;60),5,IF(Pathogens!N22&gt;=0.5,4,IF(Pathogens!N22&gt;=0.3,3,IF(Pathogens!N22&gt;=0.1,2,1)))))*0.1)),0)</f>
        <v>2</v>
      </c>
      <c r="H54" s="82">
        <f>IF(ISNUMBER(SEARCH("Vaccine-preventable",Pathogens!C22)),2,IF(ISNUMBER(SEARCH("AMR",Pathogens!C22)),5,IF(ISNUMBER(SEARCH("VHF",Pathogens!C22)),4,IF(ISNUMBER(SEARCH("Emerging",Pathogens!C22)),5,IF(ISNUMBER(SEARCH("Mycobacterial",Pathogens!C22)),3,IF(ISNUMBER(SEARCH("Helminth",Pathogens!C22)),3,IF(ISNUMBER(SEARCH("Respiratory",Pathogens!C22)),4,3)))))))</f>
        <v>5</v>
      </c>
      <c r="I54" s="82">
        <f>IF(ISNUMBER(SEARCH("AMR",Pathogens!C22)),5,IF(ISNUMBER(SEARCH("Mycobacterial",Pathogens!C22)),4,IF(ISNUMBER(SEARCH("Enteric bacterial",Pathogens!C22)),3,IF(ISNUMBER(SEARCH("Bacterial",Pathogens!C22)),3,1))))</f>
        <v>1</v>
      </c>
      <c r="J54" s="82">
        <f t="shared" si="0"/>
        <v>3</v>
      </c>
      <c r="K54" s="83">
        <f>ROUND(((D54*Settings!$C$4)+(E54*Settings!$C$5)+(F54*Settings!$C$6)+(G54*Settings!$C$7)+(H54*Settings!$C$8)+(I54*Settings!$C$9)+(J54*Settings!$C$10))/5*100,1)</f>
        <v>53</v>
      </c>
      <c r="L54" s="84" t="str">
        <f>IF(K54&gt;=Settings!$B$14,"Tier 1 — Always-on",IF(K54&gt;=Settings!$B$15,"Tier 2 — Seasonal/Regional",IF(K54&gt;=Settings!$B$16,"Tier 3 — Event-driven","Tier 4 — Monitor only")))</f>
        <v>Tier 2 — Seasonal/Regional</v>
      </c>
      <c r="M54" s="55" t="str">
        <f>IFERROR(INDEX(Endemicity!$C$2:$BN$55,MATCH($B$3,Endemicity!$B$2:$B$55,0),MATCH($A54,Endemicity!$C$1:$BN$1,0)),"Sporadic")</f>
        <v>Not present</v>
      </c>
      <c r="N54" s="48">
        <f>IF(Settings!$B$48="ON",IFERROR(MATCH($M54,Settings!$B$35:$F$35,0),5),5)</f>
        <v>4</v>
      </c>
      <c r="O54" s="48">
        <f>(6-Pathogens!X22)</f>
        <v>5</v>
      </c>
      <c r="P54" s="48">
        <f>ROUND(MIN(5,MAX(1,0.35*IF(Pathogens!R22=1,5,IF(Pathogens!R22=2,3,1))+0.2*IF(Pathogens!S22=1,5,IF(Pathogens!S22=2,3,1))+0.25*IF(Pathogens!W22=1,IF($B$26&gt;=3,5,IF($B$26=2,4,IF($B$26=1,2,1))),5)+0.2*IF($B$15&gt;=50,5,IF($B$15&gt;=25,4,IF($B$15&gt;=10,3,IF($B$15&gt;=5,2,1)))))),0)</f>
        <v>3</v>
      </c>
      <c r="Q54" s="37" t="str">
        <f t="shared" si="1"/>
        <v>Watch only — not present</v>
      </c>
      <c r="R54" s="37">
        <f>ROUND(MIN(100,((D54)*Settings!$C$23*INDEX(Settings!$B$36:$F$44,1,$N54)+(E54)*Settings!$C$24*INDEX(Settings!$B$36:$F$44,2,$N54)+(F54)*Settings!$C$25*INDEX(Settings!$B$36:$F$44,3,$N54)+(G54)*Settings!$C$26*INDEX(Settings!$B$36:$F$44,4,$N54)+(H54)*Settings!$C$27*INDEX(Settings!$B$36:$F$44,5,$N54)+(I54)*Settings!$C$28*INDEX(Settings!$B$36:$F$44,6,$N54)+(J54)*Settings!$C$29*INDEX(Settings!$B$36:$F$44,7,$N54)+(O54)*Settings!$C$30*INDEX(Settings!$B$36:$F$44,8,$N54)+(P54)*Settings!$C$31*INDEX(Settings!$B$36:$F$44,9,$N54))/INDEX(Settings!$B$45:$F$45,1,$N54)/5*100*IF($M54="Not present",Settings!$B$51,1)),1)</f>
        <v>20.7</v>
      </c>
      <c r="S54" s="37" t="str">
        <f>IF($M54="Not present","Tier 4 — Watch only (absent)",IF(R54&gt;=Settings!$B$14,"Tier 1 — Always-on",IF(R54&gt;=Settings!$B$15,"Tier 2 — Seasonal/Regional",IF(R54&gt;=Settings!$B$16,"Tier 3 — Event-driven","Tier 4 — Monitor only"))))</f>
        <v>Tier 4 — Watch only (absent)</v>
      </c>
      <c r="T54" s="55">
        <f>Feasibility!$F26</f>
        <v>67</v>
      </c>
      <c r="U54" s="37" t="str">
        <f>IF($M54="Not present","Defer — not present",IF(AND(R54&gt;=Settings!$B$49,T54&gt;=Settings!$B$50),"Do now",IF(AND(R54&gt;=Settings!$B$49,T54&lt;Settings!$B$50),"Invest to enable",IF(AND(R54&lt;Settings!$B$49,T54&gt;=Settings!$B$50),"Low-cost add-on","Defer"))))</f>
        <v>Defer — not present</v>
      </c>
      <c r="V54" s="12" t="str">
        <f t="shared" si="2"/>
        <v>Defer to a later phase or event-driven testing only</v>
      </c>
    </row>
    <row r="55" ht="26.25" customHeight="1" spans="1:22">
      <c r="A55" s="70" t="s">
        <v>219</v>
      </c>
      <c r="B55" s="64" t="s">
        <v>220</v>
      </c>
      <c r="C55" s="64" t="s">
        <v>221</v>
      </c>
      <c r="D55" s="82">
        <f>ROUND(MIN(5,IF(Pathogens!I23&gt;=500,5,IF(Pathogens!I23&gt;=200,4,IF(Pathogens!I23&gt;=50,3,IF(Pathogens!I23&gt;=10,2,1))))*0.5+IF(Pathogens!J23&gt;=30,5,IF(Pathogens!J23&gt;=10,4,IF(Pathogens!J23&gt;=3,3,IF(Pathogens!J23&gt;=1,2,1))))*0.4+IF(AND($B$7&gt;=80,Pathogens!N23&gt;=0.5),1,0)*0.1+IF($B$10&lt;50,0.3,0)),0)</f>
        <v>2</v>
      </c>
      <c r="E55" s="82">
        <f>ROUND(MIN(5,IF(Pathogens!K23&gt;=8,5,IF(Pathogens!K23&gt;=5,4,IF(Pathogens!K23&gt;=3,3,IF(Pathogens!K23&gt;=1,2,1))))*0.5+IF(Pathogens!L23&gt;=5,5,IF(Pathogens!L23&gt;=3,4,IF(Pathogens!L23&gt;=2,3,IF(Pathogens!L23&gt;=1.2,2,1))))*0.3+IF(Pathogens!M23=1,2,0)*0.2+IF($B$13&gt;=2,0.5,0)),0)</f>
        <v>4</v>
      </c>
      <c r="F55" s="82">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c r="G55" s="82">
        <f>ROUND(MAX(1,MIN(5,(6-$B$11)*0.5+(6-$B$12)*0.4+(IF(AND(Pathogens!N23&gt;=0.5,$B$8&lt;60),5,IF(Pathogens!N23&gt;=0.5,4,IF(Pathogens!N23&gt;=0.3,3,IF(Pathogens!N23&gt;=0.1,2,1)))))*0.1)),0)</f>
        <v>2</v>
      </c>
      <c r="H55" s="82">
        <f>IF(ISNUMBER(SEARCH("Vaccine-preventable",Pathogens!C23)),2,IF(ISNUMBER(SEARCH("AMR",Pathogens!C23)),5,IF(ISNUMBER(SEARCH("VHF",Pathogens!C23)),4,IF(ISNUMBER(SEARCH("Emerging",Pathogens!C23)),5,IF(ISNUMBER(SEARCH("Mycobacterial",Pathogens!C23)),3,IF(ISNUMBER(SEARCH("Helminth",Pathogens!C23)),3,IF(ISNUMBER(SEARCH("Respiratory",Pathogens!C23)),4,3)))))))</f>
        <v>3</v>
      </c>
      <c r="I55" s="82">
        <f>IF(ISNUMBER(SEARCH("AMR",Pathogens!C23)),5,IF(ISNUMBER(SEARCH("Mycobacterial",Pathogens!C23)),4,IF(ISNUMBER(SEARCH("Enteric bacterial",Pathogens!C23)),3,IF(ISNUMBER(SEARCH("Bacterial",Pathogens!C23)),3,1))))</f>
        <v>1</v>
      </c>
      <c r="J55" s="82">
        <f t="shared" si="0"/>
        <v>3</v>
      </c>
      <c r="K55" s="83">
        <f>ROUND(((D55*Settings!$C$4)+(E55*Settings!$C$5)+(F55*Settings!$C$6)+(G55*Settings!$C$7)+(H55*Settings!$C$8)+(I55*Settings!$C$9)+(J55*Settings!$C$10))/5*100,1)</f>
        <v>59</v>
      </c>
      <c r="L55" s="84" t="str">
        <f>IF(K55&gt;=Settings!$B$14,"Tier 1 — Always-on",IF(K55&gt;=Settings!$B$15,"Tier 2 — Seasonal/Regional",IF(K55&gt;=Settings!$B$16,"Tier 3 — Event-driven","Tier 4 — Monitor only")))</f>
        <v>Tier 2 — Seasonal/Regional</v>
      </c>
      <c r="M55" s="55" t="str">
        <f>IFERROR(INDEX(Endemicity!$C$2:$BN$55,MATCH($B$3,Endemicity!$B$2:$B$55,0),MATCH($A55,Endemicity!$C$1:$BN$1,0)),"Sporadic")</f>
        <v>Endemic</v>
      </c>
      <c r="N55" s="48">
        <f>IF(Settings!$B$48="ON",IFERROR(MATCH($M55,Settings!$B$35:$F$35,0),5),5)</f>
        <v>1</v>
      </c>
      <c r="O55" s="48">
        <f>(6-Pathogens!X23)</f>
        <v>4</v>
      </c>
      <c r="P55" s="48">
        <f>ROUND(MIN(5,MAX(1,0.35*IF(Pathogens!R23=1,5,IF(Pathogens!R23=2,3,1))+0.2*IF(Pathogens!S23=1,5,IF(Pathogens!S23=2,3,1))+0.25*IF(Pathogens!W23=1,IF($B$26&gt;=3,5,IF($B$26=2,4,IF($B$26=1,2,1))),5)+0.2*IF($B$15&gt;=50,5,IF($B$15&gt;=25,4,IF($B$15&gt;=10,3,IF($B$15&gt;=5,2,1)))))),0)</f>
        <v>5</v>
      </c>
      <c r="Q55" s="37" t="str">
        <f t="shared" si="1"/>
        <v>Trend / intensity monitoring</v>
      </c>
      <c r="R55" s="37">
        <f>ROUND(MIN(100,((D55)*Settings!$C$23*INDEX(Settings!$B$36:$F$44,1,$N55)+(E55)*Settings!$C$24*INDEX(Settings!$B$36:$F$44,2,$N55)+(F55)*Settings!$C$25*INDEX(Settings!$B$36:$F$44,3,$N55)+(G55)*Settings!$C$26*INDEX(Settings!$B$36:$F$44,4,$N55)+(H55)*Settings!$C$27*INDEX(Settings!$B$36:$F$44,5,$N55)+(I55)*Settings!$C$28*INDEX(Settings!$B$36:$F$44,6,$N55)+(J55)*Settings!$C$29*INDEX(Settings!$B$36:$F$44,7,$N55)+(O55)*Settings!$C$30*INDEX(Settings!$B$36:$F$44,8,$N55)+(P55)*Settings!$C$31*INDEX(Settings!$B$36:$F$44,9,$N55))/INDEX(Settings!$B$45:$F$45,1,$N55)/5*100*IF($M55="Not present",Settings!$B$51,1)),1)</f>
        <v>66.3</v>
      </c>
      <c r="S55" s="37" t="str">
        <f>IF($M55="Not present","Tier 4 — Watch only (absent)",IF(R55&gt;=Settings!$B$14,"Tier 1 — Always-on",IF(R55&gt;=Settings!$B$15,"Tier 2 — Seasonal/Regional",IF(R55&gt;=Settings!$B$16,"Tier 3 — Event-driven","Tier 4 — Monitor only"))))</f>
        <v>Tier 2 — Seasonal/Regional</v>
      </c>
      <c r="T55" s="55">
        <f>Feasibility!$F27</f>
        <v>91</v>
      </c>
      <c r="U55" s="37" t="str">
        <f>IF($M55="Not present","Defer — not present",IF(AND(R55&gt;=Settings!$B$49,T55&gt;=Settings!$B$50),"Do now",IF(AND(R55&gt;=Settings!$B$49,T55&lt;Settings!$B$50),"Invest to enable",IF(AND(R55&lt;Settings!$B$49,T55&gt;=Settings!$B$50),"Low-cost add-on","Defer"))))</f>
        <v>Do now</v>
      </c>
      <c r="V55" s="12" t="str">
        <f t="shared" si="2"/>
        <v>Include in always-on panel; report trend vs baseline</v>
      </c>
    </row>
    <row r="56" ht="26.25" customHeight="1" spans="1:22">
      <c r="A56" s="70" t="s">
        <v>222</v>
      </c>
      <c r="B56" s="64" t="s">
        <v>223</v>
      </c>
      <c r="C56" s="64" t="s">
        <v>221</v>
      </c>
      <c r="D56" s="82">
        <f>ROUND(MIN(5,IF(Pathogens!I24&gt;=500,5,IF(Pathogens!I24&gt;=200,4,IF(Pathogens!I24&gt;=50,3,IF(Pathogens!I24&gt;=10,2,1))))*0.5+IF(Pathogens!J24&gt;=30,5,IF(Pathogens!J24&gt;=10,4,IF(Pathogens!J24&gt;=3,3,IF(Pathogens!J24&gt;=1,2,1))))*0.4+IF(AND($B$7&gt;=80,Pathogens!N24&gt;=0.5),1,0)*0.1+IF($B$10&lt;50,0.3,0)),0)</f>
        <v>3</v>
      </c>
      <c r="E56" s="82">
        <f>ROUND(MIN(5,IF(Pathogens!K24&gt;=8,5,IF(Pathogens!K24&gt;=5,4,IF(Pathogens!K24&gt;=3,3,IF(Pathogens!K24&gt;=1,2,1))))*0.5+IF(Pathogens!L24&gt;=5,5,IF(Pathogens!L24&gt;=3,4,IF(Pathogens!L24&gt;=2,3,IF(Pathogens!L24&gt;=1.2,2,1))))*0.3+IF(Pathogens!M24=1,2,0)*0.2+IF($B$13&gt;=2,0.5,0)),0)</f>
        <v>3</v>
      </c>
      <c r="F56" s="82">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c r="G56" s="82">
        <f>ROUND(MAX(1,MIN(5,(6-$B$11)*0.5+(6-$B$12)*0.4+(IF(AND(Pathogens!N24&gt;=0.5,$B$8&lt;60),5,IF(Pathogens!N24&gt;=0.5,4,IF(Pathogens!N24&gt;=0.3,3,IF(Pathogens!N24&gt;=0.1,2,1)))))*0.1)),0)</f>
        <v>2</v>
      </c>
      <c r="H56" s="82">
        <f>IF(ISNUMBER(SEARCH("Vaccine-preventable",Pathogens!C24)),2,IF(ISNUMBER(SEARCH("AMR",Pathogens!C24)),5,IF(ISNUMBER(SEARCH("VHF",Pathogens!C24)),4,IF(ISNUMBER(SEARCH("Emerging",Pathogens!C24)),5,IF(ISNUMBER(SEARCH("Mycobacterial",Pathogens!C24)),3,IF(ISNUMBER(SEARCH("Helminth",Pathogens!C24)),3,IF(ISNUMBER(SEARCH("Respiratory",Pathogens!C24)),4,3)))))))</f>
        <v>3</v>
      </c>
      <c r="I56" s="82">
        <f>IF(ISNUMBER(SEARCH("AMR",Pathogens!C24)),5,IF(ISNUMBER(SEARCH("Mycobacterial",Pathogens!C24)),4,IF(ISNUMBER(SEARCH("Enteric bacterial",Pathogens!C24)),3,IF(ISNUMBER(SEARCH("Bacterial",Pathogens!C24)),3,1))))</f>
        <v>1</v>
      </c>
      <c r="J56" s="82">
        <f t="shared" si="0"/>
        <v>3</v>
      </c>
      <c r="K56" s="83">
        <f>ROUND(((D56*Settings!$C$4)+(E56*Settings!$C$5)+(F56*Settings!$C$6)+(G56*Settings!$C$7)+(H56*Settings!$C$8)+(I56*Settings!$C$9)+(J56*Settings!$C$10))/5*100,1)</f>
        <v>59</v>
      </c>
      <c r="L56" s="84" t="str">
        <f>IF(K56&gt;=Settings!$B$14,"Tier 1 — Always-on",IF(K56&gt;=Settings!$B$15,"Tier 2 — Seasonal/Regional",IF(K56&gt;=Settings!$B$16,"Tier 3 — Event-driven","Tier 4 — Monitor only")))</f>
        <v>Tier 2 — Seasonal/Regional</v>
      </c>
      <c r="M56" s="55" t="str">
        <f>IFERROR(INDEX(Endemicity!$C$2:$BN$55,MATCH($B$3,Endemicity!$B$2:$B$55,0),MATCH($A56,Endemicity!$C$1:$BN$1,0)),"Sporadic")</f>
        <v>Endemic</v>
      </c>
      <c r="N56" s="48">
        <f>IF(Settings!$B$48="ON",IFERROR(MATCH($M56,Settings!$B$35:$F$35,0),5),5)</f>
        <v>1</v>
      </c>
      <c r="O56" s="48">
        <f>(6-Pathogens!X24)</f>
        <v>5</v>
      </c>
      <c r="P56" s="48">
        <f>ROUND(MIN(5,MAX(1,0.35*IF(Pathogens!R24=1,5,IF(Pathogens!R24=2,3,1))+0.2*IF(Pathogens!S24=1,5,IF(Pathogens!S24=2,3,1))+0.25*IF(Pathogens!W24=1,IF($B$26&gt;=3,5,IF($B$26=2,4,IF($B$26=1,2,1))),5)+0.2*IF($B$15&gt;=50,5,IF($B$15&gt;=25,4,IF($B$15&gt;=10,3,IF($B$15&gt;=5,2,1)))))),0)</f>
        <v>4</v>
      </c>
      <c r="Q56" s="37" t="str">
        <f t="shared" si="1"/>
        <v>Trend / intensity monitoring</v>
      </c>
      <c r="R56" s="37">
        <f>ROUND(MIN(100,((D56)*Settings!$C$23*INDEX(Settings!$B$36:$F$44,1,$N56)+(E56)*Settings!$C$24*INDEX(Settings!$B$36:$F$44,2,$N56)+(F56)*Settings!$C$25*INDEX(Settings!$B$36:$F$44,3,$N56)+(G56)*Settings!$C$26*INDEX(Settings!$B$36:$F$44,4,$N56)+(H56)*Settings!$C$27*INDEX(Settings!$B$36:$F$44,5,$N56)+(I56)*Settings!$C$28*INDEX(Settings!$B$36:$F$44,6,$N56)+(J56)*Settings!$C$29*INDEX(Settings!$B$36:$F$44,7,$N56)+(O56)*Settings!$C$30*INDEX(Settings!$B$36:$F$44,8,$N56)+(P56)*Settings!$C$31*INDEX(Settings!$B$36:$F$44,9,$N56))/INDEX(Settings!$B$45:$F$45,1,$N56)/5*100*IF($M56="Not present",Settings!$B$51,1)),1)</f>
        <v>66.6</v>
      </c>
      <c r="S56" s="37" t="str">
        <f>IF($M56="Not present","Tier 4 — Watch only (absent)",IF(R56&gt;=Settings!$B$14,"Tier 1 — Always-on",IF(R56&gt;=Settings!$B$15,"Tier 2 — Seasonal/Regional",IF(R56&gt;=Settings!$B$16,"Tier 3 — Event-driven","Tier 4 — Monitor only"))))</f>
        <v>Tier 2 — Seasonal/Regional</v>
      </c>
      <c r="T56" s="55">
        <f>Feasibility!$F28</f>
        <v>79</v>
      </c>
      <c r="U56" s="37" t="str">
        <f>IF($M56="Not present","Defer — not present",IF(AND(R56&gt;=Settings!$B$49,T56&gt;=Settings!$B$50),"Do now",IF(AND(R56&gt;=Settings!$B$49,T56&lt;Settings!$B$50),"Invest to enable",IF(AND(R56&lt;Settings!$B$49,T56&gt;=Settings!$B$50),"Low-cost add-on","Defer"))))</f>
        <v>Do now</v>
      </c>
      <c r="V56" s="12" t="str">
        <f t="shared" si="2"/>
        <v>Include in always-on panel; report trend vs baseline</v>
      </c>
    </row>
    <row r="57" ht="26.25" customHeight="1" spans="1:22">
      <c r="A57" s="70" t="s">
        <v>224</v>
      </c>
      <c r="B57" s="64" t="s">
        <v>225</v>
      </c>
      <c r="C57" s="64" t="s">
        <v>221</v>
      </c>
      <c r="D57" s="82">
        <f>ROUND(MIN(5,IF(Pathogens!I25&gt;=500,5,IF(Pathogens!I25&gt;=200,4,IF(Pathogens!I25&gt;=50,3,IF(Pathogens!I25&gt;=10,2,1))))*0.5+IF(Pathogens!J25&gt;=30,5,IF(Pathogens!J25&gt;=10,4,IF(Pathogens!J25&gt;=3,3,IF(Pathogens!J25&gt;=1,2,1))))*0.4+IF(AND($B$7&gt;=80,Pathogens!N25&gt;=0.5),1,0)*0.1+IF($B$10&lt;50,0.3,0)),0)</f>
        <v>3</v>
      </c>
      <c r="E57" s="82">
        <f>ROUND(MIN(5,IF(Pathogens!K25&gt;=8,5,IF(Pathogens!K25&gt;=5,4,IF(Pathogens!K25&gt;=3,3,IF(Pathogens!K25&gt;=1,2,1))))*0.5+IF(Pathogens!L25&gt;=5,5,IF(Pathogens!L25&gt;=3,4,IF(Pathogens!L25&gt;=2,3,IF(Pathogens!L25&gt;=1.2,2,1))))*0.3+IF(Pathogens!M25=1,2,0)*0.2+IF($B$13&gt;=2,0.5,0)),0)</f>
        <v>4</v>
      </c>
      <c r="F57" s="82">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c r="G57" s="82">
        <f>ROUND(MAX(1,MIN(5,(6-$B$11)*0.5+(6-$B$12)*0.4+(IF(AND(Pathogens!N25&gt;=0.5,$B$8&lt;60),5,IF(Pathogens!N25&gt;=0.5,4,IF(Pathogens!N25&gt;=0.3,3,IF(Pathogens!N25&gt;=0.1,2,1)))))*0.1)),0)</f>
        <v>2</v>
      </c>
      <c r="H57" s="82">
        <f>IF(ISNUMBER(SEARCH("Vaccine-preventable",Pathogens!C25)),2,IF(ISNUMBER(SEARCH("AMR",Pathogens!C25)),5,IF(ISNUMBER(SEARCH("VHF",Pathogens!C25)),4,IF(ISNUMBER(SEARCH("Emerging",Pathogens!C25)),5,IF(ISNUMBER(SEARCH("Mycobacterial",Pathogens!C25)),3,IF(ISNUMBER(SEARCH("Helminth",Pathogens!C25)),3,IF(ISNUMBER(SEARCH("Respiratory",Pathogens!C25)),4,3)))))))</f>
        <v>3</v>
      </c>
      <c r="I57" s="82">
        <f>IF(ISNUMBER(SEARCH("AMR",Pathogens!C25)),5,IF(ISNUMBER(SEARCH("Mycobacterial",Pathogens!C25)),4,IF(ISNUMBER(SEARCH("Enteric bacterial",Pathogens!C25)),3,IF(ISNUMBER(SEARCH("Bacterial",Pathogens!C25)),3,1))))</f>
        <v>1</v>
      </c>
      <c r="J57" s="82">
        <f t="shared" si="0"/>
        <v>3</v>
      </c>
      <c r="K57" s="83">
        <f>ROUND(((D57*Settings!$C$4)+(E57*Settings!$C$5)+(F57*Settings!$C$6)+(G57*Settings!$C$7)+(H57*Settings!$C$8)+(I57*Settings!$C$9)+(J57*Settings!$C$10))/5*100,1)</f>
        <v>60</v>
      </c>
      <c r="L57" s="84" t="str">
        <f>IF(K57&gt;=Settings!$B$14,"Tier 1 — Always-on",IF(K57&gt;=Settings!$B$15,"Tier 2 — Seasonal/Regional",IF(K57&gt;=Settings!$B$16,"Tier 3 — Event-driven","Tier 4 — Monitor only")))</f>
        <v>Tier 2 — Seasonal/Regional</v>
      </c>
      <c r="M57" s="55" t="str">
        <f>IFERROR(INDEX(Endemicity!$C$2:$BN$55,MATCH($B$3,Endemicity!$B$2:$B$55,0),MATCH($A57,Endemicity!$C$1:$BN$1,0)),"Sporadic")</f>
        <v>Endemic</v>
      </c>
      <c r="N57" s="48">
        <f>IF(Settings!$B$48="ON",IFERROR(MATCH($M57,Settings!$B$35:$F$35,0),5),5)</f>
        <v>1</v>
      </c>
      <c r="O57" s="48">
        <f>(6-Pathogens!X25)</f>
        <v>5</v>
      </c>
      <c r="P57" s="48">
        <f>ROUND(MIN(5,MAX(1,0.35*IF(Pathogens!R25=1,5,IF(Pathogens!R25=2,3,1))+0.2*IF(Pathogens!S25=1,5,IF(Pathogens!S25=2,3,1))+0.25*IF(Pathogens!W25=1,IF($B$26&gt;=3,5,IF($B$26=2,4,IF($B$26=1,2,1))),5)+0.2*IF($B$15&gt;=50,5,IF($B$15&gt;=25,4,IF($B$15&gt;=10,3,IF($B$15&gt;=5,2,1)))))),0)</f>
        <v>5</v>
      </c>
      <c r="Q57" s="37" t="str">
        <f t="shared" si="1"/>
        <v>Trend / intensity monitoring</v>
      </c>
      <c r="R57" s="37">
        <f>ROUND(MIN(100,((D57)*Settings!$C$23*INDEX(Settings!$B$36:$F$44,1,$N57)+(E57)*Settings!$C$24*INDEX(Settings!$B$36:$F$44,2,$N57)+(F57)*Settings!$C$25*INDEX(Settings!$B$36:$F$44,3,$N57)+(G57)*Settings!$C$26*INDEX(Settings!$B$36:$F$44,4,$N57)+(H57)*Settings!$C$27*INDEX(Settings!$B$36:$F$44,5,$N57)+(I57)*Settings!$C$28*INDEX(Settings!$B$36:$F$44,6,$N57)+(J57)*Settings!$C$29*INDEX(Settings!$B$36:$F$44,7,$N57)+(O57)*Settings!$C$30*INDEX(Settings!$B$36:$F$44,8,$N57)+(P57)*Settings!$C$31*INDEX(Settings!$B$36:$F$44,9,$N57))/INDEX(Settings!$B$45:$F$45,1,$N57)/5*100*IF($M57="Not present",Settings!$B$51,1)),1)</f>
        <v>67.9</v>
      </c>
      <c r="S57" s="37" t="str">
        <f>IF($M57="Not present","Tier 4 — Watch only (absent)",IF(R57&gt;=Settings!$B$14,"Tier 1 — Always-on",IF(R57&gt;=Settings!$B$15,"Tier 2 — Seasonal/Regional",IF(R57&gt;=Settings!$B$16,"Tier 3 — Event-driven","Tier 4 — Monitor only"))))</f>
        <v>Tier 2 — Seasonal/Regional</v>
      </c>
      <c r="T57" s="55">
        <f>Feasibility!$F29</f>
        <v>91</v>
      </c>
      <c r="U57" s="37" t="str">
        <f>IF($M57="Not present","Defer — not present",IF(AND(R57&gt;=Settings!$B$49,T57&gt;=Settings!$B$50),"Do now",IF(AND(R57&gt;=Settings!$B$49,T57&lt;Settings!$B$50),"Invest to enable",IF(AND(R57&lt;Settings!$B$49,T57&gt;=Settings!$B$50),"Low-cost add-on","Defer"))))</f>
        <v>Do now</v>
      </c>
      <c r="V57" s="12" t="str">
        <f t="shared" si="2"/>
        <v>Include in always-on panel; report trend vs baseline</v>
      </c>
    </row>
    <row r="58" ht="26.25" customHeight="1" spans="1:22">
      <c r="A58" s="70" t="s">
        <v>226</v>
      </c>
      <c r="B58" s="64" t="s">
        <v>227</v>
      </c>
      <c r="C58" s="64" t="s">
        <v>221</v>
      </c>
      <c r="D58" s="82">
        <f>ROUND(MIN(5,IF(Pathogens!I26&gt;=500,5,IF(Pathogens!I26&gt;=200,4,IF(Pathogens!I26&gt;=50,3,IF(Pathogens!I26&gt;=10,2,1))))*0.5+IF(Pathogens!J26&gt;=30,5,IF(Pathogens!J26&gt;=10,4,IF(Pathogens!J26&gt;=3,3,IF(Pathogens!J26&gt;=1,2,1))))*0.4+IF(AND($B$7&gt;=80,Pathogens!N26&gt;=0.5),1,0)*0.1+IF($B$10&lt;50,0.3,0)),0)</f>
        <v>3</v>
      </c>
      <c r="E58" s="82">
        <f>ROUND(MIN(5,IF(Pathogens!K26&gt;=8,5,IF(Pathogens!K26&gt;=5,4,IF(Pathogens!K26&gt;=3,3,IF(Pathogens!K26&gt;=1,2,1))))*0.5+IF(Pathogens!L26&gt;=5,5,IF(Pathogens!L26&gt;=3,4,IF(Pathogens!L26&gt;=2,3,IF(Pathogens!L26&gt;=1.2,2,1))))*0.3+IF(Pathogens!M26=1,2,0)*0.2+IF($B$13&gt;=2,0.5,0)),0)</f>
        <v>4</v>
      </c>
      <c r="F58" s="82">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c r="G58" s="82">
        <f>ROUND(MAX(1,MIN(5,(6-$B$11)*0.5+(6-$B$12)*0.4+(IF(AND(Pathogens!N26&gt;=0.5,$B$8&lt;60),5,IF(Pathogens!N26&gt;=0.5,4,IF(Pathogens!N26&gt;=0.3,3,IF(Pathogens!N26&gt;=0.1,2,1)))))*0.1)),0)</f>
        <v>2</v>
      </c>
      <c r="H58" s="82">
        <f>IF(ISNUMBER(SEARCH("Vaccine-preventable",Pathogens!C26)),2,IF(ISNUMBER(SEARCH("AMR",Pathogens!C26)),5,IF(ISNUMBER(SEARCH("VHF",Pathogens!C26)),4,IF(ISNUMBER(SEARCH("Emerging",Pathogens!C26)),5,IF(ISNUMBER(SEARCH("Mycobacterial",Pathogens!C26)),3,IF(ISNUMBER(SEARCH("Helminth",Pathogens!C26)),3,IF(ISNUMBER(SEARCH("Respiratory",Pathogens!C26)),4,3)))))))</f>
        <v>3</v>
      </c>
      <c r="I58" s="82">
        <f>IF(ISNUMBER(SEARCH("AMR",Pathogens!C26)),5,IF(ISNUMBER(SEARCH("Mycobacterial",Pathogens!C26)),4,IF(ISNUMBER(SEARCH("Enteric bacterial",Pathogens!C26)),3,IF(ISNUMBER(SEARCH("Bacterial",Pathogens!C26)),3,1))))</f>
        <v>1</v>
      </c>
      <c r="J58" s="82">
        <f t="shared" si="0"/>
        <v>3</v>
      </c>
      <c r="K58" s="83">
        <f>ROUND(((D58*Settings!$C$4)+(E58*Settings!$C$5)+(F58*Settings!$C$6)+(G58*Settings!$C$7)+(H58*Settings!$C$8)+(I58*Settings!$C$9)+(J58*Settings!$C$10))/5*100,1)</f>
        <v>60</v>
      </c>
      <c r="L58" s="84" t="str">
        <f>IF(K58&gt;=Settings!$B$14,"Tier 1 — Always-on",IF(K58&gt;=Settings!$B$15,"Tier 2 — Seasonal/Regional",IF(K58&gt;=Settings!$B$16,"Tier 3 — Event-driven","Tier 4 — Monitor only")))</f>
        <v>Tier 2 — Seasonal/Regional</v>
      </c>
      <c r="M58" s="55" t="str">
        <f>IFERROR(INDEX(Endemicity!$C$2:$BN$55,MATCH($B$3,Endemicity!$B$2:$B$55,0),MATCH($A58,Endemicity!$C$1:$BN$1,0)),"Sporadic")</f>
        <v>Endemic</v>
      </c>
      <c r="N58" s="48">
        <f>IF(Settings!$B$48="ON",IFERROR(MATCH($M58,Settings!$B$35:$F$35,0),5),5)</f>
        <v>1</v>
      </c>
      <c r="O58" s="48">
        <f>(6-Pathogens!X26)</f>
        <v>3</v>
      </c>
      <c r="P58" s="48">
        <f>ROUND(MIN(5,MAX(1,0.35*IF(Pathogens!R26=1,5,IF(Pathogens!R26=2,3,1))+0.2*IF(Pathogens!S26=1,5,IF(Pathogens!S26=2,3,1))+0.25*IF(Pathogens!W26=1,IF($B$26&gt;=3,5,IF($B$26=2,4,IF($B$26=1,2,1))),5)+0.2*IF($B$15&gt;=50,5,IF($B$15&gt;=25,4,IF($B$15&gt;=10,3,IF($B$15&gt;=5,2,1)))))),0)</f>
        <v>5</v>
      </c>
      <c r="Q58" s="37" t="str">
        <f t="shared" si="1"/>
        <v>Trend / intensity monitoring</v>
      </c>
      <c r="R58" s="37">
        <f>ROUND(MIN(100,((D58)*Settings!$C$23*INDEX(Settings!$B$36:$F$44,1,$N58)+(E58)*Settings!$C$24*INDEX(Settings!$B$36:$F$44,2,$N58)+(F58)*Settings!$C$25*INDEX(Settings!$B$36:$F$44,3,$N58)+(G58)*Settings!$C$26*INDEX(Settings!$B$36:$F$44,4,$N58)+(H58)*Settings!$C$27*INDEX(Settings!$B$36:$F$44,5,$N58)+(I58)*Settings!$C$28*INDEX(Settings!$B$36:$F$44,6,$N58)+(J58)*Settings!$C$29*INDEX(Settings!$B$36:$F$44,7,$N58)+(O58)*Settings!$C$30*INDEX(Settings!$B$36:$F$44,8,$N58)+(P58)*Settings!$C$31*INDEX(Settings!$B$36:$F$44,9,$N58))/INDEX(Settings!$B$45:$F$45,1,$N58)/5*100*IF($M58="Not present",Settings!$B$51,1)),1)</f>
        <v>66.4</v>
      </c>
      <c r="S58" s="37" t="str">
        <f>IF($M58="Not present","Tier 4 — Watch only (absent)",IF(R58&gt;=Settings!$B$14,"Tier 1 — Always-on",IF(R58&gt;=Settings!$B$15,"Tier 2 — Seasonal/Regional",IF(R58&gt;=Settings!$B$16,"Tier 3 — Event-driven","Tier 4 — Monitor only"))))</f>
        <v>Tier 2 — Seasonal/Regional</v>
      </c>
      <c r="T58" s="55">
        <f>Feasibility!$F30</f>
        <v>91</v>
      </c>
      <c r="U58" s="37" t="str">
        <f>IF($M58="Not present","Defer — not present",IF(AND(R58&gt;=Settings!$B$49,T58&gt;=Settings!$B$50),"Do now",IF(AND(R58&gt;=Settings!$B$49,T58&lt;Settings!$B$50),"Invest to enable",IF(AND(R58&lt;Settings!$B$49,T58&gt;=Settings!$B$50),"Low-cost add-on","Defer"))))</f>
        <v>Do now</v>
      </c>
      <c r="V58" s="12" t="str">
        <f t="shared" si="2"/>
        <v>Include in always-on panel; report trend vs baseline</v>
      </c>
    </row>
    <row r="59" ht="26.25" customHeight="1" spans="1:22">
      <c r="A59" s="70" t="s">
        <v>228</v>
      </c>
      <c r="B59" s="64" t="s">
        <v>229</v>
      </c>
      <c r="C59" s="64" t="s">
        <v>221</v>
      </c>
      <c r="D59" s="82">
        <f>ROUND(MIN(5,IF(Pathogens!I27&gt;=500,5,IF(Pathogens!I27&gt;=200,4,IF(Pathogens!I27&gt;=50,3,IF(Pathogens!I27&gt;=10,2,1))))*0.5+IF(Pathogens!J27&gt;=30,5,IF(Pathogens!J27&gt;=10,4,IF(Pathogens!J27&gt;=3,3,IF(Pathogens!J27&gt;=1,2,1))))*0.4+IF(AND($B$7&gt;=80,Pathogens!N27&gt;=0.5),1,0)*0.1+IF($B$10&lt;50,0.3,0)),0)</f>
        <v>2</v>
      </c>
      <c r="E59" s="82">
        <f>ROUND(MIN(5,IF(Pathogens!K27&gt;=8,5,IF(Pathogens!K27&gt;=5,4,IF(Pathogens!K27&gt;=3,3,IF(Pathogens!K27&gt;=1,2,1))))*0.5+IF(Pathogens!L27&gt;=5,5,IF(Pathogens!L27&gt;=3,4,IF(Pathogens!L27&gt;=2,3,IF(Pathogens!L27&gt;=1.2,2,1))))*0.3+IF(Pathogens!M27=1,2,0)*0.2+IF($B$13&gt;=2,0.5,0)),0)</f>
        <v>3</v>
      </c>
      <c r="F59" s="82">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c r="G59" s="82">
        <f>ROUND(MAX(1,MIN(5,(6-$B$11)*0.5+(6-$B$12)*0.4+(IF(AND(Pathogens!N27&gt;=0.5,$B$8&lt;60),5,IF(Pathogens!N27&gt;=0.5,4,IF(Pathogens!N27&gt;=0.3,3,IF(Pathogens!N27&gt;=0.1,2,1)))))*0.1)),0)</f>
        <v>2</v>
      </c>
      <c r="H59" s="82">
        <f>IF(ISNUMBER(SEARCH("Vaccine-preventable",Pathogens!C27)),2,IF(ISNUMBER(SEARCH("AMR",Pathogens!C27)),5,IF(ISNUMBER(SEARCH("VHF",Pathogens!C27)),4,IF(ISNUMBER(SEARCH("Emerging",Pathogens!C27)),5,IF(ISNUMBER(SEARCH("Mycobacterial",Pathogens!C27)),3,IF(ISNUMBER(SEARCH("Helminth",Pathogens!C27)),3,IF(ISNUMBER(SEARCH("Respiratory",Pathogens!C27)),4,3)))))))</f>
        <v>3</v>
      </c>
      <c r="I59" s="82">
        <f>IF(ISNUMBER(SEARCH("AMR",Pathogens!C27)),5,IF(ISNUMBER(SEARCH("Mycobacterial",Pathogens!C27)),4,IF(ISNUMBER(SEARCH("Enteric bacterial",Pathogens!C27)),3,IF(ISNUMBER(SEARCH("Bacterial",Pathogens!C27)),3,1))))</f>
        <v>1</v>
      </c>
      <c r="J59" s="82">
        <f t="shared" si="0"/>
        <v>3</v>
      </c>
      <c r="K59" s="83">
        <f>ROUND(((D59*Settings!$C$4)+(E59*Settings!$C$5)+(F59*Settings!$C$6)+(G59*Settings!$C$7)+(H59*Settings!$C$8)+(I59*Settings!$C$9)+(J59*Settings!$C$10))/5*100,1)</f>
        <v>52</v>
      </c>
      <c r="L59" s="84" t="str">
        <f>IF(K59&gt;=Settings!$B$14,"Tier 1 — Always-on",IF(K59&gt;=Settings!$B$15,"Tier 2 — Seasonal/Regional",IF(K59&gt;=Settings!$B$16,"Tier 3 — Event-driven","Tier 4 — Monitor only")))</f>
        <v>Tier 2 — Seasonal/Regional</v>
      </c>
      <c r="M59" s="55" t="str">
        <f>IFERROR(INDEX(Endemicity!$C$2:$BN$55,MATCH($B$3,Endemicity!$B$2:$B$55,0),MATCH($A59,Endemicity!$C$1:$BN$1,0)),"Sporadic")</f>
        <v>Endemic</v>
      </c>
      <c r="N59" s="48">
        <f>IF(Settings!$B$48="ON",IFERROR(MATCH($M59,Settings!$B$35:$F$35,0),5),5)</f>
        <v>1</v>
      </c>
      <c r="O59" s="48">
        <f>(6-Pathogens!X27)</f>
        <v>5</v>
      </c>
      <c r="P59" s="48">
        <f>ROUND(MIN(5,MAX(1,0.35*IF(Pathogens!R27=1,5,IF(Pathogens!R27=2,3,1))+0.2*IF(Pathogens!S27=1,5,IF(Pathogens!S27=2,3,1))+0.25*IF(Pathogens!W27=1,IF($B$26&gt;=3,5,IF($B$26=2,4,IF($B$26=1,2,1))),5)+0.2*IF($B$15&gt;=50,5,IF($B$15&gt;=25,4,IF($B$15&gt;=10,3,IF($B$15&gt;=5,2,1)))))),0)</f>
        <v>4</v>
      </c>
      <c r="Q59" s="37" t="str">
        <f t="shared" si="1"/>
        <v>Trend / intensity monitoring</v>
      </c>
      <c r="R59" s="37">
        <f>ROUND(MIN(100,((D59)*Settings!$C$23*INDEX(Settings!$B$36:$F$44,1,$N59)+(E59)*Settings!$C$24*INDEX(Settings!$B$36:$F$44,2,$N59)+(F59)*Settings!$C$25*INDEX(Settings!$B$36:$F$44,3,$N59)+(G59)*Settings!$C$26*INDEX(Settings!$B$36:$F$44,4,$N59)+(H59)*Settings!$C$27*INDEX(Settings!$B$36:$F$44,5,$N59)+(I59)*Settings!$C$28*INDEX(Settings!$B$36:$F$44,6,$N59)+(J59)*Settings!$C$29*INDEX(Settings!$B$36:$F$44,7,$N59)+(O59)*Settings!$C$30*INDEX(Settings!$B$36:$F$44,8,$N59)+(P59)*Settings!$C$31*INDEX(Settings!$B$36:$F$44,9,$N59))/INDEX(Settings!$B$45:$F$45,1,$N59)/5*100*IF($M59="Not present",Settings!$B$51,1)),1)</f>
        <v>59.2</v>
      </c>
      <c r="S59" s="37" t="str">
        <f>IF($M59="Not present","Tier 4 — Watch only (absent)",IF(R59&gt;=Settings!$B$14,"Tier 1 — Always-on",IF(R59&gt;=Settings!$B$15,"Tier 2 — Seasonal/Regional",IF(R59&gt;=Settings!$B$16,"Tier 3 — Event-driven","Tier 4 — Monitor only"))))</f>
        <v>Tier 2 — Seasonal/Regional</v>
      </c>
      <c r="T59" s="55">
        <f>Feasibility!$F31</f>
        <v>79</v>
      </c>
      <c r="U59" s="37" t="str">
        <f>IF($M59="Not present","Defer — not present",IF(AND(R59&gt;=Settings!$B$49,T59&gt;=Settings!$B$50),"Do now",IF(AND(R59&gt;=Settings!$B$49,T59&lt;Settings!$B$50),"Invest to enable",IF(AND(R59&lt;Settings!$B$49,T59&gt;=Settings!$B$50),"Low-cost add-on","Defer"))))</f>
        <v>Low-cost add-on</v>
      </c>
      <c r="V59" s="12" t="str">
        <f t="shared" si="2"/>
        <v>Cheap to multiplex onto existing runs; add if capacity allows</v>
      </c>
    </row>
    <row r="60" ht="26.25" customHeight="1" spans="1:22">
      <c r="A60" s="70" t="s">
        <v>230</v>
      </c>
      <c r="B60" s="64" t="s">
        <v>231</v>
      </c>
      <c r="C60" s="64" t="s">
        <v>221</v>
      </c>
      <c r="D60" s="82">
        <f>ROUND(MIN(5,IF(Pathogens!I28&gt;=500,5,IF(Pathogens!I28&gt;=200,4,IF(Pathogens!I28&gt;=50,3,IF(Pathogens!I28&gt;=10,2,1))))*0.5+IF(Pathogens!J28&gt;=30,5,IF(Pathogens!J28&gt;=10,4,IF(Pathogens!J28&gt;=3,3,IF(Pathogens!J28&gt;=1,2,1))))*0.4+IF(AND($B$7&gt;=80,Pathogens!N28&gt;=0.5),1,0)*0.1+IF($B$10&lt;50,0.3,0)),0)</f>
        <v>2</v>
      </c>
      <c r="E60" s="82">
        <f>ROUND(MIN(5,IF(Pathogens!K28&gt;=8,5,IF(Pathogens!K28&gt;=5,4,IF(Pathogens!K28&gt;=3,3,IF(Pathogens!K28&gt;=1,2,1))))*0.5+IF(Pathogens!L28&gt;=5,5,IF(Pathogens!L28&gt;=3,4,IF(Pathogens!L28&gt;=2,3,IF(Pathogens!L28&gt;=1.2,2,1))))*0.3+IF(Pathogens!M28=1,2,0)*0.2+IF($B$13&gt;=2,0.5,0)),0)</f>
        <v>3</v>
      </c>
      <c r="F60" s="82">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c r="G60" s="82">
        <f>ROUND(MAX(1,MIN(5,(6-$B$11)*0.5+(6-$B$12)*0.4+(IF(AND(Pathogens!N28&gt;=0.5,$B$8&lt;60),5,IF(Pathogens!N28&gt;=0.5,4,IF(Pathogens!N28&gt;=0.3,3,IF(Pathogens!N28&gt;=0.1,2,1)))))*0.1)),0)</f>
        <v>2</v>
      </c>
      <c r="H60" s="82">
        <f>IF(ISNUMBER(SEARCH("Vaccine-preventable",Pathogens!C28)),2,IF(ISNUMBER(SEARCH("AMR",Pathogens!C28)),5,IF(ISNUMBER(SEARCH("VHF",Pathogens!C28)),4,IF(ISNUMBER(SEARCH("Emerging",Pathogens!C28)),5,IF(ISNUMBER(SEARCH("Mycobacterial",Pathogens!C28)),3,IF(ISNUMBER(SEARCH("Helminth",Pathogens!C28)),3,IF(ISNUMBER(SEARCH("Respiratory",Pathogens!C28)),4,3)))))))</f>
        <v>3</v>
      </c>
      <c r="I60" s="82">
        <f>IF(ISNUMBER(SEARCH("AMR",Pathogens!C28)),5,IF(ISNUMBER(SEARCH("Mycobacterial",Pathogens!C28)),4,IF(ISNUMBER(SEARCH("Enteric bacterial",Pathogens!C28)),3,IF(ISNUMBER(SEARCH("Bacterial",Pathogens!C28)),3,1))))</f>
        <v>1</v>
      </c>
      <c r="J60" s="82">
        <f t="shared" si="0"/>
        <v>3</v>
      </c>
      <c r="K60" s="83">
        <f>ROUND(((D60*Settings!$C$4)+(E60*Settings!$C$5)+(F60*Settings!$C$6)+(G60*Settings!$C$7)+(H60*Settings!$C$8)+(I60*Settings!$C$9)+(J60*Settings!$C$10))/5*100,1)</f>
        <v>52</v>
      </c>
      <c r="L60" s="84" t="str">
        <f>IF(K60&gt;=Settings!$B$14,"Tier 1 — Always-on",IF(K60&gt;=Settings!$B$15,"Tier 2 — Seasonal/Regional",IF(K60&gt;=Settings!$B$16,"Tier 3 — Event-driven","Tier 4 — Monitor only")))</f>
        <v>Tier 2 — Seasonal/Regional</v>
      </c>
      <c r="M60" s="55" t="str">
        <f>IFERROR(INDEX(Endemicity!$C$2:$BN$55,MATCH($B$3,Endemicity!$B$2:$B$55,0),MATCH($A60,Endemicity!$C$1:$BN$1,0)),"Sporadic")</f>
        <v>Endemic</v>
      </c>
      <c r="N60" s="48">
        <f>IF(Settings!$B$48="ON",IFERROR(MATCH($M60,Settings!$B$35:$F$35,0),5),5)</f>
        <v>1</v>
      </c>
      <c r="O60" s="48">
        <f>(6-Pathogens!X28)</f>
        <v>5</v>
      </c>
      <c r="P60" s="48">
        <f>ROUND(MIN(5,MAX(1,0.35*IF(Pathogens!R28=1,5,IF(Pathogens!R28=2,3,1))+0.2*IF(Pathogens!S28=1,5,IF(Pathogens!S28=2,3,1))+0.25*IF(Pathogens!W28=1,IF($B$26&gt;=3,5,IF($B$26=2,4,IF($B$26=1,2,1))),5)+0.2*IF($B$15&gt;=50,5,IF($B$15&gt;=25,4,IF($B$15&gt;=10,3,IF($B$15&gt;=5,2,1)))))),0)</f>
        <v>4</v>
      </c>
      <c r="Q60" s="37" t="str">
        <f t="shared" si="1"/>
        <v>Trend / intensity monitoring</v>
      </c>
      <c r="R60" s="37">
        <f>ROUND(MIN(100,((D60)*Settings!$C$23*INDEX(Settings!$B$36:$F$44,1,$N60)+(E60)*Settings!$C$24*INDEX(Settings!$B$36:$F$44,2,$N60)+(F60)*Settings!$C$25*INDEX(Settings!$B$36:$F$44,3,$N60)+(G60)*Settings!$C$26*INDEX(Settings!$B$36:$F$44,4,$N60)+(H60)*Settings!$C$27*INDEX(Settings!$B$36:$F$44,5,$N60)+(I60)*Settings!$C$28*INDEX(Settings!$B$36:$F$44,6,$N60)+(J60)*Settings!$C$29*INDEX(Settings!$B$36:$F$44,7,$N60)+(O60)*Settings!$C$30*INDEX(Settings!$B$36:$F$44,8,$N60)+(P60)*Settings!$C$31*INDEX(Settings!$B$36:$F$44,9,$N60))/INDEX(Settings!$B$45:$F$45,1,$N60)/5*100*IF($M60="Not present",Settings!$B$51,1)),1)</f>
        <v>59.2</v>
      </c>
      <c r="S60" s="37" t="str">
        <f>IF($M60="Not present","Tier 4 — Watch only (absent)",IF(R60&gt;=Settings!$B$14,"Tier 1 — Always-on",IF(R60&gt;=Settings!$B$15,"Tier 2 — Seasonal/Regional",IF(R60&gt;=Settings!$B$16,"Tier 3 — Event-driven","Tier 4 — Monitor only"))))</f>
        <v>Tier 2 — Seasonal/Regional</v>
      </c>
      <c r="T60" s="55">
        <f>Feasibility!$F32</f>
        <v>79</v>
      </c>
      <c r="U60" s="37" t="str">
        <f>IF($M60="Not present","Defer — not present",IF(AND(R60&gt;=Settings!$B$49,T60&gt;=Settings!$B$50),"Do now",IF(AND(R60&gt;=Settings!$B$49,T60&lt;Settings!$B$50),"Invest to enable",IF(AND(R60&lt;Settings!$B$49,T60&gt;=Settings!$B$50),"Low-cost add-on","Defer"))))</f>
        <v>Low-cost add-on</v>
      </c>
      <c r="V60" s="12" t="str">
        <f t="shared" si="2"/>
        <v>Cheap to multiplex onto existing runs; add if capacity allows</v>
      </c>
    </row>
    <row r="61" ht="26.25" customHeight="1" spans="1:22">
      <c r="A61" s="70" t="s">
        <v>232</v>
      </c>
      <c r="B61" s="64" t="s">
        <v>233</v>
      </c>
      <c r="C61" s="64" t="s">
        <v>221</v>
      </c>
      <c r="D61" s="82">
        <f>ROUND(MIN(5,IF(Pathogens!I29&gt;=500,5,IF(Pathogens!I29&gt;=200,4,IF(Pathogens!I29&gt;=50,3,IF(Pathogens!I29&gt;=10,2,1))))*0.5+IF(Pathogens!J29&gt;=30,5,IF(Pathogens!J29&gt;=10,4,IF(Pathogens!J29&gt;=3,3,IF(Pathogens!J29&gt;=1,2,1))))*0.4+IF(AND($B$7&gt;=80,Pathogens!N29&gt;=0.5),1,0)*0.1+IF($B$10&lt;50,0.3,0)),0)</f>
        <v>3</v>
      </c>
      <c r="E61" s="82">
        <f>ROUND(MIN(5,IF(Pathogens!K29&gt;=8,5,IF(Pathogens!K29&gt;=5,4,IF(Pathogens!K29&gt;=3,3,IF(Pathogens!K29&gt;=1,2,1))))*0.5+IF(Pathogens!L29&gt;=5,5,IF(Pathogens!L29&gt;=3,4,IF(Pathogens!L29&gt;=2,3,IF(Pathogens!L29&gt;=1.2,2,1))))*0.3+IF(Pathogens!M29=1,2,0)*0.2+IF($B$13&gt;=2,0.5,0)),0)</f>
        <v>4</v>
      </c>
      <c r="F61" s="82">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c r="G61" s="82">
        <f>ROUND(MAX(1,MIN(5,(6-$B$11)*0.5+(6-$B$12)*0.4+(IF(AND(Pathogens!N29&gt;=0.5,$B$8&lt;60),5,IF(Pathogens!N29&gt;=0.5,4,IF(Pathogens!N29&gt;=0.3,3,IF(Pathogens!N29&gt;=0.1,2,1)))))*0.1)),0)</f>
        <v>2</v>
      </c>
      <c r="H61" s="82">
        <f>IF(ISNUMBER(SEARCH("Vaccine-preventable",Pathogens!C29)),2,IF(ISNUMBER(SEARCH("AMR",Pathogens!C29)),5,IF(ISNUMBER(SEARCH("VHF",Pathogens!C29)),4,IF(ISNUMBER(SEARCH("Emerging",Pathogens!C29)),5,IF(ISNUMBER(SEARCH("Mycobacterial",Pathogens!C29)),3,IF(ISNUMBER(SEARCH("Helminth",Pathogens!C29)),3,IF(ISNUMBER(SEARCH("Respiratory",Pathogens!C29)),4,3)))))))</f>
        <v>3</v>
      </c>
      <c r="I61" s="82">
        <f>IF(ISNUMBER(SEARCH("AMR",Pathogens!C29)),5,IF(ISNUMBER(SEARCH("Mycobacterial",Pathogens!C29)),4,IF(ISNUMBER(SEARCH("Enteric bacterial",Pathogens!C29)),3,IF(ISNUMBER(SEARCH("Bacterial",Pathogens!C29)),3,1))))</f>
        <v>1</v>
      </c>
      <c r="J61" s="82">
        <f t="shared" si="0"/>
        <v>3</v>
      </c>
      <c r="K61" s="83">
        <f>ROUND(((D61*Settings!$C$4)+(E61*Settings!$C$5)+(F61*Settings!$C$6)+(G61*Settings!$C$7)+(H61*Settings!$C$8)+(I61*Settings!$C$9)+(J61*Settings!$C$10))/5*100,1)</f>
        <v>60</v>
      </c>
      <c r="L61" s="84" t="str">
        <f>IF(K61&gt;=Settings!$B$14,"Tier 1 — Always-on",IF(K61&gt;=Settings!$B$15,"Tier 2 — Seasonal/Regional",IF(K61&gt;=Settings!$B$16,"Tier 3 — Event-driven","Tier 4 — Monitor only")))</f>
        <v>Tier 2 — Seasonal/Regional</v>
      </c>
      <c r="M61" s="55" t="str">
        <f>IFERROR(INDEX(Endemicity!$C$2:$BN$55,MATCH($B$3,Endemicity!$B$2:$B$55,0),MATCH($A61,Endemicity!$C$1:$BN$1,0)),"Sporadic")</f>
        <v>Endemic</v>
      </c>
      <c r="N61" s="48">
        <f>IF(Settings!$B$48="ON",IFERROR(MATCH($M61,Settings!$B$35:$F$35,0),5),5)</f>
        <v>1</v>
      </c>
      <c r="O61" s="48">
        <f>(6-Pathogens!X29)</f>
        <v>4</v>
      </c>
      <c r="P61" s="48">
        <f>ROUND(MIN(5,MAX(1,0.35*IF(Pathogens!R29=1,5,IF(Pathogens!R29=2,3,1))+0.2*IF(Pathogens!S29=1,5,IF(Pathogens!S29=2,3,1))+0.25*IF(Pathogens!W29=1,IF($B$26&gt;=3,5,IF($B$26=2,4,IF($B$26=1,2,1))),5)+0.2*IF($B$15&gt;=50,5,IF($B$15&gt;=25,4,IF($B$15&gt;=10,3,IF($B$15&gt;=5,2,1)))))),0)</f>
        <v>5</v>
      </c>
      <c r="Q61" s="37" t="str">
        <f t="shared" si="1"/>
        <v>Trend / intensity monitoring</v>
      </c>
      <c r="R61" s="37">
        <f>ROUND(MIN(100,((D61)*Settings!$C$23*INDEX(Settings!$B$36:$F$44,1,$N61)+(E61)*Settings!$C$24*INDEX(Settings!$B$36:$F$44,2,$N61)+(F61)*Settings!$C$25*INDEX(Settings!$B$36:$F$44,3,$N61)+(G61)*Settings!$C$26*INDEX(Settings!$B$36:$F$44,4,$N61)+(H61)*Settings!$C$27*INDEX(Settings!$B$36:$F$44,5,$N61)+(I61)*Settings!$C$28*INDEX(Settings!$B$36:$F$44,6,$N61)+(J61)*Settings!$C$29*INDEX(Settings!$B$36:$F$44,7,$N61)+(O61)*Settings!$C$30*INDEX(Settings!$B$36:$F$44,8,$N61)+(P61)*Settings!$C$31*INDEX(Settings!$B$36:$F$44,9,$N61))/INDEX(Settings!$B$45:$F$45,1,$N61)/5*100*IF($M61="Not present",Settings!$B$51,1)),1)</f>
        <v>67.1</v>
      </c>
      <c r="S61" s="37" t="str">
        <f>IF($M61="Not present","Tier 4 — Watch only (absent)",IF(R61&gt;=Settings!$B$14,"Tier 1 — Always-on",IF(R61&gt;=Settings!$B$15,"Tier 2 — Seasonal/Regional",IF(R61&gt;=Settings!$B$16,"Tier 3 — Event-driven","Tier 4 — Monitor only"))))</f>
        <v>Tier 2 — Seasonal/Regional</v>
      </c>
      <c r="T61" s="55">
        <f>Feasibility!$F33</f>
        <v>91</v>
      </c>
      <c r="U61" s="37" t="str">
        <f>IF($M61="Not present","Defer — not present",IF(AND(R61&gt;=Settings!$B$49,T61&gt;=Settings!$B$50),"Do now",IF(AND(R61&gt;=Settings!$B$49,T61&lt;Settings!$B$50),"Invest to enable",IF(AND(R61&lt;Settings!$B$49,T61&gt;=Settings!$B$50),"Low-cost add-on","Defer"))))</f>
        <v>Do now</v>
      </c>
      <c r="V61" s="12" t="str">
        <f t="shared" si="2"/>
        <v>Include in always-on panel; report trend vs baseline</v>
      </c>
    </row>
    <row r="62" ht="26.25" customHeight="1" spans="1:22">
      <c r="A62" s="70" t="s">
        <v>234</v>
      </c>
      <c r="B62" s="64" t="s">
        <v>235</v>
      </c>
      <c r="C62" s="64" t="s">
        <v>221</v>
      </c>
      <c r="D62" s="82">
        <f>ROUND(MIN(5,IF(Pathogens!I30&gt;=500,5,IF(Pathogens!I30&gt;=200,4,IF(Pathogens!I30&gt;=50,3,IF(Pathogens!I30&gt;=10,2,1))))*0.5+IF(Pathogens!J30&gt;=30,5,IF(Pathogens!J30&gt;=10,4,IF(Pathogens!J30&gt;=3,3,IF(Pathogens!J30&gt;=1,2,1))))*0.4+IF(AND($B$7&gt;=80,Pathogens!N30&gt;=0.5),1,0)*0.1+IF($B$10&lt;50,0.3,0)),0)</f>
        <v>2</v>
      </c>
      <c r="E62" s="82">
        <f>ROUND(MIN(5,IF(Pathogens!K30&gt;=8,5,IF(Pathogens!K30&gt;=5,4,IF(Pathogens!K30&gt;=3,3,IF(Pathogens!K30&gt;=1,2,1))))*0.5+IF(Pathogens!L30&gt;=5,5,IF(Pathogens!L30&gt;=3,4,IF(Pathogens!L30&gt;=2,3,IF(Pathogens!L30&gt;=1.2,2,1))))*0.3+IF(Pathogens!M30=1,2,0)*0.2+IF($B$13&gt;=2,0.5,0)),0)</f>
        <v>3</v>
      </c>
      <c r="F62" s="82">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c r="G62" s="82">
        <f>ROUND(MAX(1,MIN(5,(6-$B$11)*0.5+(6-$B$12)*0.4+(IF(AND(Pathogens!N30&gt;=0.5,$B$8&lt;60),5,IF(Pathogens!N30&gt;=0.5,4,IF(Pathogens!N30&gt;=0.3,3,IF(Pathogens!N30&gt;=0.1,2,1)))))*0.1)),0)</f>
        <v>2</v>
      </c>
      <c r="H62" s="82">
        <f>IF(ISNUMBER(SEARCH("Vaccine-preventable",Pathogens!C30)),2,IF(ISNUMBER(SEARCH("AMR",Pathogens!C30)),5,IF(ISNUMBER(SEARCH("VHF",Pathogens!C30)),4,IF(ISNUMBER(SEARCH("Emerging",Pathogens!C30)),5,IF(ISNUMBER(SEARCH("Mycobacterial",Pathogens!C30)),3,IF(ISNUMBER(SEARCH("Helminth",Pathogens!C30)),3,IF(ISNUMBER(SEARCH("Respiratory",Pathogens!C30)),4,3)))))))</f>
        <v>3</v>
      </c>
      <c r="I62" s="82">
        <f>IF(ISNUMBER(SEARCH("AMR",Pathogens!C30)),5,IF(ISNUMBER(SEARCH("Mycobacterial",Pathogens!C30)),4,IF(ISNUMBER(SEARCH("Enteric bacterial",Pathogens!C30)),3,IF(ISNUMBER(SEARCH("Bacterial",Pathogens!C30)),3,1))))</f>
        <v>1</v>
      </c>
      <c r="J62" s="82">
        <f t="shared" si="0"/>
        <v>3</v>
      </c>
      <c r="K62" s="83">
        <f>ROUND(((D62*Settings!$C$4)+(E62*Settings!$C$5)+(F62*Settings!$C$6)+(G62*Settings!$C$7)+(H62*Settings!$C$8)+(I62*Settings!$C$9)+(J62*Settings!$C$10))/5*100,1)</f>
        <v>52</v>
      </c>
      <c r="L62" s="84" t="str">
        <f>IF(K62&gt;=Settings!$B$14,"Tier 1 — Always-on",IF(K62&gt;=Settings!$B$15,"Tier 2 — Seasonal/Regional",IF(K62&gt;=Settings!$B$16,"Tier 3 — Event-driven","Tier 4 — Monitor only")))</f>
        <v>Tier 2 — Seasonal/Regional</v>
      </c>
      <c r="M62" s="55" t="str">
        <f>IFERROR(INDEX(Endemicity!$C$2:$BN$55,MATCH($B$3,Endemicity!$B$2:$B$55,0),MATCH($A62,Endemicity!$C$1:$BN$1,0)),"Sporadic")</f>
        <v>Endemic</v>
      </c>
      <c r="N62" s="48">
        <f>IF(Settings!$B$48="ON",IFERROR(MATCH($M62,Settings!$B$35:$F$35,0),5),5)</f>
        <v>1</v>
      </c>
      <c r="O62" s="48">
        <f>(6-Pathogens!X30)</f>
        <v>5</v>
      </c>
      <c r="P62" s="48">
        <f>ROUND(MIN(5,MAX(1,0.35*IF(Pathogens!R30=1,5,IF(Pathogens!R30=2,3,1))+0.2*IF(Pathogens!S30=1,5,IF(Pathogens!S30=2,3,1))+0.25*IF(Pathogens!W30=1,IF($B$26&gt;=3,5,IF($B$26=2,4,IF($B$26=1,2,1))),5)+0.2*IF($B$15&gt;=50,5,IF($B$15&gt;=25,4,IF($B$15&gt;=10,3,IF($B$15&gt;=5,2,1)))))),0)</f>
        <v>4</v>
      </c>
      <c r="Q62" s="37" t="str">
        <f t="shared" si="1"/>
        <v>Trend / intensity monitoring</v>
      </c>
      <c r="R62" s="37">
        <f>ROUND(MIN(100,((D62)*Settings!$C$23*INDEX(Settings!$B$36:$F$44,1,$N62)+(E62)*Settings!$C$24*INDEX(Settings!$B$36:$F$44,2,$N62)+(F62)*Settings!$C$25*INDEX(Settings!$B$36:$F$44,3,$N62)+(G62)*Settings!$C$26*INDEX(Settings!$B$36:$F$44,4,$N62)+(H62)*Settings!$C$27*INDEX(Settings!$B$36:$F$44,5,$N62)+(I62)*Settings!$C$28*INDEX(Settings!$B$36:$F$44,6,$N62)+(J62)*Settings!$C$29*INDEX(Settings!$B$36:$F$44,7,$N62)+(O62)*Settings!$C$30*INDEX(Settings!$B$36:$F$44,8,$N62)+(P62)*Settings!$C$31*INDEX(Settings!$B$36:$F$44,9,$N62))/INDEX(Settings!$B$45:$F$45,1,$N62)/5*100*IF($M62="Not present",Settings!$B$51,1)),1)</f>
        <v>59.2</v>
      </c>
      <c r="S62" s="37" t="str">
        <f>IF($M62="Not present","Tier 4 — Watch only (absent)",IF(R62&gt;=Settings!$B$14,"Tier 1 — Always-on",IF(R62&gt;=Settings!$B$15,"Tier 2 — Seasonal/Regional",IF(R62&gt;=Settings!$B$16,"Tier 3 — Event-driven","Tier 4 — Monitor only"))))</f>
        <v>Tier 2 — Seasonal/Regional</v>
      </c>
      <c r="T62" s="55">
        <f>Feasibility!$F34</f>
        <v>79</v>
      </c>
      <c r="U62" s="37" t="str">
        <f>IF($M62="Not present","Defer — not present",IF(AND(R62&gt;=Settings!$B$49,T62&gt;=Settings!$B$50),"Do now",IF(AND(R62&gt;=Settings!$B$49,T62&lt;Settings!$B$50),"Invest to enable",IF(AND(R62&lt;Settings!$B$49,T62&gt;=Settings!$B$50),"Low-cost add-on","Defer"))))</f>
        <v>Low-cost add-on</v>
      </c>
      <c r="V62" s="12" t="str">
        <f t="shared" si="2"/>
        <v>Cheap to multiplex onto existing runs; add if capacity allows</v>
      </c>
    </row>
    <row r="63" ht="26.25" customHeight="1" spans="1:22">
      <c r="A63" s="70" t="s">
        <v>236</v>
      </c>
      <c r="B63" s="64" t="s">
        <v>237</v>
      </c>
      <c r="C63" s="64" t="s">
        <v>238</v>
      </c>
      <c r="D63" s="82">
        <f>ROUND(MIN(5,IF(Pathogens!I31&gt;=500,5,IF(Pathogens!I31&gt;=200,4,IF(Pathogens!I31&gt;=50,3,IF(Pathogens!I31&gt;=10,2,1))))*0.5+IF(Pathogens!J31&gt;=30,5,IF(Pathogens!J31&gt;=10,4,IF(Pathogens!J31&gt;=3,3,IF(Pathogens!J31&gt;=1,2,1))))*0.4+IF(AND($B$7&gt;=80,Pathogens!N31&gt;=0.5),1,0)*0.1+IF($B$10&lt;50,0.3,0)),0)</f>
        <v>2</v>
      </c>
      <c r="E63" s="82">
        <f>ROUND(MIN(5,IF(Pathogens!K31&gt;=8,5,IF(Pathogens!K31&gt;=5,4,IF(Pathogens!K31&gt;=3,3,IF(Pathogens!K31&gt;=1,2,1))))*0.5+IF(Pathogens!L31&gt;=5,5,IF(Pathogens!L31&gt;=3,4,IF(Pathogens!L31&gt;=2,3,IF(Pathogens!L31&gt;=1.2,2,1))))*0.3+IF(Pathogens!M31=1,2,0)*0.2+IF($B$13&gt;=2,0.5,0)),0)</f>
        <v>4</v>
      </c>
      <c r="F63" s="82">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c r="G63" s="82">
        <f>ROUND(MAX(1,MIN(5,(6-$B$11)*0.5+(6-$B$12)*0.4+(IF(AND(Pathogens!N31&gt;=0.5,$B$8&lt;60),5,IF(Pathogens!N31&gt;=0.5,4,IF(Pathogens!N31&gt;=0.3,3,IF(Pathogens!N31&gt;=0.1,2,1)))))*0.1)),0)</f>
        <v>2</v>
      </c>
      <c r="H63" s="82">
        <f>IF(ISNUMBER(SEARCH("Vaccine-preventable",Pathogens!C31)),2,IF(ISNUMBER(SEARCH("AMR",Pathogens!C31)),5,IF(ISNUMBER(SEARCH("VHF",Pathogens!C31)),4,IF(ISNUMBER(SEARCH("Emerging",Pathogens!C31)),5,IF(ISNUMBER(SEARCH("Mycobacterial",Pathogens!C31)),3,IF(ISNUMBER(SEARCH("Helminth",Pathogens!C31)),3,IF(ISNUMBER(SEARCH("Respiratory",Pathogens!C31)),4,3)))))))</f>
        <v>3</v>
      </c>
      <c r="I63" s="82">
        <f>IF(ISNUMBER(SEARCH("AMR",Pathogens!C31)),5,IF(ISNUMBER(SEARCH("Mycobacterial",Pathogens!C31)),4,IF(ISNUMBER(SEARCH("Enteric bacterial",Pathogens!C31)),3,IF(ISNUMBER(SEARCH("Bacterial",Pathogens!C31)),3,1))))</f>
        <v>3</v>
      </c>
      <c r="J63" s="82">
        <f t="shared" si="0"/>
        <v>3</v>
      </c>
      <c r="K63" s="83">
        <f>ROUND(((D63*Settings!$C$4)+(E63*Settings!$C$5)+(F63*Settings!$C$6)+(G63*Settings!$C$7)+(H63*Settings!$C$8)+(I63*Settings!$C$9)+(J63*Settings!$C$10))/5*100,1)</f>
        <v>60</v>
      </c>
      <c r="L63" s="84" t="str">
        <f>IF(K63&gt;=Settings!$B$14,"Tier 1 — Always-on",IF(K63&gt;=Settings!$B$15,"Tier 2 — Seasonal/Regional",IF(K63&gt;=Settings!$B$16,"Tier 3 — Event-driven","Tier 4 — Monitor only")))</f>
        <v>Tier 2 — Seasonal/Regional</v>
      </c>
      <c r="M63" s="55" t="str">
        <f>IFERROR(INDEX(Endemicity!$C$2:$BN$55,MATCH($B$3,Endemicity!$B$2:$B$55,0),MATCH($A63,Endemicity!$C$1:$BN$1,0)),"Sporadic")</f>
        <v>Endemic</v>
      </c>
      <c r="N63" s="48">
        <f>IF(Settings!$B$48="ON",IFERROR(MATCH($M63,Settings!$B$35:$F$35,0),5),5)</f>
        <v>1</v>
      </c>
      <c r="O63" s="48">
        <f>(6-Pathogens!X31)</f>
        <v>2</v>
      </c>
      <c r="P63" s="48">
        <f>ROUND(MIN(5,MAX(1,0.35*IF(Pathogens!R31=1,5,IF(Pathogens!R31=2,3,1))+0.2*IF(Pathogens!S31=1,5,IF(Pathogens!S31=2,3,1))+0.25*IF(Pathogens!W31=1,IF($B$26&gt;=3,5,IF($B$26=2,4,IF($B$26=1,2,1))),5)+0.2*IF($B$15&gt;=50,5,IF($B$15&gt;=25,4,IF($B$15&gt;=10,3,IF($B$15&gt;=5,2,1)))))),0)</f>
        <v>5</v>
      </c>
      <c r="Q63" s="37" t="str">
        <f t="shared" si="1"/>
        <v>Trend / intensity monitoring</v>
      </c>
      <c r="R63" s="37">
        <f>ROUND(MIN(100,((D63)*Settings!$C$23*INDEX(Settings!$B$36:$F$44,1,$N63)+(E63)*Settings!$C$24*INDEX(Settings!$B$36:$F$44,2,$N63)+(F63)*Settings!$C$25*INDEX(Settings!$B$36:$F$44,3,$N63)+(G63)*Settings!$C$26*INDEX(Settings!$B$36:$F$44,4,$N63)+(H63)*Settings!$C$27*INDEX(Settings!$B$36:$F$44,5,$N63)+(I63)*Settings!$C$28*INDEX(Settings!$B$36:$F$44,6,$N63)+(J63)*Settings!$C$29*INDEX(Settings!$B$36:$F$44,7,$N63)+(O63)*Settings!$C$30*INDEX(Settings!$B$36:$F$44,8,$N63)+(P63)*Settings!$C$31*INDEX(Settings!$B$36:$F$44,9,$N63))/INDEX(Settings!$B$45:$F$45,1,$N63)/5*100*IF($M63="Not present",Settings!$B$51,1)),1)</f>
        <v>63.8</v>
      </c>
      <c r="S63" s="37" t="str">
        <f>IF($M63="Not present","Tier 4 — Watch only (absent)",IF(R63&gt;=Settings!$B$14,"Tier 1 — Always-on",IF(R63&gt;=Settings!$B$15,"Tier 2 — Seasonal/Regional",IF(R63&gt;=Settings!$B$16,"Tier 3 — Event-driven","Tier 4 — Monitor only"))))</f>
        <v>Tier 2 — Seasonal/Regional</v>
      </c>
      <c r="T63" s="55">
        <f>Feasibility!$F35</f>
        <v>91</v>
      </c>
      <c r="U63" s="37" t="str">
        <f>IF($M63="Not present","Defer — not present",IF(AND(R63&gt;=Settings!$B$49,T63&gt;=Settings!$B$50),"Do now",IF(AND(R63&gt;=Settings!$B$49,T63&lt;Settings!$B$50),"Invest to enable",IF(AND(R63&lt;Settings!$B$49,T63&gt;=Settings!$B$50),"Low-cost add-on","Defer"))))</f>
        <v>Low-cost add-on</v>
      </c>
      <c r="V63" s="12" t="str">
        <f t="shared" si="2"/>
        <v>Cheap to multiplex onto existing runs; add if capacity allows</v>
      </c>
    </row>
    <row r="64" ht="26.25" customHeight="1" spans="1:22">
      <c r="A64" s="70" t="s">
        <v>239</v>
      </c>
      <c r="B64" s="64" t="s">
        <v>240</v>
      </c>
      <c r="C64" s="64" t="s">
        <v>238</v>
      </c>
      <c r="D64" s="82">
        <f>ROUND(MIN(5,IF(Pathogens!I32&gt;=500,5,IF(Pathogens!I32&gt;=200,4,IF(Pathogens!I32&gt;=50,3,IF(Pathogens!I32&gt;=10,2,1))))*0.5+IF(Pathogens!J32&gt;=30,5,IF(Pathogens!J32&gt;=10,4,IF(Pathogens!J32&gt;=3,3,IF(Pathogens!J32&gt;=1,2,1))))*0.4+IF(AND($B$7&gt;=80,Pathogens!N32&gt;=0.5),1,0)*0.1+IF($B$10&lt;50,0.3,0)),0)</f>
        <v>2</v>
      </c>
      <c r="E64" s="82">
        <f>ROUND(MIN(5,IF(Pathogens!K32&gt;=8,5,IF(Pathogens!K32&gt;=5,4,IF(Pathogens!K32&gt;=3,3,IF(Pathogens!K32&gt;=1,2,1))))*0.5+IF(Pathogens!L32&gt;=5,5,IF(Pathogens!L32&gt;=3,4,IF(Pathogens!L32&gt;=2,3,IF(Pathogens!L32&gt;=1.2,2,1))))*0.3+IF(Pathogens!M32=1,2,0)*0.2+IF($B$13&gt;=2,0.5,0)),0)</f>
        <v>3</v>
      </c>
      <c r="F64" s="82">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c r="G64" s="82">
        <f>ROUND(MAX(1,MIN(5,(6-$B$11)*0.5+(6-$B$12)*0.4+(IF(AND(Pathogens!N32&gt;=0.5,$B$8&lt;60),5,IF(Pathogens!N32&gt;=0.5,4,IF(Pathogens!N32&gt;=0.3,3,IF(Pathogens!N32&gt;=0.1,2,1)))))*0.1)),0)</f>
        <v>2</v>
      </c>
      <c r="H64" s="82">
        <f>IF(ISNUMBER(SEARCH("Vaccine-preventable",Pathogens!C32)),2,IF(ISNUMBER(SEARCH("AMR",Pathogens!C32)),5,IF(ISNUMBER(SEARCH("VHF",Pathogens!C32)),4,IF(ISNUMBER(SEARCH("Emerging",Pathogens!C32)),5,IF(ISNUMBER(SEARCH("Mycobacterial",Pathogens!C32)),3,IF(ISNUMBER(SEARCH("Helminth",Pathogens!C32)),3,IF(ISNUMBER(SEARCH("Respiratory",Pathogens!C32)),4,3)))))))</f>
        <v>3</v>
      </c>
      <c r="I64" s="82">
        <f>IF(ISNUMBER(SEARCH("AMR",Pathogens!C32)),5,IF(ISNUMBER(SEARCH("Mycobacterial",Pathogens!C32)),4,IF(ISNUMBER(SEARCH("Enteric bacterial",Pathogens!C32)),3,IF(ISNUMBER(SEARCH("Bacterial",Pathogens!C32)),3,1))))</f>
        <v>3</v>
      </c>
      <c r="J64" s="82">
        <f t="shared" si="0"/>
        <v>3</v>
      </c>
      <c r="K64" s="83">
        <f>ROUND(((D64*Settings!$C$4)+(E64*Settings!$C$5)+(F64*Settings!$C$6)+(G64*Settings!$C$7)+(H64*Settings!$C$8)+(I64*Settings!$C$9)+(J64*Settings!$C$10))/5*100,1)</f>
        <v>56</v>
      </c>
      <c r="L64" s="84" t="str">
        <f>IF(K64&gt;=Settings!$B$14,"Tier 1 — Always-on",IF(K64&gt;=Settings!$B$15,"Tier 2 — Seasonal/Regional",IF(K64&gt;=Settings!$B$16,"Tier 3 — Event-driven","Tier 4 — Monitor only")))</f>
        <v>Tier 2 — Seasonal/Regional</v>
      </c>
      <c r="M64" s="55" t="str">
        <f>IFERROR(INDEX(Endemicity!$C$2:$BN$55,MATCH($B$3,Endemicity!$B$2:$B$55,0),MATCH($A64,Endemicity!$C$1:$BN$1,0)),"Sporadic")</f>
        <v>Sporadic</v>
      </c>
      <c r="N64" s="48">
        <f>IF(Settings!$B$48="ON",IFERROR(MATCH($M64,Settings!$B$35:$F$35,0),5),5)</f>
        <v>2</v>
      </c>
      <c r="O64" s="48">
        <f>(6-Pathogens!X32)</f>
        <v>5</v>
      </c>
      <c r="P64" s="48">
        <f>ROUND(MIN(5,MAX(1,0.35*IF(Pathogens!R32=1,5,IF(Pathogens!R32=2,3,1))+0.2*IF(Pathogens!S32=1,5,IF(Pathogens!S32=2,3,1))+0.25*IF(Pathogens!W32=1,IF($B$26&gt;=3,5,IF($B$26=2,4,IF($B$26=1,2,1))),5)+0.2*IF($B$15&gt;=50,5,IF($B$15&gt;=25,4,IF($B$15&gt;=10,3,IF($B$15&gt;=5,2,1)))))),0)</f>
        <v>4</v>
      </c>
      <c r="Q64" s="37" t="str">
        <f t="shared" si="1"/>
        <v>Early detection sensitivity</v>
      </c>
      <c r="R64" s="37">
        <f>ROUND(MIN(100,((D64)*Settings!$C$23*INDEX(Settings!$B$36:$F$44,1,$N64)+(E64)*Settings!$C$24*INDEX(Settings!$B$36:$F$44,2,$N64)+(F64)*Settings!$C$25*INDEX(Settings!$B$36:$F$44,3,$N64)+(G64)*Settings!$C$26*INDEX(Settings!$B$36:$F$44,4,$N64)+(H64)*Settings!$C$27*INDEX(Settings!$B$36:$F$44,5,$N64)+(I64)*Settings!$C$28*INDEX(Settings!$B$36:$F$44,6,$N64)+(J64)*Settings!$C$29*INDEX(Settings!$B$36:$F$44,7,$N64)+(O64)*Settings!$C$30*INDEX(Settings!$B$36:$F$44,8,$N64)+(P64)*Settings!$C$31*INDEX(Settings!$B$36:$F$44,9,$N64))/INDEX(Settings!$B$45:$F$45,1,$N64)/5*100*IF($M64="Not present",Settings!$B$51,1)),1)</f>
        <v>64.7</v>
      </c>
      <c r="S64" s="37" t="str">
        <f>IF($M64="Not present","Tier 4 — Watch only (absent)",IF(R64&gt;=Settings!$B$14,"Tier 1 — Always-on",IF(R64&gt;=Settings!$B$15,"Tier 2 — Seasonal/Regional",IF(R64&gt;=Settings!$B$16,"Tier 3 — Event-driven","Tier 4 — Monitor only"))))</f>
        <v>Tier 2 — Seasonal/Regional</v>
      </c>
      <c r="T64" s="55">
        <f>Feasibility!$F36</f>
        <v>79</v>
      </c>
      <c r="U64" s="37" t="str">
        <f>IF($M64="Not present","Defer — not present",IF(AND(R64&gt;=Settings!$B$49,T64&gt;=Settings!$B$50),"Do now",IF(AND(R64&gt;=Settings!$B$49,T64&lt;Settings!$B$50),"Invest to enable",IF(AND(R64&lt;Settings!$B$49,T64&gt;=Settings!$B$50),"Low-cost add-on","Defer"))))</f>
        <v>Low-cost add-on</v>
      </c>
      <c r="V64" s="12" t="str">
        <f t="shared" si="2"/>
        <v>Cheap to multiplex onto existing runs; add if capacity allows</v>
      </c>
    </row>
    <row r="65" ht="26.25" customHeight="1" spans="1:22">
      <c r="A65" s="70" t="s">
        <v>241</v>
      </c>
      <c r="B65" s="64" t="s">
        <v>242</v>
      </c>
      <c r="C65" s="64" t="s">
        <v>238</v>
      </c>
      <c r="D65" s="82">
        <f>ROUND(MIN(5,IF(Pathogens!I33&gt;=500,5,IF(Pathogens!I33&gt;=200,4,IF(Pathogens!I33&gt;=50,3,IF(Pathogens!I33&gt;=10,2,1))))*0.5+IF(Pathogens!J33&gt;=30,5,IF(Pathogens!J33&gt;=10,4,IF(Pathogens!J33&gt;=3,3,IF(Pathogens!J33&gt;=1,2,1))))*0.4+IF(AND($B$7&gt;=80,Pathogens!N33&gt;=0.5),1,0)*0.1+IF($B$10&lt;50,0.3,0)),0)</f>
        <v>3</v>
      </c>
      <c r="E65" s="82">
        <f>ROUND(MIN(5,IF(Pathogens!K33&gt;=8,5,IF(Pathogens!K33&gt;=5,4,IF(Pathogens!K33&gt;=3,3,IF(Pathogens!K33&gt;=1,2,1))))*0.5+IF(Pathogens!L33&gt;=5,5,IF(Pathogens!L33&gt;=3,4,IF(Pathogens!L33&gt;=2,3,IF(Pathogens!L33&gt;=1.2,2,1))))*0.3+IF(Pathogens!M33=1,2,0)*0.2+IF($B$13&gt;=2,0.5,0)),0)</f>
        <v>4</v>
      </c>
      <c r="F65" s="82">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c r="G65" s="82">
        <f>ROUND(MAX(1,MIN(5,(6-$B$11)*0.5+(6-$B$12)*0.4+(IF(AND(Pathogens!N33&gt;=0.5,$B$8&lt;60),5,IF(Pathogens!N33&gt;=0.5,4,IF(Pathogens!N33&gt;=0.3,3,IF(Pathogens!N33&gt;=0.1,2,1)))))*0.1)),0)</f>
        <v>2</v>
      </c>
      <c r="H65" s="82">
        <f>IF(ISNUMBER(SEARCH("Vaccine-preventable",Pathogens!C33)),2,IF(ISNUMBER(SEARCH("AMR",Pathogens!C33)),5,IF(ISNUMBER(SEARCH("VHF",Pathogens!C33)),4,IF(ISNUMBER(SEARCH("Emerging",Pathogens!C33)),5,IF(ISNUMBER(SEARCH("Mycobacterial",Pathogens!C33)),3,IF(ISNUMBER(SEARCH("Helminth",Pathogens!C33)),3,IF(ISNUMBER(SEARCH("Respiratory",Pathogens!C33)),4,3)))))))</f>
        <v>3</v>
      </c>
      <c r="I65" s="82">
        <f>IF(ISNUMBER(SEARCH("AMR",Pathogens!C33)),5,IF(ISNUMBER(SEARCH("Mycobacterial",Pathogens!C33)),4,IF(ISNUMBER(SEARCH("Enteric bacterial",Pathogens!C33)),3,IF(ISNUMBER(SEARCH("Bacterial",Pathogens!C33)),3,1))))</f>
        <v>3</v>
      </c>
      <c r="J65" s="82">
        <f t="shared" si="0"/>
        <v>3</v>
      </c>
      <c r="K65" s="83">
        <f>ROUND(((D65*Settings!$C$4)+(E65*Settings!$C$5)+(F65*Settings!$C$6)+(G65*Settings!$C$7)+(H65*Settings!$C$8)+(I65*Settings!$C$9)+(J65*Settings!$C$10))/5*100,1)</f>
        <v>64</v>
      </c>
      <c r="L65" s="84" t="str">
        <f>IF(K65&gt;=Settings!$B$14,"Tier 1 — Always-on",IF(K65&gt;=Settings!$B$15,"Tier 2 — Seasonal/Regional",IF(K65&gt;=Settings!$B$16,"Tier 3 — Event-driven","Tier 4 — Monitor only")))</f>
        <v>Tier 2 — Seasonal/Regional</v>
      </c>
      <c r="M65" s="55" t="str">
        <f>IFERROR(INDEX(Endemicity!$C$2:$BN$55,MATCH($B$3,Endemicity!$B$2:$B$55,0),MATCH($A65,Endemicity!$C$1:$BN$1,0)),"Sporadic")</f>
        <v>Endemic</v>
      </c>
      <c r="N65" s="48">
        <f>IF(Settings!$B$48="ON",IFERROR(MATCH($M65,Settings!$B$35:$F$35,0),5),5)</f>
        <v>1</v>
      </c>
      <c r="O65" s="48">
        <f>(6-Pathogens!X33)</f>
        <v>3</v>
      </c>
      <c r="P65" s="48">
        <f>ROUND(MIN(5,MAX(1,0.35*IF(Pathogens!R33=1,5,IF(Pathogens!R33=2,3,1))+0.2*IF(Pathogens!S33=1,5,IF(Pathogens!S33=2,3,1))+0.25*IF(Pathogens!W33=1,IF($B$26&gt;=3,5,IF($B$26=2,4,IF($B$26=1,2,1))),5)+0.2*IF($B$15&gt;=50,5,IF($B$15&gt;=25,4,IF($B$15&gt;=10,3,IF($B$15&gt;=5,2,1)))))),0)</f>
        <v>5</v>
      </c>
      <c r="Q65" s="37" t="str">
        <f t="shared" si="1"/>
        <v>Trend / intensity monitoring</v>
      </c>
      <c r="R65" s="37">
        <f>ROUND(MIN(100,((D65)*Settings!$C$23*INDEX(Settings!$B$36:$F$44,1,$N65)+(E65)*Settings!$C$24*INDEX(Settings!$B$36:$F$44,2,$N65)+(F65)*Settings!$C$25*INDEX(Settings!$B$36:$F$44,3,$N65)+(G65)*Settings!$C$26*INDEX(Settings!$B$36:$F$44,4,$N65)+(H65)*Settings!$C$27*INDEX(Settings!$B$36:$F$44,5,$N65)+(I65)*Settings!$C$28*INDEX(Settings!$B$36:$F$44,6,$N65)+(J65)*Settings!$C$29*INDEX(Settings!$B$36:$F$44,7,$N65)+(O65)*Settings!$C$30*INDEX(Settings!$B$36:$F$44,8,$N65)+(P65)*Settings!$C$31*INDEX(Settings!$B$36:$F$44,9,$N65))/INDEX(Settings!$B$45:$F$45,1,$N65)/5*100*IF($M65="Not present",Settings!$B$51,1)),1)</f>
        <v>68.6</v>
      </c>
      <c r="S65" s="37" t="str">
        <f>IF($M65="Not present","Tier 4 — Watch only (absent)",IF(R65&gt;=Settings!$B$14,"Tier 1 — Always-on",IF(R65&gt;=Settings!$B$15,"Tier 2 — Seasonal/Regional",IF(R65&gt;=Settings!$B$16,"Tier 3 — Event-driven","Tier 4 — Monitor only"))))</f>
        <v>Tier 2 — Seasonal/Regional</v>
      </c>
      <c r="T65" s="55">
        <f>Feasibility!$F37</f>
        <v>91</v>
      </c>
      <c r="U65" s="37" t="str">
        <f>IF($M65="Not present","Defer — not present",IF(AND(R65&gt;=Settings!$B$49,T65&gt;=Settings!$B$50),"Do now",IF(AND(R65&gt;=Settings!$B$49,T65&lt;Settings!$B$50),"Invest to enable",IF(AND(R65&lt;Settings!$B$49,T65&gt;=Settings!$B$50),"Low-cost add-on","Defer"))))</f>
        <v>Do now</v>
      </c>
      <c r="V65" s="12" t="str">
        <f t="shared" si="2"/>
        <v>Include in always-on panel; report trend vs baseline</v>
      </c>
    </row>
    <row r="66" ht="26.25" customHeight="1" spans="1:22">
      <c r="A66" s="70" t="s">
        <v>243</v>
      </c>
      <c r="B66" s="64" t="s">
        <v>244</v>
      </c>
      <c r="C66" s="64" t="s">
        <v>238</v>
      </c>
      <c r="D66" s="82">
        <f>ROUND(MIN(5,IF(Pathogens!I34&gt;=500,5,IF(Pathogens!I34&gt;=200,4,IF(Pathogens!I34&gt;=50,3,IF(Pathogens!I34&gt;=10,2,1))))*0.5+IF(Pathogens!J34&gt;=30,5,IF(Pathogens!J34&gt;=10,4,IF(Pathogens!J34&gt;=3,3,IF(Pathogens!J34&gt;=1,2,1))))*0.4+IF(AND($B$7&gt;=80,Pathogens!N34&gt;=0.5),1,0)*0.1+IF($B$10&lt;50,0.3,0)),0)</f>
        <v>2</v>
      </c>
      <c r="E66" s="82">
        <f>ROUND(MIN(5,IF(Pathogens!K34&gt;=8,5,IF(Pathogens!K34&gt;=5,4,IF(Pathogens!K34&gt;=3,3,IF(Pathogens!K34&gt;=1,2,1))))*0.5+IF(Pathogens!L34&gt;=5,5,IF(Pathogens!L34&gt;=3,4,IF(Pathogens!L34&gt;=2,3,IF(Pathogens!L34&gt;=1.2,2,1))))*0.3+IF(Pathogens!M34=1,2,0)*0.2+IF($B$13&gt;=2,0.5,0)),0)</f>
        <v>3</v>
      </c>
      <c r="F66" s="82">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c r="G66" s="82">
        <f>ROUND(MAX(1,MIN(5,(6-$B$11)*0.5+(6-$B$12)*0.4+(IF(AND(Pathogens!N34&gt;=0.5,$B$8&lt;60),5,IF(Pathogens!N34&gt;=0.5,4,IF(Pathogens!N34&gt;=0.3,3,IF(Pathogens!N34&gt;=0.1,2,1)))))*0.1)),0)</f>
        <v>2</v>
      </c>
      <c r="H66" s="82">
        <f>IF(ISNUMBER(SEARCH("Vaccine-preventable",Pathogens!C34)),2,IF(ISNUMBER(SEARCH("AMR",Pathogens!C34)),5,IF(ISNUMBER(SEARCH("VHF",Pathogens!C34)),4,IF(ISNUMBER(SEARCH("Emerging",Pathogens!C34)),5,IF(ISNUMBER(SEARCH("Mycobacterial",Pathogens!C34)),3,IF(ISNUMBER(SEARCH("Helminth",Pathogens!C34)),3,IF(ISNUMBER(SEARCH("Respiratory",Pathogens!C34)),4,3)))))))</f>
        <v>3</v>
      </c>
      <c r="I66" s="82">
        <f>IF(ISNUMBER(SEARCH("AMR",Pathogens!C34)),5,IF(ISNUMBER(SEARCH("Mycobacterial",Pathogens!C34)),4,IF(ISNUMBER(SEARCH("Enteric bacterial",Pathogens!C34)),3,IF(ISNUMBER(SEARCH("Bacterial",Pathogens!C34)),3,1))))</f>
        <v>3</v>
      </c>
      <c r="J66" s="82">
        <f t="shared" ref="J66:J97" si="3">ROUND(MIN(5,IF($B$7&gt;=80,5,IF($B$7&gt;=50,4,IF($B$7&gt;=30,3,IF($B$7&gt;=15,2,1))))*0.4+IF($B$8&lt;25,5,IF($B$8&lt;40,4,IF($B$8&lt;60,3,IF($B$8&lt;80,2,1))))*0.35+IF($B$14&gt;=100,5,IF($B$14&gt;=85,4,IF($B$14&gt;=70,3,IF($B$14&gt;=50,2,1))))*0.25),0)</f>
        <v>3</v>
      </c>
      <c r="K66" s="83">
        <f>ROUND(((D66*Settings!$C$4)+(E66*Settings!$C$5)+(F66*Settings!$C$6)+(G66*Settings!$C$7)+(H66*Settings!$C$8)+(I66*Settings!$C$9)+(J66*Settings!$C$10))/5*100,1)</f>
        <v>56</v>
      </c>
      <c r="L66" s="84" t="str">
        <f>IF(K66&gt;=Settings!$B$14,"Tier 1 — Always-on",IF(K66&gt;=Settings!$B$15,"Tier 2 — Seasonal/Regional",IF(K66&gt;=Settings!$B$16,"Tier 3 — Event-driven","Tier 4 — Monitor only")))</f>
        <v>Tier 2 — Seasonal/Regional</v>
      </c>
      <c r="M66" s="55" t="str">
        <f>IFERROR(INDEX(Endemicity!$C$2:$BN$55,MATCH($B$3,Endemicity!$B$2:$B$55,0),MATCH($A66,Endemicity!$C$1:$BN$1,0)),"Sporadic")</f>
        <v>Endemic</v>
      </c>
      <c r="N66" s="48">
        <f>IF(Settings!$B$48="ON",IFERROR(MATCH($M66,Settings!$B$35:$F$35,0),5),5)</f>
        <v>1</v>
      </c>
      <c r="O66" s="48">
        <f>(6-Pathogens!X34)</f>
        <v>4</v>
      </c>
      <c r="P66" s="48">
        <f>ROUND(MIN(5,MAX(1,0.35*IF(Pathogens!R34=1,5,IF(Pathogens!R34=2,3,1))+0.2*IF(Pathogens!S34=1,5,IF(Pathogens!S34=2,3,1))+0.25*IF(Pathogens!W34=1,IF($B$26&gt;=3,5,IF($B$26=2,4,IF($B$26=1,2,1))),5)+0.2*IF($B$15&gt;=50,5,IF($B$15&gt;=25,4,IF($B$15&gt;=10,3,IF($B$15&gt;=5,2,1)))))),0)</f>
        <v>4</v>
      </c>
      <c r="Q66" s="37" t="str">
        <f t="shared" ref="Q66:Q97" si="4">IF($M66="Endemic","Trend / intensity monitoring",IF($M66="Sporadic","Early detection sensitivity",IF($M66="Emerging","Horizon scanning","Watch only — not present")))</f>
        <v>Trend / intensity monitoring</v>
      </c>
      <c r="R66" s="37">
        <f>ROUND(MIN(100,((D66)*Settings!$C$23*INDEX(Settings!$B$36:$F$44,1,$N66)+(E66)*Settings!$C$24*INDEX(Settings!$B$36:$F$44,2,$N66)+(F66)*Settings!$C$25*INDEX(Settings!$B$36:$F$44,3,$N66)+(G66)*Settings!$C$26*INDEX(Settings!$B$36:$F$44,4,$N66)+(H66)*Settings!$C$27*INDEX(Settings!$B$36:$F$44,5,$N66)+(I66)*Settings!$C$28*INDEX(Settings!$B$36:$F$44,6,$N66)+(J66)*Settings!$C$29*INDEX(Settings!$B$36:$F$44,7,$N66)+(O66)*Settings!$C$30*INDEX(Settings!$B$36:$F$44,8,$N66)+(P66)*Settings!$C$31*INDEX(Settings!$B$36:$F$44,9,$N66))/INDEX(Settings!$B$45:$F$45,1,$N66)/5*100*IF($M66="Not present",Settings!$B$51,1)),1)</f>
        <v>60.7</v>
      </c>
      <c r="S66" s="37" t="str">
        <f>IF($M66="Not present","Tier 4 — Watch only (absent)",IF(R66&gt;=Settings!$B$14,"Tier 1 — Always-on",IF(R66&gt;=Settings!$B$15,"Tier 2 — Seasonal/Regional",IF(R66&gt;=Settings!$B$16,"Tier 3 — Event-driven","Tier 4 — Monitor only"))))</f>
        <v>Tier 2 — Seasonal/Regional</v>
      </c>
      <c r="T66" s="55">
        <f>Feasibility!$F38</f>
        <v>79</v>
      </c>
      <c r="U66" s="37" t="str">
        <f>IF($M66="Not present","Defer — not present",IF(AND(R66&gt;=Settings!$B$49,T66&gt;=Settings!$B$50),"Do now",IF(AND(R66&gt;=Settings!$B$49,T66&lt;Settings!$B$50),"Invest to enable",IF(AND(R66&lt;Settings!$B$49,T66&gt;=Settings!$B$50),"Low-cost add-on","Defer"))))</f>
        <v>Low-cost add-on</v>
      </c>
      <c r="V66" s="12" t="str">
        <f t="shared" ref="V66:V97" si="5">IF($U66="Do now",IF($M66="Endemic","Include in always-on panel; report trend vs baseline","Include in year-1 panel; alert on first detection"),IF($U66="Invest to enable","High value — budget for assay/NGS/catchment before adding",IF($U66="Low-cost add-on","Cheap to multiplex onto existing runs; add if capacity allows","Defer to a later phase or event-driven testing only")))</f>
        <v>Cheap to multiplex onto existing runs; add if capacity allows</v>
      </c>
    </row>
    <row r="67" ht="26.25" customHeight="1" spans="1:22">
      <c r="A67" s="70" t="s">
        <v>245</v>
      </c>
      <c r="B67" s="64" t="s">
        <v>246</v>
      </c>
      <c r="C67" s="64" t="s">
        <v>238</v>
      </c>
      <c r="D67" s="82">
        <f>ROUND(MIN(5,IF(Pathogens!I35&gt;=500,5,IF(Pathogens!I35&gt;=200,4,IF(Pathogens!I35&gt;=50,3,IF(Pathogens!I35&gt;=10,2,1))))*0.5+IF(Pathogens!J35&gt;=30,5,IF(Pathogens!J35&gt;=10,4,IF(Pathogens!J35&gt;=3,3,IF(Pathogens!J35&gt;=1,2,1))))*0.4+IF(AND($B$7&gt;=80,Pathogens!N35&gt;=0.5),1,0)*0.1+IF($B$10&lt;50,0.3,0)),0)</f>
        <v>3</v>
      </c>
      <c r="E67" s="82">
        <f>ROUND(MIN(5,IF(Pathogens!K35&gt;=8,5,IF(Pathogens!K35&gt;=5,4,IF(Pathogens!K35&gt;=3,3,IF(Pathogens!K35&gt;=1,2,1))))*0.5+IF(Pathogens!L35&gt;=5,5,IF(Pathogens!L35&gt;=3,4,IF(Pathogens!L35&gt;=2,3,IF(Pathogens!L35&gt;=1.2,2,1))))*0.3+IF(Pathogens!M35=1,2,0)*0.2+IF($B$13&gt;=2,0.5,0)),0)</f>
        <v>4</v>
      </c>
      <c r="F67" s="82">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c r="G67" s="82">
        <f>ROUND(MAX(1,MIN(5,(6-$B$11)*0.5+(6-$B$12)*0.4+(IF(AND(Pathogens!N35&gt;=0.5,$B$8&lt;60),5,IF(Pathogens!N35&gt;=0.5,4,IF(Pathogens!N35&gt;=0.3,3,IF(Pathogens!N35&gt;=0.1,2,1)))))*0.1)),0)</f>
        <v>2</v>
      </c>
      <c r="H67" s="82">
        <f>IF(ISNUMBER(SEARCH("Vaccine-preventable",Pathogens!C35)),2,IF(ISNUMBER(SEARCH("AMR",Pathogens!C35)),5,IF(ISNUMBER(SEARCH("VHF",Pathogens!C35)),4,IF(ISNUMBER(SEARCH("Emerging",Pathogens!C35)),5,IF(ISNUMBER(SEARCH("Mycobacterial",Pathogens!C35)),3,IF(ISNUMBER(SEARCH("Helminth",Pathogens!C35)),3,IF(ISNUMBER(SEARCH("Respiratory",Pathogens!C35)),4,3)))))))</f>
        <v>3</v>
      </c>
      <c r="I67" s="82">
        <f>IF(ISNUMBER(SEARCH("AMR",Pathogens!C35)),5,IF(ISNUMBER(SEARCH("Mycobacterial",Pathogens!C35)),4,IF(ISNUMBER(SEARCH("Enteric bacterial",Pathogens!C35)),3,IF(ISNUMBER(SEARCH("Bacterial",Pathogens!C35)),3,1))))</f>
        <v>3</v>
      </c>
      <c r="J67" s="82">
        <f t="shared" si="3"/>
        <v>3</v>
      </c>
      <c r="K67" s="83">
        <f>ROUND(((D67*Settings!$C$4)+(E67*Settings!$C$5)+(F67*Settings!$C$6)+(G67*Settings!$C$7)+(H67*Settings!$C$8)+(I67*Settings!$C$9)+(J67*Settings!$C$10))/5*100,1)</f>
        <v>64</v>
      </c>
      <c r="L67" s="84" t="str">
        <f>IF(K67&gt;=Settings!$B$14,"Tier 1 — Always-on",IF(K67&gt;=Settings!$B$15,"Tier 2 — Seasonal/Regional",IF(K67&gt;=Settings!$B$16,"Tier 3 — Event-driven","Tier 4 — Monitor only")))</f>
        <v>Tier 2 — Seasonal/Regional</v>
      </c>
      <c r="M67" s="55" t="str">
        <f>IFERROR(INDEX(Endemicity!$C$2:$BN$55,MATCH($B$3,Endemicity!$B$2:$B$55,0),MATCH($A67,Endemicity!$C$1:$BN$1,0)),"Sporadic")</f>
        <v>Endemic</v>
      </c>
      <c r="N67" s="48">
        <f>IF(Settings!$B$48="ON",IFERROR(MATCH($M67,Settings!$B$35:$F$35,0),5),5)</f>
        <v>1</v>
      </c>
      <c r="O67" s="48">
        <f>(6-Pathogens!X35)</f>
        <v>4</v>
      </c>
      <c r="P67" s="48">
        <f>ROUND(MIN(5,MAX(1,0.35*IF(Pathogens!R35=1,5,IF(Pathogens!R35=2,3,1))+0.2*IF(Pathogens!S35=1,5,IF(Pathogens!S35=2,3,1))+0.25*IF(Pathogens!W35=1,IF($B$26&gt;=3,5,IF($B$26=2,4,IF($B$26=1,2,1))),5)+0.2*IF($B$15&gt;=50,5,IF($B$15&gt;=25,4,IF($B$15&gt;=10,3,IF($B$15&gt;=5,2,1)))))),0)</f>
        <v>4</v>
      </c>
      <c r="Q67" s="37" t="str">
        <f t="shared" si="4"/>
        <v>Trend / intensity monitoring</v>
      </c>
      <c r="R67" s="37">
        <f>ROUND(MIN(100,((D67)*Settings!$C$23*INDEX(Settings!$B$36:$F$44,1,$N67)+(E67)*Settings!$C$24*INDEX(Settings!$B$36:$F$44,2,$N67)+(F67)*Settings!$C$25*INDEX(Settings!$B$36:$F$44,3,$N67)+(G67)*Settings!$C$26*INDEX(Settings!$B$36:$F$44,4,$N67)+(H67)*Settings!$C$27*INDEX(Settings!$B$36:$F$44,5,$N67)+(I67)*Settings!$C$28*INDEX(Settings!$B$36:$F$44,6,$N67)+(J67)*Settings!$C$29*INDEX(Settings!$B$36:$F$44,7,$N67)+(O67)*Settings!$C$30*INDEX(Settings!$B$36:$F$44,8,$N67)+(P67)*Settings!$C$31*INDEX(Settings!$B$36:$F$44,9,$N67))/INDEX(Settings!$B$45:$F$45,1,$N67)/5*100*IF($M67="Not present",Settings!$B$51,1)),1)</f>
        <v>66.6</v>
      </c>
      <c r="S67" s="37" t="str">
        <f>IF($M67="Not present","Tier 4 — Watch only (absent)",IF(R67&gt;=Settings!$B$14,"Tier 1 — Always-on",IF(R67&gt;=Settings!$B$15,"Tier 2 — Seasonal/Regional",IF(R67&gt;=Settings!$B$16,"Tier 3 — Event-driven","Tier 4 — Monitor only"))))</f>
        <v>Tier 2 — Seasonal/Regional</v>
      </c>
      <c r="T67" s="55">
        <f>Feasibility!$F39</f>
        <v>79</v>
      </c>
      <c r="U67" s="37" t="str">
        <f>IF($M67="Not present","Defer — not present",IF(AND(R67&gt;=Settings!$B$49,T67&gt;=Settings!$B$50),"Do now",IF(AND(R67&gt;=Settings!$B$49,T67&lt;Settings!$B$50),"Invest to enable",IF(AND(R67&lt;Settings!$B$49,T67&gt;=Settings!$B$50),"Low-cost add-on","Defer"))))</f>
        <v>Do now</v>
      </c>
      <c r="V67" s="12" t="str">
        <f t="shared" si="5"/>
        <v>Include in always-on panel; report trend vs baseline</v>
      </c>
    </row>
    <row r="68" ht="26.25" customHeight="1" spans="1:22">
      <c r="A68" s="70" t="s">
        <v>247</v>
      </c>
      <c r="B68" s="64" t="s">
        <v>248</v>
      </c>
      <c r="C68" s="64" t="s">
        <v>238</v>
      </c>
      <c r="D68" s="82">
        <f>ROUND(MIN(5,IF(Pathogens!I36&gt;=500,5,IF(Pathogens!I36&gt;=200,4,IF(Pathogens!I36&gt;=50,3,IF(Pathogens!I36&gt;=10,2,1))))*0.5+IF(Pathogens!J36&gt;=30,5,IF(Pathogens!J36&gt;=10,4,IF(Pathogens!J36&gt;=3,3,IF(Pathogens!J36&gt;=1,2,1))))*0.4+IF(AND($B$7&gt;=80,Pathogens!N36&gt;=0.5),1,0)*0.1+IF($B$10&lt;50,0.3,0)),0)</f>
        <v>3</v>
      </c>
      <c r="E68" s="82">
        <f>ROUND(MIN(5,IF(Pathogens!K36&gt;=8,5,IF(Pathogens!K36&gt;=5,4,IF(Pathogens!K36&gt;=3,3,IF(Pathogens!K36&gt;=1,2,1))))*0.5+IF(Pathogens!L36&gt;=5,5,IF(Pathogens!L36&gt;=3,4,IF(Pathogens!L36&gt;=2,3,IF(Pathogens!L36&gt;=1.2,2,1))))*0.3+IF(Pathogens!M36=1,2,0)*0.2+IF($B$13&gt;=2,0.5,0)),0)</f>
        <v>4</v>
      </c>
      <c r="F68" s="82">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c r="G68" s="82">
        <f>ROUND(MAX(1,MIN(5,(6-$B$11)*0.5+(6-$B$12)*0.4+(IF(AND(Pathogens!N36&gt;=0.5,$B$8&lt;60),5,IF(Pathogens!N36&gt;=0.5,4,IF(Pathogens!N36&gt;=0.3,3,IF(Pathogens!N36&gt;=0.1,2,1)))))*0.1)),0)</f>
        <v>2</v>
      </c>
      <c r="H68" s="82">
        <f>IF(ISNUMBER(SEARCH("Vaccine-preventable",Pathogens!C36)),2,IF(ISNUMBER(SEARCH("AMR",Pathogens!C36)),5,IF(ISNUMBER(SEARCH("VHF",Pathogens!C36)),4,IF(ISNUMBER(SEARCH("Emerging",Pathogens!C36)),5,IF(ISNUMBER(SEARCH("Mycobacterial",Pathogens!C36)),3,IF(ISNUMBER(SEARCH("Helminth",Pathogens!C36)),3,IF(ISNUMBER(SEARCH("Respiratory",Pathogens!C36)),4,3)))))))</f>
        <v>3</v>
      </c>
      <c r="I68" s="82">
        <f>IF(ISNUMBER(SEARCH("AMR",Pathogens!C36)),5,IF(ISNUMBER(SEARCH("Mycobacterial",Pathogens!C36)),4,IF(ISNUMBER(SEARCH("Enteric bacterial",Pathogens!C36)),3,IF(ISNUMBER(SEARCH("Bacterial",Pathogens!C36)),3,1))))</f>
        <v>3</v>
      </c>
      <c r="J68" s="82">
        <f t="shared" si="3"/>
        <v>3</v>
      </c>
      <c r="K68" s="83">
        <f>ROUND(((D68*Settings!$C$4)+(E68*Settings!$C$5)+(F68*Settings!$C$6)+(G68*Settings!$C$7)+(H68*Settings!$C$8)+(I68*Settings!$C$9)+(J68*Settings!$C$10))/5*100,1)</f>
        <v>64</v>
      </c>
      <c r="L68" s="84" t="str">
        <f>IF(K68&gt;=Settings!$B$14,"Tier 1 — Always-on",IF(K68&gt;=Settings!$B$15,"Tier 2 — Seasonal/Regional",IF(K68&gt;=Settings!$B$16,"Tier 3 — Event-driven","Tier 4 — Monitor only")))</f>
        <v>Tier 2 — Seasonal/Regional</v>
      </c>
      <c r="M68" s="55" t="str">
        <f>IFERROR(INDEX(Endemicity!$C$2:$BN$55,MATCH($B$3,Endemicity!$B$2:$B$55,0),MATCH($A68,Endemicity!$C$1:$BN$1,0)),"Sporadic")</f>
        <v>Endemic</v>
      </c>
      <c r="N68" s="48">
        <f>IF(Settings!$B$48="ON",IFERROR(MATCH($M68,Settings!$B$35:$F$35,0),5),5)</f>
        <v>1</v>
      </c>
      <c r="O68" s="48">
        <f>(6-Pathogens!X36)</f>
        <v>3</v>
      </c>
      <c r="P68" s="48">
        <f>ROUND(MIN(5,MAX(1,0.35*IF(Pathogens!R36=1,5,IF(Pathogens!R36=2,3,1))+0.2*IF(Pathogens!S36=1,5,IF(Pathogens!S36=2,3,1))+0.25*IF(Pathogens!W36=1,IF($B$26&gt;=3,5,IF($B$26=2,4,IF($B$26=1,2,1))),5)+0.2*IF($B$15&gt;=50,5,IF($B$15&gt;=25,4,IF($B$15&gt;=10,3,IF($B$15&gt;=5,2,1)))))),0)</f>
        <v>5</v>
      </c>
      <c r="Q68" s="37" t="str">
        <f t="shared" si="4"/>
        <v>Trend / intensity monitoring</v>
      </c>
      <c r="R68" s="37">
        <f>ROUND(MIN(100,((D68)*Settings!$C$23*INDEX(Settings!$B$36:$F$44,1,$N68)+(E68)*Settings!$C$24*INDEX(Settings!$B$36:$F$44,2,$N68)+(F68)*Settings!$C$25*INDEX(Settings!$B$36:$F$44,3,$N68)+(G68)*Settings!$C$26*INDEX(Settings!$B$36:$F$44,4,$N68)+(H68)*Settings!$C$27*INDEX(Settings!$B$36:$F$44,5,$N68)+(I68)*Settings!$C$28*INDEX(Settings!$B$36:$F$44,6,$N68)+(J68)*Settings!$C$29*INDEX(Settings!$B$36:$F$44,7,$N68)+(O68)*Settings!$C$30*INDEX(Settings!$B$36:$F$44,8,$N68)+(P68)*Settings!$C$31*INDEX(Settings!$B$36:$F$44,9,$N68))/INDEX(Settings!$B$45:$F$45,1,$N68)/5*100*IF($M68="Not present",Settings!$B$51,1)),1)</f>
        <v>68.6</v>
      </c>
      <c r="S68" s="37" t="str">
        <f>IF($M68="Not present","Tier 4 — Watch only (absent)",IF(R68&gt;=Settings!$B$14,"Tier 1 — Always-on",IF(R68&gt;=Settings!$B$15,"Tier 2 — Seasonal/Regional",IF(R68&gt;=Settings!$B$16,"Tier 3 — Event-driven","Tier 4 — Monitor only"))))</f>
        <v>Tier 2 — Seasonal/Regional</v>
      </c>
      <c r="T68" s="55">
        <f>Feasibility!$F40</f>
        <v>91</v>
      </c>
      <c r="U68" s="37" t="str">
        <f>IF($M68="Not present","Defer — not present",IF(AND(R68&gt;=Settings!$B$49,T68&gt;=Settings!$B$50),"Do now",IF(AND(R68&gt;=Settings!$B$49,T68&lt;Settings!$B$50),"Invest to enable",IF(AND(R68&lt;Settings!$B$49,T68&gt;=Settings!$B$50),"Low-cost add-on","Defer"))))</f>
        <v>Do now</v>
      </c>
      <c r="V68" s="12" t="str">
        <f t="shared" si="5"/>
        <v>Include in always-on panel; report trend vs baseline</v>
      </c>
    </row>
    <row r="69" ht="26.25" customHeight="1" spans="1:22">
      <c r="A69" s="70" t="s">
        <v>249</v>
      </c>
      <c r="B69" s="64" t="s">
        <v>250</v>
      </c>
      <c r="C69" s="64" t="s">
        <v>238</v>
      </c>
      <c r="D69" s="82">
        <f>ROUND(MIN(5,IF(Pathogens!I37&gt;=500,5,IF(Pathogens!I37&gt;=200,4,IF(Pathogens!I37&gt;=50,3,IF(Pathogens!I37&gt;=10,2,1))))*0.5+IF(Pathogens!J37&gt;=30,5,IF(Pathogens!J37&gt;=10,4,IF(Pathogens!J37&gt;=3,3,IF(Pathogens!J37&gt;=1,2,1))))*0.4+IF(AND($B$7&gt;=80,Pathogens!N37&gt;=0.5),1,0)*0.1+IF($B$10&lt;50,0.3,0)),0)</f>
        <v>3</v>
      </c>
      <c r="E69" s="82">
        <f>ROUND(MIN(5,IF(Pathogens!K37&gt;=8,5,IF(Pathogens!K37&gt;=5,4,IF(Pathogens!K37&gt;=3,3,IF(Pathogens!K37&gt;=1,2,1))))*0.5+IF(Pathogens!L37&gt;=5,5,IF(Pathogens!L37&gt;=3,4,IF(Pathogens!L37&gt;=2,3,IF(Pathogens!L37&gt;=1.2,2,1))))*0.3+IF(Pathogens!M37=1,2,0)*0.2+IF($B$13&gt;=2,0.5,0)),0)</f>
        <v>4</v>
      </c>
      <c r="F69" s="82">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c r="G69" s="82">
        <f>ROUND(MAX(1,MIN(5,(6-$B$11)*0.5+(6-$B$12)*0.4+(IF(AND(Pathogens!N37&gt;=0.5,$B$8&lt;60),5,IF(Pathogens!N37&gt;=0.5,4,IF(Pathogens!N37&gt;=0.3,3,IF(Pathogens!N37&gt;=0.1,2,1)))))*0.1)),0)</f>
        <v>2</v>
      </c>
      <c r="H69" s="82">
        <f>IF(ISNUMBER(SEARCH("Vaccine-preventable",Pathogens!C37)),2,IF(ISNUMBER(SEARCH("AMR",Pathogens!C37)),5,IF(ISNUMBER(SEARCH("VHF",Pathogens!C37)),4,IF(ISNUMBER(SEARCH("Emerging",Pathogens!C37)),5,IF(ISNUMBER(SEARCH("Mycobacterial",Pathogens!C37)),3,IF(ISNUMBER(SEARCH("Helminth",Pathogens!C37)),3,IF(ISNUMBER(SEARCH("Respiratory",Pathogens!C37)),4,3)))))))</f>
        <v>3</v>
      </c>
      <c r="I69" s="82">
        <f>IF(ISNUMBER(SEARCH("AMR",Pathogens!C37)),5,IF(ISNUMBER(SEARCH("Mycobacterial",Pathogens!C37)),4,IF(ISNUMBER(SEARCH("Enteric bacterial",Pathogens!C37)),3,IF(ISNUMBER(SEARCH("Bacterial",Pathogens!C37)),3,1))))</f>
        <v>3</v>
      </c>
      <c r="J69" s="82">
        <f t="shared" si="3"/>
        <v>3</v>
      </c>
      <c r="K69" s="83">
        <f>ROUND(((D69*Settings!$C$4)+(E69*Settings!$C$5)+(F69*Settings!$C$6)+(G69*Settings!$C$7)+(H69*Settings!$C$8)+(I69*Settings!$C$9)+(J69*Settings!$C$10))/5*100,1)</f>
        <v>64</v>
      </c>
      <c r="L69" s="84" t="str">
        <f>IF(K69&gt;=Settings!$B$14,"Tier 1 — Always-on",IF(K69&gt;=Settings!$B$15,"Tier 2 — Seasonal/Regional",IF(K69&gt;=Settings!$B$16,"Tier 3 — Event-driven","Tier 4 — Monitor only")))</f>
        <v>Tier 2 — Seasonal/Regional</v>
      </c>
      <c r="M69" s="55" t="str">
        <f>IFERROR(INDEX(Endemicity!$C$2:$BN$55,MATCH($B$3,Endemicity!$B$2:$B$55,0),MATCH($A69,Endemicity!$C$1:$BN$1,0)),"Sporadic")</f>
        <v>Endemic</v>
      </c>
      <c r="N69" s="48">
        <f>IF(Settings!$B$48="ON",IFERROR(MATCH($M69,Settings!$B$35:$F$35,0),5),5)</f>
        <v>1</v>
      </c>
      <c r="O69" s="48">
        <f>(6-Pathogens!X37)</f>
        <v>4</v>
      </c>
      <c r="P69" s="48">
        <f>ROUND(MIN(5,MAX(1,0.35*IF(Pathogens!R37=1,5,IF(Pathogens!R37=2,3,1))+0.2*IF(Pathogens!S37=1,5,IF(Pathogens!S37=2,3,1))+0.25*IF(Pathogens!W37=1,IF($B$26&gt;=3,5,IF($B$26=2,4,IF($B$26=1,2,1))),5)+0.2*IF($B$15&gt;=50,5,IF($B$15&gt;=25,4,IF($B$15&gt;=10,3,IF($B$15&gt;=5,2,1)))))),0)</f>
        <v>5</v>
      </c>
      <c r="Q69" s="37" t="str">
        <f t="shared" si="4"/>
        <v>Trend / intensity monitoring</v>
      </c>
      <c r="R69" s="37">
        <f>ROUND(MIN(100,((D69)*Settings!$C$23*INDEX(Settings!$B$36:$F$44,1,$N69)+(E69)*Settings!$C$24*INDEX(Settings!$B$36:$F$44,2,$N69)+(F69)*Settings!$C$25*INDEX(Settings!$B$36:$F$44,3,$N69)+(G69)*Settings!$C$26*INDEX(Settings!$B$36:$F$44,4,$N69)+(H69)*Settings!$C$27*INDEX(Settings!$B$36:$F$44,5,$N69)+(I69)*Settings!$C$28*INDEX(Settings!$B$36:$F$44,6,$N69)+(J69)*Settings!$C$29*INDEX(Settings!$B$36:$F$44,7,$N69)+(O69)*Settings!$C$30*INDEX(Settings!$B$36:$F$44,8,$N69)+(P69)*Settings!$C$31*INDEX(Settings!$B$36:$F$44,9,$N69))/INDEX(Settings!$B$45:$F$45,1,$N69)/5*100*IF($M69="Not present",Settings!$B$51,1)),1)</f>
        <v>69.3</v>
      </c>
      <c r="S69" s="37" t="str">
        <f>IF($M69="Not present","Tier 4 — Watch only (absent)",IF(R69&gt;=Settings!$B$14,"Tier 1 — Always-on",IF(R69&gt;=Settings!$B$15,"Tier 2 — Seasonal/Regional",IF(R69&gt;=Settings!$B$16,"Tier 3 — Event-driven","Tier 4 — Monitor only"))))</f>
        <v>Tier 2 — Seasonal/Regional</v>
      </c>
      <c r="T69" s="55">
        <f>Feasibility!$F41</f>
        <v>91</v>
      </c>
      <c r="U69" s="37" t="str">
        <f>IF($M69="Not present","Defer — not present",IF(AND(R69&gt;=Settings!$B$49,T69&gt;=Settings!$B$50),"Do now",IF(AND(R69&gt;=Settings!$B$49,T69&lt;Settings!$B$50),"Invest to enable",IF(AND(R69&lt;Settings!$B$49,T69&gt;=Settings!$B$50),"Low-cost add-on","Defer"))))</f>
        <v>Do now</v>
      </c>
      <c r="V69" s="12" t="str">
        <f t="shared" si="5"/>
        <v>Include in always-on panel; report trend vs baseline</v>
      </c>
    </row>
    <row r="70" ht="26.25" customHeight="1" spans="1:22">
      <c r="A70" s="70" t="s">
        <v>251</v>
      </c>
      <c r="B70" s="64" t="s">
        <v>252</v>
      </c>
      <c r="C70" s="64" t="s">
        <v>238</v>
      </c>
      <c r="D70" s="82">
        <f>ROUND(MIN(5,IF(Pathogens!I38&gt;=500,5,IF(Pathogens!I38&gt;=200,4,IF(Pathogens!I38&gt;=50,3,IF(Pathogens!I38&gt;=10,2,1))))*0.5+IF(Pathogens!J38&gt;=30,5,IF(Pathogens!J38&gt;=10,4,IF(Pathogens!J38&gt;=3,3,IF(Pathogens!J38&gt;=1,2,1))))*0.4+IF(AND($B$7&gt;=80,Pathogens!N38&gt;=0.5),1,0)*0.1+IF($B$10&lt;50,0.3,0)),0)</f>
        <v>2</v>
      </c>
      <c r="E70" s="82">
        <f>ROUND(MIN(5,IF(Pathogens!K38&gt;=8,5,IF(Pathogens!K38&gt;=5,4,IF(Pathogens!K38&gt;=3,3,IF(Pathogens!K38&gt;=1,2,1))))*0.5+IF(Pathogens!L38&gt;=5,5,IF(Pathogens!L38&gt;=3,4,IF(Pathogens!L38&gt;=2,3,IF(Pathogens!L38&gt;=1.2,2,1))))*0.3+IF(Pathogens!M38=1,2,0)*0.2+IF($B$13&gt;=2,0.5,0)),0)</f>
        <v>3</v>
      </c>
      <c r="F70" s="82">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c r="G70" s="82">
        <f>ROUND(MAX(1,MIN(5,(6-$B$11)*0.5+(6-$B$12)*0.4+(IF(AND(Pathogens!N38&gt;=0.5,$B$8&lt;60),5,IF(Pathogens!N38&gt;=0.5,4,IF(Pathogens!N38&gt;=0.3,3,IF(Pathogens!N38&gt;=0.1,2,1)))))*0.1)),0)</f>
        <v>2</v>
      </c>
      <c r="H70" s="82">
        <f>IF(ISNUMBER(SEARCH("Vaccine-preventable",Pathogens!C38)),2,IF(ISNUMBER(SEARCH("AMR",Pathogens!C38)),5,IF(ISNUMBER(SEARCH("VHF",Pathogens!C38)),4,IF(ISNUMBER(SEARCH("Emerging",Pathogens!C38)),5,IF(ISNUMBER(SEARCH("Mycobacterial",Pathogens!C38)),3,IF(ISNUMBER(SEARCH("Helminth",Pathogens!C38)),3,IF(ISNUMBER(SEARCH("Respiratory",Pathogens!C38)),4,3)))))))</f>
        <v>3</v>
      </c>
      <c r="I70" s="82">
        <f>IF(ISNUMBER(SEARCH("AMR",Pathogens!C38)),5,IF(ISNUMBER(SEARCH("Mycobacterial",Pathogens!C38)),4,IF(ISNUMBER(SEARCH("Enteric bacterial",Pathogens!C38)),3,IF(ISNUMBER(SEARCH("Bacterial",Pathogens!C38)),3,1))))</f>
        <v>3</v>
      </c>
      <c r="J70" s="82">
        <f t="shared" si="3"/>
        <v>3</v>
      </c>
      <c r="K70" s="83">
        <f>ROUND(((D70*Settings!$C$4)+(E70*Settings!$C$5)+(F70*Settings!$C$6)+(G70*Settings!$C$7)+(H70*Settings!$C$8)+(I70*Settings!$C$9)+(J70*Settings!$C$10))/5*100,1)</f>
        <v>56</v>
      </c>
      <c r="L70" s="84" t="str">
        <f>IF(K70&gt;=Settings!$B$14,"Tier 1 — Always-on",IF(K70&gt;=Settings!$B$15,"Tier 2 — Seasonal/Regional",IF(K70&gt;=Settings!$B$16,"Tier 3 — Event-driven","Tier 4 — Monitor only")))</f>
        <v>Tier 2 — Seasonal/Regional</v>
      </c>
      <c r="M70" s="55" t="str">
        <f>IFERROR(INDEX(Endemicity!$C$2:$BN$55,MATCH($B$3,Endemicity!$B$2:$B$55,0),MATCH($A70,Endemicity!$C$1:$BN$1,0)),"Sporadic")</f>
        <v>Endemic</v>
      </c>
      <c r="N70" s="48">
        <f>IF(Settings!$B$48="ON",IFERROR(MATCH($M70,Settings!$B$35:$F$35,0),5),5)</f>
        <v>1</v>
      </c>
      <c r="O70" s="48">
        <f>(6-Pathogens!X38)</f>
        <v>5</v>
      </c>
      <c r="P70" s="48">
        <f>ROUND(MIN(5,MAX(1,0.35*IF(Pathogens!R38=1,5,IF(Pathogens!R38=2,3,1))+0.2*IF(Pathogens!S38=1,5,IF(Pathogens!S38=2,3,1))+0.25*IF(Pathogens!W38=1,IF($B$26&gt;=3,5,IF($B$26=2,4,IF($B$26=1,2,1))),5)+0.2*IF($B$15&gt;=50,5,IF($B$15&gt;=25,4,IF($B$15&gt;=10,3,IF($B$15&gt;=5,2,1)))))),0)</f>
        <v>5</v>
      </c>
      <c r="Q70" s="37" t="str">
        <f t="shared" si="4"/>
        <v>Trend / intensity monitoring</v>
      </c>
      <c r="R70" s="37">
        <f>ROUND(MIN(100,((D70)*Settings!$C$23*INDEX(Settings!$B$36:$F$44,1,$N70)+(E70)*Settings!$C$24*INDEX(Settings!$B$36:$F$44,2,$N70)+(F70)*Settings!$C$25*INDEX(Settings!$B$36:$F$44,3,$N70)+(G70)*Settings!$C$26*INDEX(Settings!$B$36:$F$44,4,$N70)+(H70)*Settings!$C$27*INDEX(Settings!$B$36:$F$44,5,$N70)+(I70)*Settings!$C$28*INDEX(Settings!$B$36:$F$44,6,$N70)+(J70)*Settings!$C$29*INDEX(Settings!$B$36:$F$44,7,$N70)+(O70)*Settings!$C$30*INDEX(Settings!$B$36:$F$44,8,$N70)+(P70)*Settings!$C$31*INDEX(Settings!$B$36:$F$44,9,$N70))/INDEX(Settings!$B$45:$F$45,1,$N70)/5*100*IF($M70="Not present",Settings!$B$51,1)),1)</f>
        <v>64.2</v>
      </c>
      <c r="S70" s="37" t="str">
        <f>IF($M70="Not present","Tier 4 — Watch only (absent)",IF(R70&gt;=Settings!$B$14,"Tier 1 — Always-on",IF(R70&gt;=Settings!$B$15,"Tier 2 — Seasonal/Regional",IF(R70&gt;=Settings!$B$16,"Tier 3 — Event-driven","Tier 4 — Monitor only"))))</f>
        <v>Tier 2 — Seasonal/Regional</v>
      </c>
      <c r="T70" s="55">
        <f>Feasibility!$F42</f>
        <v>91</v>
      </c>
      <c r="U70" s="37" t="str">
        <f>IF($M70="Not present","Defer — not present",IF(AND(R70&gt;=Settings!$B$49,T70&gt;=Settings!$B$50),"Do now",IF(AND(R70&gt;=Settings!$B$49,T70&lt;Settings!$B$50),"Invest to enable",IF(AND(R70&lt;Settings!$B$49,T70&gt;=Settings!$B$50),"Low-cost add-on","Defer"))))</f>
        <v>Low-cost add-on</v>
      </c>
      <c r="V70" s="12" t="str">
        <f t="shared" si="5"/>
        <v>Cheap to multiplex onto existing runs; add if capacity allows</v>
      </c>
    </row>
    <row r="71" ht="26.25" customHeight="1" spans="1:22">
      <c r="A71" s="70" t="s">
        <v>253</v>
      </c>
      <c r="B71" s="64" t="s">
        <v>254</v>
      </c>
      <c r="C71" s="64" t="s">
        <v>238</v>
      </c>
      <c r="D71" s="82">
        <f>ROUND(MIN(5,IF(Pathogens!I39&gt;=500,5,IF(Pathogens!I39&gt;=200,4,IF(Pathogens!I39&gt;=50,3,IF(Pathogens!I39&gt;=10,2,1))))*0.5+IF(Pathogens!J39&gt;=30,5,IF(Pathogens!J39&gt;=10,4,IF(Pathogens!J39&gt;=3,3,IF(Pathogens!J39&gt;=1,2,1))))*0.4+IF(AND($B$7&gt;=80,Pathogens!N39&gt;=0.5),1,0)*0.1+IF($B$10&lt;50,0.3,0)),0)</f>
        <v>2</v>
      </c>
      <c r="E71" s="82">
        <f>ROUND(MIN(5,IF(Pathogens!K39&gt;=8,5,IF(Pathogens!K39&gt;=5,4,IF(Pathogens!K39&gt;=3,3,IF(Pathogens!K39&gt;=1,2,1))))*0.5+IF(Pathogens!L39&gt;=5,5,IF(Pathogens!L39&gt;=3,4,IF(Pathogens!L39&gt;=2,3,IF(Pathogens!L39&gt;=1.2,2,1))))*0.3+IF(Pathogens!M39=1,2,0)*0.2+IF($B$13&gt;=2,0.5,0)),0)</f>
        <v>3</v>
      </c>
      <c r="F71" s="82">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c r="G71" s="82">
        <f>ROUND(MAX(1,MIN(5,(6-$B$11)*0.5+(6-$B$12)*0.4+(IF(AND(Pathogens!N39&gt;=0.5,$B$8&lt;60),5,IF(Pathogens!N39&gt;=0.5,4,IF(Pathogens!N39&gt;=0.3,3,IF(Pathogens!N39&gt;=0.1,2,1)))))*0.1)),0)</f>
        <v>2</v>
      </c>
      <c r="H71" s="82">
        <f>IF(ISNUMBER(SEARCH("Vaccine-preventable",Pathogens!C39)),2,IF(ISNUMBER(SEARCH("AMR",Pathogens!C39)),5,IF(ISNUMBER(SEARCH("VHF",Pathogens!C39)),4,IF(ISNUMBER(SEARCH("Emerging",Pathogens!C39)),5,IF(ISNUMBER(SEARCH("Mycobacterial",Pathogens!C39)),3,IF(ISNUMBER(SEARCH("Helminth",Pathogens!C39)),3,IF(ISNUMBER(SEARCH("Respiratory",Pathogens!C39)),4,3)))))))</f>
        <v>3</v>
      </c>
      <c r="I71" s="82">
        <f>IF(ISNUMBER(SEARCH("AMR",Pathogens!C39)),5,IF(ISNUMBER(SEARCH("Mycobacterial",Pathogens!C39)),4,IF(ISNUMBER(SEARCH("Enteric bacterial",Pathogens!C39)),3,IF(ISNUMBER(SEARCH("Bacterial",Pathogens!C39)),3,1))))</f>
        <v>3</v>
      </c>
      <c r="J71" s="82">
        <f t="shared" si="3"/>
        <v>3</v>
      </c>
      <c r="K71" s="83">
        <f>ROUND(((D71*Settings!$C$4)+(E71*Settings!$C$5)+(F71*Settings!$C$6)+(G71*Settings!$C$7)+(H71*Settings!$C$8)+(I71*Settings!$C$9)+(J71*Settings!$C$10))/5*100,1)</f>
        <v>53</v>
      </c>
      <c r="L71" s="84" t="str">
        <f>IF(K71&gt;=Settings!$B$14,"Tier 1 — Always-on",IF(K71&gt;=Settings!$B$15,"Tier 2 — Seasonal/Regional",IF(K71&gt;=Settings!$B$16,"Tier 3 — Event-driven","Tier 4 — Monitor only")))</f>
        <v>Tier 2 — Seasonal/Regional</v>
      </c>
      <c r="M71" s="55" t="str">
        <f>IFERROR(INDEX(Endemicity!$C$2:$BN$55,MATCH($B$3,Endemicity!$B$2:$B$55,0),MATCH($A71,Endemicity!$C$1:$BN$1,0)),"Sporadic")</f>
        <v>Sporadic</v>
      </c>
      <c r="N71" s="48">
        <f>IF(Settings!$B$48="ON",IFERROR(MATCH($M71,Settings!$B$35:$F$35,0),5),5)</f>
        <v>2</v>
      </c>
      <c r="O71" s="48">
        <f>(6-Pathogens!X39)</f>
        <v>5</v>
      </c>
      <c r="P71" s="48">
        <f>ROUND(MIN(5,MAX(1,0.35*IF(Pathogens!R39=1,5,IF(Pathogens!R39=2,3,1))+0.2*IF(Pathogens!S39=1,5,IF(Pathogens!S39=2,3,1))+0.25*IF(Pathogens!W39=1,IF($B$26&gt;=3,5,IF($B$26=2,4,IF($B$26=1,2,1))),5)+0.2*IF($B$15&gt;=50,5,IF($B$15&gt;=25,4,IF($B$15&gt;=10,3,IF($B$15&gt;=5,2,1)))))),0)</f>
        <v>4</v>
      </c>
      <c r="Q71" s="37" t="str">
        <f t="shared" si="4"/>
        <v>Early detection sensitivity</v>
      </c>
      <c r="R71" s="37">
        <f>ROUND(MIN(100,((D71)*Settings!$C$23*INDEX(Settings!$B$36:$F$44,1,$N71)+(E71)*Settings!$C$24*INDEX(Settings!$B$36:$F$44,2,$N71)+(F71)*Settings!$C$25*INDEX(Settings!$B$36:$F$44,3,$N71)+(G71)*Settings!$C$26*INDEX(Settings!$B$36:$F$44,4,$N71)+(H71)*Settings!$C$27*INDEX(Settings!$B$36:$F$44,5,$N71)+(I71)*Settings!$C$28*INDEX(Settings!$B$36:$F$44,6,$N71)+(J71)*Settings!$C$29*INDEX(Settings!$B$36:$F$44,7,$N71)+(O71)*Settings!$C$30*INDEX(Settings!$B$36:$F$44,8,$N71)+(P71)*Settings!$C$31*INDEX(Settings!$B$36:$F$44,9,$N71))/INDEX(Settings!$B$45:$F$45,1,$N71)/5*100*IF($M71="Not present",Settings!$B$51,1)),1)</f>
        <v>60.6</v>
      </c>
      <c r="S71" s="37" t="str">
        <f>IF($M71="Not present","Tier 4 — Watch only (absent)",IF(R71&gt;=Settings!$B$14,"Tier 1 — Always-on",IF(R71&gt;=Settings!$B$15,"Tier 2 — Seasonal/Regional",IF(R71&gt;=Settings!$B$16,"Tier 3 — Event-driven","Tier 4 — Monitor only"))))</f>
        <v>Tier 2 — Seasonal/Regional</v>
      </c>
      <c r="T71" s="55">
        <f>Feasibility!$F43</f>
        <v>79</v>
      </c>
      <c r="U71" s="37" t="str">
        <f>IF($M71="Not present","Defer — not present",IF(AND(R71&gt;=Settings!$B$49,T71&gt;=Settings!$B$50),"Do now",IF(AND(R71&gt;=Settings!$B$49,T71&lt;Settings!$B$50),"Invest to enable",IF(AND(R71&lt;Settings!$B$49,T71&gt;=Settings!$B$50),"Low-cost add-on","Defer"))))</f>
        <v>Low-cost add-on</v>
      </c>
      <c r="V71" s="12" t="str">
        <f t="shared" si="5"/>
        <v>Cheap to multiplex onto existing runs; add if capacity allows</v>
      </c>
    </row>
    <row r="72" ht="26.25" customHeight="1" spans="1:22">
      <c r="A72" s="70" t="s">
        <v>255</v>
      </c>
      <c r="B72" s="64" t="s">
        <v>256</v>
      </c>
      <c r="C72" s="64" t="s">
        <v>238</v>
      </c>
      <c r="D72" s="82">
        <f>ROUND(MIN(5,IF(Pathogens!I40&gt;=500,5,IF(Pathogens!I40&gt;=200,4,IF(Pathogens!I40&gt;=50,3,IF(Pathogens!I40&gt;=10,2,1))))*0.5+IF(Pathogens!J40&gt;=30,5,IF(Pathogens!J40&gt;=10,4,IF(Pathogens!J40&gt;=3,3,IF(Pathogens!J40&gt;=1,2,1))))*0.4+IF(AND($B$7&gt;=80,Pathogens!N40&gt;=0.5),1,0)*0.1+IF($B$10&lt;50,0.3,0)),0)</f>
        <v>3</v>
      </c>
      <c r="E72" s="82">
        <f>ROUND(MIN(5,IF(Pathogens!K40&gt;=8,5,IF(Pathogens!K40&gt;=5,4,IF(Pathogens!K40&gt;=3,3,IF(Pathogens!K40&gt;=1,2,1))))*0.5+IF(Pathogens!L40&gt;=5,5,IF(Pathogens!L40&gt;=3,4,IF(Pathogens!L40&gt;=2,3,IF(Pathogens!L40&gt;=1.2,2,1))))*0.3+IF(Pathogens!M40=1,2,0)*0.2+IF($B$13&gt;=2,0.5,0)),0)</f>
        <v>3</v>
      </c>
      <c r="F72" s="82">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c r="G72" s="82">
        <f>ROUND(MAX(1,MIN(5,(6-$B$11)*0.5+(6-$B$12)*0.4+(IF(AND(Pathogens!N40&gt;=0.5,$B$8&lt;60),5,IF(Pathogens!N40&gt;=0.5,4,IF(Pathogens!N40&gt;=0.3,3,IF(Pathogens!N40&gt;=0.1,2,1)))))*0.1)),0)</f>
        <v>2</v>
      </c>
      <c r="H72" s="82">
        <f>IF(ISNUMBER(SEARCH("Vaccine-preventable",Pathogens!C40)),2,IF(ISNUMBER(SEARCH("AMR",Pathogens!C40)),5,IF(ISNUMBER(SEARCH("VHF",Pathogens!C40)),4,IF(ISNUMBER(SEARCH("Emerging",Pathogens!C40)),5,IF(ISNUMBER(SEARCH("Mycobacterial",Pathogens!C40)),3,IF(ISNUMBER(SEARCH("Helminth",Pathogens!C40)),3,IF(ISNUMBER(SEARCH("Respiratory",Pathogens!C40)),4,3)))))))</f>
        <v>3</v>
      </c>
      <c r="I72" s="82">
        <f>IF(ISNUMBER(SEARCH("AMR",Pathogens!C40)),5,IF(ISNUMBER(SEARCH("Mycobacterial",Pathogens!C40)),4,IF(ISNUMBER(SEARCH("Enteric bacterial",Pathogens!C40)),3,IF(ISNUMBER(SEARCH("Bacterial",Pathogens!C40)),3,1))))</f>
        <v>3</v>
      </c>
      <c r="J72" s="82">
        <f t="shared" si="3"/>
        <v>3</v>
      </c>
      <c r="K72" s="83">
        <f>ROUND(((D72*Settings!$C$4)+(E72*Settings!$C$5)+(F72*Settings!$C$6)+(G72*Settings!$C$7)+(H72*Settings!$C$8)+(I72*Settings!$C$9)+(J72*Settings!$C$10))/5*100,1)</f>
        <v>60</v>
      </c>
      <c r="L72" s="84" t="str">
        <f>IF(K72&gt;=Settings!$B$14,"Tier 1 — Always-on",IF(K72&gt;=Settings!$B$15,"Tier 2 — Seasonal/Regional",IF(K72&gt;=Settings!$B$16,"Tier 3 — Event-driven","Tier 4 — Monitor only")))</f>
        <v>Tier 2 — Seasonal/Regional</v>
      </c>
      <c r="M72" s="55" t="str">
        <f>IFERROR(INDEX(Endemicity!$C$2:$BN$55,MATCH($B$3,Endemicity!$B$2:$B$55,0),MATCH($A72,Endemicity!$C$1:$BN$1,0)),"Sporadic")</f>
        <v>Sporadic</v>
      </c>
      <c r="N72" s="48">
        <f>IF(Settings!$B$48="ON",IFERROR(MATCH($M72,Settings!$B$35:$F$35,0),5),5)</f>
        <v>2</v>
      </c>
      <c r="O72" s="48">
        <f>(6-Pathogens!X40)</f>
        <v>5</v>
      </c>
      <c r="P72" s="48">
        <f>ROUND(MIN(5,MAX(1,0.35*IF(Pathogens!R40=1,5,IF(Pathogens!R40=2,3,1))+0.2*IF(Pathogens!S40=1,5,IF(Pathogens!S40=2,3,1))+0.25*IF(Pathogens!W40=1,IF($B$26&gt;=3,5,IF($B$26=2,4,IF($B$26=1,2,1))),5)+0.2*IF($B$15&gt;=50,5,IF($B$15&gt;=25,4,IF($B$15&gt;=10,3,IF($B$15&gt;=5,2,1)))))),0)</f>
        <v>4</v>
      </c>
      <c r="Q72" s="37" t="str">
        <f t="shared" si="4"/>
        <v>Early detection sensitivity</v>
      </c>
      <c r="R72" s="37">
        <f>ROUND(MIN(100,((D72)*Settings!$C$23*INDEX(Settings!$B$36:$F$44,1,$N72)+(E72)*Settings!$C$24*INDEX(Settings!$B$36:$F$44,2,$N72)+(F72)*Settings!$C$25*INDEX(Settings!$B$36:$F$44,3,$N72)+(G72)*Settings!$C$26*INDEX(Settings!$B$36:$F$44,4,$N72)+(H72)*Settings!$C$27*INDEX(Settings!$B$36:$F$44,5,$N72)+(I72)*Settings!$C$28*INDEX(Settings!$B$36:$F$44,6,$N72)+(J72)*Settings!$C$29*INDEX(Settings!$B$36:$F$44,7,$N72)+(O72)*Settings!$C$30*INDEX(Settings!$B$36:$F$44,8,$N72)+(P72)*Settings!$C$31*INDEX(Settings!$B$36:$F$44,9,$N72))/INDEX(Settings!$B$45:$F$45,1,$N72)/5*100*IF($M72="Not present",Settings!$B$51,1)),1)</f>
        <v>66.5</v>
      </c>
      <c r="S72" s="37" t="str">
        <f>IF($M72="Not present","Tier 4 — Watch only (absent)",IF(R72&gt;=Settings!$B$14,"Tier 1 — Always-on",IF(R72&gt;=Settings!$B$15,"Tier 2 — Seasonal/Regional",IF(R72&gt;=Settings!$B$16,"Tier 3 — Event-driven","Tier 4 — Monitor only"))))</f>
        <v>Tier 2 — Seasonal/Regional</v>
      </c>
      <c r="T72" s="55">
        <f>Feasibility!$F44</f>
        <v>79</v>
      </c>
      <c r="U72" s="37" t="str">
        <f>IF($M72="Not present","Defer — not present",IF(AND(R72&gt;=Settings!$B$49,T72&gt;=Settings!$B$50),"Do now",IF(AND(R72&gt;=Settings!$B$49,T72&lt;Settings!$B$50),"Invest to enable",IF(AND(R72&lt;Settings!$B$49,T72&gt;=Settings!$B$50),"Low-cost add-on","Defer"))))</f>
        <v>Do now</v>
      </c>
      <c r="V72" s="12" t="str">
        <f t="shared" si="5"/>
        <v>Include in year-1 panel; alert on first detection</v>
      </c>
    </row>
    <row r="73" ht="26.25" customHeight="1" spans="1:22">
      <c r="A73" s="70" t="s">
        <v>257</v>
      </c>
      <c r="B73" s="64" t="s">
        <v>258</v>
      </c>
      <c r="C73" s="64" t="s">
        <v>259</v>
      </c>
      <c r="D73" s="82">
        <f>ROUND(MIN(5,IF(Pathogens!I41&gt;=500,5,IF(Pathogens!I41&gt;=200,4,IF(Pathogens!I41&gt;=50,3,IF(Pathogens!I41&gt;=10,2,1))))*0.5+IF(Pathogens!J41&gt;=30,5,IF(Pathogens!J41&gt;=10,4,IF(Pathogens!J41&gt;=3,3,IF(Pathogens!J41&gt;=1,2,1))))*0.4+IF(AND($B$7&gt;=80,Pathogens!N41&gt;=0.5),1,0)*0.1+IF($B$10&lt;50,0.3,0)),0)</f>
        <v>3</v>
      </c>
      <c r="E73" s="82">
        <f>ROUND(MIN(5,IF(Pathogens!K41&gt;=8,5,IF(Pathogens!K41&gt;=5,4,IF(Pathogens!K41&gt;=3,3,IF(Pathogens!K41&gt;=1,2,1))))*0.5+IF(Pathogens!L41&gt;=5,5,IF(Pathogens!L41&gt;=3,4,IF(Pathogens!L41&gt;=2,3,IF(Pathogens!L41&gt;=1.2,2,1))))*0.3+IF(Pathogens!M41=1,2,0)*0.2+IF($B$13&gt;=2,0.5,0)),0)</f>
        <v>3</v>
      </c>
      <c r="F73" s="82">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c r="G73" s="82">
        <f>ROUND(MAX(1,MIN(5,(6-$B$11)*0.5+(6-$B$12)*0.4+(IF(AND(Pathogens!N41&gt;=0.5,$B$8&lt;60),5,IF(Pathogens!N41&gt;=0.5,4,IF(Pathogens!N41&gt;=0.3,3,IF(Pathogens!N41&gt;=0.1,2,1)))))*0.1)),0)</f>
        <v>2</v>
      </c>
      <c r="H73" s="82">
        <f>IF(ISNUMBER(SEARCH("Vaccine-preventable",Pathogens!C41)),2,IF(ISNUMBER(SEARCH("AMR",Pathogens!C41)),5,IF(ISNUMBER(SEARCH("VHF",Pathogens!C41)),4,IF(ISNUMBER(SEARCH("Emerging",Pathogens!C41)),5,IF(ISNUMBER(SEARCH("Mycobacterial",Pathogens!C41)),3,IF(ISNUMBER(SEARCH("Helminth",Pathogens!C41)),3,IF(ISNUMBER(SEARCH("Respiratory",Pathogens!C41)),4,3)))))))</f>
        <v>3</v>
      </c>
      <c r="I73" s="82">
        <f>IF(ISNUMBER(SEARCH("AMR",Pathogens!C41)),5,IF(ISNUMBER(SEARCH("Mycobacterial",Pathogens!C41)),4,IF(ISNUMBER(SEARCH("Enteric bacterial",Pathogens!C41)),3,IF(ISNUMBER(SEARCH("Bacterial",Pathogens!C41)),3,1))))</f>
        <v>3</v>
      </c>
      <c r="J73" s="82">
        <f t="shared" si="3"/>
        <v>3</v>
      </c>
      <c r="K73" s="83">
        <f>ROUND(((D73*Settings!$C$4)+(E73*Settings!$C$5)+(F73*Settings!$C$6)+(G73*Settings!$C$7)+(H73*Settings!$C$8)+(I73*Settings!$C$9)+(J73*Settings!$C$10))/5*100,1)</f>
        <v>63</v>
      </c>
      <c r="L73" s="84" t="str">
        <f>IF(K73&gt;=Settings!$B$14,"Tier 1 — Always-on",IF(K73&gt;=Settings!$B$15,"Tier 2 — Seasonal/Regional",IF(K73&gt;=Settings!$B$16,"Tier 3 — Event-driven","Tier 4 — Monitor only")))</f>
        <v>Tier 2 — Seasonal/Regional</v>
      </c>
      <c r="M73" s="55" t="str">
        <f>IFERROR(INDEX(Endemicity!$C$2:$BN$55,MATCH($B$3,Endemicity!$B$2:$B$55,0),MATCH($A73,Endemicity!$C$1:$BN$1,0)),"Sporadic")</f>
        <v>Endemic</v>
      </c>
      <c r="N73" s="48">
        <f>IF(Settings!$B$48="ON",IFERROR(MATCH($M73,Settings!$B$35:$F$35,0),5),5)</f>
        <v>1</v>
      </c>
      <c r="O73" s="48">
        <f>(6-Pathogens!X41)</f>
        <v>4</v>
      </c>
      <c r="P73" s="48">
        <f>ROUND(MIN(5,MAX(1,0.35*IF(Pathogens!R41=1,5,IF(Pathogens!R41=2,3,1))+0.2*IF(Pathogens!S41=1,5,IF(Pathogens!S41=2,3,1))+0.25*IF(Pathogens!W41=1,IF($B$26&gt;=3,5,IF($B$26=2,4,IF($B$26=1,2,1))),5)+0.2*IF($B$15&gt;=50,5,IF($B$15&gt;=25,4,IF($B$15&gt;=10,3,IF($B$15&gt;=5,2,1)))))),0)</f>
        <v>4</v>
      </c>
      <c r="Q73" s="37" t="str">
        <f t="shared" si="4"/>
        <v>Trend / intensity monitoring</v>
      </c>
      <c r="R73" s="37">
        <f>ROUND(MIN(100,((D73)*Settings!$C$23*INDEX(Settings!$B$36:$F$44,1,$N73)+(E73)*Settings!$C$24*INDEX(Settings!$B$36:$F$44,2,$N73)+(F73)*Settings!$C$25*INDEX(Settings!$B$36:$F$44,3,$N73)+(G73)*Settings!$C$26*INDEX(Settings!$B$36:$F$44,4,$N73)+(H73)*Settings!$C$27*INDEX(Settings!$B$36:$F$44,5,$N73)+(I73)*Settings!$C$28*INDEX(Settings!$B$36:$F$44,6,$N73)+(J73)*Settings!$C$29*INDEX(Settings!$B$36:$F$44,7,$N73)+(O73)*Settings!$C$30*INDEX(Settings!$B$36:$F$44,8,$N73)+(P73)*Settings!$C$31*INDEX(Settings!$B$36:$F$44,9,$N73))/INDEX(Settings!$B$45:$F$45,1,$N73)/5*100*IF($M73="Not present",Settings!$B$51,1)),1)</f>
        <v>68.1</v>
      </c>
      <c r="S73" s="37" t="str">
        <f>IF($M73="Not present","Tier 4 — Watch only (absent)",IF(R73&gt;=Settings!$B$14,"Tier 1 — Always-on",IF(R73&gt;=Settings!$B$15,"Tier 2 — Seasonal/Regional",IF(R73&gt;=Settings!$B$16,"Tier 3 — Event-driven","Tier 4 — Monitor only"))))</f>
        <v>Tier 2 — Seasonal/Regional</v>
      </c>
      <c r="T73" s="55">
        <f>Feasibility!$F45</f>
        <v>79</v>
      </c>
      <c r="U73" s="37" t="str">
        <f>IF($M73="Not present","Defer — not present",IF(AND(R73&gt;=Settings!$B$49,T73&gt;=Settings!$B$50),"Do now",IF(AND(R73&gt;=Settings!$B$49,T73&lt;Settings!$B$50),"Invest to enable",IF(AND(R73&lt;Settings!$B$49,T73&gt;=Settings!$B$50),"Low-cost add-on","Defer"))))</f>
        <v>Do now</v>
      </c>
      <c r="V73" s="12" t="str">
        <f t="shared" si="5"/>
        <v>Include in always-on panel; report trend vs baseline</v>
      </c>
    </row>
    <row r="74" ht="26.25" customHeight="1" spans="1:22">
      <c r="A74" s="70" t="s">
        <v>260</v>
      </c>
      <c r="B74" s="64" t="s">
        <v>261</v>
      </c>
      <c r="C74" s="64" t="s">
        <v>259</v>
      </c>
      <c r="D74" s="82">
        <f>ROUND(MIN(5,IF(Pathogens!I42&gt;=500,5,IF(Pathogens!I42&gt;=200,4,IF(Pathogens!I42&gt;=50,3,IF(Pathogens!I42&gt;=10,2,1))))*0.5+IF(Pathogens!J42&gt;=30,5,IF(Pathogens!J42&gt;=10,4,IF(Pathogens!J42&gt;=3,3,IF(Pathogens!J42&gt;=1,2,1))))*0.4+IF(AND($B$7&gt;=80,Pathogens!N42&gt;=0.5),1,0)*0.1+IF($B$10&lt;50,0.3,0)),0)</f>
        <v>2</v>
      </c>
      <c r="E74" s="82">
        <f>ROUND(MIN(5,IF(Pathogens!K42&gt;=8,5,IF(Pathogens!K42&gt;=5,4,IF(Pathogens!K42&gt;=3,3,IF(Pathogens!K42&gt;=1,2,1))))*0.5+IF(Pathogens!L42&gt;=5,5,IF(Pathogens!L42&gt;=3,4,IF(Pathogens!L42&gt;=2,3,IF(Pathogens!L42&gt;=1.2,2,1))))*0.3+IF(Pathogens!M42=1,2,0)*0.2+IF($B$13&gt;=2,0.5,0)),0)</f>
        <v>3</v>
      </c>
      <c r="F74" s="82">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c r="G74" s="82">
        <f>ROUND(MAX(1,MIN(5,(6-$B$11)*0.5+(6-$B$12)*0.4+(IF(AND(Pathogens!N42&gt;=0.5,$B$8&lt;60),5,IF(Pathogens!N42&gt;=0.5,4,IF(Pathogens!N42&gt;=0.3,3,IF(Pathogens!N42&gt;=0.1,2,1)))))*0.1)),0)</f>
        <v>2</v>
      </c>
      <c r="H74" s="82">
        <f>IF(ISNUMBER(SEARCH("Vaccine-preventable",Pathogens!C42)),2,IF(ISNUMBER(SEARCH("AMR",Pathogens!C42)),5,IF(ISNUMBER(SEARCH("VHF",Pathogens!C42)),4,IF(ISNUMBER(SEARCH("Emerging",Pathogens!C42)),5,IF(ISNUMBER(SEARCH("Mycobacterial",Pathogens!C42)),3,IF(ISNUMBER(SEARCH("Helminth",Pathogens!C42)),3,IF(ISNUMBER(SEARCH("Respiratory",Pathogens!C42)),4,3)))))))</f>
        <v>3</v>
      </c>
      <c r="I74" s="82">
        <f>IF(ISNUMBER(SEARCH("AMR",Pathogens!C42)),5,IF(ISNUMBER(SEARCH("Mycobacterial",Pathogens!C42)),4,IF(ISNUMBER(SEARCH("Enteric bacterial",Pathogens!C42)),3,IF(ISNUMBER(SEARCH("Bacterial",Pathogens!C42)),3,1))))</f>
        <v>3</v>
      </c>
      <c r="J74" s="82">
        <f t="shared" si="3"/>
        <v>3</v>
      </c>
      <c r="K74" s="83">
        <f>ROUND(((D74*Settings!$C$4)+(E74*Settings!$C$5)+(F74*Settings!$C$6)+(G74*Settings!$C$7)+(H74*Settings!$C$8)+(I74*Settings!$C$9)+(J74*Settings!$C$10))/5*100,1)</f>
        <v>53</v>
      </c>
      <c r="L74" s="84" t="str">
        <f>IF(K74&gt;=Settings!$B$14,"Tier 1 — Always-on",IF(K74&gt;=Settings!$B$15,"Tier 2 — Seasonal/Regional",IF(K74&gt;=Settings!$B$16,"Tier 3 — Event-driven","Tier 4 — Monitor only")))</f>
        <v>Tier 2 — Seasonal/Regional</v>
      </c>
      <c r="M74" s="55" t="str">
        <f>IFERROR(INDEX(Endemicity!$C$2:$BN$55,MATCH($B$3,Endemicity!$B$2:$B$55,0),MATCH($A74,Endemicity!$C$1:$BN$1,0)),"Sporadic")</f>
        <v>Endemic</v>
      </c>
      <c r="N74" s="48">
        <f>IF(Settings!$B$48="ON",IFERROR(MATCH($M74,Settings!$B$35:$F$35,0),5),5)</f>
        <v>1</v>
      </c>
      <c r="O74" s="48">
        <f>(6-Pathogens!X42)</f>
        <v>5</v>
      </c>
      <c r="P74" s="48">
        <f>ROUND(MIN(5,MAX(1,0.35*IF(Pathogens!R42=1,5,IF(Pathogens!R42=2,3,1))+0.2*IF(Pathogens!S42=1,5,IF(Pathogens!S42=2,3,1))+0.25*IF(Pathogens!W42=1,IF($B$26&gt;=3,5,IF($B$26=2,4,IF($B$26=1,2,1))),5)+0.2*IF($B$15&gt;=50,5,IF($B$15&gt;=25,4,IF($B$15&gt;=10,3,IF($B$15&gt;=5,2,1)))))),0)</f>
        <v>4</v>
      </c>
      <c r="Q74" s="37" t="str">
        <f t="shared" si="4"/>
        <v>Trend / intensity monitoring</v>
      </c>
      <c r="R74" s="37">
        <f>ROUND(MIN(100,((D74)*Settings!$C$23*INDEX(Settings!$B$36:$F$44,1,$N74)+(E74)*Settings!$C$24*INDEX(Settings!$B$36:$F$44,2,$N74)+(F74)*Settings!$C$25*INDEX(Settings!$B$36:$F$44,3,$N74)+(G74)*Settings!$C$26*INDEX(Settings!$B$36:$F$44,4,$N74)+(H74)*Settings!$C$27*INDEX(Settings!$B$36:$F$44,5,$N74)+(I74)*Settings!$C$28*INDEX(Settings!$B$36:$F$44,6,$N74)+(J74)*Settings!$C$29*INDEX(Settings!$B$36:$F$44,7,$N74)+(O74)*Settings!$C$30*INDEX(Settings!$B$36:$F$44,8,$N74)+(P74)*Settings!$C$31*INDEX(Settings!$B$36:$F$44,9,$N74))/INDEX(Settings!$B$45:$F$45,1,$N74)/5*100*IF($M74="Not present",Settings!$B$51,1)),1)</f>
        <v>58.1</v>
      </c>
      <c r="S74" s="37" t="str">
        <f>IF($M74="Not present","Tier 4 — Watch only (absent)",IF(R74&gt;=Settings!$B$14,"Tier 1 — Always-on",IF(R74&gt;=Settings!$B$15,"Tier 2 — Seasonal/Regional",IF(R74&gt;=Settings!$B$16,"Tier 3 — Event-driven","Tier 4 — Monitor only"))))</f>
        <v>Tier 2 — Seasonal/Regional</v>
      </c>
      <c r="T74" s="55">
        <f>Feasibility!$F46</f>
        <v>79</v>
      </c>
      <c r="U74" s="37" t="str">
        <f>IF($M74="Not present","Defer — not present",IF(AND(R74&gt;=Settings!$B$49,T74&gt;=Settings!$B$50),"Do now",IF(AND(R74&gt;=Settings!$B$49,T74&lt;Settings!$B$50),"Invest to enable",IF(AND(R74&lt;Settings!$B$49,T74&gt;=Settings!$B$50),"Low-cost add-on","Defer"))))</f>
        <v>Low-cost add-on</v>
      </c>
      <c r="V74" s="12" t="str">
        <f t="shared" si="5"/>
        <v>Cheap to multiplex onto existing runs; add if capacity allows</v>
      </c>
    </row>
    <row r="75" ht="26.25" customHeight="1" spans="1:22">
      <c r="A75" s="70" t="s">
        <v>262</v>
      </c>
      <c r="B75" s="64" t="s">
        <v>263</v>
      </c>
      <c r="C75" s="64" t="s">
        <v>259</v>
      </c>
      <c r="D75" s="82">
        <f>ROUND(MIN(5,IF(Pathogens!I43&gt;=500,5,IF(Pathogens!I43&gt;=200,4,IF(Pathogens!I43&gt;=50,3,IF(Pathogens!I43&gt;=10,2,1))))*0.5+IF(Pathogens!J43&gt;=30,5,IF(Pathogens!J43&gt;=10,4,IF(Pathogens!J43&gt;=3,3,IF(Pathogens!J43&gt;=1,2,1))))*0.4+IF(AND($B$7&gt;=80,Pathogens!N43&gt;=0.5),1,0)*0.1+IF($B$10&lt;50,0.3,0)),0)</f>
        <v>2</v>
      </c>
      <c r="E75" s="82">
        <f>ROUND(MIN(5,IF(Pathogens!K43&gt;=8,5,IF(Pathogens!K43&gt;=5,4,IF(Pathogens!K43&gt;=3,3,IF(Pathogens!K43&gt;=1,2,1))))*0.5+IF(Pathogens!L43&gt;=5,5,IF(Pathogens!L43&gt;=3,4,IF(Pathogens!L43&gt;=2,3,IF(Pathogens!L43&gt;=1.2,2,1))))*0.3+IF(Pathogens!M43=1,2,0)*0.2+IF($B$13&gt;=2,0.5,0)),0)</f>
        <v>2</v>
      </c>
      <c r="F75" s="82">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c r="G75" s="82">
        <f>ROUND(MAX(1,MIN(5,(6-$B$11)*0.5+(6-$B$12)*0.4+(IF(AND(Pathogens!N43&gt;=0.5,$B$8&lt;60),5,IF(Pathogens!N43&gt;=0.5,4,IF(Pathogens!N43&gt;=0.3,3,IF(Pathogens!N43&gt;=0.1,2,1)))))*0.1)),0)</f>
        <v>2</v>
      </c>
      <c r="H75" s="82">
        <f>IF(ISNUMBER(SEARCH("Vaccine-preventable",Pathogens!C43)),2,IF(ISNUMBER(SEARCH("AMR",Pathogens!C43)),5,IF(ISNUMBER(SEARCH("VHF",Pathogens!C43)),4,IF(ISNUMBER(SEARCH("Emerging",Pathogens!C43)),5,IF(ISNUMBER(SEARCH("Mycobacterial",Pathogens!C43)),3,IF(ISNUMBER(SEARCH("Helminth",Pathogens!C43)),3,IF(ISNUMBER(SEARCH("Respiratory",Pathogens!C43)),4,3)))))))</f>
        <v>3</v>
      </c>
      <c r="I75" s="82">
        <f>IF(ISNUMBER(SEARCH("AMR",Pathogens!C43)),5,IF(ISNUMBER(SEARCH("Mycobacterial",Pathogens!C43)),4,IF(ISNUMBER(SEARCH("Enteric bacterial",Pathogens!C43)),3,IF(ISNUMBER(SEARCH("Bacterial",Pathogens!C43)),3,1))))</f>
        <v>3</v>
      </c>
      <c r="J75" s="82">
        <f t="shared" si="3"/>
        <v>3</v>
      </c>
      <c r="K75" s="83">
        <f>ROUND(((D75*Settings!$C$4)+(E75*Settings!$C$5)+(F75*Settings!$C$6)+(G75*Settings!$C$7)+(H75*Settings!$C$8)+(I75*Settings!$C$9)+(J75*Settings!$C$10))/5*100,1)</f>
        <v>52</v>
      </c>
      <c r="L75" s="84" t="str">
        <f>IF(K75&gt;=Settings!$B$14,"Tier 1 — Always-on",IF(K75&gt;=Settings!$B$15,"Tier 2 — Seasonal/Regional",IF(K75&gt;=Settings!$B$16,"Tier 3 — Event-driven","Tier 4 — Monitor only")))</f>
        <v>Tier 2 — Seasonal/Regional</v>
      </c>
      <c r="M75" s="55" t="str">
        <f>IFERROR(INDEX(Endemicity!$C$2:$BN$55,MATCH($B$3,Endemicity!$B$2:$B$55,0),MATCH($A75,Endemicity!$C$1:$BN$1,0)),"Sporadic")</f>
        <v>Sporadic</v>
      </c>
      <c r="N75" s="48">
        <f>IF(Settings!$B$48="ON",IFERROR(MATCH($M75,Settings!$B$35:$F$35,0),5),5)</f>
        <v>2</v>
      </c>
      <c r="O75" s="48">
        <f>(6-Pathogens!X43)</f>
        <v>5</v>
      </c>
      <c r="P75" s="48">
        <f>ROUND(MIN(5,MAX(1,0.35*IF(Pathogens!R43=1,5,IF(Pathogens!R43=2,3,1))+0.2*IF(Pathogens!S43=1,5,IF(Pathogens!S43=2,3,1))+0.25*IF(Pathogens!W43=1,IF($B$26&gt;=3,5,IF($B$26=2,4,IF($B$26=1,2,1))),5)+0.2*IF($B$15&gt;=50,5,IF($B$15&gt;=25,4,IF($B$15&gt;=10,3,IF($B$15&gt;=5,2,1)))))),0)</f>
        <v>3</v>
      </c>
      <c r="Q75" s="37" t="str">
        <f t="shared" si="4"/>
        <v>Early detection sensitivity</v>
      </c>
      <c r="R75" s="37">
        <f>ROUND(MIN(100,((D75)*Settings!$C$23*INDEX(Settings!$B$36:$F$44,1,$N75)+(E75)*Settings!$C$24*INDEX(Settings!$B$36:$F$44,2,$N75)+(F75)*Settings!$C$25*INDEX(Settings!$B$36:$F$44,3,$N75)+(G75)*Settings!$C$26*INDEX(Settings!$B$36:$F$44,4,$N75)+(H75)*Settings!$C$27*INDEX(Settings!$B$36:$F$44,5,$N75)+(I75)*Settings!$C$28*INDEX(Settings!$B$36:$F$44,6,$N75)+(J75)*Settings!$C$29*INDEX(Settings!$B$36:$F$44,7,$N75)+(O75)*Settings!$C$30*INDEX(Settings!$B$36:$F$44,8,$N75)+(P75)*Settings!$C$31*INDEX(Settings!$B$36:$F$44,9,$N75))/INDEX(Settings!$B$45:$F$45,1,$N75)/5*100*IF($M75="Not present",Settings!$B$51,1)),1)</f>
        <v>57.8</v>
      </c>
      <c r="S75" s="37" t="str">
        <f>IF($M75="Not present","Tier 4 — Watch only (absent)",IF(R75&gt;=Settings!$B$14,"Tier 1 — Always-on",IF(R75&gt;=Settings!$B$15,"Tier 2 — Seasonal/Regional",IF(R75&gt;=Settings!$B$16,"Tier 3 — Event-driven","Tier 4 — Monitor only"))))</f>
        <v>Tier 2 — Seasonal/Regional</v>
      </c>
      <c r="T75" s="55">
        <f>Feasibility!$F47</f>
        <v>67</v>
      </c>
      <c r="U75" s="37" t="str">
        <f>IF($M75="Not present","Defer — not present",IF(AND(R75&gt;=Settings!$B$49,T75&gt;=Settings!$B$50),"Do now",IF(AND(R75&gt;=Settings!$B$49,T75&lt;Settings!$B$50),"Invest to enable",IF(AND(R75&lt;Settings!$B$49,T75&gt;=Settings!$B$50),"Low-cost add-on","Defer"))))</f>
        <v>Defer</v>
      </c>
      <c r="V75" s="12" t="str">
        <f t="shared" si="5"/>
        <v>Defer to a later phase or event-driven testing only</v>
      </c>
    </row>
    <row r="76" ht="26.25" customHeight="1" spans="1:22">
      <c r="A76" s="70" t="s">
        <v>264</v>
      </c>
      <c r="B76" s="64" t="s">
        <v>265</v>
      </c>
      <c r="C76" s="64" t="s">
        <v>266</v>
      </c>
      <c r="D76" s="82">
        <f>ROUND(MIN(5,IF(Pathogens!I44&gt;=500,5,IF(Pathogens!I44&gt;=200,4,IF(Pathogens!I44&gt;=50,3,IF(Pathogens!I44&gt;=10,2,1))))*0.5+IF(Pathogens!J44&gt;=30,5,IF(Pathogens!J44&gt;=10,4,IF(Pathogens!J44&gt;=3,3,IF(Pathogens!J44&gt;=1,2,1))))*0.4+IF(AND($B$7&gt;=80,Pathogens!N44&gt;=0.5),1,0)*0.1+IF($B$10&lt;50,0.3,0)),0)</f>
        <v>3</v>
      </c>
      <c r="E76" s="82">
        <f>ROUND(MIN(5,IF(Pathogens!K44&gt;=8,5,IF(Pathogens!K44&gt;=5,4,IF(Pathogens!K44&gt;=3,3,IF(Pathogens!K44&gt;=1,2,1))))*0.5+IF(Pathogens!L44&gt;=5,5,IF(Pathogens!L44&gt;=3,4,IF(Pathogens!L44&gt;=2,3,IF(Pathogens!L44&gt;=1.2,2,1))))*0.3+IF(Pathogens!M44=1,2,0)*0.2+IF($B$13&gt;=2,0.5,0)),0)</f>
        <v>2</v>
      </c>
      <c r="F76" s="82">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c r="G76" s="82">
        <f>ROUND(MAX(1,MIN(5,(6-$B$11)*0.5+(6-$B$12)*0.4+(IF(AND(Pathogens!N44&gt;=0.5,$B$8&lt;60),5,IF(Pathogens!N44&gt;=0.5,4,IF(Pathogens!N44&gt;=0.3,3,IF(Pathogens!N44&gt;=0.1,2,1)))))*0.1)),0)</f>
        <v>2</v>
      </c>
      <c r="H76" s="82">
        <f>IF(ISNUMBER(SEARCH("Vaccine-preventable",Pathogens!C44)),2,IF(ISNUMBER(SEARCH("AMR",Pathogens!C44)),5,IF(ISNUMBER(SEARCH("VHF",Pathogens!C44)),4,IF(ISNUMBER(SEARCH("Emerging",Pathogens!C44)),5,IF(ISNUMBER(SEARCH("Mycobacterial",Pathogens!C44)),3,IF(ISNUMBER(SEARCH("Helminth",Pathogens!C44)),3,IF(ISNUMBER(SEARCH("Respiratory",Pathogens!C44)),4,3)))))))</f>
        <v>3</v>
      </c>
      <c r="I76" s="82">
        <f>IF(ISNUMBER(SEARCH("AMR",Pathogens!C44)),5,IF(ISNUMBER(SEARCH("Mycobacterial",Pathogens!C44)),4,IF(ISNUMBER(SEARCH("Enteric bacterial",Pathogens!C44)),3,IF(ISNUMBER(SEARCH("Bacterial",Pathogens!C44)),3,1))))</f>
        <v>3</v>
      </c>
      <c r="J76" s="82">
        <f t="shared" si="3"/>
        <v>3</v>
      </c>
      <c r="K76" s="83">
        <f>ROUND(((D76*Settings!$C$4)+(E76*Settings!$C$5)+(F76*Settings!$C$6)+(G76*Settings!$C$7)+(H76*Settings!$C$8)+(I76*Settings!$C$9)+(J76*Settings!$C$10))/5*100,1)</f>
        <v>53</v>
      </c>
      <c r="L76" s="84" t="str">
        <f>IF(K76&gt;=Settings!$B$14,"Tier 1 — Always-on",IF(K76&gt;=Settings!$B$15,"Tier 2 — Seasonal/Regional",IF(K76&gt;=Settings!$B$16,"Tier 3 — Event-driven","Tier 4 — Monitor only")))</f>
        <v>Tier 2 — Seasonal/Regional</v>
      </c>
      <c r="M76" s="55" t="str">
        <f>IFERROR(INDEX(Endemicity!$C$2:$BN$55,MATCH($B$3,Endemicity!$B$2:$B$55,0),MATCH($A76,Endemicity!$C$1:$BN$1,0)),"Sporadic")</f>
        <v>Sporadic</v>
      </c>
      <c r="N76" s="48">
        <f>IF(Settings!$B$48="ON",IFERROR(MATCH($M76,Settings!$B$35:$F$35,0),5),5)</f>
        <v>2</v>
      </c>
      <c r="O76" s="48">
        <f>(6-Pathogens!X44)</f>
        <v>5</v>
      </c>
      <c r="P76" s="48">
        <f>ROUND(MIN(5,MAX(1,0.35*IF(Pathogens!R44=1,5,IF(Pathogens!R44=2,3,1))+0.2*IF(Pathogens!S44=1,5,IF(Pathogens!S44=2,3,1))+0.25*IF(Pathogens!W44=1,IF($B$26&gt;=3,5,IF($B$26=2,4,IF($B$26=1,2,1))),5)+0.2*IF($B$15&gt;=50,5,IF($B$15&gt;=25,4,IF($B$15&gt;=10,3,IF($B$15&gt;=5,2,1)))))),0)</f>
        <v>3</v>
      </c>
      <c r="Q76" s="37" t="str">
        <f t="shared" si="4"/>
        <v>Early detection sensitivity</v>
      </c>
      <c r="R76" s="37">
        <f>ROUND(MIN(100,((D76)*Settings!$C$23*INDEX(Settings!$B$36:$F$44,1,$N76)+(E76)*Settings!$C$24*INDEX(Settings!$B$36:$F$44,2,$N76)+(F76)*Settings!$C$25*INDEX(Settings!$B$36:$F$44,3,$N76)+(G76)*Settings!$C$26*INDEX(Settings!$B$36:$F$44,4,$N76)+(H76)*Settings!$C$27*INDEX(Settings!$B$36:$F$44,5,$N76)+(I76)*Settings!$C$28*INDEX(Settings!$B$36:$F$44,6,$N76)+(J76)*Settings!$C$29*INDEX(Settings!$B$36:$F$44,7,$N76)+(O76)*Settings!$C$30*INDEX(Settings!$B$36:$F$44,8,$N76)+(P76)*Settings!$C$31*INDEX(Settings!$B$36:$F$44,9,$N76))/INDEX(Settings!$B$45:$F$45,1,$N76)/5*100*IF($M76="Not present",Settings!$B$51,1)),1)</f>
        <v>55.6</v>
      </c>
      <c r="S76" s="37" t="str">
        <f>IF($M76="Not present","Tier 4 — Watch only (absent)",IF(R76&gt;=Settings!$B$14,"Tier 1 — Always-on",IF(R76&gt;=Settings!$B$15,"Tier 2 — Seasonal/Regional",IF(R76&gt;=Settings!$B$16,"Tier 3 — Event-driven","Tier 4 — Monitor only"))))</f>
        <v>Tier 2 — Seasonal/Regional</v>
      </c>
      <c r="T76" s="55">
        <f>Feasibility!$F48</f>
        <v>67</v>
      </c>
      <c r="U76" s="37" t="str">
        <f>IF($M76="Not present","Defer — not present",IF(AND(R76&gt;=Settings!$B$49,T76&gt;=Settings!$B$50),"Do now",IF(AND(R76&gt;=Settings!$B$49,T76&lt;Settings!$B$50),"Invest to enable",IF(AND(R76&lt;Settings!$B$49,T76&gt;=Settings!$B$50),"Low-cost add-on","Defer"))))</f>
        <v>Defer</v>
      </c>
      <c r="V76" s="12" t="str">
        <f t="shared" si="5"/>
        <v>Defer to a later phase or event-driven testing only</v>
      </c>
    </row>
    <row r="77" ht="26.25" customHeight="1" spans="1:22">
      <c r="A77" s="70" t="s">
        <v>267</v>
      </c>
      <c r="B77" s="64" t="s">
        <v>268</v>
      </c>
      <c r="C77" s="64" t="s">
        <v>259</v>
      </c>
      <c r="D77" s="82">
        <f>ROUND(MIN(5,IF(Pathogens!I45&gt;=500,5,IF(Pathogens!I45&gt;=200,4,IF(Pathogens!I45&gt;=50,3,IF(Pathogens!I45&gt;=10,2,1))))*0.5+IF(Pathogens!J45&gt;=30,5,IF(Pathogens!J45&gt;=10,4,IF(Pathogens!J45&gt;=3,3,IF(Pathogens!J45&gt;=1,2,1))))*0.4+IF(AND($B$7&gt;=80,Pathogens!N45&gt;=0.5),1,0)*0.1+IF($B$10&lt;50,0.3,0)),0)</f>
        <v>3</v>
      </c>
      <c r="E77" s="82">
        <f>ROUND(MIN(5,IF(Pathogens!K45&gt;=8,5,IF(Pathogens!K45&gt;=5,4,IF(Pathogens!K45&gt;=3,3,IF(Pathogens!K45&gt;=1,2,1))))*0.5+IF(Pathogens!L45&gt;=5,5,IF(Pathogens!L45&gt;=3,4,IF(Pathogens!L45&gt;=2,3,IF(Pathogens!L45&gt;=1.2,2,1))))*0.3+IF(Pathogens!M45=1,2,0)*0.2+IF($B$13&gt;=2,0.5,0)),0)</f>
        <v>4</v>
      </c>
      <c r="F77" s="82">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c r="G77" s="82">
        <f>ROUND(MAX(1,MIN(5,(6-$B$11)*0.5+(6-$B$12)*0.4+(IF(AND(Pathogens!N45&gt;=0.5,$B$8&lt;60),5,IF(Pathogens!N45&gt;=0.5,4,IF(Pathogens!N45&gt;=0.3,3,IF(Pathogens!N45&gt;=0.1,2,1)))))*0.1)),0)</f>
        <v>2</v>
      </c>
      <c r="H77" s="82">
        <f>IF(ISNUMBER(SEARCH("Vaccine-preventable",Pathogens!C45)),2,IF(ISNUMBER(SEARCH("AMR",Pathogens!C45)),5,IF(ISNUMBER(SEARCH("VHF",Pathogens!C45)),4,IF(ISNUMBER(SEARCH("Emerging",Pathogens!C45)),5,IF(ISNUMBER(SEARCH("Mycobacterial",Pathogens!C45)),3,IF(ISNUMBER(SEARCH("Helminth",Pathogens!C45)),3,IF(ISNUMBER(SEARCH("Respiratory",Pathogens!C45)),4,3)))))))</f>
        <v>3</v>
      </c>
      <c r="I77" s="82">
        <f>IF(ISNUMBER(SEARCH("AMR",Pathogens!C45)),5,IF(ISNUMBER(SEARCH("Mycobacterial",Pathogens!C45)),4,IF(ISNUMBER(SEARCH("Enteric bacterial",Pathogens!C45)),3,IF(ISNUMBER(SEARCH("Bacterial",Pathogens!C45)),3,1))))</f>
        <v>3</v>
      </c>
      <c r="J77" s="82">
        <f t="shared" si="3"/>
        <v>3</v>
      </c>
      <c r="K77" s="83">
        <f>ROUND(((D77*Settings!$C$4)+(E77*Settings!$C$5)+(F77*Settings!$C$6)+(G77*Settings!$C$7)+(H77*Settings!$C$8)+(I77*Settings!$C$9)+(J77*Settings!$C$10))/5*100,1)</f>
        <v>61</v>
      </c>
      <c r="L77" s="84" t="str">
        <f>IF(K77&gt;=Settings!$B$14,"Tier 1 — Always-on",IF(K77&gt;=Settings!$B$15,"Tier 2 — Seasonal/Regional",IF(K77&gt;=Settings!$B$16,"Tier 3 — Event-driven","Tier 4 — Monitor only")))</f>
        <v>Tier 2 — Seasonal/Regional</v>
      </c>
      <c r="M77" s="55" t="str">
        <f>IFERROR(INDEX(Endemicity!$C$2:$BN$55,MATCH($B$3,Endemicity!$B$2:$B$55,0),MATCH($A77,Endemicity!$C$1:$BN$1,0)),"Sporadic")</f>
        <v>Sporadic</v>
      </c>
      <c r="N77" s="48">
        <f>IF(Settings!$B$48="ON",IFERROR(MATCH($M77,Settings!$B$35:$F$35,0),5),5)</f>
        <v>2</v>
      </c>
      <c r="O77" s="48">
        <f>(6-Pathogens!X45)</f>
        <v>3</v>
      </c>
      <c r="P77" s="48">
        <f>ROUND(MIN(5,MAX(1,0.35*IF(Pathogens!R45=1,5,IF(Pathogens!R45=2,3,1))+0.2*IF(Pathogens!S45=1,5,IF(Pathogens!S45=2,3,1))+0.25*IF(Pathogens!W45=1,IF($B$26&gt;=3,5,IF($B$26=2,4,IF($B$26=1,2,1))),5)+0.2*IF($B$15&gt;=50,5,IF($B$15&gt;=25,4,IF($B$15&gt;=10,3,IF($B$15&gt;=5,2,1)))))),0)</f>
        <v>4</v>
      </c>
      <c r="Q77" s="37" t="str">
        <f t="shared" si="4"/>
        <v>Early detection sensitivity</v>
      </c>
      <c r="R77" s="37">
        <f>ROUND(MIN(100,((D77)*Settings!$C$23*INDEX(Settings!$B$36:$F$44,1,$N77)+(E77)*Settings!$C$24*INDEX(Settings!$B$36:$F$44,2,$N77)+(F77)*Settings!$C$25*INDEX(Settings!$B$36:$F$44,3,$N77)+(G77)*Settings!$C$26*INDEX(Settings!$B$36:$F$44,4,$N77)+(H77)*Settings!$C$27*INDEX(Settings!$B$36:$F$44,5,$N77)+(I77)*Settings!$C$28*INDEX(Settings!$B$36:$F$44,6,$N77)+(J77)*Settings!$C$29*INDEX(Settings!$B$36:$F$44,7,$N77)+(O77)*Settings!$C$30*INDEX(Settings!$B$36:$F$44,8,$N77)+(P77)*Settings!$C$31*INDEX(Settings!$B$36:$F$44,9,$N77))/INDEX(Settings!$B$45:$F$45,1,$N77)/5*100*IF($M77="Not present",Settings!$B$51,1)),1)</f>
        <v>64.5</v>
      </c>
      <c r="S77" s="37" t="str">
        <f>IF($M77="Not present","Tier 4 — Watch only (absent)",IF(R77&gt;=Settings!$B$14,"Tier 1 — Always-on",IF(R77&gt;=Settings!$B$15,"Tier 2 — Seasonal/Regional",IF(R77&gt;=Settings!$B$16,"Tier 3 — Event-driven","Tier 4 — Monitor only"))))</f>
        <v>Tier 2 — Seasonal/Regional</v>
      </c>
      <c r="T77" s="55">
        <f>Feasibility!$F49</f>
        <v>79</v>
      </c>
      <c r="U77" s="37" t="str">
        <f>IF($M77="Not present","Defer — not present",IF(AND(R77&gt;=Settings!$B$49,T77&gt;=Settings!$B$50),"Do now",IF(AND(R77&gt;=Settings!$B$49,T77&lt;Settings!$B$50),"Invest to enable",IF(AND(R77&lt;Settings!$B$49,T77&gt;=Settings!$B$50),"Low-cost add-on","Defer"))))</f>
        <v>Low-cost add-on</v>
      </c>
      <c r="V77" s="12" t="str">
        <f t="shared" si="5"/>
        <v>Cheap to multiplex onto existing runs; add if capacity allows</v>
      </c>
    </row>
    <row r="78" ht="26.25" customHeight="1" spans="1:22">
      <c r="A78" s="70" t="s">
        <v>269</v>
      </c>
      <c r="B78" s="64" t="s">
        <v>270</v>
      </c>
      <c r="C78" s="64" t="s">
        <v>271</v>
      </c>
      <c r="D78" s="82">
        <f>ROUND(MIN(5,IF(Pathogens!I46&gt;=500,5,IF(Pathogens!I46&gt;=200,4,IF(Pathogens!I46&gt;=50,3,IF(Pathogens!I46&gt;=10,2,1))))*0.5+IF(Pathogens!J46&gt;=30,5,IF(Pathogens!J46&gt;=10,4,IF(Pathogens!J46&gt;=3,3,IF(Pathogens!J46&gt;=1,2,1))))*0.4+IF(AND($B$7&gt;=80,Pathogens!N46&gt;=0.5),1,0)*0.1+IF($B$10&lt;50,0.3,0)),0)</f>
        <v>4</v>
      </c>
      <c r="E78" s="82">
        <f>ROUND(MIN(5,IF(Pathogens!K46&gt;=8,5,IF(Pathogens!K46&gt;=5,4,IF(Pathogens!K46&gt;=3,3,IF(Pathogens!K46&gt;=1,2,1))))*0.5+IF(Pathogens!L46&gt;=5,5,IF(Pathogens!L46&gt;=3,4,IF(Pathogens!L46&gt;=2,3,IF(Pathogens!L46&gt;=1.2,2,1))))*0.3+IF(Pathogens!M46=1,2,0)*0.2+IF($B$13&gt;=2,0.5,0)),0)</f>
        <v>4</v>
      </c>
      <c r="F78" s="82">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c r="G78" s="82">
        <f>ROUND(MAX(1,MIN(5,(6-$B$11)*0.5+(6-$B$12)*0.4+(IF(AND(Pathogens!N46&gt;=0.5,$B$8&lt;60),5,IF(Pathogens!N46&gt;=0.5,4,IF(Pathogens!N46&gt;=0.3,3,IF(Pathogens!N46&gt;=0.1,2,1)))))*0.1)),0)</f>
        <v>2</v>
      </c>
      <c r="H78" s="82">
        <f>IF(ISNUMBER(SEARCH("Vaccine-preventable",Pathogens!C46)),2,IF(ISNUMBER(SEARCH("AMR",Pathogens!C46)),5,IF(ISNUMBER(SEARCH("VHF",Pathogens!C46)),4,IF(ISNUMBER(SEARCH("Emerging",Pathogens!C46)),5,IF(ISNUMBER(SEARCH("Mycobacterial",Pathogens!C46)),3,IF(ISNUMBER(SEARCH("Helminth",Pathogens!C46)),3,IF(ISNUMBER(SEARCH("Respiratory",Pathogens!C46)),4,3)))))))</f>
        <v>3</v>
      </c>
      <c r="I78" s="82">
        <f>IF(ISNUMBER(SEARCH("AMR",Pathogens!C46)),5,IF(ISNUMBER(SEARCH("Mycobacterial",Pathogens!C46)),4,IF(ISNUMBER(SEARCH("Enteric bacterial",Pathogens!C46)),3,IF(ISNUMBER(SEARCH("Bacterial",Pathogens!C46)),3,1))))</f>
        <v>4</v>
      </c>
      <c r="J78" s="82">
        <f t="shared" si="3"/>
        <v>3</v>
      </c>
      <c r="K78" s="83">
        <f>ROUND(((D78*Settings!$C$4)+(E78*Settings!$C$5)+(F78*Settings!$C$6)+(G78*Settings!$C$7)+(H78*Settings!$C$8)+(I78*Settings!$C$9)+(J78*Settings!$C$10))/5*100,1)</f>
        <v>70</v>
      </c>
      <c r="L78" s="84" t="str">
        <f>IF(K78&gt;=Settings!$B$14,"Tier 1 — Always-on",IF(K78&gt;=Settings!$B$15,"Tier 2 — Seasonal/Regional",IF(K78&gt;=Settings!$B$16,"Tier 3 — Event-driven","Tier 4 — Monitor only")))</f>
        <v>Tier 1 — Always-on</v>
      </c>
      <c r="M78" s="55" t="str">
        <f>IFERROR(INDEX(Endemicity!$C$2:$BN$55,MATCH($B$3,Endemicity!$B$2:$B$55,0),MATCH($A78,Endemicity!$C$1:$BN$1,0)),"Sporadic")</f>
        <v>Endemic</v>
      </c>
      <c r="N78" s="48">
        <f>IF(Settings!$B$48="ON",IFERROR(MATCH($M78,Settings!$B$35:$F$35,0),5),5)</f>
        <v>1</v>
      </c>
      <c r="O78" s="48">
        <f>(6-Pathogens!X46)</f>
        <v>2</v>
      </c>
      <c r="P78" s="48">
        <f>ROUND(MIN(5,MAX(1,0.35*IF(Pathogens!R46=1,5,IF(Pathogens!R46=2,3,1))+0.2*IF(Pathogens!S46=1,5,IF(Pathogens!S46=2,3,1))+0.25*IF(Pathogens!W46=1,IF($B$26&gt;=3,5,IF($B$26=2,4,IF($B$26=1,2,1))),5)+0.2*IF($B$15&gt;=50,5,IF($B$15&gt;=25,4,IF($B$15&gt;=10,3,IF($B$15&gt;=5,2,1)))))),0)</f>
        <v>4</v>
      </c>
      <c r="Q78" s="37" t="str">
        <f t="shared" si="4"/>
        <v>Trend / intensity monitoring</v>
      </c>
      <c r="R78" s="37">
        <f>ROUND(MIN(100,((D78)*Settings!$C$23*INDEX(Settings!$B$36:$F$44,1,$N78)+(E78)*Settings!$C$24*INDEX(Settings!$B$36:$F$44,2,$N78)+(F78)*Settings!$C$25*INDEX(Settings!$B$36:$F$44,3,$N78)+(G78)*Settings!$C$26*INDEX(Settings!$B$36:$F$44,4,$N78)+(H78)*Settings!$C$27*INDEX(Settings!$B$36:$F$44,5,$N78)+(I78)*Settings!$C$28*INDEX(Settings!$B$36:$F$44,6,$N78)+(J78)*Settings!$C$29*INDEX(Settings!$B$36:$F$44,7,$N78)+(O78)*Settings!$C$30*INDEX(Settings!$B$36:$F$44,8,$N78)+(P78)*Settings!$C$31*INDEX(Settings!$B$36:$F$44,9,$N78))/INDEX(Settings!$B$45:$F$45,1,$N78)/5*100*IF($M78="Not present",Settings!$B$51,1)),1)</f>
        <v>70.3</v>
      </c>
      <c r="S78" s="37" t="str">
        <f>IF($M78="Not present","Tier 4 — Watch only (absent)",IF(R78&gt;=Settings!$B$14,"Tier 1 — Always-on",IF(R78&gt;=Settings!$B$15,"Tier 2 — Seasonal/Regional",IF(R78&gt;=Settings!$B$16,"Tier 3 — Event-driven","Tier 4 — Monitor only"))))</f>
        <v>Tier 1 — Always-on</v>
      </c>
      <c r="T78" s="55">
        <f>Feasibility!$F50</f>
        <v>79</v>
      </c>
      <c r="U78" s="37" t="str">
        <f>IF($M78="Not present","Defer — not present",IF(AND(R78&gt;=Settings!$B$49,T78&gt;=Settings!$B$50),"Do now",IF(AND(R78&gt;=Settings!$B$49,T78&lt;Settings!$B$50),"Invest to enable",IF(AND(R78&lt;Settings!$B$49,T78&gt;=Settings!$B$50),"Low-cost add-on","Defer"))))</f>
        <v>Do now</v>
      </c>
      <c r="V78" s="12" t="str">
        <f t="shared" si="5"/>
        <v>Include in always-on panel; report trend vs baseline</v>
      </c>
    </row>
    <row r="79" ht="26.25" customHeight="1" spans="1:22">
      <c r="A79" s="70" t="s">
        <v>272</v>
      </c>
      <c r="B79" s="64" t="s">
        <v>273</v>
      </c>
      <c r="C79" s="64" t="s">
        <v>274</v>
      </c>
      <c r="D79" s="82">
        <f>ROUND(MIN(5,IF(Pathogens!I47&gt;=500,5,IF(Pathogens!I47&gt;=200,4,IF(Pathogens!I47&gt;=50,3,IF(Pathogens!I47&gt;=10,2,1))))*0.5+IF(Pathogens!J47&gt;=30,5,IF(Pathogens!J47&gt;=10,4,IF(Pathogens!J47&gt;=3,3,IF(Pathogens!J47&gt;=1,2,1))))*0.4+IF(AND($B$7&gt;=80,Pathogens!N47&gt;=0.5),1,0)*0.1+IF($B$10&lt;50,0.3,0)),0)</f>
        <v>3</v>
      </c>
      <c r="E79" s="82">
        <f>ROUND(MIN(5,IF(Pathogens!K47&gt;=8,5,IF(Pathogens!K47&gt;=5,4,IF(Pathogens!K47&gt;=3,3,IF(Pathogens!K47&gt;=1,2,1))))*0.5+IF(Pathogens!L47&gt;=5,5,IF(Pathogens!L47&gt;=3,4,IF(Pathogens!L47&gt;=2,3,IF(Pathogens!L47&gt;=1.2,2,1))))*0.3+IF(Pathogens!M47=1,2,0)*0.2+IF($B$13&gt;=2,0.5,0)),0)</f>
        <v>4</v>
      </c>
      <c r="F79" s="82">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c r="G79" s="82">
        <f>ROUND(MAX(1,MIN(5,(6-$B$11)*0.5+(6-$B$12)*0.4+(IF(AND(Pathogens!N47&gt;=0.5,$B$8&lt;60),5,IF(Pathogens!N47&gt;=0.5,4,IF(Pathogens!N47&gt;=0.3,3,IF(Pathogens!N47&gt;=0.1,2,1)))))*0.1)),0)</f>
        <v>2</v>
      </c>
      <c r="H79" s="82">
        <f>IF(ISNUMBER(SEARCH("Vaccine-preventable",Pathogens!C47)),2,IF(ISNUMBER(SEARCH("AMR",Pathogens!C47)),5,IF(ISNUMBER(SEARCH("VHF",Pathogens!C47)),4,IF(ISNUMBER(SEARCH("Emerging",Pathogens!C47)),5,IF(ISNUMBER(SEARCH("Mycobacterial",Pathogens!C47)),3,IF(ISNUMBER(SEARCH("Helminth",Pathogens!C47)),3,IF(ISNUMBER(SEARCH("Respiratory",Pathogens!C47)),4,3)))))))</f>
        <v>3</v>
      </c>
      <c r="I79" s="82">
        <f>IF(ISNUMBER(SEARCH("AMR",Pathogens!C47)),5,IF(ISNUMBER(SEARCH("Mycobacterial",Pathogens!C47)),4,IF(ISNUMBER(SEARCH("Enteric bacterial",Pathogens!C47)),3,IF(ISNUMBER(SEARCH("Bacterial",Pathogens!C47)),3,1))))</f>
        <v>1</v>
      </c>
      <c r="J79" s="82">
        <f t="shared" si="3"/>
        <v>3</v>
      </c>
      <c r="K79" s="83">
        <f>ROUND(((D79*Settings!$C$4)+(E79*Settings!$C$5)+(F79*Settings!$C$6)+(G79*Settings!$C$7)+(H79*Settings!$C$8)+(I79*Settings!$C$9)+(J79*Settings!$C$10))/5*100,1)</f>
        <v>60</v>
      </c>
      <c r="L79" s="84" t="str">
        <f>IF(K79&gt;=Settings!$B$14,"Tier 1 — Always-on",IF(K79&gt;=Settings!$B$15,"Tier 2 — Seasonal/Regional",IF(K79&gt;=Settings!$B$16,"Tier 3 — Event-driven","Tier 4 — Monitor only")))</f>
        <v>Tier 2 — Seasonal/Regional</v>
      </c>
      <c r="M79" s="55" t="str">
        <f>IFERROR(INDEX(Endemicity!$C$2:$BN$55,MATCH($B$3,Endemicity!$B$2:$B$55,0),MATCH($A79,Endemicity!$C$1:$BN$1,0)),"Sporadic")</f>
        <v>Endemic</v>
      </c>
      <c r="N79" s="48">
        <f>IF(Settings!$B$48="ON",IFERROR(MATCH($M79,Settings!$B$35:$F$35,0),5),5)</f>
        <v>1</v>
      </c>
      <c r="O79" s="48">
        <f>(6-Pathogens!X47)</f>
        <v>4</v>
      </c>
      <c r="P79" s="48">
        <f>ROUND(MIN(5,MAX(1,0.35*IF(Pathogens!R47=1,5,IF(Pathogens!R47=2,3,1))+0.2*IF(Pathogens!S47=1,5,IF(Pathogens!S47=2,3,1))+0.25*IF(Pathogens!W47=1,IF($B$26&gt;=3,5,IF($B$26=2,4,IF($B$26=1,2,1))),5)+0.2*IF($B$15&gt;=50,5,IF($B$15&gt;=25,4,IF($B$15&gt;=10,3,IF($B$15&gt;=5,2,1)))))),0)</f>
        <v>5</v>
      </c>
      <c r="Q79" s="37" t="str">
        <f t="shared" si="4"/>
        <v>Trend / intensity monitoring</v>
      </c>
      <c r="R79" s="37">
        <f>ROUND(MIN(100,((D79)*Settings!$C$23*INDEX(Settings!$B$36:$F$44,1,$N79)+(E79)*Settings!$C$24*INDEX(Settings!$B$36:$F$44,2,$N79)+(F79)*Settings!$C$25*INDEX(Settings!$B$36:$F$44,3,$N79)+(G79)*Settings!$C$26*INDEX(Settings!$B$36:$F$44,4,$N79)+(H79)*Settings!$C$27*INDEX(Settings!$B$36:$F$44,5,$N79)+(I79)*Settings!$C$28*INDEX(Settings!$B$36:$F$44,6,$N79)+(J79)*Settings!$C$29*INDEX(Settings!$B$36:$F$44,7,$N79)+(O79)*Settings!$C$30*INDEX(Settings!$B$36:$F$44,8,$N79)+(P79)*Settings!$C$31*INDEX(Settings!$B$36:$F$44,9,$N79))/INDEX(Settings!$B$45:$F$45,1,$N79)/5*100*IF($M79="Not present",Settings!$B$51,1)),1)</f>
        <v>67.1</v>
      </c>
      <c r="S79" s="37" t="str">
        <f>IF($M79="Not present","Tier 4 — Watch only (absent)",IF(R79&gt;=Settings!$B$14,"Tier 1 — Always-on",IF(R79&gt;=Settings!$B$15,"Tier 2 — Seasonal/Regional",IF(R79&gt;=Settings!$B$16,"Tier 3 — Event-driven","Tier 4 — Monitor only"))))</f>
        <v>Tier 2 — Seasonal/Regional</v>
      </c>
      <c r="T79" s="55">
        <f>Feasibility!$F51</f>
        <v>91</v>
      </c>
      <c r="U79" s="37" t="str">
        <f>IF($M79="Not present","Defer — not present",IF(AND(R79&gt;=Settings!$B$49,T79&gt;=Settings!$B$50),"Do now",IF(AND(R79&gt;=Settings!$B$49,T79&lt;Settings!$B$50),"Invest to enable",IF(AND(R79&lt;Settings!$B$49,T79&gt;=Settings!$B$50),"Low-cost add-on","Defer"))))</f>
        <v>Do now</v>
      </c>
      <c r="V79" s="12" t="str">
        <f t="shared" si="5"/>
        <v>Include in always-on panel; report trend vs baseline</v>
      </c>
    </row>
    <row r="80" ht="26.25" customHeight="1" spans="1:22">
      <c r="A80" s="70" t="s">
        <v>275</v>
      </c>
      <c r="B80" s="64" t="s">
        <v>276</v>
      </c>
      <c r="C80" s="64" t="s">
        <v>274</v>
      </c>
      <c r="D80" s="82">
        <f>ROUND(MIN(5,IF(Pathogens!I48&gt;=500,5,IF(Pathogens!I48&gt;=200,4,IF(Pathogens!I48&gt;=50,3,IF(Pathogens!I48&gt;=10,2,1))))*0.5+IF(Pathogens!J48&gt;=30,5,IF(Pathogens!J48&gt;=10,4,IF(Pathogens!J48&gt;=3,3,IF(Pathogens!J48&gt;=1,2,1))))*0.4+IF(AND($B$7&gt;=80,Pathogens!N48&gt;=0.5),1,0)*0.1+IF($B$10&lt;50,0.3,0)),0)</f>
        <v>3</v>
      </c>
      <c r="E80" s="82">
        <f>ROUND(MIN(5,IF(Pathogens!K48&gt;=8,5,IF(Pathogens!K48&gt;=5,4,IF(Pathogens!K48&gt;=3,3,IF(Pathogens!K48&gt;=1,2,1))))*0.5+IF(Pathogens!L48&gt;=5,5,IF(Pathogens!L48&gt;=3,4,IF(Pathogens!L48&gt;=2,3,IF(Pathogens!L48&gt;=1.2,2,1))))*0.3+IF(Pathogens!M48=1,2,0)*0.2+IF($B$13&gt;=2,0.5,0)),0)</f>
        <v>4</v>
      </c>
      <c r="F80" s="82">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c r="G80" s="82">
        <f>ROUND(MAX(1,MIN(5,(6-$B$11)*0.5+(6-$B$12)*0.4+(IF(AND(Pathogens!N48&gt;=0.5,$B$8&lt;60),5,IF(Pathogens!N48&gt;=0.5,4,IF(Pathogens!N48&gt;=0.3,3,IF(Pathogens!N48&gt;=0.1,2,1)))))*0.1)),0)</f>
        <v>2</v>
      </c>
      <c r="H80" s="82">
        <f>IF(ISNUMBER(SEARCH("Vaccine-preventable",Pathogens!C48)),2,IF(ISNUMBER(SEARCH("AMR",Pathogens!C48)),5,IF(ISNUMBER(SEARCH("VHF",Pathogens!C48)),4,IF(ISNUMBER(SEARCH("Emerging",Pathogens!C48)),5,IF(ISNUMBER(SEARCH("Mycobacterial",Pathogens!C48)),3,IF(ISNUMBER(SEARCH("Helminth",Pathogens!C48)),3,IF(ISNUMBER(SEARCH("Respiratory",Pathogens!C48)),4,3)))))))</f>
        <v>3</v>
      </c>
      <c r="I80" s="82">
        <f>IF(ISNUMBER(SEARCH("AMR",Pathogens!C48)),5,IF(ISNUMBER(SEARCH("Mycobacterial",Pathogens!C48)),4,IF(ISNUMBER(SEARCH("Enteric bacterial",Pathogens!C48)),3,IF(ISNUMBER(SEARCH("Bacterial",Pathogens!C48)),3,1))))</f>
        <v>1</v>
      </c>
      <c r="J80" s="82">
        <f t="shared" si="3"/>
        <v>3</v>
      </c>
      <c r="K80" s="83">
        <f>ROUND(((D80*Settings!$C$4)+(E80*Settings!$C$5)+(F80*Settings!$C$6)+(G80*Settings!$C$7)+(H80*Settings!$C$8)+(I80*Settings!$C$9)+(J80*Settings!$C$10))/5*100,1)</f>
        <v>60</v>
      </c>
      <c r="L80" s="84" t="str">
        <f>IF(K80&gt;=Settings!$B$14,"Tier 1 — Always-on",IF(K80&gt;=Settings!$B$15,"Tier 2 — Seasonal/Regional",IF(K80&gt;=Settings!$B$16,"Tier 3 — Event-driven","Tier 4 — Monitor only")))</f>
        <v>Tier 2 — Seasonal/Regional</v>
      </c>
      <c r="M80" s="55" t="str">
        <f>IFERROR(INDEX(Endemicity!$C$2:$BN$55,MATCH($B$3,Endemicity!$B$2:$B$55,0),MATCH($A80,Endemicity!$C$1:$BN$1,0)),"Sporadic")</f>
        <v>Endemic</v>
      </c>
      <c r="N80" s="48">
        <f>IF(Settings!$B$48="ON",IFERROR(MATCH($M80,Settings!$B$35:$F$35,0),5),5)</f>
        <v>1</v>
      </c>
      <c r="O80" s="48">
        <f>(6-Pathogens!X48)</f>
        <v>4</v>
      </c>
      <c r="P80" s="48">
        <f>ROUND(MIN(5,MAX(1,0.35*IF(Pathogens!R48=1,5,IF(Pathogens!R48=2,3,1))+0.2*IF(Pathogens!S48=1,5,IF(Pathogens!S48=2,3,1))+0.25*IF(Pathogens!W48=1,IF($B$26&gt;=3,5,IF($B$26=2,4,IF($B$26=1,2,1))),5)+0.2*IF($B$15&gt;=50,5,IF($B$15&gt;=25,4,IF($B$15&gt;=10,3,IF($B$15&gt;=5,2,1)))))),0)</f>
        <v>5</v>
      </c>
      <c r="Q80" s="37" t="str">
        <f t="shared" si="4"/>
        <v>Trend / intensity monitoring</v>
      </c>
      <c r="R80" s="37">
        <f>ROUND(MIN(100,((D80)*Settings!$C$23*INDEX(Settings!$B$36:$F$44,1,$N80)+(E80)*Settings!$C$24*INDEX(Settings!$B$36:$F$44,2,$N80)+(F80)*Settings!$C$25*INDEX(Settings!$B$36:$F$44,3,$N80)+(G80)*Settings!$C$26*INDEX(Settings!$B$36:$F$44,4,$N80)+(H80)*Settings!$C$27*INDEX(Settings!$B$36:$F$44,5,$N80)+(I80)*Settings!$C$28*INDEX(Settings!$B$36:$F$44,6,$N80)+(J80)*Settings!$C$29*INDEX(Settings!$B$36:$F$44,7,$N80)+(O80)*Settings!$C$30*INDEX(Settings!$B$36:$F$44,8,$N80)+(P80)*Settings!$C$31*INDEX(Settings!$B$36:$F$44,9,$N80))/INDEX(Settings!$B$45:$F$45,1,$N80)/5*100*IF($M80="Not present",Settings!$B$51,1)),1)</f>
        <v>67.1</v>
      </c>
      <c r="S80" s="37" t="str">
        <f>IF($M80="Not present","Tier 4 — Watch only (absent)",IF(R80&gt;=Settings!$B$14,"Tier 1 — Always-on",IF(R80&gt;=Settings!$B$15,"Tier 2 — Seasonal/Regional",IF(R80&gt;=Settings!$B$16,"Tier 3 — Event-driven","Tier 4 — Monitor only"))))</f>
        <v>Tier 2 — Seasonal/Regional</v>
      </c>
      <c r="T80" s="55">
        <f>Feasibility!$F52</f>
        <v>91</v>
      </c>
      <c r="U80" s="37" t="str">
        <f>IF($M80="Not present","Defer — not present",IF(AND(R80&gt;=Settings!$B$49,T80&gt;=Settings!$B$50),"Do now",IF(AND(R80&gt;=Settings!$B$49,T80&lt;Settings!$B$50),"Invest to enable",IF(AND(R80&lt;Settings!$B$49,T80&gt;=Settings!$B$50),"Low-cost add-on","Defer"))))</f>
        <v>Do now</v>
      </c>
      <c r="V80" s="12" t="str">
        <f t="shared" si="5"/>
        <v>Include in always-on panel; report trend vs baseline</v>
      </c>
    </row>
    <row r="81" ht="26.25" customHeight="1" spans="1:22">
      <c r="A81" s="70" t="s">
        <v>277</v>
      </c>
      <c r="B81" s="64" t="s">
        <v>278</v>
      </c>
      <c r="C81" s="64" t="s">
        <v>274</v>
      </c>
      <c r="D81" s="82">
        <f>ROUND(MIN(5,IF(Pathogens!I49&gt;=500,5,IF(Pathogens!I49&gt;=200,4,IF(Pathogens!I49&gt;=50,3,IF(Pathogens!I49&gt;=10,2,1))))*0.5+IF(Pathogens!J49&gt;=30,5,IF(Pathogens!J49&gt;=10,4,IF(Pathogens!J49&gt;=3,3,IF(Pathogens!J49&gt;=1,2,1))))*0.4+IF(AND($B$7&gt;=80,Pathogens!N49&gt;=0.5),1,0)*0.1+IF($B$10&lt;50,0.3,0)),0)</f>
        <v>2</v>
      </c>
      <c r="E81" s="82">
        <f>ROUND(MIN(5,IF(Pathogens!K49&gt;=8,5,IF(Pathogens!K49&gt;=5,4,IF(Pathogens!K49&gt;=3,3,IF(Pathogens!K49&gt;=1,2,1))))*0.5+IF(Pathogens!L49&gt;=5,5,IF(Pathogens!L49&gt;=3,4,IF(Pathogens!L49&gt;=2,3,IF(Pathogens!L49&gt;=1.2,2,1))))*0.3+IF(Pathogens!M49=1,2,0)*0.2+IF($B$13&gt;=2,0.5,0)),0)</f>
        <v>3</v>
      </c>
      <c r="F81" s="82">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c r="G81" s="82">
        <f>ROUND(MAX(1,MIN(5,(6-$B$11)*0.5+(6-$B$12)*0.4+(IF(AND(Pathogens!N49&gt;=0.5,$B$8&lt;60),5,IF(Pathogens!N49&gt;=0.5,4,IF(Pathogens!N49&gt;=0.3,3,IF(Pathogens!N49&gt;=0.1,2,1)))))*0.1)),0)</f>
        <v>2</v>
      </c>
      <c r="H81" s="82">
        <f>IF(ISNUMBER(SEARCH("Vaccine-preventable",Pathogens!C49)),2,IF(ISNUMBER(SEARCH("AMR",Pathogens!C49)),5,IF(ISNUMBER(SEARCH("VHF",Pathogens!C49)),4,IF(ISNUMBER(SEARCH("Emerging",Pathogens!C49)),5,IF(ISNUMBER(SEARCH("Mycobacterial",Pathogens!C49)),3,IF(ISNUMBER(SEARCH("Helminth",Pathogens!C49)),3,IF(ISNUMBER(SEARCH("Respiratory",Pathogens!C49)),4,3)))))))</f>
        <v>3</v>
      </c>
      <c r="I81" s="82">
        <f>IF(ISNUMBER(SEARCH("AMR",Pathogens!C49)),5,IF(ISNUMBER(SEARCH("Mycobacterial",Pathogens!C49)),4,IF(ISNUMBER(SEARCH("Enteric bacterial",Pathogens!C49)),3,IF(ISNUMBER(SEARCH("Bacterial",Pathogens!C49)),3,1))))</f>
        <v>1</v>
      </c>
      <c r="J81" s="82">
        <f t="shared" si="3"/>
        <v>3</v>
      </c>
      <c r="K81" s="83">
        <f>ROUND(((D81*Settings!$C$4)+(E81*Settings!$C$5)+(F81*Settings!$C$6)+(G81*Settings!$C$7)+(H81*Settings!$C$8)+(I81*Settings!$C$9)+(J81*Settings!$C$10))/5*100,1)</f>
        <v>52</v>
      </c>
      <c r="L81" s="84" t="str">
        <f>IF(K81&gt;=Settings!$B$14,"Tier 1 — Always-on",IF(K81&gt;=Settings!$B$15,"Tier 2 — Seasonal/Regional",IF(K81&gt;=Settings!$B$16,"Tier 3 — Event-driven","Tier 4 — Monitor only")))</f>
        <v>Tier 2 — Seasonal/Regional</v>
      </c>
      <c r="M81" s="55" t="str">
        <f>IFERROR(INDEX(Endemicity!$C$2:$BN$55,MATCH($B$3,Endemicity!$B$2:$B$55,0),MATCH($A81,Endemicity!$C$1:$BN$1,0)),"Sporadic")</f>
        <v>Endemic</v>
      </c>
      <c r="N81" s="48">
        <f>IF(Settings!$B$48="ON",IFERROR(MATCH($M81,Settings!$B$35:$F$35,0),5),5)</f>
        <v>1</v>
      </c>
      <c r="O81" s="48">
        <f>(6-Pathogens!X49)</f>
        <v>5</v>
      </c>
      <c r="P81" s="48">
        <f>ROUND(MIN(5,MAX(1,0.35*IF(Pathogens!R49=1,5,IF(Pathogens!R49=2,3,1))+0.2*IF(Pathogens!S49=1,5,IF(Pathogens!S49=2,3,1))+0.25*IF(Pathogens!W49=1,IF($B$26&gt;=3,5,IF($B$26=2,4,IF($B$26=1,2,1))),5)+0.2*IF($B$15&gt;=50,5,IF($B$15&gt;=25,4,IF($B$15&gt;=10,3,IF($B$15&gt;=5,2,1)))))),0)</f>
        <v>4</v>
      </c>
      <c r="Q81" s="37" t="str">
        <f t="shared" si="4"/>
        <v>Trend / intensity monitoring</v>
      </c>
      <c r="R81" s="37">
        <f>ROUND(MIN(100,((D81)*Settings!$C$23*INDEX(Settings!$B$36:$F$44,1,$N81)+(E81)*Settings!$C$24*INDEX(Settings!$B$36:$F$44,2,$N81)+(F81)*Settings!$C$25*INDEX(Settings!$B$36:$F$44,3,$N81)+(G81)*Settings!$C$26*INDEX(Settings!$B$36:$F$44,4,$N81)+(H81)*Settings!$C$27*INDEX(Settings!$B$36:$F$44,5,$N81)+(I81)*Settings!$C$28*INDEX(Settings!$B$36:$F$44,6,$N81)+(J81)*Settings!$C$29*INDEX(Settings!$B$36:$F$44,7,$N81)+(O81)*Settings!$C$30*INDEX(Settings!$B$36:$F$44,8,$N81)+(P81)*Settings!$C$31*INDEX(Settings!$B$36:$F$44,9,$N81))/INDEX(Settings!$B$45:$F$45,1,$N81)/5*100*IF($M81="Not present",Settings!$B$51,1)),1)</f>
        <v>59.2</v>
      </c>
      <c r="S81" s="37" t="str">
        <f>IF($M81="Not present","Tier 4 — Watch only (absent)",IF(R81&gt;=Settings!$B$14,"Tier 1 — Always-on",IF(R81&gt;=Settings!$B$15,"Tier 2 — Seasonal/Regional",IF(R81&gt;=Settings!$B$16,"Tier 3 — Event-driven","Tier 4 — Monitor only"))))</f>
        <v>Tier 2 — Seasonal/Regional</v>
      </c>
      <c r="T81" s="55">
        <f>Feasibility!$F53</f>
        <v>79</v>
      </c>
      <c r="U81" s="37" t="str">
        <f>IF($M81="Not present","Defer — not present",IF(AND(R81&gt;=Settings!$B$49,T81&gt;=Settings!$B$50),"Do now",IF(AND(R81&gt;=Settings!$B$49,T81&lt;Settings!$B$50),"Invest to enable",IF(AND(R81&lt;Settings!$B$49,T81&gt;=Settings!$B$50),"Low-cost add-on","Defer"))))</f>
        <v>Low-cost add-on</v>
      </c>
      <c r="V81" s="12" t="str">
        <f t="shared" si="5"/>
        <v>Cheap to multiplex onto existing runs; add if capacity allows</v>
      </c>
    </row>
    <row r="82" ht="26.25" customHeight="1" spans="1:22">
      <c r="A82" s="70" t="s">
        <v>279</v>
      </c>
      <c r="B82" s="64" t="s">
        <v>280</v>
      </c>
      <c r="C82" s="64" t="s">
        <v>281</v>
      </c>
      <c r="D82" s="82">
        <f>ROUND(MIN(5,IF(Pathogens!I50&gt;=500,5,IF(Pathogens!I50&gt;=200,4,IF(Pathogens!I50&gt;=50,3,IF(Pathogens!I50&gt;=10,2,1))))*0.5+IF(Pathogens!J50&gt;=30,5,IF(Pathogens!J50&gt;=10,4,IF(Pathogens!J50&gt;=3,3,IF(Pathogens!J50&gt;=1,2,1))))*0.4+IF(AND($B$7&gt;=80,Pathogens!N50&gt;=0.5),1,0)*0.1+IF($B$10&lt;50,0.3,0)),0)</f>
        <v>3</v>
      </c>
      <c r="E82" s="82">
        <f>ROUND(MIN(5,IF(Pathogens!K50&gt;=8,5,IF(Pathogens!K50&gt;=5,4,IF(Pathogens!K50&gt;=3,3,IF(Pathogens!K50&gt;=1,2,1))))*0.5+IF(Pathogens!L50&gt;=5,5,IF(Pathogens!L50&gt;=3,4,IF(Pathogens!L50&gt;=2,3,IF(Pathogens!L50&gt;=1.2,2,1))))*0.3+IF(Pathogens!M50=1,2,0)*0.2+IF($B$13&gt;=2,0.5,0)),0)</f>
        <v>4</v>
      </c>
      <c r="F82" s="82">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c r="G82" s="82">
        <f>ROUND(MAX(1,MIN(5,(6-$B$11)*0.5+(6-$B$12)*0.4+(IF(AND(Pathogens!N50&gt;=0.5,$B$8&lt;60),5,IF(Pathogens!N50&gt;=0.5,4,IF(Pathogens!N50&gt;=0.3,3,IF(Pathogens!N50&gt;=0.1,2,1)))))*0.1)),0)</f>
        <v>2</v>
      </c>
      <c r="H82" s="82">
        <f>IF(ISNUMBER(SEARCH("Vaccine-preventable",Pathogens!C50)),2,IF(ISNUMBER(SEARCH("AMR",Pathogens!C50)),5,IF(ISNUMBER(SEARCH("VHF",Pathogens!C50)),4,IF(ISNUMBER(SEARCH("Emerging",Pathogens!C50)),5,IF(ISNUMBER(SEARCH("Mycobacterial",Pathogens!C50)),3,IF(ISNUMBER(SEARCH("Helminth",Pathogens!C50)),3,IF(ISNUMBER(SEARCH("Respiratory",Pathogens!C50)),4,3)))))))</f>
        <v>3</v>
      </c>
      <c r="I82" s="82">
        <f>IF(ISNUMBER(SEARCH("AMR",Pathogens!C50)),5,IF(ISNUMBER(SEARCH("Mycobacterial",Pathogens!C50)),4,IF(ISNUMBER(SEARCH("Enteric bacterial",Pathogens!C50)),3,IF(ISNUMBER(SEARCH("Bacterial",Pathogens!C50)),3,1))))</f>
        <v>1</v>
      </c>
      <c r="J82" s="82">
        <f t="shared" si="3"/>
        <v>3</v>
      </c>
      <c r="K82" s="83">
        <f>ROUND(((D82*Settings!$C$4)+(E82*Settings!$C$5)+(F82*Settings!$C$6)+(G82*Settings!$C$7)+(H82*Settings!$C$8)+(I82*Settings!$C$9)+(J82*Settings!$C$10))/5*100,1)</f>
        <v>63</v>
      </c>
      <c r="L82" s="84" t="str">
        <f>IF(K82&gt;=Settings!$B$14,"Tier 1 — Always-on",IF(K82&gt;=Settings!$B$15,"Tier 2 — Seasonal/Regional",IF(K82&gt;=Settings!$B$16,"Tier 3 — Event-driven","Tier 4 — Monitor only")))</f>
        <v>Tier 2 — Seasonal/Regional</v>
      </c>
      <c r="M82" s="55" t="str">
        <f>IFERROR(INDEX(Endemicity!$C$2:$BN$55,MATCH($B$3,Endemicity!$B$2:$B$55,0),MATCH($A82,Endemicity!$C$1:$BN$1,0)),"Sporadic")</f>
        <v>Endemic</v>
      </c>
      <c r="N82" s="48">
        <f>IF(Settings!$B$48="ON",IFERROR(MATCH($M82,Settings!$B$35:$F$35,0),5),5)</f>
        <v>1</v>
      </c>
      <c r="O82" s="48">
        <f>(6-Pathogens!X50)</f>
        <v>3</v>
      </c>
      <c r="P82" s="48">
        <f>ROUND(MIN(5,MAX(1,0.35*IF(Pathogens!R50=1,5,IF(Pathogens!R50=2,3,1))+0.2*IF(Pathogens!S50=1,5,IF(Pathogens!S50=2,3,1))+0.25*IF(Pathogens!W50=1,IF($B$26&gt;=3,5,IF($B$26=2,4,IF($B$26=1,2,1))),5)+0.2*IF($B$15&gt;=50,5,IF($B$15&gt;=25,4,IF($B$15&gt;=10,3,IF($B$15&gt;=5,2,1)))))),0)</f>
        <v>4</v>
      </c>
      <c r="Q82" s="37" t="str">
        <f t="shared" si="4"/>
        <v>Trend / intensity monitoring</v>
      </c>
      <c r="R82" s="37">
        <f>ROUND(MIN(100,((D82)*Settings!$C$23*INDEX(Settings!$B$36:$F$44,1,$N82)+(E82)*Settings!$C$24*INDEX(Settings!$B$36:$F$44,2,$N82)+(F82)*Settings!$C$25*INDEX(Settings!$B$36:$F$44,3,$N82)+(G82)*Settings!$C$26*INDEX(Settings!$B$36:$F$44,4,$N82)+(H82)*Settings!$C$27*INDEX(Settings!$B$36:$F$44,5,$N82)+(I82)*Settings!$C$28*INDEX(Settings!$B$36:$F$44,6,$N82)+(J82)*Settings!$C$29*INDEX(Settings!$B$36:$F$44,7,$N82)+(O82)*Settings!$C$30*INDEX(Settings!$B$36:$F$44,8,$N82)+(P82)*Settings!$C$31*INDEX(Settings!$B$36:$F$44,9,$N82))/INDEX(Settings!$B$45:$F$45,1,$N82)/5*100*IF($M82="Not present",Settings!$B$51,1)),1)</f>
        <v>66.9</v>
      </c>
      <c r="S82" s="37" t="str">
        <f>IF($M82="Not present","Tier 4 — Watch only (absent)",IF(R82&gt;=Settings!$B$14,"Tier 1 — Always-on",IF(R82&gt;=Settings!$B$15,"Tier 2 — Seasonal/Regional",IF(R82&gt;=Settings!$B$16,"Tier 3 — Event-driven","Tier 4 — Monitor only"))))</f>
        <v>Tier 2 — Seasonal/Regional</v>
      </c>
      <c r="T82" s="55">
        <f>Feasibility!$F54</f>
        <v>79</v>
      </c>
      <c r="U82" s="37" t="str">
        <f>IF($M82="Not present","Defer — not present",IF(AND(R82&gt;=Settings!$B$49,T82&gt;=Settings!$B$50),"Do now",IF(AND(R82&gt;=Settings!$B$49,T82&lt;Settings!$B$50),"Invest to enable",IF(AND(R82&lt;Settings!$B$49,T82&gt;=Settings!$B$50),"Low-cost add-on","Defer"))))</f>
        <v>Do now</v>
      </c>
      <c r="V82" s="12" t="str">
        <f t="shared" si="5"/>
        <v>Include in always-on panel; report trend vs baseline</v>
      </c>
    </row>
    <row r="83" ht="26.25" customHeight="1" spans="1:22">
      <c r="A83" s="70" t="s">
        <v>282</v>
      </c>
      <c r="B83" s="64" t="s">
        <v>283</v>
      </c>
      <c r="C83" s="64" t="s">
        <v>281</v>
      </c>
      <c r="D83" s="82">
        <f>ROUND(MIN(5,IF(Pathogens!I51&gt;=500,5,IF(Pathogens!I51&gt;=200,4,IF(Pathogens!I51&gt;=50,3,IF(Pathogens!I51&gt;=10,2,1))))*0.5+IF(Pathogens!J51&gt;=30,5,IF(Pathogens!J51&gt;=10,4,IF(Pathogens!J51&gt;=3,3,IF(Pathogens!J51&gt;=1,2,1))))*0.4+IF(AND($B$7&gt;=80,Pathogens!N51&gt;=0.5),1,0)*0.1+IF($B$10&lt;50,0.3,0)),0)</f>
        <v>3</v>
      </c>
      <c r="E83" s="82">
        <f>ROUND(MIN(5,IF(Pathogens!K51&gt;=8,5,IF(Pathogens!K51&gt;=5,4,IF(Pathogens!K51&gt;=3,3,IF(Pathogens!K51&gt;=1,2,1))))*0.5+IF(Pathogens!L51&gt;=5,5,IF(Pathogens!L51&gt;=3,4,IF(Pathogens!L51&gt;=2,3,IF(Pathogens!L51&gt;=1.2,2,1))))*0.3+IF(Pathogens!M51=1,2,0)*0.2+IF($B$13&gt;=2,0.5,0)),0)</f>
        <v>4</v>
      </c>
      <c r="F83" s="82">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c r="G83" s="82">
        <f>ROUND(MAX(1,MIN(5,(6-$B$11)*0.5+(6-$B$12)*0.4+(IF(AND(Pathogens!N51&gt;=0.5,$B$8&lt;60),5,IF(Pathogens!N51&gt;=0.5,4,IF(Pathogens!N51&gt;=0.3,3,IF(Pathogens!N51&gt;=0.1,2,1)))))*0.1)),0)</f>
        <v>2</v>
      </c>
      <c r="H83" s="82">
        <f>IF(ISNUMBER(SEARCH("Vaccine-preventable",Pathogens!C51)),2,IF(ISNUMBER(SEARCH("AMR",Pathogens!C51)),5,IF(ISNUMBER(SEARCH("VHF",Pathogens!C51)),4,IF(ISNUMBER(SEARCH("Emerging",Pathogens!C51)),5,IF(ISNUMBER(SEARCH("Mycobacterial",Pathogens!C51)),3,IF(ISNUMBER(SEARCH("Helminth",Pathogens!C51)),3,IF(ISNUMBER(SEARCH("Respiratory",Pathogens!C51)),4,3)))))))</f>
        <v>3</v>
      </c>
      <c r="I83" s="82">
        <f>IF(ISNUMBER(SEARCH("AMR",Pathogens!C51)),5,IF(ISNUMBER(SEARCH("Mycobacterial",Pathogens!C51)),4,IF(ISNUMBER(SEARCH("Enteric bacterial",Pathogens!C51)),3,IF(ISNUMBER(SEARCH("Bacterial",Pathogens!C51)),3,1))))</f>
        <v>1</v>
      </c>
      <c r="J83" s="82">
        <f t="shared" si="3"/>
        <v>3</v>
      </c>
      <c r="K83" s="83">
        <f>ROUND(((D83*Settings!$C$4)+(E83*Settings!$C$5)+(F83*Settings!$C$6)+(G83*Settings!$C$7)+(H83*Settings!$C$8)+(I83*Settings!$C$9)+(J83*Settings!$C$10))/5*100,1)</f>
        <v>60</v>
      </c>
      <c r="L83" s="84" t="str">
        <f>IF(K83&gt;=Settings!$B$14,"Tier 1 — Always-on",IF(K83&gt;=Settings!$B$15,"Tier 2 — Seasonal/Regional",IF(K83&gt;=Settings!$B$16,"Tier 3 — Event-driven","Tier 4 — Monitor only")))</f>
        <v>Tier 2 — Seasonal/Regional</v>
      </c>
      <c r="M83" s="55" t="str">
        <f>IFERROR(INDEX(Endemicity!$C$2:$BN$55,MATCH($B$3,Endemicity!$B$2:$B$55,0),MATCH($A83,Endemicity!$C$1:$BN$1,0)),"Sporadic")</f>
        <v>Endemic</v>
      </c>
      <c r="N83" s="48">
        <f>IF(Settings!$B$48="ON",IFERROR(MATCH($M83,Settings!$B$35:$F$35,0),5),5)</f>
        <v>1</v>
      </c>
      <c r="O83" s="48">
        <f>(6-Pathogens!X51)</f>
        <v>3</v>
      </c>
      <c r="P83" s="48">
        <f>ROUND(MIN(5,MAX(1,0.35*IF(Pathogens!R51=1,5,IF(Pathogens!R51=2,3,1))+0.2*IF(Pathogens!S51=1,5,IF(Pathogens!S51=2,3,1))+0.25*IF(Pathogens!W51=1,IF($B$26&gt;=3,5,IF($B$26=2,4,IF($B$26=1,2,1))),5)+0.2*IF($B$15&gt;=50,5,IF($B$15&gt;=25,4,IF($B$15&gt;=10,3,IF($B$15&gt;=5,2,1)))))),0)</f>
        <v>5</v>
      </c>
      <c r="Q83" s="37" t="str">
        <f t="shared" si="4"/>
        <v>Trend / intensity monitoring</v>
      </c>
      <c r="R83" s="37">
        <f>ROUND(MIN(100,((D83)*Settings!$C$23*INDEX(Settings!$B$36:$F$44,1,$N83)+(E83)*Settings!$C$24*INDEX(Settings!$B$36:$F$44,2,$N83)+(F83)*Settings!$C$25*INDEX(Settings!$B$36:$F$44,3,$N83)+(G83)*Settings!$C$26*INDEX(Settings!$B$36:$F$44,4,$N83)+(H83)*Settings!$C$27*INDEX(Settings!$B$36:$F$44,5,$N83)+(I83)*Settings!$C$28*INDEX(Settings!$B$36:$F$44,6,$N83)+(J83)*Settings!$C$29*INDEX(Settings!$B$36:$F$44,7,$N83)+(O83)*Settings!$C$30*INDEX(Settings!$B$36:$F$44,8,$N83)+(P83)*Settings!$C$31*INDEX(Settings!$B$36:$F$44,9,$N83))/INDEX(Settings!$B$45:$F$45,1,$N83)/5*100*IF($M83="Not present",Settings!$B$51,1)),1)</f>
        <v>66.4</v>
      </c>
      <c r="S83" s="37" t="str">
        <f>IF($M83="Not present","Tier 4 — Watch only (absent)",IF(R83&gt;=Settings!$B$14,"Tier 1 — Always-on",IF(R83&gt;=Settings!$B$15,"Tier 2 — Seasonal/Regional",IF(R83&gt;=Settings!$B$16,"Tier 3 — Event-driven","Tier 4 — Monitor only"))))</f>
        <v>Tier 2 — Seasonal/Regional</v>
      </c>
      <c r="T83" s="55">
        <f>Feasibility!$F55</f>
        <v>91</v>
      </c>
      <c r="U83" s="37" t="str">
        <f>IF($M83="Not present","Defer — not present",IF(AND(R83&gt;=Settings!$B$49,T83&gt;=Settings!$B$50),"Do now",IF(AND(R83&gt;=Settings!$B$49,T83&lt;Settings!$B$50),"Invest to enable",IF(AND(R83&lt;Settings!$B$49,T83&gt;=Settings!$B$50),"Low-cost add-on","Defer"))))</f>
        <v>Do now</v>
      </c>
      <c r="V83" s="12" t="str">
        <f t="shared" si="5"/>
        <v>Include in always-on panel; report trend vs baseline</v>
      </c>
    </row>
    <row r="84" ht="26.25" customHeight="1" spans="1:22">
      <c r="A84" s="70" t="s">
        <v>284</v>
      </c>
      <c r="B84" s="64" t="s">
        <v>285</v>
      </c>
      <c r="C84" s="64" t="s">
        <v>281</v>
      </c>
      <c r="D84" s="82">
        <f>ROUND(MIN(5,IF(Pathogens!I52&gt;=500,5,IF(Pathogens!I52&gt;=200,4,IF(Pathogens!I52&gt;=50,3,IF(Pathogens!I52&gt;=10,2,1))))*0.5+IF(Pathogens!J52&gt;=30,5,IF(Pathogens!J52&gt;=10,4,IF(Pathogens!J52&gt;=3,3,IF(Pathogens!J52&gt;=1,2,1))))*0.4+IF(AND($B$7&gt;=80,Pathogens!N52&gt;=0.5),1,0)*0.1+IF($B$10&lt;50,0.3,0)),0)</f>
        <v>1</v>
      </c>
      <c r="E84" s="82">
        <f>ROUND(MIN(5,IF(Pathogens!K52&gt;=8,5,IF(Pathogens!K52&gt;=5,4,IF(Pathogens!K52&gt;=3,3,IF(Pathogens!K52&gt;=1,2,1))))*0.5+IF(Pathogens!L52&gt;=5,5,IF(Pathogens!L52&gt;=3,4,IF(Pathogens!L52&gt;=2,3,IF(Pathogens!L52&gt;=1.2,2,1))))*0.3+IF(Pathogens!M52=1,2,0)*0.2+IF($B$13&gt;=2,0.5,0)),0)</f>
        <v>3</v>
      </c>
      <c r="F84" s="82">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c r="G84" s="82">
        <f>ROUND(MAX(1,MIN(5,(6-$B$11)*0.5+(6-$B$12)*0.4+(IF(AND(Pathogens!N52&gt;=0.5,$B$8&lt;60),5,IF(Pathogens!N52&gt;=0.5,4,IF(Pathogens!N52&gt;=0.3,3,IF(Pathogens!N52&gt;=0.1,2,1)))))*0.1)),0)</f>
        <v>2</v>
      </c>
      <c r="H84" s="82">
        <f>IF(ISNUMBER(SEARCH("Vaccine-preventable",Pathogens!C52)),2,IF(ISNUMBER(SEARCH("AMR",Pathogens!C52)),5,IF(ISNUMBER(SEARCH("VHF",Pathogens!C52)),4,IF(ISNUMBER(SEARCH("Emerging",Pathogens!C52)),5,IF(ISNUMBER(SEARCH("Mycobacterial",Pathogens!C52)),3,IF(ISNUMBER(SEARCH("Helminth",Pathogens!C52)),3,IF(ISNUMBER(SEARCH("Respiratory",Pathogens!C52)),4,3)))))))</f>
        <v>3</v>
      </c>
      <c r="I84" s="82">
        <f>IF(ISNUMBER(SEARCH("AMR",Pathogens!C52)),5,IF(ISNUMBER(SEARCH("Mycobacterial",Pathogens!C52)),4,IF(ISNUMBER(SEARCH("Enteric bacterial",Pathogens!C52)),3,IF(ISNUMBER(SEARCH("Bacterial",Pathogens!C52)),3,1))))</f>
        <v>1</v>
      </c>
      <c r="J84" s="82">
        <f t="shared" si="3"/>
        <v>3</v>
      </c>
      <c r="K84" s="83">
        <f>ROUND(((D84*Settings!$C$4)+(E84*Settings!$C$5)+(F84*Settings!$C$6)+(G84*Settings!$C$7)+(H84*Settings!$C$8)+(I84*Settings!$C$9)+(J84*Settings!$C$10))/5*100,1)</f>
        <v>45</v>
      </c>
      <c r="L84" s="84" t="str">
        <f>IF(K84&gt;=Settings!$B$14,"Tier 1 — Always-on",IF(K84&gt;=Settings!$B$15,"Tier 2 — Seasonal/Regional",IF(K84&gt;=Settings!$B$16,"Tier 3 — Event-driven","Tier 4 — Monitor only")))</f>
        <v>Tier 3 — Event-driven</v>
      </c>
      <c r="M84" s="55" t="str">
        <f>IFERROR(INDEX(Endemicity!$C$2:$BN$55,MATCH($B$3,Endemicity!$B$2:$B$55,0),MATCH($A84,Endemicity!$C$1:$BN$1,0)),"Sporadic")</f>
        <v>Not present</v>
      </c>
      <c r="N84" s="48">
        <f>IF(Settings!$B$48="ON",IFERROR(MATCH($M84,Settings!$B$35:$F$35,0),5),5)</f>
        <v>4</v>
      </c>
      <c r="O84" s="48">
        <f>(6-Pathogens!X52)</f>
        <v>1</v>
      </c>
      <c r="P84" s="48">
        <f>ROUND(MIN(5,MAX(1,0.35*IF(Pathogens!R52=1,5,IF(Pathogens!R52=2,3,1))+0.2*IF(Pathogens!S52=1,5,IF(Pathogens!S52=2,3,1))+0.25*IF(Pathogens!W52=1,IF($B$26&gt;=3,5,IF($B$26=2,4,IF($B$26=1,2,1))),5)+0.2*IF($B$15&gt;=50,5,IF($B$15&gt;=25,4,IF($B$15&gt;=10,3,IF($B$15&gt;=5,2,1)))))),0)</f>
        <v>3</v>
      </c>
      <c r="Q84" s="37" t="str">
        <f t="shared" si="4"/>
        <v>Watch only — not present</v>
      </c>
      <c r="R84" s="37">
        <f>ROUND(MIN(100,((D84)*Settings!$C$23*INDEX(Settings!$B$36:$F$44,1,$N84)+(E84)*Settings!$C$24*INDEX(Settings!$B$36:$F$44,2,$N84)+(F84)*Settings!$C$25*INDEX(Settings!$B$36:$F$44,3,$N84)+(G84)*Settings!$C$26*INDEX(Settings!$B$36:$F$44,4,$N84)+(H84)*Settings!$C$27*INDEX(Settings!$B$36:$F$44,5,$N84)+(I84)*Settings!$C$28*INDEX(Settings!$B$36:$F$44,6,$N84)+(J84)*Settings!$C$29*INDEX(Settings!$B$36:$F$44,7,$N84)+(O84)*Settings!$C$30*INDEX(Settings!$B$36:$F$44,8,$N84)+(P84)*Settings!$C$31*INDEX(Settings!$B$36:$F$44,9,$N84))/INDEX(Settings!$B$45:$F$45,1,$N84)/5*100*IF($M84="Not present",Settings!$B$51,1)),1)</f>
        <v>18.5</v>
      </c>
      <c r="S84" s="37" t="str">
        <f>IF($M84="Not present","Tier 4 — Watch only (absent)",IF(R84&gt;=Settings!$B$14,"Tier 1 — Always-on",IF(R84&gt;=Settings!$B$15,"Tier 2 — Seasonal/Regional",IF(R84&gt;=Settings!$B$16,"Tier 3 — Event-driven","Tier 4 — Monitor only"))))</f>
        <v>Tier 4 — Watch only (absent)</v>
      </c>
      <c r="T84" s="55">
        <f>Feasibility!$F56</f>
        <v>67</v>
      </c>
      <c r="U84" s="37" t="str">
        <f>IF($M84="Not present","Defer — not present",IF(AND(R84&gt;=Settings!$B$49,T84&gt;=Settings!$B$50),"Do now",IF(AND(R84&gt;=Settings!$B$49,T84&lt;Settings!$B$50),"Invest to enable",IF(AND(R84&lt;Settings!$B$49,T84&gt;=Settings!$B$50),"Low-cost add-on","Defer"))))</f>
        <v>Defer — not present</v>
      </c>
      <c r="V84" s="12" t="str">
        <f t="shared" si="5"/>
        <v>Defer to a later phase or event-driven testing only</v>
      </c>
    </row>
    <row r="85" ht="26.25" customHeight="1" spans="1:22">
      <c r="A85" s="70" t="s">
        <v>286</v>
      </c>
      <c r="B85" s="64" t="s">
        <v>287</v>
      </c>
      <c r="C85" s="64" t="s">
        <v>288</v>
      </c>
      <c r="D85" s="82">
        <f>ROUND(MIN(5,IF(Pathogens!I53&gt;=500,5,IF(Pathogens!I53&gt;=200,4,IF(Pathogens!I53&gt;=50,3,IF(Pathogens!I53&gt;=10,2,1))))*0.5+IF(Pathogens!J53&gt;=30,5,IF(Pathogens!J53&gt;=10,4,IF(Pathogens!J53&gt;=3,3,IF(Pathogens!J53&gt;=1,2,1))))*0.4+IF(AND($B$7&gt;=80,Pathogens!N53&gt;=0.5),1,0)*0.1+IF($B$10&lt;50,0.3,0)),0)</f>
        <v>3</v>
      </c>
      <c r="E85" s="82">
        <f>ROUND(MIN(5,IF(Pathogens!K53&gt;=8,5,IF(Pathogens!K53&gt;=5,4,IF(Pathogens!K53&gt;=3,3,IF(Pathogens!K53&gt;=1,2,1))))*0.5+IF(Pathogens!L53&gt;=5,5,IF(Pathogens!L53&gt;=3,4,IF(Pathogens!L53&gt;=2,3,IF(Pathogens!L53&gt;=1.2,2,1))))*0.3+IF(Pathogens!M53=1,2,0)*0.2+IF($B$13&gt;=2,0.5,0)),0)</f>
        <v>3</v>
      </c>
      <c r="F85" s="82">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c r="G85" s="82">
        <f>ROUND(MAX(1,MIN(5,(6-$B$11)*0.5+(6-$B$12)*0.4+(IF(AND(Pathogens!N53&gt;=0.5,$B$8&lt;60),5,IF(Pathogens!N53&gt;=0.5,4,IF(Pathogens!N53&gt;=0.3,3,IF(Pathogens!N53&gt;=0.1,2,1)))))*0.1)),0)</f>
        <v>2</v>
      </c>
      <c r="H85" s="82">
        <f>IF(ISNUMBER(SEARCH("Vaccine-preventable",Pathogens!C53)),2,IF(ISNUMBER(SEARCH("AMR",Pathogens!C53)),5,IF(ISNUMBER(SEARCH("VHF",Pathogens!C53)),4,IF(ISNUMBER(SEARCH("Emerging",Pathogens!C53)),5,IF(ISNUMBER(SEARCH("Mycobacterial",Pathogens!C53)),3,IF(ISNUMBER(SEARCH("Helminth",Pathogens!C53)),3,IF(ISNUMBER(SEARCH("Respiratory",Pathogens!C53)),4,3)))))))</f>
        <v>5</v>
      </c>
      <c r="I85" s="82">
        <f>IF(ISNUMBER(SEARCH("AMR",Pathogens!C53)),5,IF(ISNUMBER(SEARCH("Mycobacterial",Pathogens!C53)),4,IF(ISNUMBER(SEARCH("Enteric bacterial",Pathogens!C53)),3,IF(ISNUMBER(SEARCH("Bacterial",Pathogens!C53)),3,1))))</f>
        <v>5</v>
      </c>
      <c r="J85" s="82">
        <f t="shared" si="3"/>
        <v>3</v>
      </c>
      <c r="K85" s="83">
        <f>ROUND(((D85*Settings!$C$4)+(E85*Settings!$C$5)+(F85*Settings!$C$6)+(G85*Settings!$C$7)+(H85*Settings!$C$8)+(I85*Settings!$C$9)+(J85*Settings!$C$10))/5*100,1)</f>
        <v>68</v>
      </c>
      <c r="L85" s="84" t="str">
        <f>IF(K85&gt;=Settings!$B$14,"Tier 1 — Always-on",IF(K85&gt;=Settings!$B$15,"Tier 2 — Seasonal/Regional",IF(K85&gt;=Settings!$B$16,"Tier 3 — Event-driven","Tier 4 — Monitor only")))</f>
        <v>Tier 2 — Seasonal/Regional</v>
      </c>
      <c r="M85" s="55" t="str">
        <f>IFERROR(INDEX(Endemicity!$C$2:$BN$55,MATCH($B$3,Endemicity!$B$2:$B$55,0),MATCH($A85,Endemicity!$C$1:$BN$1,0)),"Sporadic")</f>
        <v>Endemic</v>
      </c>
      <c r="N85" s="48">
        <f>IF(Settings!$B$48="ON",IFERROR(MATCH($M85,Settings!$B$35:$F$35,0),5),5)</f>
        <v>1</v>
      </c>
      <c r="O85" s="48">
        <f>(6-Pathogens!X53)</f>
        <v>4</v>
      </c>
      <c r="P85" s="48">
        <f>ROUND(MIN(5,MAX(1,0.35*IF(Pathogens!R53=1,5,IF(Pathogens!R53=2,3,1))+0.2*IF(Pathogens!S53=1,5,IF(Pathogens!S53=2,3,1))+0.25*IF(Pathogens!W53=1,IF($B$26&gt;=3,5,IF($B$26=2,4,IF($B$26=1,2,1))),5)+0.2*IF($B$15&gt;=50,5,IF($B$15&gt;=25,4,IF($B$15&gt;=10,3,IF($B$15&gt;=5,2,1)))))),0)</f>
        <v>5</v>
      </c>
      <c r="Q85" s="37" t="str">
        <f t="shared" si="4"/>
        <v>Trend / intensity monitoring</v>
      </c>
      <c r="R85" s="37">
        <f>ROUND(MIN(100,((D85)*Settings!$C$23*INDEX(Settings!$B$36:$F$44,1,$N85)+(E85)*Settings!$C$24*INDEX(Settings!$B$36:$F$44,2,$N85)+(F85)*Settings!$C$25*INDEX(Settings!$B$36:$F$44,3,$N85)+(G85)*Settings!$C$26*INDEX(Settings!$B$36:$F$44,4,$N85)+(H85)*Settings!$C$27*INDEX(Settings!$B$36:$F$44,5,$N85)+(I85)*Settings!$C$28*INDEX(Settings!$B$36:$F$44,6,$N85)+(J85)*Settings!$C$29*INDEX(Settings!$B$36:$F$44,7,$N85)+(O85)*Settings!$C$30*INDEX(Settings!$B$36:$F$44,8,$N85)+(P85)*Settings!$C$31*INDEX(Settings!$B$36:$F$44,9,$N85))/INDEX(Settings!$B$45:$F$45,1,$N85)/5*100*IF($M85="Not present",Settings!$B$51,1)),1)</f>
        <v>74.5</v>
      </c>
      <c r="S85" s="37" t="str">
        <f>IF($M85="Not present","Tier 4 — Watch only (absent)",IF(R85&gt;=Settings!$B$14,"Tier 1 — Always-on",IF(R85&gt;=Settings!$B$15,"Tier 2 — Seasonal/Regional",IF(R85&gt;=Settings!$B$16,"Tier 3 — Event-driven","Tier 4 — Monitor only"))))</f>
        <v>Tier 1 — Always-on</v>
      </c>
      <c r="T85" s="55">
        <f>Feasibility!$F57</f>
        <v>91</v>
      </c>
      <c r="U85" s="37" t="str">
        <f>IF($M85="Not present","Defer — not present",IF(AND(R85&gt;=Settings!$B$49,T85&gt;=Settings!$B$50),"Do now",IF(AND(R85&gt;=Settings!$B$49,T85&lt;Settings!$B$50),"Invest to enable",IF(AND(R85&lt;Settings!$B$49,T85&gt;=Settings!$B$50),"Low-cost add-on","Defer"))))</f>
        <v>Do now</v>
      </c>
      <c r="V85" s="12" t="str">
        <f t="shared" si="5"/>
        <v>Include in always-on panel; report trend vs baseline</v>
      </c>
    </row>
    <row r="86" ht="26.25" customHeight="1" spans="1:22">
      <c r="A86" s="70" t="s">
        <v>289</v>
      </c>
      <c r="B86" s="64" t="s">
        <v>290</v>
      </c>
      <c r="C86" s="64" t="s">
        <v>288</v>
      </c>
      <c r="D86" s="82">
        <f>ROUND(MIN(5,IF(Pathogens!I54&gt;=500,5,IF(Pathogens!I54&gt;=200,4,IF(Pathogens!I54&gt;=50,3,IF(Pathogens!I54&gt;=10,2,1))))*0.5+IF(Pathogens!J54&gt;=30,5,IF(Pathogens!J54&gt;=10,4,IF(Pathogens!J54&gt;=3,3,IF(Pathogens!J54&gt;=1,2,1))))*0.4+IF(AND($B$7&gt;=80,Pathogens!N54&gt;=0.5),1,0)*0.1+IF($B$10&lt;50,0.3,0)),0)</f>
        <v>3</v>
      </c>
      <c r="E86" s="82">
        <f>ROUND(MIN(5,IF(Pathogens!K54&gt;=8,5,IF(Pathogens!K54&gt;=5,4,IF(Pathogens!K54&gt;=3,3,IF(Pathogens!K54&gt;=1,2,1))))*0.5+IF(Pathogens!L54&gt;=5,5,IF(Pathogens!L54&gt;=3,4,IF(Pathogens!L54&gt;=2,3,IF(Pathogens!L54&gt;=1.2,2,1))))*0.3+IF(Pathogens!M54=1,2,0)*0.2+IF($B$13&gt;=2,0.5,0)),0)</f>
        <v>3</v>
      </c>
      <c r="F86" s="82">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c r="G86" s="82">
        <f>ROUND(MAX(1,MIN(5,(6-$B$11)*0.5+(6-$B$12)*0.4+(IF(AND(Pathogens!N54&gt;=0.5,$B$8&lt;60),5,IF(Pathogens!N54&gt;=0.5,4,IF(Pathogens!N54&gt;=0.3,3,IF(Pathogens!N54&gt;=0.1,2,1)))))*0.1)),0)</f>
        <v>2</v>
      </c>
      <c r="H86" s="82">
        <f>IF(ISNUMBER(SEARCH("Vaccine-preventable",Pathogens!C54)),2,IF(ISNUMBER(SEARCH("AMR",Pathogens!C54)),5,IF(ISNUMBER(SEARCH("VHF",Pathogens!C54)),4,IF(ISNUMBER(SEARCH("Emerging",Pathogens!C54)),5,IF(ISNUMBER(SEARCH("Mycobacterial",Pathogens!C54)),3,IF(ISNUMBER(SEARCH("Helminth",Pathogens!C54)),3,IF(ISNUMBER(SEARCH("Respiratory",Pathogens!C54)),4,3)))))))</f>
        <v>5</v>
      </c>
      <c r="I86" s="82">
        <f>IF(ISNUMBER(SEARCH("AMR",Pathogens!C54)),5,IF(ISNUMBER(SEARCH("Mycobacterial",Pathogens!C54)),4,IF(ISNUMBER(SEARCH("Enteric bacterial",Pathogens!C54)),3,IF(ISNUMBER(SEARCH("Bacterial",Pathogens!C54)),3,1))))</f>
        <v>5</v>
      </c>
      <c r="J86" s="82">
        <f t="shared" si="3"/>
        <v>3</v>
      </c>
      <c r="K86" s="83">
        <f>ROUND(((D86*Settings!$C$4)+(E86*Settings!$C$5)+(F86*Settings!$C$6)+(G86*Settings!$C$7)+(H86*Settings!$C$8)+(I86*Settings!$C$9)+(J86*Settings!$C$10))/5*100,1)</f>
        <v>68</v>
      </c>
      <c r="L86" s="84" t="str">
        <f>IF(K86&gt;=Settings!$B$14,"Tier 1 — Always-on",IF(K86&gt;=Settings!$B$15,"Tier 2 — Seasonal/Regional",IF(K86&gt;=Settings!$B$16,"Tier 3 — Event-driven","Tier 4 — Monitor only")))</f>
        <v>Tier 2 — Seasonal/Regional</v>
      </c>
      <c r="M86" s="55" t="str">
        <f>IFERROR(INDEX(Endemicity!$C$2:$BN$55,MATCH($B$3,Endemicity!$B$2:$B$55,0),MATCH($A86,Endemicity!$C$1:$BN$1,0)),"Sporadic")</f>
        <v>Endemic</v>
      </c>
      <c r="N86" s="48">
        <f>IF(Settings!$B$48="ON",IFERROR(MATCH($M86,Settings!$B$35:$F$35,0),5),5)</f>
        <v>1</v>
      </c>
      <c r="O86" s="48">
        <f>(6-Pathogens!X54)</f>
        <v>4</v>
      </c>
      <c r="P86" s="48">
        <f>ROUND(MIN(5,MAX(1,0.35*IF(Pathogens!R54=1,5,IF(Pathogens!R54=2,3,1))+0.2*IF(Pathogens!S54=1,5,IF(Pathogens!S54=2,3,1))+0.25*IF(Pathogens!W54=1,IF($B$26&gt;=3,5,IF($B$26=2,4,IF($B$26=1,2,1))),5)+0.2*IF($B$15&gt;=50,5,IF($B$15&gt;=25,4,IF($B$15&gt;=10,3,IF($B$15&gt;=5,2,1)))))),0)</f>
        <v>4</v>
      </c>
      <c r="Q86" s="37" t="str">
        <f t="shared" si="4"/>
        <v>Trend / intensity monitoring</v>
      </c>
      <c r="R86" s="37">
        <f>ROUND(MIN(100,((D86)*Settings!$C$23*INDEX(Settings!$B$36:$F$44,1,$N86)+(E86)*Settings!$C$24*INDEX(Settings!$B$36:$F$44,2,$N86)+(F86)*Settings!$C$25*INDEX(Settings!$B$36:$F$44,3,$N86)+(G86)*Settings!$C$26*INDEX(Settings!$B$36:$F$44,4,$N86)+(H86)*Settings!$C$27*INDEX(Settings!$B$36:$F$44,5,$N86)+(I86)*Settings!$C$28*INDEX(Settings!$B$36:$F$44,6,$N86)+(J86)*Settings!$C$29*INDEX(Settings!$B$36:$F$44,7,$N86)+(O86)*Settings!$C$30*INDEX(Settings!$B$36:$F$44,8,$N86)+(P86)*Settings!$C$31*INDEX(Settings!$B$36:$F$44,9,$N86))/INDEX(Settings!$B$45:$F$45,1,$N86)/5*100*IF($M86="Not present",Settings!$B$51,1)),1)</f>
        <v>71.8</v>
      </c>
      <c r="S86" s="37" t="str">
        <f>IF($M86="Not present","Tier 4 — Watch only (absent)",IF(R86&gt;=Settings!$B$14,"Tier 1 — Always-on",IF(R86&gt;=Settings!$B$15,"Tier 2 — Seasonal/Regional",IF(R86&gt;=Settings!$B$16,"Tier 3 — Event-driven","Tier 4 — Monitor only"))))</f>
        <v>Tier 1 — Always-on</v>
      </c>
      <c r="T86" s="55">
        <f>Feasibility!$F58</f>
        <v>79</v>
      </c>
      <c r="U86" s="37" t="str">
        <f>IF($M86="Not present","Defer — not present",IF(AND(R86&gt;=Settings!$B$49,T86&gt;=Settings!$B$50),"Do now",IF(AND(R86&gt;=Settings!$B$49,T86&lt;Settings!$B$50),"Invest to enable",IF(AND(R86&lt;Settings!$B$49,T86&gt;=Settings!$B$50),"Low-cost add-on","Defer"))))</f>
        <v>Do now</v>
      </c>
      <c r="V86" s="12" t="str">
        <f t="shared" si="5"/>
        <v>Include in always-on panel; report trend vs baseline</v>
      </c>
    </row>
    <row r="87" ht="26.25" customHeight="1" spans="1:22">
      <c r="A87" s="70" t="s">
        <v>291</v>
      </c>
      <c r="B87" s="64" t="s">
        <v>292</v>
      </c>
      <c r="C87" s="64" t="s">
        <v>288</v>
      </c>
      <c r="D87" s="82">
        <f>ROUND(MIN(5,IF(Pathogens!I55&gt;=500,5,IF(Pathogens!I55&gt;=200,4,IF(Pathogens!I55&gt;=50,3,IF(Pathogens!I55&gt;=10,2,1))))*0.5+IF(Pathogens!J55&gt;=30,5,IF(Pathogens!J55&gt;=10,4,IF(Pathogens!J55&gt;=3,3,IF(Pathogens!J55&gt;=1,2,1))))*0.4+IF(AND($B$7&gt;=80,Pathogens!N55&gt;=0.5),1,0)*0.1+IF($B$10&lt;50,0.3,0)),0)</f>
        <v>2</v>
      </c>
      <c r="E87" s="82">
        <f>ROUND(MIN(5,IF(Pathogens!K55&gt;=8,5,IF(Pathogens!K55&gt;=5,4,IF(Pathogens!K55&gt;=3,3,IF(Pathogens!K55&gt;=1,2,1))))*0.5+IF(Pathogens!L55&gt;=5,5,IF(Pathogens!L55&gt;=3,4,IF(Pathogens!L55&gt;=2,3,IF(Pathogens!L55&gt;=1.2,2,1))))*0.3+IF(Pathogens!M55=1,2,0)*0.2+IF($B$13&gt;=2,0.5,0)),0)</f>
        <v>3</v>
      </c>
      <c r="F87" s="82">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c r="G87" s="82">
        <f>ROUND(MAX(1,MIN(5,(6-$B$11)*0.5+(6-$B$12)*0.4+(IF(AND(Pathogens!N55&gt;=0.5,$B$8&lt;60),5,IF(Pathogens!N55&gt;=0.5,4,IF(Pathogens!N55&gt;=0.3,3,IF(Pathogens!N55&gt;=0.1,2,1)))))*0.1)),0)</f>
        <v>2</v>
      </c>
      <c r="H87" s="82">
        <f>IF(ISNUMBER(SEARCH("Vaccine-preventable",Pathogens!C55)),2,IF(ISNUMBER(SEARCH("AMR",Pathogens!C55)),5,IF(ISNUMBER(SEARCH("VHF",Pathogens!C55)),4,IF(ISNUMBER(SEARCH("Emerging",Pathogens!C55)),5,IF(ISNUMBER(SEARCH("Mycobacterial",Pathogens!C55)),3,IF(ISNUMBER(SEARCH("Helminth",Pathogens!C55)),3,IF(ISNUMBER(SEARCH("Respiratory",Pathogens!C55)),4,3)))))))</f>
        <v>5</v>
      </c>
      <c r="I87" s="82">
        <f>IF(ISNUMBER(SEARCH("AMR",Pathogens!C55)),5,IF(ISNUMBER(SEARCH("Mycobacterial",Pathogens!C55)),4,IF(ISNUMBER(SEARCH("Enteric bacterial",Pathogens!C55)),3,IF(ISNUMBER(SEARCH("Bacterial",Pathogens!C55)),3,1))))</f>
        <v>5</v>
      </c>
      <c r="J87" s="82">
        <f t="shared" si="3"/>
        <v>3</v>
      </c>
      <c r="K87" s="83">
        <f>ROUND(((D87*Settings!$C$4)+(E87*Settings!$C$5)+(F87*Settings!$C$6)+(G87*Settings!$C$7)+(H87*Settings!$C$8)+(I87*Settings!$C$9)+(J87*Settings!$C$10))/5*100,1)</f>
        <v>64</v>
      </c>
      <c r="L87" s="84" t="str">
        <f>IF(K87&gt;=Settings!$B$14,"Tier 1 — Always-on",IF(K87&gt;=Settings!$B$15,"Tier 2 — Seasonal/Regional",IF(K87&gt;=Settings!$B$16,"Tier 3 — Event-driven","Tier 4 — Monitor only")))</f>
        <v>Tier 2 — Seasonal/Regional</v>
      </c>
      <c r="M87" s="55" t="str">
        <f>IFERROR(INDEX(Endemicity!$C$2:$BN$55,MATCH($B$3,Endemicity!$B$2:$B$55,0),MATCH($A87,Endemicity!$C$1:$BN$1,0)),"Sporadic")</f>
        <v>Endemic</v>
      </c>
      <c r="N87" s="48">
        <f>IF(Settings!$B$48="ON",IFERROR(MATCH($M87,Settings!$B$35:$F$35,0),5),5)</f>
        <v>1</v>
      </c>
      <c r="O87" s="48">
        <f>(6-Pathogens!X55)</f>
        <v>5</v>
      </c>
      <c r="P87" s="48">
        <f>ROUND(MIN(5,MAX(1,0.35*IF(Pathogens!R55=1,5,IF(Pathogens!R55=2,3,1))+0.2*IF(Pathogens!S55=1,5,IF(Pathogens!S55=2,3,1))+0.25*IF(Pathogens!W55=1,IF($B$26&gt;=3,5,IF($B$26=2,4,IF($B$26=1,2,1))),5)+0.2*IF($B$15&gt;=50,5,IF($B$15&gt;=25,4,IF($B$15&gt;=10,3,IF($B$15&gt;=5,2,1)))))),0)</f>
        <v>4</v>
      </c>
      <c r="Q87" s="37" t="str">
        <f t="shared" si="4"/>
        <v>Trend / intensity monitoring</v>
      </c>
      <c r="R87" s="37">
        <f>ROUND(MIN(100,((D87)*Settings!$C$23*INDEX(Settings!$B$36:$F$44,1,$N87)+(E87)*Settings!$C$24*INDEX(Settings!$B$36:$F$44,2,$N87)+(F87)*Settings!$C$25*INDEX(Settings!$B$36:$F$44,3,$N87)+(G87)*Settings!$C$26*INDEX(Settings!$B$36:$F$44,4,$N87)+(H87)*Settings!$C$27*INDEX(Settings!$B$36:$F$44,5,$N87)+(I87)*Settings!$C$28*INDEX(Settings!$B$36:$F$44,6,$N87)+(J87)*Settings!$C$29*INDEX(Settings!$B$36:$F$44,7,$N87)+(O87)*Settings!$C$30*INDEX(Settings!$B$36:$F$44,8,$N87)+(P87)*Settings!$C$31*INDEX(Settings!$B$36:$F$44,9,$N87))/INDEX(Settings!$B$45:$F$45,1,$N87)/5*100*IF($M87="Not present",Settings!$B$51,1)),1)</f>
        <v>68.4</v>
      </c>
      <c r="S87" s="37" t="str">
        <f>IF($M87="Not present","Tier 4 — Watch only (absent)",IF(R87&gt;=Settings!$B$14,"Tier 1 — Always-on",IF(R87&gt;=Settings!$B$15,"Tier 2 — Seasonal/Regional",IF(R87&gt;=Settings!$B$16,"Tier 3 — Event-driven","Tier 4 — Monitor only"))))</f>
        <v>Tier 2 — Seasonal/Regional</v>
      </c>
      <c r="T87" s="55">
        <f>Feasibility!$F59</f>
        <v>79</v>
      </c>
      <c r="U87" s="37" t="str">
        <f>IF($M87="Not present","Defer — not present",IF(AND(R87&gt;=Settings!$B$49,T87&gt;=Settings!$B$50),"Do now",IF(AND(R87&gt;=Settings!$B$49,T87&lt;Settings!$B$50),"Invest to enable",IF(AND(R87&lt;Settings!$B$49,T87&gt;=Settings!$B$50),"Low-cost add-on","Defer"))))</f>
        <v>Do now</v>
      </c>
      <c r="V87" s="12" t="str">
        <f t="shared" si="5"/>
        <v>Include in always-on panel; report trend vs baseline</v>
      </c>
    </row>
    <row r="88" ht="26.25" customHeight="1" spans="1:22">
      <c r="A88" s="70" t="s">
        <v>293</v>
      </c>
      <c r="B88" s="64" t="s">
        <v>294</v>
      </c>
      <c r="C88" s="64" t="s">
        <v>288</v>
      </c>
      <c r="D88" s="82">
        <f>ROUND(MIN(5,IF(Pathogens!I56&gt;=500,5,IF(Pathogens!I56&gt;=200,4,IF(Pathogens!I56&gt;=50,3,IF(Pathogens!I56&gt;=10,2,1))))*0.5+IF(Pathogens!J56&gt;=30,5,IF(Pathogens!J56&gt;=10,4,IF(Pathogens!J56&gt;=3,3,IF(Pathogens!J56&gt;=1,2,1))))*0.4+IF(AND($B$7&gt;=80,Pathogens!N56&gt;=0.5),1,0)*0.1+IF($B$10&lt;50,0.3,0)),0)</f>
        <v>3</v>
      </c>
      <c r="E88" s="82">
        <f>ROUND(MIN(5,IF(Pathogens!K56&gt;=8,5,IF(Pathogens!K56&gt;=5,4,IF(Pathogens!K56&gt;=3,3,IF(Pathogens!K56&gt;=1,2,1))))*0.5+IF(Pathogens!L56&gt;=5,5,IF(Pathogens!L56&gt;=3,4,IF(Pathogens!L56&gt;=2,3,IF(Pathogens!L56&gt;=1.2,2,1))))*0.3+IF(Pathogens!M56=1,2,0)*0.2+IF($B$13&gt;=2,0.5,0)),0)</f>
        <v>3</v>
      </c>
      <c r="F88" s="82">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c r="G88" s="82">
        <f>ROUND(MAX(1,MIN(5,(6-$B$11)*0.5+(6-$B$12)*0.4+(IF(AND(Pathogens!N56&gt;=0.5,$B$8&lt;60),5,IF(Pathogens!N56&gt;=0.5,4,IF(Pathogens!N56&gt;=0.3,3,IF(Pathogens!N56&gt;=0.1,2,1)))))*0.1)),0)</f>
        <v>2</v>
      </c>
      <c r="H88" s="82">
        <f>IF(ISNUMBER(SEARCH("Vaccine-preventable",Pathogens!C56)),2,IF(ISNUMBER(SEARCH("AMR",Pathogens!C56)),5,IF(ISNUMBER(SEARCH("VHF",Pathogens!C56)),4,IF(ISNUMBER(SEARCH("Emerging",Pathogens!C56)),5,IF(ISNUMBER(SEARCH("Mycobacterial",Pathogens!C56)),3,IF(ISNUMBER(SEARCH("Helminth",Pathogens!C56)),3,IF(ISNUMBER(SEARCH("Respiratory",Pathogens!C56)),4,3)))))))</f>
        <v>5</v>
      </c>
      <c r="I88" s="82">
        <f>IF(ISNUMBER(SEARCH("AMR",Pathogens!C56)),5,IF(ISNUMBER(SEARCH("Mycobacterial",Pathogens!C56)),4,IF(ISNUMBER(SEARCH("Enteric bacterial",Pathogens!C56)),3,IF(ISNUMBER(SEARCH("Bacterial",Pathogens!C56)),3,1))))</f>
        <v>5</v>
      </c>
      <c r="J88" s="82">
        <f t="shared" si="3"/>
        <v>3</v>
      </c>
      <c r="K88" s="83">
        <f>ROUND(((D88*Settings!$C$4)+(E88*Settings!$C$5)+(F88*Settings!$C$6)+(G88*Settings!$C$7)+(H88*Settings!$C$8)+(I88*Settings!$C$9)+(J88*Settings!$C$10))/5*100,1)</f>
        <v>68</v>
      </c>
      <c r="L88" s="84" t="str">
        <f>IF(K88&gt;=Settings!$B$14,"Tier 1 — Always-on",IF(K88&gt;=Settings!$B$15,"Tier 2 — Seasonal/Regional",IF(K88&gt;=Settings!$B$16,"Tier 3 — Event-driven","Tier 4 — Monitor only")))</f>
        <v>Tier 2 — Seasonal/Regional</v>
      </c>
      <c r="M88" s="55" t="str">
        <f>IFERROR(INDEX(Endemicity!$C$2:$BN$55,MATCH($B$3,Endemicity!$B$2:$B$55,0),MATCH($A88,Endemicity!$C$1:$BN$1,0)),"Sporadic")</f>
        <v>Endemic</v>
      </c>
      <c r="N88" s="48">
        <f>IF(Settings!$B$48="ON",IFERROR(MATCH($M88,Settings!$B$35:$F$35,0),5),5)</f>
        <v>1</v>
      </c>
      <c r="O88" s="48">
        <f>(6-Pathogens!X56)</f>
        <v>5</v>
      </c>
      <c r="P88" s="48">
        <f>ROUND(MIN(5,MAX(1,0.35*IF(Pathogens!R56=1,5,IF(Pathogens!R56=2,3,1))+0.2*IF(Pathogens!S56=1,5,IF(Pathogens!S56=2,3,1))+0.25*IF(Pathogens!W56=1,IF($B$26&gt;=3,5,IF($B$26=2,4,IF($B$26=1,2,1))),5)+0.2*IF($B$15&gt;=50,5,IF($B$15&gt;=25,4,IF($B$15&gt;=10,3,IF($B$15&gt;=5,2,1)))))),0)</f>
        <v>4</v>
      </c>
      <c r="Q88" s="37" t="str">
        <f t="shared" si="4"/>
        <v>Trend / intensity monitoring</v>
      </c>
      <c r="R88" s="37">
        <f>ROUND(MIN(100,((D88)*Settings!$C$23*INDEX(Settings!$B$36:$F$44,1,$N88)+(E88)*Settings!$C$24*INDEX(Settings!$B$36:$F$44,2,$N88)+(F88)*Settings!$C$25*INDEX(Settings!$B$36:$F$44,3,$N88)+(G88)*Settings!$C$26*INDEX(Settings!$B$36:$F$44,4,$N88)+(H88)*Settings!$C$27*INDEX(Settings!$B$36:$F$44,5,$N88)+(I88)*Settings!$C$28*INDEX(Settings!$B$36:$F$44,6,$N88)+(J88)*Settings!$C$29*INDEX(Settings!$B$36:$F$44,7,$N88)+(O88)*Settings!$C$30*INDEX(Settings!$B$36:$F$44,8,$N88)+(P88)*Settings!$C$31*INDEX(Settings!$B$36:$F$44,9,$N88))/INDEX(Settings!$B$45:$F$45,1,$N88)/5*100*IF($M88="Not present",Settings!$B$51,1)),1)</f>
        <v>72.5</v>
      </c>
      <c r="S88" s="37" t="str">
        <f>IF($M88="Not present","Tier 4 — Watch only (absent)",IF(R88&gt;=Settings!$B$14,"Tier 1 — Always-on",IF(R88&gt;=Settings!$B$15,"Tier 2 — Seasonal/Regional",IF(R88&gt;=Settings!$B$16,"Tier 3 — Event-driven","Tier 4 — Monitor only"))))</f>
        <v>Tier 1 — Always-on</v>
      </c>
      <c r="T88" s="55">
        <f>Feasibility!$F60</f>
        <v>79</v>
      </c>
      <c r="U88" s="37" t="str">
        <f>IF($M88="Not present","Defer — not present",IF(AND(R88&gt;=Settings!$B$49,T88&gt;=Settings!$B$50),"Do now",IF(AND(R88&gt;=Settings!$B$49,T88&lt;Settings!$B$50),"Invest to enable",IF(AND(R88&lt;Settings!$B$49,T88&gt;=Settings!$B$50),"Low-cost add-on","Defer"))))</f>
        <v>Do now</v>
      </c>
      <c r="V88" s="12" t="str">
        <f t="shared" si="5"/>
        <v>Include in always-on panel; report trend vs baseline</v>
      </c>
    </row>
    <row r="89" ht="26.25" customHeight="1" spans="1:22">
      <c r="A89" s="70" t="s">
        <v>295</v>
      </c>
      <c r="B89" s="64" t="s">
        <v>296</v>
      </c>
      <c r="C89" s="64" t="s">
        <v>288</v>
      </c>
      <c r="D89" s="82">
        <f>ROUND(MIN(5,IF(Pathogens!I57&gt;=500,5,IF(Pathogens!I57&gt;=200,4,IF(Pathogens!I57&gt;=50,3,IF(Pathogens!I57&gt;=10,2,1))))*0.5+IF(Pathogens!J57&gt;=30,5,IF(Pathogens!J57&gt;=10,4,IF(Pathogens!J57&gt;=3,3,IF(Pathogens!J57&gt;=1,2,1))))*0.4+IF(AND($B$7&gt;=80,Pathogens!N57&gt;=0.5),1,0)*0.1+IF($B$10&lt;50,0.3,0)),0)</f>
        <v>2</v>
      </c>
      <c r="E89" s="82">
        <f>ROUND(MIN(5,IF(Pathogens!K57&gt;=8,5,IF(Pathogens!K57&gt;=5,4,IF(Pathogens!K57&gt;=3,3,IF(Pathogens!K57&gt;=1,2,1))))*0.5+IF(Pathogens!L57&gt;=5,5,IF(Pathogens!L57&gt;=3,4,IF(Pathogens!L57&gt;=2,3,IF(Pathogens!L57&gt;=1.2,2,1))))*0.3+IF(Pathogens!M57=1,2,0)*0.2+IF($B$13&gt;=2,0.5,0)),0)</f>
        <v>3</v>
      </c>
      <c r="F89" s="82">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c r="G89" s="82">
        <f>ROUND(MAX(1,MIN(5,(6-$B$11)*0.5+(6-$B$12)*0.4+(IF(AND(Pathogens!N57&gt;=0.5,$B$8&lt;60),5,IF(Pathogens!N57&gt;=0.5,4,IF(Pathogens!N57&gt;=0.3,3,IF(Pathogens!N57&gt;=0.1,2,1)))))*0.1)),0)</f>
        <v>2</v>
      </c>
      <c r="H89" s="82">
        <f>IF(ISNUMBER(SEARCH("Vaccine-preventable",Pathogens!C57)),2,IF(ISNUMBER(SEARCH("AMR",Pathogens!C57)),5,IF(ISNUMBER(SEARCH("VHF",Pathogens!C57)),4,IF(ISNUMBER(SEARCH("Emerging",Pathogens!C57)),5,IF(ISNUMBER(SEARCH("Mycobacterial",Pathogens!C57)),3,IF(ISNUMBER(SEARCH("Helminth",Pathogens!C57)),3,IF(ISNUMBER(SEARCH("Respiratory",Pathogens!C57)),4,3)))))))</f>
        <v>5</v>
      </c>
      <c r="I89" s="82">
        <f>IF(ISNUMBER(SEARCH("AMR",Pathogens!C57)),5,IF(ISNUMBER(SEARCH("Mycobacterial",Pathogens!C57)),4,IF(ISNUMBER(SEARCH("Enteric bacterial",Pathogens!C57)),3,IF(ISNUMBER(SEARCH("Bacterial",Pathogens!C57)),3,1))))</f>
        <v>5</v>
      </c>
      <c r="J89" s="82">
        <f t="shared" si="3"/>
        <v>3</v>
      </c>
      <c r="K89" s="83">
        <f>ROUND(((D89*Settings!$C$4)+(E89*Settings!$C$5)+(F89*Settings!$C$6)+(G89*Settings!$C$7)+(H89*Settings!$C$8)+(I89*Settings!$C$9)+(J89*Settings!$C$10))/5*100,1)</f>
        <v>64</v>
      </c>
      <c r="L89" s="84" t="str">
        <f>IF(K89&gt;=Settings!$B$14,"Tier 1 — Always-on",IF(K89&gt;=Settings!$B$15,"Tier 2 — Seasonal/Regional",IF(K89&gt;=Settings!$B$16,"Tier 3 — Event-driven","Tier 4 — Monitor only")))</f>
        <v>Tier 2 — Seasonal/Regional</v>
      </c>
      <c r="M89" s="55" t="str">
        <f>IFERROR(INDEX(Endemicity!$C$2:$BN$55,MATCH($B$3,Endemicity!$B$2:$B$55,0),MATCH($A89,Endemicity!$C$1:$BN$1,0)),"Sporadic")</f>
        <v>Endemic</v>
      </c>
      <c r="N89" s="48">
        <f>IF(Settings!$B$48="ON",IFERROR(MATCH($M89,Settings!$B$35:$F$35,0),5),5)</f>
        <v>1</v>
      </c>
      <c r="O89" s="48">
        <f>(6-Pathogens!X57)</f>
        <v>5</v>
      </c>
      <c r="P89" s="48">
        <f>ROUND(MIN(5,MAX(1,0.35*IF(Pathogens!R57=1,5,IF(Pathogens!R57=2,3,1))+0.2*IF(Pathogens!S57=1,5,IF(Pathogens!S57=2,3,1))+0.25*IF(Pathogens!W57=1,IF($B$26&gt;=3,5,IF($B$26=2,4,IF($B$26=1,2,1))),5)+0.2*IF($B$15&gt;=50,5,IF($B$15&gt;=25,4,IF($B$15&gt;=10,3,IF($B$15&gt;=5,2,1)))))),0)</f>
        <v>4</v>
      </c>
      <c r="Q89" s="37" t="str">
        <f t="shared" si="4"/>
        <v>Trend / intensity monitoring</v>
      </c>
      <c r="R89" s="37">
        <f>ROUND(MIN(100,((D89)*Settings!$C$23*INDEX(Settings!$B$36:$F$44,1,$N89)+(E89)*Settings!$C$24*INDEX(Settings!$B$36:$F$44,2,$N89)+(F89)*Settings!$C$25*INDEX(Settings!$B$36:$F$44,3,$N89)+(G89)*Settings!$C$26*INDEX(Settings!$B$36:$F$44,4,$N89)+(H89)*Settings!$C$27*INDEX(Settings!$B$36:$F$44,5,$N89)+(I89)*Settings!$C$28*INDEX(Settings!$B$36:$F$44,6,$N89)+(J89)*Settings!$C$29*INDEX(Settings!$B$36:$F$44,7,$N89)+(O89)*Settings!$C$30*INDEX(Settings!$B$36:$F$44,8,$N89)+(P89)*Settings!$C$31*INDEX(Settings!$B$36:$F$44,9,$N89))/INDEX(Settings!$B$45:$F$45,1,$N89)/5*100*IF($M89="Not present",Settings!$B$51,1)),1)</f>
        <v>68.4</v>
      </c>
      <c r="S89" s="37" t="str">
        <f>IF($M89="Not present","Tier 4 — Watch only (absent)",IF(R89&gt;=Settings!$B$14,"Tier 1 — Always-on",IF(R89&gt;=Settings!$B$15,"Tier 2 — Seasonal/Regional",IF(R89&gt;=Settings!$B$16,"Tier 3 — Event-driven","Tier 4 — Monitor only"))))</f>
        <v>Tier 2 — Seasonal/Regional</v>
      </c>
      <c r="T89" s="55">
        <f>Feasibility!$F61</f>
        <v>79</v>
      </c>
      <c r="U89" s="37" t="str">
        <f>IF($M89="Not present","Defer — not present",IF(AND(R89&gt;=Settings!$B$49,T89&gt;=Settings!$B$50),"Do now",IF(AND(R89&gt;=Settings!$B$49,T89&lt;Settings!$B$50),"Invest to enable",IF(AND(R89&lt;Settings!$B$49,T89&gt;=Settings!$B$50),"Low-cost add-on","Defer"))))</f>
        <v>Do now</v>
      </c>
      <c r="V89" s="12" t="str">
        <f t="shared" si="5"/>
        <v>Include in always-on panel; report trend vs baseline</v>
      </c>
    </row>
    <row r="90" ht="26.25" customHeight="1" spans="1:22">
      <c r="A90" s="70" t="s">
        <v>297</v>
      </c>
      <c r="B90" s="64" t="s">
        <v>298</v>
      </c>
      <c r="C90" s="64" t="s">
        <v>288</v>
      </c>
      <c r="D90" s="82">
        <f>ROUND(MIN(5,IF(Pathogens!I58&gt;=500,5,IF(Pathogens!I58&gt;=200,4,IF(Pathogens!I58&gt;=50,3,IF(Pathogens!I58&gt;=10,2,1))))*0.5+IF(Pathogens!J58&gt;=30,5,IF(Pathogens!J58&gt;=10,4,IF(Pathogens!J58&gt;=3,3,IF(Pathogens!J58&gt;=1,2,1))))*0.4+IF(AND($B$7&gt;=80,Pathogens!N58&gt;=0.5),1,0)*0.1+IF($B$10&lt;50,0.3,0)),0)</f>
        <v>2</v>
      </c>
      <c r="E90" s="82">
        <f>ROUND(MIN(5,IF(Pathogens!K58&gt;=8,5,IF(Pathogens!K58&gt;=5,4,IF(Pathogens!K58&gt;=3,3,IF(Pathogens!K58&gt;=1,2,1))))*0.5+IF(Pathogens!L58&gt;=5,5,IF(Pathogens!L58&gt;=3,4,IF(Pathogens!L58&gt;=2,3,IF(Pathogens!L58&gt;=1.2,2,1))))*0.3+IF(Pathogens!M58=1,2,0)*0.2+IF($B$13&gt;=2,0.5,0)),0)</f>
        <v>2</v>
      </c>
      <c r="F90" s="82">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c r="G90" s="82">
        <f>ROUND(MAX(1,MIN(5,(6-$B$11)*0.5+(6-$B$12)*0.4+(IF(AND(Pathogens!N58&gt;=0.5,$B$8&lt;60),5,IF(Pathogens!N58&gt;=0.5,4,IF(Pathogens!N58&gt;=0.3,3,IF(Pathogens!N58&gt;=0.1,2,1)))))*0.1)),0)</f>
        <v>2</v>
      </c>
      <c r="H90" s="82">
        <f>IF(ISNUMBER(SEARCH("Vaccine-preventable",Pathogens!C58)),2,IF(ISNUMBER(SEARCH("AMR",Pathogens!C58)),5,IF(ISNUMBER(SEARCH("VHF",Pathogens!C58)),4,IF(ISNUMBER(SEARCH("Emerging",Pathogens!C58)),5,IF(ISNUMBER(SEARCH("Mycobacterial",Pathogens!C58)),3,IF(ISNUMBER(SEARCH("Helminth",Pathogens!C58)),3,IF(ISNUMBER(SEARCH("Respiratory",Pathogens!C58)),4,3)))))))</f>
        <v>5</v>
      </c>
      <c r="I90" s="82">
        <f>IF(ISNUMBER(SEARCH("AMR",Pathogens!C58)),5,IF(ISNUMBER(SEARCH("Mycobacterial",Pathogens!C58)),4,IF(ISNUMBER(SEARCH("Enteric bacterial",Pathogens!C58)),3,IF(ISNUMBER(SEARCH("Bacterial",Pathogens!C58)),3,1))))</f>
        <v>5</v>
      </c>
      <c r="J90" s="82">
        <f t="shared" si="3"/>
        <v>3</v>
      </c>
      <c r="K90" s="83">
        <f>ROUND(((D90*Settings!$C$4)+(E90*Settings!$C$5)+(F90*Settings!$C$6)+(G90*Settings!$C$7)+(H90*Settings!$C$8)+(I90*Settings!$C$9)+(J90*Settings!$C$10))/5*100,1)</f>
        <v>60</v>
      </c>
      <c r="L90" s="84" t="str">
        <f>IF(K90&gt;=Settings!$B$14,"Tier 1 — Always-on",IF(K90&gt;=Settings!$B$15,"Tier 2 — Seasonal/Regional",IF(K90&gt;=Settings!$B$16,"Tier 3 — Event-driven","Tier 4 — Monitor only")))</f>
        <v>Tier 2 — Seasonal/Regional</v>
      </c>
      <c r="M90" s="55" t="str">
        <f>IFERROR(INDEX(Endemicity!$C$2:$BN$55,MATCH($B$3,Endemicity!$B$2:$B$55,0),MATCH($A90,Endemicity!$C$1:$BN$1,0)),"Sporadic")</f>
        <v>Sporadic</v>
      </c>
      <c r="N90" s="48">
        <f>IF(Settings!$B$48="ON",IFERROR(MATCH($M90,Settings!$B$35:$F$35,0),5),5)</f>
        <v>2</v>
      </c>
      <c r="O90" s="48">
        <f>(6-Pathogens!X58)</f>
        <v>5</v>
      </c>
      <c r="P90" s="48">
        <f>ROUND(MIN(5,MAX(1,0.35*IF(Pathogens!R58=1,5,IF(Pathogens!R58=2,3,1))+0.2*IF(Pathogens!S58=1,5,IF(Pathogens!S58=2,3,1))+0.25*IF(Pathogens!W58=1,IF($B$26&gt;=3,5,IF($B$26=2,4,IF($B$26=1,2,1))),5)+0.2*IF($B$15&gt;=50,5,IF($B$15&gt;=25,4,IF($B$15&gt;=10,3,IF($B$15&gt;=5,2,1)))))),0)</f>
        <v>4</v>
      </c>
      <c r="Q90" s="37" t="str">
        <f t="shared" si="4"/>
        <v>Early detection sensitivity</v>
      </c>
      <c r="R90" s="37">
        <f>ROUND(MIN(100,((D90)*Settings!$C$23*INDEX(Settings!$B$36:$F$44,1,$N90)+(E90)*Settings!$C$24*INDEX(Settings!$B$36:$F$44,2,$N90)+(F90)*Settings!$C$25*INDEX(Settings!$B$36:$F$44,3,$N90)+(G90)*Settings!$C$26*INDEX(Settings!$B$36:$F$44,4,$N90)+(H90)*Settings!$C$27*INDEX(Settings!$B$36:$F$44,5,$N90)+(I90)*Settings!$C$28*INDEX(Settings!$B$36:$F$44,6,$N90)+(J90)*Settings!$C$29*INDEX(Settings!$B$36:$F$44,7,$N90)+(O90)*Settings!$C$30*INDEX(Settings!$B$36:$F$44,8,$N90)+(P90)*Settings!$C$31*INDEX(Settings!$B$36:$F$44,9,$N90))/INDEX(Settings!$B$45:$F$45,1,$N90)/5*100*IF($M90="Not present",Settings!$B$51,1)),1)</f>
        <v>66.2</v>
      </c>
      <c r="S90" s="37" t="str">
        <f>IF($M90="Not present","Tier 4 — Watch only (absent)",IF(R90&gt;=Settings!$B$14,"Tier 1 — Always-on",IF(R90&gt;=Settings!$B$15,"Tier 2 — Seasonal/Regional",IF(R90&gt;=Settings!$B$16,"Tier 3 — Event-driven","Tier 4 — Monitor only"))))</f>
        <v>Tier 2 — Seasonal/Regional</v>
      </c>
      <c r="T90" s="55">
        <f>Feasibility!$F62</f>
        <v>79</v>
      </c>
      <c r="U90" s="37" t="str">
        <f>IF($M90="Not present","Defer — not present",IF(AND(R90&gt;=Settings!$B$49,T90&gt;=Settings!$B$50),"Do now",IF(AND(R90&gt;=Settings!$B$49,T90&lt;Settings!$B$50),"Invest to enable",IF(AND(R90&lt;Settings!$B$49,T90&gt;=Settings!$B$50),"Low-cost add-on","Defer"))))</f>
        <v>Do now</v>
      </c>
      <c r="V90" s="12" t="str">
        <f t="shared" si="5"/>
        <v>Include in year-1 panel; alert on first detection</v>
      </c>
    </row>
    <row r="91" ht="26.25" customHeight="1" spans="1:22">
      <c r="A91" s="70" t="s">
        <v>299</v>
      </c>
      <c r="B91" s="64" t="s">
        <v>300</v>
      </c>
      <c r="C91" s="64" t="s">
        <v>288</v>
      </c>
      <c r="D91" s="82">
        <f>ROUND(MIN(5,IF(Pathogens!I59&gt;=500,5,IF(Pathogens!I59&gt;=200,4,IF(Pathogens!I59&gt;=50,3,IF(Pathogens!I59&gt;=10,2,1))))*0.5+IF(Pathogens!J59&gt;=30,5,IF(Pathogens!J59&gt;=10,4,IF(Pathogens!J59&gt;=3,3,IF(Pathogens!J59&gt;=1,2,1))))*0.4+IF(AND($B$7&gt;=80,Pathogens!N59&gt;=0.5),1,0)*0.1+IF($B$10&lt;50,0.3,0)),0)</f>
        <v>3</v>
      </c>
      <c r="E91" s="82">
        <f>ROUND(MIN(5,IF(Pathogens!K59&gt;=8,5,IF(Pathogens!K59&gt;=5,4,IF(Pathogens!K59&gt;=3,3,IF(Pathogens!K59&gt;=1,2,1))))*0.5+IF(Pathogens!L59&gt;=5,5,IF(Pathogens!L59&gt;=3,4,IF(Pathogens!L59&gt;=2,3,IF(Pathogens!L59&gt;=1.2,2,1))))*0.3+IF(Pathogens!M59=1,2,0)*0.2+IF($B$13&gt;=2,0.5,0)),0)</f>
        <v>3</v>
      </c>
      <c r="F91" s="82">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c r="G91" s="82">
        <f>ROUND(MAX(1,MIN(5,(6-$B$11)*0.5+(6-$B$12)*0.4+(IF(AND(Pathogens!N59&gt;=0.5,$B$8&lt;60),5,IF(Pathogens!N59&gt;=0.5,4,IF(Pathogens!N59&gt;=0.3,3,IF(Pathogens!N59&gt;=0.1,2,1)))))*0.1)),0)</f>
        <v>2</v>
      </c>
      <c r="H91" s="82">
        <f>IF(ISNUMBER(SEARCH("Vaccine-preventable",Pathogens!C59)),2,IF(ISNUMBER(SEARCH("AMR",Pathogens!C59)),5,IF(ISNUMBER(SEARCH("VHF",Pathogens!C59)),4,IF(ISNUMBER(SEARCH("Emerging",Pathogens!C59)),5,IF(ISNUMBER(SEARCH("Mycobacterial",Pathogens!C59)),3,IF(ISNUMBER(SEARCH("Helminth",Pathogens!C59)),3,IF(ISNUMBER(SEARCH("Respiratory",Pathogens!C59)),4,3)))))))</f>
        <v>5</v>
      </c>
      <c r="I91" s="82">
        <f>IF(ISNUMBER(SEARCH("AMR",Pathogens!C59)),5,IF(ISNUMBER(SEARCH("Mycobacterial",Pathogens!C59)),4,IF(ISNUMBER(SEARCH("Enteric bacterial",Pathogens!C59)),3,IF(ISNUMBER(SEARCH("Bacterial",Pathogens!C59)),3,1))))</f>
        <v>5</v>
      </c>
      <c r="J91" s="82">
        <f t="shared" si="3"/>
        <v>3</v>
      </c>
      <c r="K91" s="83">
        <f>ROUND(((D91*Settings!$C$4)+(E91*Settings!$C$5)+(F91*Settings!$C$6)+(G91*Settings!$C$7)+(H91*Settings!$C$8)+(I91*Settings!$C$9)+(J91*Settings!$C$10))/5*100,1)</f>
        <v>65</v>
      </c>
      <c r="L91" s="84" t="str">
        <f>IF(K91&gt;=Settings!$B$14,"Tier 1 — Always-on",IF(K91&gt;=Settings!$B$15,"Tier 2 — Seasonal/Regional",IF(K91&gt;=Settings!$B$16,"Tier 3 — Event-driven","Tier 4 — Monitor only")))</f>
        <v>Tier 2 — Seasonal/Regional</v>
      </c>
      <c r="M91" s="55" t="str">
        <f>IFERROR(INDEX(Endemicity!$C$2:$BN$55,MATCH($B$3,Endemicity!$B$2:$B$55,0),MATCH($A91,Endemicity!$C$1:$BN$1,0)),"Sporadic")</f>
        <v>Endemic</v>
      </c>
      <c r="N91" s="48">
        <f>IF(Settings!$B$48="ON",IFERROR(MATCH($M91,Settings!$B$35:$F$35,0),5),5)</f>
        <v>1</v>
      </c>
      <c r="O91" s="48">
        <f>(6-Pathogens!X59)</f>
        <v>4</v>
      </c>
      <c r="P91" s="48">
        <f>ROUND(MIN(5,MAX(1,0.35*IF(Pathogens!R59=1,5,IF(Pathogens!R59=2,3,1))+0.2*IF(Pathogens!S59=1,5,IF(Pathogens!S59=2,3,1))+0.25*IF(Pathogens!W59=1,IF($B$26&gt;=3,5,IF($B$26=2,4,IF($B$26=1,2,1))),5)+0.2*IF($B$15&gt;=50,5,IF($B$15&gt;=25,4,IF($B$15&gt;=10,3,IF($B$15&gt;=5,2,1)))))),0)</f>
        <v>5</v>
      </c>
      <c r="Q91" s="37" t="str">
        <f t="shared" si="4"/>
        <v>Trend / intensity monitoring</v>
      </c>
      <c r="R91" s="37">
        <f>ROUND(MIN(100,((D91)*Settings!$C$23*INDEX(Settings!$B$36:$F$44,1,$N91)+(E91)*Settings!$C$24*INDEX(Settings!$B$36:$F$44,2,$N91)+(F91)*Settings!$C$25*INDEX(Settings!$B$36:$F$44,3,$N91)+(G91)*Settings!$C$26*INDEX(Settings!$B$36:$F$44,4,$N91)+(H91)*Settings!$C$27*INDEX(Settings!$B$36:$F$44,5,$N91)+(I91)*Settings!$C$28*INDEX(Settings!$B$36:$F$44,6,$N91)+(J91)*Settings!$C$29*INDEX(Settings!$B$36:$F$44,7,$N91)+(O91)*Settings!$C$30*INDEX(Settings!$B$36:$F$44,8,$N91)+(P91)*Settings!$C$31*INDEX(Settings!$B$36:$F$44,9,$N91))/INDEX(Settings!$B$45:$F$45,1,$N91)/5*100*IF($M91="Not present",Settings!$B$51,1)),1)</f>
        <v>71.2</v>
      </c>
      <c r="S91" s="37" t="str">
        <f>IF($M91="Not present","Tier 4 — Watch only (absent)",IF(R91&gt;=Settings!$B$14,"Tier 1 — Always-on",IF(R91&gt;=Settings!$B$15,"Tier 2 — Seasonal/Regional",IF(R91&gt;=Settings!$B$16,"Tier 3 — Event-driven","Tier 4 — Monitor only"))))</f>
        <v>Tier 1 — Always-on</v>
      </c>
      <c r="T91" s="55">
        <f>Feasibility!$F63</f>
        <v>91</v>
      </c>
      <c r="U91" s="37" t="str">
        <f>IF($M91="Not present","Defer — not present",IF(AND(R91&gt;=Settings!$B$49,T91&gt;=Settings!$B$50),"Do now",IF(AND(R91&gt;=Settings!$B$49,T91&lt;Settings!$B$50),"Invest to enable",IF(AND(R91&lt;Settings!$B$49,T91&gt;=Settings!$B$50),"Low-cost add-on","Defer"))))</f>
        <v>Do now</v>
      </c>
      <c r="V91" s="12" t="str">
        <f t="shared" si="5"/>
        <v>Include in always-on panel; report trend vs baseline</v>
      </c>
    </row>
    <row r="92" ht="26.25" customHeight="1" spans="1:22">
      <c r="A92" s="70" t="s">
        <v>301</v>
      </c>
      <c r="B92" s="64" t="s">
        <v>302</v>
      </c>
      <c r="C92" s="64" t="s">
        <v>288</v>
      </c>
      <c r="D92" s="82">
        <f>ROUND(MIN(5,IF(Pathogens!I60&gt;=500,5,IF(Pathogens!I60&gt;=200,4,IF(Pathogens!I60&gt;=50,3,IF(Pathogens!I60&gt;=10,2,1))))*0.5+IF(Pathogens!J60&gt;=30,5,IF(Pathogens!J60&gt;=10,4,IF(Pathogens!J60&gt;=3,3,IF(Pathogens!J60&gt;=1,2,1))))*0.4+IF(AND($B$7&gt;=80,Pathogens!N60&gt;=0.5),1,0)*0.1+IF($B$10&lt;50,0.3,0)),0)</f>
        <v>3</v>
      </c>
      <c r="E92" s="82">
        <f>ROUND(MIN(5,IF(Pathogens!K60&gt;=8,5,IF(Pathogens!K60&gt;=5,4,IF(Pathogens!K60&gt;=3,3,IF(Pathogens!K60&gt;=1,2,1))))*0.5+IF(Pathogens!L60&gt;=5,5,IF(Pathogens!L60&gt;=3,4,IF(Pathogens!L60&gt;=2,3,IF(Pathogens!L60&gt;=1.2,2,1))))*0.3+IF(Pathogens!M60=1,2,0)*0.2+IF($B$13&gt;=2,0.5,0)),0)</f>
        <v>3</v>
      </c>
      <c r="F92" s="82">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c r="G92" s="82">
        <f>ROUND(MAX(1,MIN(5,(6-$B$11)*0.5+(6-$B$12)*0.4+(IF(AND(Pathogens!N60&gt;=0.5,$B$8&lt;60),5,IF(Pathogens!N60&gt;=0.5,4,IF(Pathogens!N60&gt;=0.3,3,IF(Pathogens!N60&gt;=0.1,2,1)))))*0.1)),0)</f>
        <v>2</v>
      </c>
      <c r="H92" s="82">
        <f>IF(ISNUMBER(SEARCH("Vaccine-preventable",Pathogens!C60)),2,IF(ISNUMBER(SEARCH("AMR",Pathogens!C60)),5,IF(ISNUMBER(SEARCH("VHF",Pathogens!C60)),4,IF(ISNUMBER(SEARCH("Emerging",Pathogens!C60)),5,IF(ISNUMBER(SEARCH("Mycobacterial",Pathogens!C60)),3,IF(ISNUMBER(SEARCH("Helminth",Pathogens!C60)),3,IF(ISNUMBER(SEARCH("Respiratory",Pathogens!C60)),4,3)))))))</f>
        <v>5</v>
      </c>
      <c r="I92" s="82">
        <f>IF(ISNUMBER(SEARCH("AMR",Pathogens!C60)),5,IF(ISNUMBER(SEARCH("Mycobacterial",Pathogens!C60)),4,IF(ISNUMBER(SEARCH("Enteric bacterial",Pathogens!C60)),3,IF(ISNUMBER(SEARCH("Bacterial",Pathogens!C60)),3,1))))</f>
        <v>5</v>
      </c>
      <c r="J92" s="82">
        <f t="shared" si="3"/>
        <v>3</v>
      </c>
      <c r="K92" s="83">
        <f>ROUND(((D92*Settings!$C$4)+(E92*Settings!$C$5)+(F92*Settings!$C$6)+(G92*Settings!$C$7)+(H92*Settings!$C$8)+(I92*Settings!$C$9)+(J92*Settings!$C$10))/5*100,1)</f>
        <v>68</v>
      </c>
      <c r="L92" s="84" t="str">
        <f>IF(K92&gt;=Settings!$B$14,"Tier 1 — Always-on",IF(K92&gt;=Settings!$B$15,"Tier 2 — Seasonal/Regional",IF(K92&gt;=Settings!$B$16,"Tier 3 — Event-driven","Tier 4 — Monitor only")))</f>
        <v>Tier 2 — Seasonal/Regional</v>
      </c>
      <c r="M92" s="55" t="str">
        <f>IFERROR(INDEX(Endemicity!$C$2:$BN$55,MATCH($B$3,Endemicity!$B$2:$B$55,0),MATCH($A92,Endemicity!$C$1:$BN$1,0)),"Sporadic")</f>
        <v>Endemic</v>
      </c>
      <c r="N92" s="48">
        <f>IF(Settings!$B$48="ON",IFERROR(MATCH($M92,Settings!$B$35:$F$35,0),5),5)</f>
        <v>1</v>
      </c>
      <c r="O92" s="48">
        <f>(6-Pathogens!X60)</f>
        <v>5</v>
      </c>
      <c r="P92" s="48">
        <f>ROUND(MIN(5,MAX(1,0.35*IF(Pathogens!R60=1,5,IF(Pathogens!R60=2,3,1))+0.2*IF(Pathogens!S60=1,5,IF(Pathogens!S60=2,3,1))+0.25*IF(Pathogens!W60=1,IF($B$26&gt;=3,5,IF($B$26=2,4,IF($B$26=1,2,1))),5)+0.2*IF($B$15&gt;=50,5,IF($B$15&gt;=25,4,IF($B$15&gt;=10,3,IF($B$15&gt;=5,2,1)))))),0)</f>
        <v>5</v>
      </c>
      <c r="Q92" s="37" t="str">
        <f t="shared" si="4"/>
        <v>Trend / intensity monitoring</v>
      </c>
      <c r="R92" s="37">
        <f>ROUND(MIN(100,((D92)*Settings!$C$23*INDEX(Settings!$B$36:$F$44,1,$N92)+(E92)*Settings!$C$24*INDEX(Settings!$B$36:$F$44,2,$N92)+(F92)*Settings!$C$25*INDEX(Settings!$B$36:$F$44,3,$N92)+(G92)*Settings!$C$26*INDEX(Settings!$B$36:$F$44,4,$N92)+(H92)*Settings!$C$27*INDEX(Settings!$B$36:$F$44,5,$N92)+(I92)*Settings!$C$28*INDEX(Settings!$B$36:$F$44,6,$N92)+(J92)*Settings!$C$29*INDEX(Settings!$B$36:$F$44,7,$N92)+(O92)*Settings!$C$30*INDEX(Settings!$B$36:$F$44,8,$N92)+(P92)*Settings!$C$31*INDEX(Settings!$B$36:$F$44,9,$N92))/INDEX(Settings!$B$45:$F$45,1,$N92)/5*100*IF($M92="Not present",Settings!$B$51,1)),1)</f>
        <v>75.3</v>
      </c>
      <c r="S92" s="37" t="str">
        <f>IF($M92="Not present","Tier 4 — Watch only (absent)",IF(R92&gt;=Settings!$B$14,"Tier 1 — Always-on",IF(R92&gt;=Settings!$B$15,"Tier 2 — Seasonal/Regional",IF(R92&gt;=Settings!$B$16,"Tier 3 — Event-driven","Tier 4 — Monitor only"))))</f>
        <v>Tier 1 — Always-on</v>
      </c>
      <c r="T92" s="55">
        <f>Feasibility!$F64</f>
        <v>91</v>
      </c>
      <c r="U92" s="37" t="str">
        <f>IF($M92="Not present","Defer — not present",IF(AND(R92&gt;=Settings!$B$49,T92&gt;=Settings!$B$50),"Do now",IF(AND(R92&gt;=Settings!$B$49,T92&lt;Settings!$B$50),"Invest to enable",IF(AND(R92&lt;Settings!$B$49,T92&gt;=Settings!$B$50),"Low-cost add-on","Defer"))))</f>
        <v>Do now</v>
      </c>
      <c r="V92" s="12" t="str">
        <f t="shared" si="5"/>
        <v>Include in always-on panel; report trend vs baseline</v>
      </c>
    </row>
    <row r="93" ht="26.25" customHeight="1" spans="1:22">
      <c r="A93" s="70" t="s">
        <v>303</v>
      </c>
      <c r="B93" s="64" t="s">
        <v>304</v>
      </c>
      <c r="C93" s="64" t="s">
        <v>305</v>
      </c>
      <c r="D93" s="82">
        <f>ROUND(MIN(5,IF(Pathogens!I61&gt;=500,5,IF(Pathogens!I61&gt;=200,4,IF(Pathogens!I61&gt;=50,3,IF(Pathogens!I61&gt;=10,2,1))))*0.5+IF(Pathogens!J61&gt;=30,5,IF(Pathogens!J61&gt;=10,4,IF(Pathogens!J61&gt;=3,3,IF(Pathogens!J61&gt;=1,2,1))))*0.4+IF(AND($B$7&gt;=80,Pathogens!N61&gt;=0.5),1,0)*0.1+IF($B$10&lt;50,0.3,0)),0)</f>
        <v>3</v>
      </c>
      <c r="E93" s="82">
        <f>ROUND(MIN(5,IF(Pathogens!K61&gt;=8,5,IF(Pathogens!K61&gt;=5,4,IF(Pathogens!K61&gt;=3,3,IF(Pathogens!K61&gt;=1,2,1))))*0.5+IF(Pathogens!L61&gt;=5,5,IF(Pathogens!L61&gt;=3,4,IF(Pathogens!L61&gt;=2,3,IF(Pathogens!L61&gt;=1.2,2,1))))*0.3+IF(Pathogens!M61=1,2,0)*0.2+IF($B$13&gt;=2,0.5,0)),0)</f>
        <v>3</v>
      </c>
      <c r="F93" s="82">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c r="G93" s="82">
        <f>ROUND(MAX(1,MIN(5,(6-$B$11)*0.5+(6-$B$12)*0.4+(IF(AND(Pathogens!N61&gt;=0.5,$B$8&lt;60),5,IF(Pathogens!N61&gt;=0.5,4,IF(Pathogens!N61&gt;=0.3,3,IF(Pathogens!N61&gt;=0.1,2,1)))))*0.1)),0)</f>
        <v>2</v>
      </c>
      <c r="H93" s="82">
        <f>IF(ISNUMBER(SEARCH("Vaccine-preventable",Pathogens!C61)),2,IF(ISNUMBER(SEARCH("AMR",Pathogens!C61)),5,IF(ISNUMBER(SEARCH("VHF",Pathogens!C61)),4,IF(ISNUMBER(SEARCH("Emerging",Pathogens!C61)),5,IF(ISNUMBER(SEARCH("Mycobacterial",Pathogens!C61)),3,IF(ISNUMBER(SEARCH("Helminth",Pathogens!C61)),3,IF(ISNUMBER(SEARCH("Respiratory",Pathogens!C61)),4,3)))))))</f>
        <v>3</v>
      </c>
      <c r="I93" s="82">
        <f>IF(ISNUMBER(SEARCH("AMR",Pathogens!C61)),5,IF(ISNUMBER(SEARCH("Mycobacterial",Pathogens!C61)),4,IF(ISNUMBER(SEARCH("Enteric bacterial",Pathogens!C61)),3,IF(ISNUMBER(SEARCH("Bacterial",Pathogens!C61)),3,1))))</f>
        <v>1</v>
      </c>
      <c r="J93" s="82">
        <f t="shared" si="3"/>
        <v>3</v>
      </c>
      <c r="K93" s="83">
        <f>ROUND(((D93*Settings!$C$4)+(E93*Settings!$C$5)+(F93*Settings!$C$6)+(G93*Settings!$C$7)+(H93*Settings!$C$8)+(I93*Settings!$C$9)+(J93*Settings!$C$10))/5*100,1)</f>
        <v>50</v>
      </c>
      <c r="L93" s="84" t="str">
        <f>IF(K93&gt;=Settings!$B$14,"Tier 1 — Always-on",IF(K93&gt;=Settings!$B$15,"Tier 2 — Seasonal/Regional",IF(K93&gt;=Settings!$B$16,"Tier 3 — Event-driven","Tier 4 — Monitor only")))</f>
        <v>Tier 2 — Seasonal/Regional</v>
      </c>
      <c r="M93" s="55" t="str">
        <f>IFERROR(INDEX(Endemicity!$C$2:$BN$55,MATCH($B$3,Endemicity!$B$2:$B$55,0),MATCH($A93,Endemicity!$C$1:$BN$1,0)),"Sporadic")</f>
        <v>Endemic</v>
      </c>
      <c r="N93" s="48">
        <f>IF(Settings!$B$48="ON",IFERROR(MATCH($M93,Settings!$B$35:$F$35,0),5),5)</f>
        <v>1</v>
      </c>
      <c r="O93" s="48">
        <f>(6-Pathogens!X61)</f>
        <v>3</v>
      </c>
      <c r="P93" s="48">
        <f>ROUND(MIN(5,MAX(1,0.35*IF(Pathogens!R61=1,5,IF(Pathogens!R61=2,3,1))+0.2*IF(Pathogens!S61=1,5,IF(Pathogens!S61=2,3,1))+0.25*IF(Pathogens!W61=1,IF($B$26&gt;=3,5,IF($B$26=2,4,IF($B$26=1,2,1))),5)+0.2*IF($B$15&gt;=50,5,IF($B$15&gt;=25,4,IF($B$15&gt;=10,3,IF($B$15&gt;=5,2,1)))))),0)</f>
        <v>4</v>
      </c>
      <c r="Q93" s="37" t="str">
        <f t="shared" si="4"/>
        <v>Trend / intensity monitoring</v>
      </c>
      <c r="R93" s="37">
        <f>ROUND(MIN(100,((D93)*Settings!$C$23*INDEX(Settings!$B$36:$F$44,1,$N93)+(E93)*Settings!$C$24*INDEX(Settings!$B$36:$F$44,2,$N93)+(F93)*Settings!$C$25*INDEX(Settings!$B$36:$F$44,3,$N93)+(G93)*Settings!$C$26*INDEX(Settings!$B$36:$F$44,4,$N93)+(H93)*Settings!$C$27*INDEX(Settings!$B$36:$F$44,5,$N93)+(I93)*Settings!$C$28*INDEX(Settings!$B$36:$F$44,6,$N93)+(J93)*Settings!$C$29*INDEX(Settings!$B$36:$F$44,7,$N93)+(O93)*Settings!$C$30*INDEX(Settings!$B$36:$F$44,8,$N93)+(P93)*Settings!$C$31*INDEX(Settings!$B$36:$F$44,9,$N93))/INDEX(Settings!$B$45:$F$45,1,$N93)/5*100*IF($M93="Not present",Settings!$B$51,1)),1)</f>
        <v>55.2</v>
      </c>
      <c r="S93" s="37" t="str">
        <f>IF($M93="Not present","Tier 4 — Watch only (absent)",IF(R93&gt;=Settings!$B$14,"Tier 1 — Always-on",IF(R93&gt;=Settings!$B$15,"Tier 2 — Seasonal/Regional",IF(R93&gt;=Settings!$B$16,"Tier 3 — Event-driven","Tier 4 — Monitor only"))))</f>
        <v>Tier 2 — Seasonal/Regional</v>
      </c>
      <c r="T93" s="55">
        <f>Feasibility!$F65</f>
        <v>79</v>
      </c>
      <c r="U93" s="37" t="str">
        <f>IF($M93="Not present","Defer — not present",IF(AND(R93&gt;=Settings!$B$49,T93&gt;=Settings!$B$50),"Do now",IF(AND(R93&gt;=Settings!$B$49,T93&lt;Settings!$B$50),"Invest to enable",IF(AND(R93&lt;Settings!$B$49,T93&gt;=Settings!$B$50),"Low-cost add-on","Defer"))))</f>
        <v>Low-cost add-on</v>
      </c>
      <c r="V93" s="12" t="str">
        <f t="shared" si="5"/>
        <v>Cheap to multiplex onto existing runs; add if capacity allows</v>
      </c>
    </row>
    <row r="94" ht="26.25" customHeight="1" spans="1:22">
      <c r="A94" s="70" t="s">
        <v>306</v>
      </c>
      <c r="B94" s="64" t="s">
        <v>307</v>
      </c>
      <c r="C94" s="64" t="s">
        <v>305</v>
      </c>
      <c r="D94" s="82">
        <f>ROUND(MIN(5,IF(Pathogens!I62&gt;=500,5,IF(Pathogens!I62&gt;=200,4,IF(Pathogens!I62&gt;=50,3,IF(Pathogens!I62&gt;=10,2,1))))*0.5+IF(Pathogens!J62&gt;=30,5,IF(Pathogens!J62&gt;=10,4,IF(Pathogens!J62&gt;=3,3,IF(Pathogens!J62&gt;=1,2,1))))*0.4+IF(AND($B$7&gt;=80,Pathogens!N62&gt;=0.5),1,0)*0.1+IF($B$10&lt;50,0.3,0)),0)</f>
        <v>3</v>
      </c>
      <c r="E94" s="82">
        <f>ROUND(MIN(5,IF(Pathogens!K62&gt;=8,5,IF(Pathogens!K62&gt;=5,4,IF(Pathogens!K62&gt;=3,3,IF(Pathogens!K62&gt;=1,2,1))))*0.5+IF(Pathogens!L62&gt;=5,5,IF(Pathogens!L62&gt;=3,4,IF(Pathogens!L62&gt;=2,3,IF(Pathogens!L62&gt;=1.2,2,1))))*0.3+IF(Pathogens!M62=1,2,0)*0.2+IF($B$13&gt;=2,0.5,0)),0)</f>
        <v>2</v>
      </c>
      <c r="F94" s="82">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c r="G94" s="82">
        <f>ROUND(MAX(1,MIN(5,(6-$B$11)*0.5+(6-$B$12)*0.4+(IF(AND(Pathogens!N62&gt;=0.5,$B$8&lt;60),5,IF(Pathogens!N62&gt;=0.5,4,IF(Pathogens!N62&gt;=0.3,3,IF(Pathogens!N62&gt;=0.1,2,1)))))*0.1)),0)</f>
        <v>2</v>
      </c>
      <c r="H94" s="82">
        <f>IF(ISNUMBER(SEARCH("Vaccine-preventable",Pathogens!C62)),2,IF(ISNUMBER(SEARCH("AMR",Pathogens!C62)),5,IF(ISNUMBER(SEARCH("VHF",Pathogens!C62)),4,IF(ISNUMBER(SEARCH("Emerging",Pathogens!C62)),5,IF(ISNUMBER(SEARCH("Mycobacterial",Pathogens!C62)),3,IF(ISNUMBER(SEARCH("Helminth",Pathogens!C62)),3,IF(ISNUMBER(SEARCH("Respiratory",Pathogens!C62)),4,3)))))))</f>
        <v>3</v>
      </c>
      <c r="I94" s="82">
        <f>IF(ISNUMBER(SEARCH("AMR",Pathogens!C62)),5,IF(ISNUMBER(SEARCH("Mycobacterial",Pathogens!C62)),4,IF(ISNUMBER(SEARCH("Enteric bacterial",Pathogens!C62)),3,IF(ISNUMBER(SEARCH("Bacterial",Pathogens!C62)),3,1))))</f>
        <v>1</v>
      </c>
      <c r="J94" s="82">
        <f t="shared" si="3"/>
        <v>3</v>
      </c>
      <c r="K94" s="83">
        <f>ROUND(((D94*Settings!$C$4)+(E94*Settings!$C$5)+(F94*Settings!$C$6)+(G94*Settings!$C$7)+(H94*Settings!$C$8)+(I94*Settings!$C$9)+(J94*Settings!$C$10))/5*100,1)</f>
        <v>43</v>
      </c>
      <c r="L94" s="84" t="str">
        <f>IF(K94&gt;=Settings!$B$14,"Tier 1 — Always-on",IF(K94&gt;=Settings!$B$15,"Tier 2 — Seasonal/Regional",IF(K94&gt;=Settings!$B$16,"Tier 3 — Event-driven","Tier 4 — Monitor only")))</f>
        <v>Tier 3 — Event-driven</v>
      </c>
      <c r="M94" s="55" t="str">
        <f>IFERROR(INDEX(Endemicity!$C$2:$BN$55,MATCH($B$3,Endemicity!$B$2:$B$55,0),MATCH($A94,Endemicity!$C$1:$BN$1,0)),"Sporadic")</f>
        <v>Endemic</v>
      </c>
      <c r="N94" s="48">
        <f>IF(Settings!$B$48="ON",IFERROR(MATCH($M94,Settings!$B$35:$F$35,0),5),5)</f>
        <v>1</v>
      </c>
      <c r="O94" s="48">
        <f>(6-Pathogens!X62)</f>
        <v>1</v>
      </c>
      <c r="P94" s="48">
        <f>ROUND(MIN(5,MAX(1,0.35*IF(Pathogens!R62=1,5,IF(Pathogens!R62=2,3,1))+0.2*IF(Pathogens!S62=1,5,IF(Pathogens!S62=2,3,1))+0.25*IF(Pathogens!W62=1,IF($B$26&gt;=3,5,IF($B$26=2,4,IF($B$26=1,2,1))),5)+0.2*IF($B$15&gt;=50,5,IF($B$15&gt;=25,4,IF($B$15&gt;=10,3,IF($B$15&gt;=5,2,1)))))),0)</f>
        <v>4</v>
      </c>
      <c r="Q94" s="37" t="str">
        <f t="shared" si="4"/>
        <v>Trend / intensity monitoring</v>
      </c>
      <c r="R94" s="37">
        <f>ROUND(MIN(100,((D94)*Settings!$C$23*INDEX(Settings!$B$36:$F$44,1,$N94)+(E94)*Settings!$C$24*INDEX(Settings!$B$36:$F$44,2,$N94)+(F94)*Settings!$C$25*INDEX(Settings!$B$36:$F$44,3,$N94)+(G94)*Settings!$C$26*INDEX(Settings!$B$36:$F$44,4,$N94)+(H94)*Settings!$C$27*INDEX(Settings!$B$36:$F$44,5,$N94)+(I94)*Settings!$C$28*INDEX(Settings!$B$36:$F$44,6,$N94)+(J94)*Settings!$C$29*INDEX(Settings!$B$36:$F$44,7,$N94)+(O94)*Settings!$C$30*INDEX(Settings!$B$36:$F$44,8,$N94)+(P94)*Settings!$C$31*INDEX(Settings!$B$36:$F$44,9,$N94))/INDEX(Settings!$B$45:$F$45,1,$N94)/5*100*IF($M94="Not present",Settings!$B$51,1)),1)</f>
        <v>48.6</v>
      </c>
      <c r="S94" s="37" t="str">
        <f>IF($M94="Not present","Tier 4 — Watch only (absent)",IF(R94&gt;=Settings!$B$14,"Tier 1 — Always-on",IF(R94&gt;=Settings!$B$15,"Tier 2 — Seasonal/Regional",IF(R94&gt;=Settings!$B$16,"Tier 3 — Event-driven","Tier 4 — Monitor only"))))</f>
        <v>Tier 3 — Event-driven</v>
      </c>
      <c r="T94" s="55">
        <f>Feasibility!$F66</f>
        <v>79</v>
      </c>
      <c r="U94" s="37" t="str">
        <f>IF($M94="Not present","Defer — not present",IF(AND(R94&gt;=Settings!$B$49,T94&gt;=Settings!$B$50),"Do now",IF(AND(R94&gt;=Settings!$B$49,T94&lt;Settings!$B$50),"Invest to enable",IF(AND(R94&lt;Settings!$B$49,T94&gt;=Settings!$B$50),"Low-cost add-on","Defer"))))</f>
        <v>Low-cost add-on</v>
      </c>
      <c r="V94" s="12" t="str">
        <f t="shared" si="5"/>
        <v>Cheap to multiplex onto existing runs; add if capacity allows</v>
      </c>
    </row>
    <row r="95" ht="26.25" customHeight="1" spans="1:22">
      <c r="A95" s="70" t="s">
        <v>308</v>
      </c>
      <c r="B95" s="64" t="s">
        <v>309</v>
      </c>
      <c r="C95" s="64" t="s">
        <v>310</v>
      </c>
      <c r="D95" s="82">
        <f>ROUND(MIN(5,IF(Pathogens!I63&gt;=500,5,IF(Pathogens!I63&gt;=200,4,IF(Pathogens!I63&gt;=50,3,IF(Pathogens!I63&gt;=10,2,1))))*0.5+IF(Pathogens!J63&gt;=30,5,IF(Pathogens!J63&gt;=10,4,IF(Pathogens!J63&gt;=3,3,IF(Pathogens!J63&gt;=1,2,1))))*0.4+IF(AND($B$7&gt;=80,Pathogens!N63&gt;=0.5),1,0)*0.1+IF($B$10&lt;50,0.3,0)),0)</f>
        <v>3</v>
      </c>
      <c r="E95" s="82">
        <f>ROUND(MIN(5,IF(Pathogens!K63&gt;=8,5,IF(Pathogens!K63&gt;=5,4,IF(Pathogens!K63&gt;=3,3,IF(Pathogens!K63&gt;=1,2,1))))*0.5+IF(Pathogens!L63&gt;=5,5,IF(Pathogens!L63&gt;=3,4,IF(Pathogens!L63&gt;=2,3,IF(Pathogens!L63&gt;=1.2,2,1))))*0.3+IF(Pathogens!M63=1,2,0)*0.2+IF($B$13&gt;=2,0.5,0)),0)</f>
        <v>2</v>
      </c>
      <c r="F95" s="82">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c r="G95" s="82">
        <f>ROUND(MAX(1,MIN(5,(6-$B$11)*0.5+(6-$B$12)*0.4+(IF(AND(Pathogens!N63&gt;=0.5,$B$8&lt;60),5,IF(Pathogens!N63&gt;=0.5,4,IF(Pathogens!N63&gt;=0.3,3,IF(Pathogens!N63&gt;=0.1,2,1)))))*0.1)),0)</f>
        <v>2</v>
      </c>
      <c r="H95" s="82">
        <f>IF(ISNUMBER(SEARCH("Vaccine-preventable",Pathogens!C63)),2,IF(ISNUMBER(SEARCH("AMR",Pathogens!C63)),5,IF(ISNUMBER(SEARCH("VHF",Pathogens!C63)),4,IF(ISNUMBER(SEARCH("Emerging",Pathogens!C63)),5,IF(ISNUMBER(SEARCH("Mycobacterial",Pathogens!C63)),3,IF(ISNUMBER(SEARCH("Helminth",Pathogens!C63)),3,IF(ISNUMBER(SEARCH("Respiratory",Pathogens!C63)),4,3)))))))</f>
        <v>3</v>
      </c>
      <c r="I95" s="82">
        <f>IF(ISNUMBER(SEARCH("AMR",Pathogens!C63)),5,IF(ISNUMBER(SEARCH("Mycobacterial",Pathogens!C63)),4,IF(ISNUMBER(SEARCH("Enteric bacterial",Pathogens!C63)),3,IF(ISNUMBER(SEARCH("Bacterial",Pathogens!C63)),3,1))))</f>
        <v>1</v>
      </c>
      <c r="J95" s="82">
        <f t="shared" si="3"/>
        <v>3</v>
      </c>
      <c r="K95" s="83">
        <f>ROUND(((D95*Settings!$C$4)+(E95*Settings!$C$5)+(F95*Settings!$C$6)+(G95*Settings!$C$7)+(H95*Settings!$C$8)+(I95*Settings!$C$9)+(J95*Settings!$C$10))/5*100,1)</f>
        <v>43</v>
      </c>
      <c r="L95" s="84" t="str">
        <f>IF(K95&gt;=Settings!$B$14,"Tier 1 — Always-on",IF(K95&gt;=Settings!$B$15,"Tier 2 — Seasonal/Regional",IF(K95&gt;=Settings!$B$16,"Tier 3 — Event-driven","Tier 4 — Monitor only")))</f>
        <v>Tier 3 — Event-driven</v>
      </c>
      <c r="M95" s="55" t="str">
        <f>IFERROR(INDEX(Endemicity!$C$2:$BN$55,MATCH($B$3,Endemicity!$B$2:$B$55,0),MATCH($A95,Endemicity!$C$1:$BN$1,0)),"Sporadic")</f>
        <v>Endemic</v>
      </c>
      <c r="N95" s="48">
        <f>IF(Settings!$B$48="ON",IFERROR(MATCH($M95,Settings!$B$35:$F$35,0),5),5)</f>
        <v>1</v>
      </c>
      <c r="O95" s="48">
        <f>(6-Pathogens!X63)</f>
        <v>3</v>
      </c>
      <c r="P95" s="48">
        <f>ROUND(MIN(5,MAX(1,0.35*IF(Pathogens!R63=1,5,IF(Pathogens!R63=2,3,1))+0.2*IF(Pathogens!S63=1,5,IF(Pathogens!S63=2,3,1))+0.25*IF(Pathogens!W63=1,IF($B$26&gt;=3,5,IF($B$26=2,4,IF($B$26=1,2,1))),5)+0.2*IF($B$15&gt;=50,5,IF($B$15&gt;=25,4,IF($B$15&gt;=10,3,IF($B$15&gt;=5,2,1)))))),0)</f>
        <v>3</v>
      </c>
      <c r="Q95" s="37" t="str">
        <f t="shared" si="4"/>
        <v>Trend / intensity monitoring</v>
      </c>
      <c r="R95" s="37">
        <f>ROUND(MIN(100,((D95)*Settings!$C$23*INDEX(Settings!$B$36:$F$44,1,$N95)+(E95)*Settings!$C$24*INDEX(Settings!$B$36:$F$44,2,$N95)+(F95)*Settings!$C$25*INDEX(Settings!$B$36:$F$44,3,$N95)+(G95)*Settings!$C$26*INDEX(Settings!$B$36:$F$44,4,$N95)+(H95)*Settings!$C$27*INDEX(Settings!$B$36:$F$44,5,$N95)+(I95)*Settings!$C$28*INDEX(Settings!$B$36:$F$44,6,$N95)+(J95)*Settings!$C$29*INDEX(Settings!$B$36:$F$44,7,$N95)+(O95)*Settings!$C$30*INDEX(Settings!$B$36:$F$44,8,$N95)+(P95)*Settings!$C$31*INDEX(Settings!$B$36:$F$44,9,$N95))/INDEX(Settings!$B$45:$F$45,1,$N95)/5*100*IF($M95="Not present",Settings!$B$51,1)),1)</f>
        <v>47.4</v>
      </c>
      <c r="S95" s="37" t="str">
        <f>IF($M95="Not present","Tier 4 — Watch only (absent)",IF(R95&gt;=Settings!$B$14,"Tier 1 — Always-on",IF(R95&gt;=Settings!$B$15,"Tier 2 — Seasonal/Regional",IF(R95&gt;=Settings!$B$16,"Tier 3 — Event-driven","Tier 4 — Monitor only"))))</f>
        <v>Tier 3 — Event-driven</v>
      </c>
      <c r="T95" s="55">
        <f>Feasibility!$F67</f>
        <v>67</v>
      </c>
      <c r="U95" s="37" t="str">
        <f>IF($M95="Not present","Defer — not present",IF(AND(R95&gt;=Settings!$B$49,T95&gt;=Settings!$B$50),"Do now",IF(AND(R95&gt;=Settings!$B$49,T95&lt;Settings!$B$50),"Invest to enable",IF(AND(R95&lt;Settings!$B$49,T95&gt;=Settings!$B$50),"Low-cost add-on","Defer"))))</f>
        <v>Defer</v>
      </c>
      <c r="V95" s="12" t="str">
        <f t="shared" si="5"/>
        <v>Defer to a later phase or event-driven testing only</v>
      </c>
    </row>
    <row r="96" ht="26.25" customHeight="1" spans="1:22">
      <c r="A96" s="70" t="s">
        <v>311</v>
      </c>
      <c r="B96" s="64" t="s">
        <v>312</v>
      </c>
      <c r="C96" s="64" t="s">
        <v>259</v>
      </c>
      <c r="D96" s="82">
        <f>ROUND(MIN(5,IF(Pathogens!I64&gt;=500,5,IF(Pathogens!I64&gt;=200,4,IF(Pathogens!I64&gt;=50,3,IF(Pathogens!I64&gt;=10,2,1))))*0.5+IF(Pathogens!J64&gt;=30,5,IF(Pathogens!J64&gt;=10,4,IF(Pathogens!J64&gt;=3,3,IF(Pathogens!J64&gt;=1,2,1))))*0.4+IF(AND($B$7&gt;=80,Pathogens!N64&gt;=0.5),1,0)*0.1+IF($B$10&lt;50,0.3,0)),0)</f>
        <v>3</v>
      </c>
      <c r="E96" s="82">
        <f>ROUND(MIN(5,IF(Pathogens!K64&gt;=8,5,IF(Pathogens!K64&gt;=5,4,IF(Pathogens!K64&gt;=3,3,IF(Pathogens!K64&gt;=1,2,1))))*0.5+IF(Pathogens!L64&gt;=5,5,IF(Pathogens!L64&gt;=3,4,IF(Pathogens!L64&gt;=2,3,IF(Pathogens!L64&gt;=1.2,2,1))))*0.3+IF(Pathogens!M64=1,2,0)*0.2+IF($B$13&gt;=2,0.5,0)),0)</f>
        <v>2</v>
      </c>
      <c r="F96" s="82">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c r="G96" s="82">
        <f>ROUND(MAX(1,MIN(5,(6-$B$11)*0.5+(6-$B$12)*0.4+(IF(AND(Pathogens!N64&gt;=0.5,$B$8&lt;60),5,IF(Pathogens!N64&gt;=0.5,4,IF(Pathogens!N64&gt;=0.3,3,IF(Pathogens!N64&gt;=0.1,2,1)))))*0.1)),0)</f>
        <v>2</v>
      </c>
      <c r="H96" s="82">
        <f>IF(ISNUMBER(SEARCH("Vaccine-preventable",Pathogens!C64)),2,IF(ISNUMBER(SEARCH("AMR",Pathogens!C64)),5,IF(ISNUMBER(SEARCH("VHF",Pathogens!C64)),4,IF(ISNUMBER(SEARCH("Emerging",Pathogens!C64)),5,IF(ISNUMBER(SEARCH("Mycobacterial",Pathogens!C64)),3,IF(ISNUMBER(SEARCH("Helminth",Pathogens!C64)),3,IF(ISNUMBER(SEARCH("Respiratory",Pathogens!C64)),4,3)))))))</f>
        <v>3</v>
      </c>
      <c r="I96" s="82">
        <f>IF(ISNUMBER(SEARCH("AMR",Pathogens!C64)),5,IF(ISNUMBER(SEARCH("Mycobacterial",Pathogens!C64)),4,IF(ISNUMBER(SEARCH("Enteric bacterial",Pathogens!C64)),3,IF(ISNUMBER(SEARCH("Bacterial",Pathogens!C64)),3,1))))</f>
        <v>3</v>
      </c>
      <c r="J96" s="82">
        <f t="shared" si="3"/>
        <v>3</v>
      </c>
      <c r="K96" s="83">
        <f>ROUND(((D96*Settings!$C$4)+(E96*Settings!$C$5)+(F96*Settings!$C$6)+(G96*Settings!$C$7)+(H96*Settings!$C$8)+(I96*Settings!$C$9)+(J96*Settings!$C$10))/5*100,1)</f>
        <v>53</v>
      </c>
      <c r="L96" s="84" t="str">
        <f>IF(K96&gt;=Settings!$B$14,"Tier 1 — Always-on",IF(K96&gt;=Settings!$B$15,"Tier 2 — Seasonal/Regional",IF(K96&gt;=Settings!$B$16,"Tier 3 — Event-driven","Tier 4 — Monitor only")))</f>
        <v>Tier 2 — Seasonal/Regional</v>
      </c>
      <c r="M96" s="55" t="str">
        <f>IFERROR(INDEX(Endemicity!$C$2:$BN$55,MATCH($B$3,Endemicity!$B$2:$B$55,0),MATCH($A96,Endemicity!$C$1:$BN$1,0)),"Sporadic")</f>
        <v>Endemic</v>
      </c>
      <c r="N96" s="48">
        <f>IF(Settings!$B$48="ON",IFERROR(MATCH($M96,Settings!$B$35:$F$35,0),5),5)</f>
        <v>1</v>
      </c>
      <c r="O96" s="48">
        <f>(6-Pathogens!X64)</f>
        <v>4</v>
      </c>
      <c r="P96" s="48">
        <f>ROUND(MIN(5,MAX(1,0.35*IF(Pathogens!R64=1,5,IF(Pathogens!R64=2,3,1))+0.2*IF(Pathogens!S64=1,5,IF(Pathogens!S64=2,3,1))+0.25*IF(Pathogens!W64=1,IF($B$26&gt;=3,5,IF($B$26=2,4,IF($B$26=1,2,1))),5)+0.2*IF($B$15&gt;=50,5,IF($B$15&gt;=25,4,IF($B$15&gt;=10,3,IF($B$15&gt;=5,2,1)))))),0)</f>
        <v>3</v>
      </c>
      <c r="Q96" s="37" t="str">
        <f t="shared" si="4"/>
        <v>Trend / intensity monitoring</v>
      </c>
      <c r="R96" s="37">
        <f>ROUND(MIN(100,((D96)*Settings!$C$23*INDEX(Settings!$B$36:$F$44,1,$N96)+(E96)*Settings!$C$24*INDEX(Settings!$B$36:$F$44,2,$N96)+(F96)*Settings!$C$25*INDEX(Settings!$B$36:$F$44,3,$N96)+(G96)*Settings!$C$26*INDEX(Settings!$B$36:$F$44,4,$N96)+(H96)*Settings!$C$27*INDEX(Settings!$B$36:$F$44,5,$N96)+(I96)*Settings!$C$28*INDEX(Settings!$B$36:$F$44,6,$N96)+(J96)*Settings!$C$29*INDEX(Settings!$B$36:$F$44,7,$N96)+(O96)*Settings!$C$30*INDEX(Settings!$B$36:$F$44,8,$N96)+(P96)*Settings!$C$31*INDEX(Settings!$B$36:$F$44,9,$N96))/INDEX(Settings!$B$45:$F$45,1,$N96)/5*100*IF($M96="Not present",Settings!$B$51,1)),1)</f>
        <v>56.9</v>
      </c>
      <c r="S96" s="37" t="str">
        <f>IF($M96="Not present","Tier 4 — Watch only (absent)",IF(R96&gt;=Settings!$B$14,"Tier 1 — Always-on",IF(R96&gt;=Settings!$B$15,"Tier 2 — Seasonal/Regional",IF(R96&gt;=Settings!$B$16,"Tier 3 — Event-driven","Tier 4 — Monitor only"))))</f>
        <v>Tier 2 — Seasonal/Regional</v>
      </c>
      <c r="T96" s="55">
        <f>Feasibility!$F68</f>
        <v>67</v>
      </c>
      <c r="U96" s="37" t="str">
        <f>IF($M96="Not present","Defer — not present",IF(AND(R96&gt;=Settings!$B$49,T96&gt;=Settings!$B$50),"Do now",IF(AND(R96&gt;=Settings!$B$49,T96&lt;Settings!$B$50),"Invest to enable",IF(AND(R96&lt;Settings!$B$49,T96&gt;=Settings!$B$50),"Low-cost add-on","Defer"))))</f>
        <v>Defer</v>
      </c>
      <c r="V96" s="12" t="str">
        <f t="shared" si="5"/>
        <v>Defer to a later phase or event-driven testing only</v>
      </c>
    </row>
    <row r="97" ht="26.25" customHeight="1" spans="1:22">
      <c r="A97" s="70" t="s">
        <v>313</v>
      </c>
      <c r="B97" s="64" t="s">
        <v>314</v>
      </c>
      <c r="C97" s="64" t="s">
        <v>315</v>
      </c>
      <c r="D97" s="82">
        <f>ROUND(MIN(5,IF(Pathogens!I65&gt;=500,5,IF(Pathogens!I65&gt;=200,4,IF(Pathogens!I65&gt;=50,3,IF(Pathogens!I65&gt;=10,2,1))))*0.5+IF(Pathogens!J65&gt;=30,5,IF(Pathogens!J65&gt;=10,4,IF(Pathogens!J65&gt;=3,3,IF(Pathogens!J65&gt;=1,2,1))))*0.4+IF(AND($B$7&gt;=80,Pathogens!N65&gt;=0.5),1,0)*0.1+IF($B$10&lt;50,0.3,0)),0)</f>
        <v>3</v>
      </c>
      <c r="E97" s="82">
        <f>ROUND(MIN(5,IF(Pathogens!K65&gt;=8,5,IF(Pathogens!K65&gt;=5,4,IF(Pathogens!K65&gt;=3,3,IF(Pathogens!K65&gt;=1,2,1))))*0.5+IF(Pathogens!L65&gt;=5,5,IF(Pathogens!L65&gt;=3,4,IF(Pathogens!L65&gt;=2,3,IF(Pathogens!L65&gt;=1.2,2,1))))*0.3+IF(Pathogens!M65=1,2,0)*0.2+IF($B$13&gt;=2,0.5,0)),0)</f>
        <v>3</v>
      </c>
      <c r="F97" s="82">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c r="G97" s="82">
        <f>ROUND(MAX(1,MIN(5,(6-$B$11)*0.5+(6-$B$12)*0.4+(IF(AND(Pathogens!N65&gt;=0.5,$B$8&lt;60),5,IF(Pathogens!N65&gt;=0.5,4,IF(Pathogens!N65&gt;=0.3,3,IF(Pathogens!N65&gt;=0.1,2,1)))))*0.1)),0)</f>
        <v>2</v>
      </c>
      <c r="H97" s="82">
        <f>IF(ISNUMBER(SEARCH("Vaccine-preventable",Pathogens!C65)),2,IF(ISNUMBER(SEARCH("AMR",Pathogens!C65)),5,IF(ISNUMBER(SEARCH("VHF",Pathogens!C65)),4,IF(ISNUMBER(SEARCH("Emerging",Pathogens!C65)),5,IF(ISNUMBER(SEARCH("Mycobacterial",Pathogens!C65)),3,IF(ISNUMBER(SEARCH("Helminth",Pathogens!C65)),3,IF(ISNUMBER(SEARCH("Respiratory",Pathogens!C65)),4,3)))))))</f>
        <v>3</v>
      </c>
      <c r="I97" s="82">
        <f>IF(ISNUMBER(SEARCH("AMR",Pathogens!C65)),5,IF(ISNUMBER(SEARCH("Mycobacterial",Pathogens!C65)),4,IF(ISNUMBER(SEARCH("Enteric bacterial",Pathogens!C65)),3,IF(ISNUMBER(SEARCH("Bacterial",Pathogens!C65)),3,1))))</f>
        <v>1</v>
      </c>
      <c r="J97" s="82">
        <f t="shared" si="3"/>
        <v>3</v>
      </c>
      <c r="K97" s="83">
        <f>ROUND(((D97*Settings!$C$4)+(E97*Settings!$C$5)+(F97*Settings!$C$6)+(G97*Settings!$C$7)+(H97*Settings!$C$8)+(I97*Settings!$C$9)+(J97*Settings!$C$10))/5*100,1)</f>
        <v>47</v>
      </c>
      <c r="L97" s="84" t="str">
        <f>IF(K97&gt;=Settings!$B$14,"Tier 1 — Always-on",IF(K97&gt;=Settings!$B$15,"Tier 2 — Seasonal/Regional",IF(K97&gt;=Settings!$B$16,"Tier 3 — Event-driven","Tier 4 — Monitor only")))</f>
        <v>Tier 3 — Event-driven</v>
      </c>
      <c r="M97" s="55" t="str">
        <f>IFERROR(INDEX(Endemicity!$C$2:$BN$55,MATCH($B$3,Endemicity!$B$2:$B$55,0),MATCH($A97,Endemicity!$C$1:$BN$1,0)),"Sporadic")</f>
        <v>Endemic</v>
      </c>
      <c r="N97" s="48">
        <f>IF(Settings!$B$48="ON",IFERROR(MATCH($M97,Settings!$B$35:$F$35,0),5),5)</f>
        <v>1</v>
      </c>
      <c r="O97" s="48">
        <f>(6-Pathogens!X65)</f>
        <v>4</v>
      </c>
      <c r="P97" s="48">
        <f>ROUND(MIN(5,MAX(1,0.35*IF(Pathogens!R65=1,5,IF(Pathogens!R65=2,3,1))+0.2*IF(Pathogens!S65=1,5,IF(Pathogens!S65=2,3,1))+0.25*IF(Pathogens!W65=1,IF($B$26&gt;=3,5,IF($B$26=2,4,IF($B$26=1,2,1))),5)+0.2*IF($B$15&gt;=50,5,IF($B$15&gt;=25,4,IF($B$15&gt;=10,3,IF($B$15&gt;=5,2,1)))))),0)</f>
        <v>3</v>
      </c>
      <c r="Q97" s="37" t="str">
        <f t="shared" si="4"/>
        <v>Trend / intensity monitoring</v>
      </c>
      <c r="R97" s="37">
        <f>ROUND(MIN(100,((D97)*Settings!$C$23*INDEX(Settings!$B$36:$F$44,1,$N97)+(E97)*Settings!$C$24*INDEX(Settings!$B$36:$F$44,2,$N97)+(F97)*Settings!$C$25*INDEX(Settings!$B$36:$F$44,3,$N97)+(G97)*Settings!$C$26*INDEX(Settings!$B$36:$F$44,4,$N97)+(H97)*Settings!$C$27*INDEX(Settings!$B$36:$F$44,5,$N97)+(I97)*Settings!$C$28*INDEX(Settings!$B$36:$F$44,6,$N97)+(J97)*Settings!$C$29*INDEX(Settings!$B$36:$F$44,7,$N97)+(O97)*Settings!$C$30*INDEX(Settings!$B$36:$F$44,8,$N97)+(P97)*Settings!$C$31*INDEX(Settings!$B$36:$F$44,9,$N97))/INDEX(Settings!$B$45:$F$45,1,$N97)/5*100*IF($M97="Not present",Settings!$B$51,1)),1)</f>
        <v>49.9</v>
      </c>
      <c r="S97" s="37" t="str">
        <f>IF($M97="Not present","Tier 4 — Watch only (absent)",IF(R97&gt;=Settings!$B$14,"Tier 1 — Always-on",IF(R97&gt;=Settings!$B$15,"Tier 2 — Seasonal/Regional",IF(R97&gt;=Settings!$B$16,"Tier 3 — Event-driven","Tier 4 — Monitor only"))))</f>
        <v>Tier 3 — Event-driven</v>
      </c>
      <c r="T97" s="55">
        <f>Feasibility!$F69</f>
        <v>67</v>
      </c>
      <c r="U97" s="37" t="str">
        <f>IF($M97="Not present","Defer — not present",IF(AND(R97&gt;=Settings!$B$49,T97&gt;=Settings!$B$50),"Do now",IF(AND(R97&gt;=Settings!$B$49,T97&lt;Settings!$B$50),"Invest to enable",IF(AND(R97&lt;Settings!$B$49,T97&gt;=Settings!$B$50),"Low-cost add-on","Defer"))))</f>
        <v>Defer</v>
      </c>
      <c r="V97" s="12" t="str">
        <f t="shared" si="5"/>
        <v>Defer to a later phase or event-driven testing only</v>
      </c>
    </row>
  </sheetData>
  <conditionalFormatting sqref="K34:K97">
    <cfRule type="colorScale" priority="2">
      <colorScale>
        <cfvo type="num" val="0"/>
        <cfvo type="num" val="50"/>
        <cfvo type="num" val="100"/>
        <color rgb="FFFFFFFF"/>
        <color rgb="FFFFEB9C"/>
        <color rgb="FFC6EFCE"/>
      </colorScale>
    </cfRule>
  </conditionalFormatting>
  <conditionalFormatting sqref="R34:R97">
    <cfRule type="colorScale" priority="3">
      <colorScale>
        <cfvo type="num" val="20"/>
        <cfvo type="num" val="55"/>
        <cfvo type="num" val="85"/>
        <color rgb="FFF8696B"/>
        <color rgb="FFFFEB84"/>
        <color rgb="FF63BE7B"/>
      </colorScale>
    </cfRule>
  </conditionalFormatting>
  <conditionalFormatting sqref="T34:T97">
    <cfRule type="colorScale" priority="4">
      <colorScale>
        <cfvo type="num" val="20"/>
        <cfvo type="num" val="60"/>
        <cfvo type="num" val="95"/>
        <color rgb="FFF8696B"/>
        <color rgb="FFFFEB84"/>
        <color rgb="FF63BE7B"/>
      </colorScale>
    </cfRule>
  </conditionalFormatting>
  <dataValidations count="2">
    <dataValidation type="list" showInputMessage="1" showErrorMessage="1" errorTitle="Invalid country" error="Please select a country from the list." promptTitle="Country" prompt="Select an African country" sqref="B3">
      <formula1>Countries!$B$2:$B$55</formula1>
    </dataValidation>
    <dataValidation type="list" sqref="B4">
      <formula1>"Pilot (Pathway A),Expanding (Pathway B)"</formula1>
    </dataValidation>
  </dataValidations>
  <pageMargins left="0.75" right="0.75" top="1" bottom="1" header="0.511811023622047" footer="0.511811023622047"/>
  <pageSetup paperSize="9" orientation="portrait" horizontalDpi="300" verticalDpi="300"/>
  <headerFooter/>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workbookViewId="0">
      <pane ySplit="5" topLeftCell="A36" activePane="bottomLeft" state="frozen"/>
      <selection/>
      <selection pane="bottomLeft" activeCell="H71" sqref="H71"/>
    </sheetView>
  </sheetViews>
  <sheetFormatPr defaultColWidth="8.8359375" defaultRowHeight="16.8"/>
  <cols>
    <col min="1" max="1" width="9" style="64" customWidth="1"/>
    <col min="2" max="2" width="32" style="35" customWidth="1"/>
    <col min="3" max="3" width="20" style="35" customWidth="1"/>
    <col min="4" max="4" width="13" style="35" customWidth="1"/>
    <col min="5" max="5" width="19.5" style="35" customWidth="1"/>
    <col min="6" max="6" width="10.6640625" style="35" customWidth="1"/>
    <col min="7" max="7" width="15.6640625" style="35" customWidth="1"/>
    <col min="8" max="8" width="16.3359375" style="35" customWidth="1"/>
    <col min="9" max="9" width="47.5" style="35" customWidth="1"/>
    <col min="10" max="16384" width="8.8359375" style="64"/>
  </cols>
  <sheetData>
    <row r="1" ht="19.2" spans="1:9">
      <c r="A1" s="65" t="s">
        <v>316</v>
      </c>
    </row>
    <row r="2" spans="1:9">
      <c r="A2" s="66" t="s">
        <v>317</v>
      </c>
    </row>
    <row r="3" spans="1:9">
      <c r="A3" s="64" t="s">
        <v>117</v>
      </c>
      <c r="B3" s="67" t="str">
        <f>Calculator!B3</f>
        <v>Kenya</v>
      </c>
      <c r="D3" s="35" t="s">
        <v>318</v>
      </c>
      <c r="E3" s="67" t="str">
        <f>Calculator!B4</f>
        <v>Pilot (Pathway A)</v>
      </c>
    </row>
    <row r="5" ht="31" spans="1:9">
      <c r="A5" s="6" t="s">
        <v>147</v>
      </c>
      <c r="B5" s="36" t="s">
        <v>148</v>
      </c>
      <c r="C5" s="36" t="s">
        <v>319</v>
      </c>
      <c r="D5" s="36" t="s">
        <v>320</v>
      </c>
      <c r="E5" s="36" t="s">
        <v>321</v>
      </c>
      <c r="F5" s="36" t="s">
        <v>166</v>
      </c>
      <c r="G5" s="36" t="s">
        <v>322</v>
      </c>
      <c r="H5" s="36" t="s">
        <v>167</v>
      </c>
      <c r="I5" s="36" t="s">
        <v>323</v>
      </c>
    </row>
    <row r="6" spans="1:9">
      <c r="A6" s="68" t="str">
        <f>Calculator!A34</f>
        <v>POLIO</v>
      </c>
      <c r="B6" s="67" t="str">
        <f>Calculator!B34</f>
        <v>Poliovirus (WPV1, cVDPV2)</v>
      </c>
      <c r="C6" s="37" t="str">
        <f>IF(Pathogens!R2=1,"Routine qPCR",IF(Pathogens!R2=2,"Specialised","Research-grade"))</f>
        <v>Routine qPCR</v>
      </c>
      <c r="D6" s="37" t="str">
        <f>IF(Pathogens!S2=1,"Low",IF(Pathogens!S2=2,"Medium","High"))</f>
        <v>Low</v>
      </c>
      <c r="E6" s="37" t="str">
        <f>IF(Pathogens!W2=1,"Yes","No")</f>
        <v>Yes</v>
      </c>
      <c r="F6" s="37">
        <f>ROUND((0.3*IF(Pathogens!R2=1,5,IF(Pathogens!R2=2,3,1))+0.15*IF(Pathogens!S2=1,5,IF(Pathogens!S2=2,3,1))+0.25*IF(Pathogens!W2=1,IF(Calculator!$B$26&gt;=3,5,IF(Calculator!$B$26=2,4,IF(Calculator!$B$26=1,2,1))),5)+0.15*IF(Calculator!$B$15&gt;=50,5,IF(Calculator!$B$15&gt;=25,4,IF(Calculator!$B$15&gt;=10,3,IF(Calculator!$B$15&gt;=5,2,1))))+0.15*Calculator!$B$12)/5*100,0)</f>
        <v>91</v>
      </c>
      <c r="G6" s="67">
        <f>Calculator!R34</f>
        <v>73.2</v>
      </c>
      <c r="H6" s="67" t="str">
        <f>Calculator!U34</f>
        <v>Do now</v>
      </c>
      <c r="I6" s="42" t="str">
        <f>Calculator!V34</f>
        <v>Include in year-1 panel; alert on first detection</v>
      </c>
    </row>
    <row r="7" spans="1:9">
      <c r="A7" s="68" t="str">
        <f>Calculator!A35</f>
        <v>MEASLES</v>
      </c>
      <c r="B7" s="67" t="str">
        <f>Calculator!B35</f>
        <v>Measles virus</v>
      </c>
      <c r="C7" s="37" t="str">
        <f>IF(Pathogens!R3=1,"Routine qPCR",IF(Pathogens!R3=2,"Specialised","Research-grade"))</f>
        <v>Specialised</v>
      </c>
      <c r="D7" s="37" t="str">
        <f>IF(Pathogens!S3=1,"Low",IF(Pathogens!S3=2,"Medium","High"))</f>
        <v>Low</v>
      </c>
      <c r="E7" s="37" t="str">
        <f>IF(Pathogens!W3=1,"Yes","No")</f>
        <v>No</v>
      </c>
      <c r="F7" s="37">
        <f>ROUND((0.3*IF(Pathogens!R3=1,5,IF(Pathogens!R3=2,3,1))+0.15*IF(Pathogens!S3=1,5,IF(Pathogens!S3=2,3,1))+0.25*IF(Pathogens!W3=1,IF(Calculator!$B$26&gt;=3,5,IF(Calculator!$B$26=2,4,IF(Calculator!$B$26=1,2,1))),5)+0.15*IF(Calculator!$B$15&gt;=50,5,IF(Calculator!$B$15&gt;=25,4,IF(Calculator!$B$15&gt;=10,3,IF(Calculator!$B$15&gt;=5,2,1))))+0.15*Calculator!$B$12)/5*100,0)</f>
        <v>79</v>
      </c>
      <c r="G7" s="67">
        <f>Calculator!R35</f>
        <v>59</v>
      </c>
      <c r="H7" s="67" t="str">
        <f>Calculator!U35</f>
        <v>Low-cost add-on</v>
      </c>
      <c r="I7" s="42" t="str">
        <f>Calculator!V35</f>
        <v>Cheap to multiplex onto existing runs; add if capacity allows</v>
      </c>
    </row>
    <row r="8" spans="1:9">
      <c r="A8" s="68" t="str">
        <f>Calculator!A36</f>
        <v>RUBELLA</v>
      </c>
      <c r="B8" s="67" t="str">
        <f>Calculator!B36</f>
        <v>Rubella virus</v>
      </c>
      <c r="C8" s="37" t="str">
        <f>IF(Pathogens!R4=1,"Routine qPCR",IF(Pathogens!R4=2,"Specialised","Research-grade"))</f>
        <v>Specialised</v>
      </c>
      <c r="D8" s="37" t="str">
        <f>IF(Pathogens!S4=1,"Low",IF(Pathogens!S4=2,"Medium","High"))</f>
        <v>Low</v>
      </c>
      <c r="E8" s="37" t="str">
        <f>IF(Pathogens!W4=1,"Yes","No")</f>
        <v>No</v>
      </c>
      <c r="F8" s="37">
        <f>ROUND((0.3*IF(Pathogens!R4=1,5,IF(Pathogens!R4=2,3,1))+0.15*IF(Pathogens!S4=1,5,IF(Pathogens!S4=2,3,1))+0.25*IF(Pathogens!W4=1,IF(Calculator!$B$26&gt;=3,5,IF(Calculator!$B$26=2,4,IF(Calculator!$B$26=1,2,1))),5)+0.15*IF(Calculator!$B$15&gt;=50,5,IF(Calculator!$B$15&gt;=25,4,IF(Calculator!$B$15&gt;=10,3,IF(Calculator!$B$15&gt;=5,2,1))))+0.15*Calculator!$B$12)/5*100,0)</f>
        <v>79</v>
      </c>
      <c r="G8" s="67">
        <f>Calculator!R36</f>
        <v>56</v>
      </c>
      <c r="H8" s="67" t="str">
        <f>Calculator!U36</f>
        <v>Low-cost add-on</v>
      </c>
      <c r="I8" s="42" t="str">
        <f>Calculator!V36</f>
        <v>Cheap to multiplex onto existing runs; add if capacity allows</v>
      </c>
    </row>
    <row r="9" spans="1:9">
      <c r="A9" s="68" t="str">
        <f>Calculator!A37</f>
        <v>YF</v>
      </c>
      <c r="B9" s="67" t="str">
        <f>Calculator!B37</f>
        <v>Yellow fever virus</v>
      </c>
      <c r="C9" s="37" t="str">
        <f>IF(Pathogens!R5=1,"Routine qPCR",IF(Pathogens!R5=2,"Specialised","Research-grade"))</f>
        <v>Specialised</v>
      </c>
      <c r="D9" s="37" t="str">
        <f>IF(Pathogens!S5=1,"Low",IF(Pathogens!S5=2,"Medium","High"))</f>
        <v>Low</v>
      </c>
      <c r="E9" s="37" t="str">
        <f>IF(Pathogens!W5=1,"Yes","No")</f>
        <v>No</v>
      </c>
      <c r="F9" s="37">
        <f>ROUND((0.3*IF(Pathogens!R5=1,5,IF(Pathogens!R5=2,3,1))+0.15*IF(Pathogens!S5=1,5,IF(Pathogens!S5=2,3,1))+0.25*IF(Pathogens!W5=1,IF(Calculator!$B$26&gt;=3,5,IF(Calculator!$B$26=2,4,IF(Calculator!$B$26=1,2,1))),5)+0.15*IF(Calculator!$B$15&gt;=50,5,IF(Calculator!$B$15&gt;=25,4,IF(Calculator!$B$15&gt;=10,3,IF(Calculator!$B$15&gt;=5,2,1))))+0.15*Calculator!$B$12)/5*100,0)</f>
        <v>79</v>
      </c>
      <c r="G9" s="67">
        <f>Calculator!R37</f>
        <v>53.7</v>
      </c>
      <c r="H9" s="67" t="str">
        <f>Calculator!U37</f>
        <v>Low-cost add-on</v>
      </c>
      <c r="I9" s="42" t="str">
        <f>Calculator!V37</f>
        <v>Cheap to multiplex onto existing runs; add if capacity allows</v>
      </c>
    </row>
    <row r="10" spans="1:9">
      <c r="A10" s="68" t="str">
        <f>Calculator!A38</f>
        <v>DENGUE</v>
      </c>
      <c r="B10" s="67" t="str">
        <f>Calculator!B38</f>
        <v>Dengue virus (1-4)</v>
      </c>
      <c r="C10" s="37" t="str">
        <f>IF(Pathogens!R6=1,"Routine qPCR",IF(Pathogens!R6=2,"Specialised","Research-grade"))</f>
        <v>Specialised</v>
      </c>
      <c r="D10" s="37" t="str">
        <f>IF(Pathogens!S6=1,"Low",IF(Pathogens!S6=2,"Medium","High"))</f>
        <v>Low</v>
      </c>
      <c r="E10" s="37" t="str">
        <f>IF(Pathogens!W6=1,"Yes","No")</f>
        <v>No</v>
      </c>
      <c r="F10" s="37">
        <f>ROUND((0.3*IF(Pathogens!R6=1,5,IF(Pathogens!R6=2,3,1))+0.15*IF(Pathogens!S6=1,5,IF(Pathogens!S6=2,3,1))+0.25*IF(Pathogens!W6=1,IF(Calculator!$B$26&gt;=3,5,IF(Calculator!$B$26=2,4,IF(Calculator!$B$26=1,2,1))),5)+0.15*IF(Calculator!$B$15&gt;=50,5,IF(Calculator!$B$15&gt;=25,4,IF(Calculator!$B$15&gt;=10,3,IF(Calculator!$B$15&gt;=5,2,1))))+0.15*Calculator!$B$12)/5*100,0)</f>
        <v>79</v>
      </c>
      <c r="G10" s="67">
        <f>Calculator!R38</f>
        <v>52.9</v>
      </c>
      <c r="H10" s="67" t="str">
        <f>Calculator!U38</f>
        <v>Low-cost add-on</v>
      </c>
      <c r="I10" s="42" t="str">
        <f>Calculator!V38</f>
        <v>Cheap to multiplex onto existing runs; add if capacity allows</v>
      </c>
    </row>
    <row r="11" spans="1:9">
      <c r="A11" s="68" t="str">
        <f>Calculator!A39</f>
        <v>CHIK</v>
      </c>
      <c r="B11" s="67" t="str">
        <f>Calculator!B39</f>
        <v>Chikungunya virus</v>
      </c>
      <c r="C11" s="37" t="str">
        <f>IF(Pathogens!R7=1,"Routine qPCR",IF(Pathogens!R7=2,"Specialised","Research-grade"))</f>
        <v>Specialised</v>
      </c>
      <c r="D11" s="37" t="str">
        <f>IF(Pathogens!S7=1,"Low",IF(Pathogens!S7=2,"Medium","High"))</f>
        <v>Low</v>
      </c>
      <c r="E11" s="37" t="str">
        <f>IF(Pathogens!W7=1,"Yes","No")</f>
        <v>No</v>
      </c>
      <c r="F11" s="37">
        <f>ROUND((0.3*IF(Pathogens!R7=1,5,IF(Pathogens!R7=2,3,1))+0.15*IF(Pathogens!S7=1,5,IF(Pathogens!S7=2,3,1))+0.25*IF(Pathogens!W7=1,IF(Calculator!$B$26&gt;=3,5,IF(Calculator!$B$26=2,4,IF(Calculator!$B$26=1,2,1))),5)+0.15*IF(Calculator!$B$15&gt;=50,5,IF(Calculator!$B$15&gt;=25,4,IF(Calculator!$B$15&gt;=10,3,IF(Calculator!$B$15&gt;=5,2,1))))+0.15*Calculator!$B$12)/5*100,0)</f>
        <v>79</v>
      </c>
      <c r="G11" s="67">
        <f>Calculator!R39</f>
        <v>50.3</v>
      </c>
      <c r="H11" s="67" t="str">
        <f>Calculator!U39</f>
        <v>Low-cost add-on</v>
      </c>
      <c r="I11" s="42" t="str">
        <f>Calculator!V39</f>
        <v>Cheap to multiplex onto existing runs; add if capacity allows</v>
      </c>
    </row>
    <row r="12" spans="1:9">
      <c r="A12" s="68" t="str">
        <f>Calculator!A40</f>
        <v>ZIKA</v>
      </c>
      <c r="B12" s="67" t="str">
        <f>Calculator!B40</f>
        <v>Zika virus</v>
      </c>
      <c r="C12" s="37" t="str">
        <f>IF(Pathogens!R8=1,"Routine qPCR",IF(Pathogens!R8=2,"Specialised","Research-grade"))</f>
        <v>Specialised</v>
      </c>
      <c r="D12" s="37" t="str">
        <f>IF(Pathogens!S8=1,"Low",IF(Pathogens!S8=2,"Medium","High"))</f>
        <v>Low</v>
      </c>
      <c r="E12" s="37" t="str">
        <f>IF(Pathogens!W8=1,"Yes","No")</f>
        <v>No</v>
      </c>
      <c r="F12" s="37">
        <f>ROUND((0.3*IF(Pathogens!R8=1,5,IF(Pathogens!R8=2,3,1))+0.15*IF(Pathogens!S8=1,5,IF(Pathogens!S8=2,3,1))+0.25*IF(Pathogens!W8=1,IF(Calculator!$B$26&gt;=3,5,IF(Calculator!$B$26=2,4,IF(Calculator!$B$26=1,2,1))),5)+0.15*IF(Calculator!$B$15&gt;=50,5,IF(Calculator!$B$15&gt;=25,4,IF(Calculator!$B$15&gt;=10,3,IF(Calculator!$B$15&gt;=5,2,1))))+0.15*Calculator!$B$12)/5*100,0)</f>
        <v>79</v>
      </c>
      <c r="G12" s="67">
        <f>Calculator!R40</f>
        <v>59.2</v>
      </c>
      <c r="H12" s="67" t="str">
        <f>Calculator!U40</f>
        <v>Low-cost add-on</v>
      </c>
      <c r="I12" s="42" t="str">
        <f>Calculator!V40</f>
        <v>Cheap to multiplex onto existing runs; add if capacity allows</v>
      </c>
    </row>
    <row r="13" spans="1:9">
      <c r="A13" s="68" t="str">
        <f>Calculator!A41</f>
        <v>WNV</v>
      </c>
      <c r="B13" s="67" t="str">
        <f>Calculator!B41</f>
        <v>West Nile virus</v>
      </c>
      <c r="C13" s="37" t="str">
        <f>IF(Pathogens!R9=1,"Routine qPCR",IF(Pathogens!R9=2,"Specialised","Research-grade"))</f>
        <v>Research-grade</v>
      </c>
      <c r="D13" s="37" t="str">
        <f>IF(Pathogens!S9=1,"Low",IF(Pathogens!S9=2,"Medium","High"))</f>
        <v>Low</v>
      </c>
      <c r="E13" s="37" t="str">
        <f>IF(Pathogens!W9=1,"Yes","No")</f>
        <v>No</v>
      </c>
      <c r="F13" s="37">
        <f>ROUND((0.3*IF(Pathogens!R9=1,5,IF(Pathogens!R9=2,3,1))+0.15*IF(Pathogens!S9=1,5,IF(Pathogens!S9=2,3,1))+0.25*IF(Pathogens!W9=1,IF(Calculator!$B$26&gt;=3,5,IF(Calculator!$B$26=2,4,IF(Calculator!$B$26=1,2,1))),5)+0.15*IF(Calculator!$B$15&gt;=50,5,IF(Calculator!$B$15&gt;=25,4,IF(Calculator!$B$15&gt;=10,3,IF(Calculator!$B$15&gt;=5,2,1))))+0.15*Calculator!$B$12)/5*100,0)</f>
        <v>67</v>
      </c>
      <c r="G13" s="67">
        <f>Calculator!R41</f>
        <v>47.9</v>
      </c>
      <c r="H13" s="67" t="str">
        <f>Calculator!U41</f>
        <v>Defer</v>
      </c>
      <c r="I13" s="42" t="str">
        <f>Calculator!V41</f>
        <v>Defer to a later phase or event-driven testing only</v>
      </c>
    </row>
    <row r="14" spans="1:9">
      <c r="A14" s="68" t="str">
        <f>Calculator!A42</f>
        <v>RVF</v>
      </c>
      <c r="B14" s="67" t="str">
        <f>Calculator!B42</f>
        <v>Rift Valley fever virus</v>
      </c>
      <c r="C14" s="37" t="str">
        <f>IF(Pathogens!R10=1,"Routine qPCR",IF(Pathogens!R10=2,"Specialised","Research-grade"))</f>
        <v>Research-grade</v>
      </c>
      <c r="D14" s="37" t="str">
        <f>IF(Pathogens!S10=1,"Low",IF(Pathogens!S10=2,"Medium","High"))</f>
        <v>Low</v>
      </c>
      <c r="E14" s="37" t="str">
        <f>IF(Pathogens!W10=1,"Yes","No")</f>
        <v>No</v>
      </c>
      <c r="F14" s="37">
        <f>ROUND((0.3*IF(Pathogens!R10=1,5,IF(Pathogens!R10=2,3,1))+0.15*IF(Pathogens!S10=1,5,IF(Pathogens!S10=2,3,1))+0.25*IF(Pathogens!W10=1,IF(Calculator!$B$26&gt;=3,5,IF(Calculator!$B$26=2,4,IF(Calculator!$B$26=1,2,1))),5)+0.15*IF(Calculator!$B$15&gt;=50,5,IF(Calculator!$B$15&gt;=25,4,IF(Calculator!$B$15&gt;=10,3,IF(Calculator!$B$15&gt;=5,2,1))))+0.15*Calculator!$B$12)/5*100,0)</f>
        <v>67</v>
      </c>
      <c r="G14" s="67">
        <f>Calculator!R42</f>
        <v>51.5</v>
      </c>
      <c r="H14" s="67" t="str">
        <f>Calculator!U42</f>
        <v>Defer</v>
      </c>
      <c r="I14" s="42" t="str">
        <f>Calculator!V42</f>
        <v>Defer to a later phase or event-driven testing only</v>
      </c>
    </row>
    <row r="15" spans="1:9">
      <c r="A15" s="68" t="str">
        <f>Calculator!A43</f>
        <v>CCHF</v>
      </c>
      <c r="B15" s="67" t="str">
        <f>Calculator!B43</f>
        <v>Crimean-Congo hemorrhagic fever</v>
      </c>
      <c r="C15" s="37" t="str">
        <f>IF(Pathogens!R11=1,"Routine qPCR",IF(Pathogens!R11=2,"Specialised","Research-grade"))</f>
        <v>Research-grade</v>
      </c>
      <c r="D15" s="37" t="str">
        <f>IF(Pathogens!S11=1,"Low",IF(Pathogens!S11=2,"Medium","High"))</f>
        <v>Low</v>
      </c>
      <c r="E15" s="37" t="str">
        <f>IF(Pathogens!W11=1,"Yes","No")</f>
        <v>No</v>
      </c>
      <c r="F15" s="37">
        <f>ROUND((0.3*IF(Pathogens!R11=1,5,IF(Pathogens!R11=2,3,1))+0.15*IF(Pathogens!S11=1,5,IF(Pathogens!S11=2,3,1))+0.25*IF(Pathogens!W11=1,IF(Calculator!$B$26&gt;=3,5,IF(Calculator!$B$26=2,4,IF(Calculator!$B$26=1,2,1))),5)+0.15*IF(Calculator!$B$15&gt;=50,5,IF(Calculator!$B$15&gt;=25,4,IF(Calculator!$B$15&gt;=10,3,IF(Calculator!$B$15&gt;=5,2,1))))+0.15*Calculator!$B$12)/5*100,0)</f>
        <v>67</v>
      </c>
      <c r="G15" s="67">
        <f>Calculator!R43</f>
        <v>53.8</v>
      </c>
      <c r="H15" s="67" t="str">
        <f>Calculator!U43</f>
        <v>Defer</v>
      </c>
      <c r="I15" s="42" t="str">
        <f>Calculator!V43</f>
        <v>Defer to a later phase or event-driven testing only</v>
      </c>
    </row>
    <row r="16" spans="1:9">
      <c r="A16" s="68" t="str">
        <f>Calculator!A44</f>
        <v>EBOV</v>
      </c>
      <c r="B16" s="67" t="str">
        <f>Calculator!B44</f>
        <v>Ebola virus (Zaire/Sudan)</v>
      </c>
      <c r="C16" s="37" t="str">
        <f>IF(Pathogens!R12=1,"Routine qPCR",IF(Pathogens!R12=2,"Specialised","Research-grade"))</f>
        <v>Specialised</v>
      </c>
      <c r="D16" s="37" t="str">
        <f>IF(Pathogens!S12=1,"Low",IF(Pathogens!S12=2,"Medium","High"))</f>
        <v>Low</v>
      </c>
      <c r="E16" s="37" t="str">
        <f>IF(Pathogens!W12=1,"Yes","No")</f>
        <v>No</v>
      </c>
      <c r="F16" s="37">
        <f>ROUND((0.3*IF(Pathogens!R12=1,5,IF(Pathogens!R12=2,3,1))+0.15*IF(Pathogens!S12=1,5,IF(Pathogens!S12=2,3,1))+0.25*IF(Pathogens!W12=1,IF(Calculator!$B$26&gt;=3,5,IF(Calculator!$B$26=2,4,IF(Calculator!$B$26=1,2,1))),5)+0.15*IF(Calculator!$B$15&gt;=50,5,IF(Calculator!$B$15&gt;=25,4,IF(Calculator!$B$15&gt;=10,3,IF(Calculator!$B$15&gt;=5,2,1))))+0.15*Calculator!$B$12)/5*100,0)</f>
        <v>79</v>
      </c>
      <c r="G16" s="67">
        <f>Calculator!R44</f>
        <v>67.9</v>
      </c>
      <c r="H16" s="67" t="str">
        <f>Calculator!U44</f>
        <v>Do now</v>
      </c>
      <c r="I16" s="42" t="str">
        <f>Calculator!V44</f>
        <v>Include in year-1 panel; alert on first detection</v>
      </c>
    </row>
    <row r="17" spans="1:9">
      <c r="A17" s="68" t="str">
        <f>Calculator!A45</f>
        <v>MARV</v>
      </c>
      <c r="B17" s="67" t="str">
        <f>Calculator!B45</f>
        <v>Marburg virus</v>
      </c>
      <c r="C17" s="37" t="str">
        <f>IF(Pathogens!R13=1,"Routine qPCR",IF(Pathogens!R13=2,"Specialised","Research-grade"))</f>
        <v>Research-grade</v>
      </c>
      <c r="D17" s="37" t="str">
        <f>IF(Pathogens!S13=1,"Low",IF(Pathogens!S13=2,"Medium","High"))</f>
        <v>Low</v>
      </c>
      <c r="E17" s="37" t="str">
        <f>IF(Pathogens!W13=1,"Yes","No")</f>
        <v>No</v>
      </c>
      <c r="F17" s="37">
        <f>ROUND((0.3*IF(Pathogens!R13=1,5,IF(Pathogens!R13=2,3,1))+0.15*IF(Pathogens!S13=1,5,IF(Pathogens!S13=2,3,1))+0.25*IF(Pathogens!W13=1,IF(Calculator!$B$26&gt;=3,5,IF(Calculator!$B$26=2,4,IF(Calculator!$B$26=1,2,1))),5)+0.15*IF(Calculator!$B$15&gt;=50,5,IF(Calculator!$B$15&gt;=25,4,IF(Calculator!$B$15&gt;=10,3,IF(Calculator!$B$15&gt;=5,2,1))))+0.15*Calculator!$B$12)/5*100,0)</f>
        <v>67</v>
      </c>
      <c r="G17" s="67">
        <f>Calculator!R45</f>
        <v>61.1</v>
      </c>
      <c r="H17" s="67" t="str">
        <f>Calculator!U45</f>
        <v>Defer</v>
      </c>
      <c r="I17" s="42" t="str">
        <f>Calculator!V45</f>
        <v>Defer to a later phase or event-driven testing only</v>
      </c>
    </row>
    <row r="18" spans="1:9">
      <c r="A18" s="68" t="str">
        <f>Calculator!A46</f>
        <v>LASV</v>
      </c>
      <c r="B18" s="67" t="str">
        <f>Calculator!B46</f>
        <v>Lassa virus</v>
      </c>
      <c r="C18" s="37" t="str">
        <f>IF(Pathogens!R14=1,"Routine qPCR",IF(Pathogens!R14=2,"Specialised","Research-grade"))</f>
        <v>Specialised</v>
      </c>
      <c r="D18" s="37" t="str">
        <f>IF(Pathogens!S14=1,"Low",IF(Pathogens!S14=2,"Medium","High"))</f>
        <v>Low</v>
      </c>
      <c r="E18" s="37" t="str">
        <f>IF(Pathogens!W14=1,"Yes","No")</f>
        <v>No</v>
      </c>
      <c r="F18" s="37">
        <f>ROUND((0.3*IF(Pathogens!R14=1,5,IF(Pathogens!R14=2,3,1))+0.15*IF(Pathogens!S14=1,5,IF(Pathogens!S14=2,3,1))+0.25*IF(Pathogens!W14=1,IF(Calculator!$B$26&gt;=3,5,IF(Calculator!$B$26=2,4,IF(Calculator!$B$26=1,2,1))),5)+0.15*IF(Calculator!$B$15&gt;=50,5,IF(Calculator!$B$15&gt;=25,4,IF(Calculator!$B$15&gt;=10,3,IF(Calculator!$B$15&gt;=5,2,1))))+0.15*Calculator!$B$12)/5*100,0)</f>
        <v>79</v>
      </c>
      <c r="G18" s="67">
        <f>Calculator!R46</f>
        <v>69.5</v>
      </c>
      <c r="H18" s="67" t="str">
        <f>Calculator!U46</f>
        <v>Do now</v>
      </c>
      <c r="I18" s="42" t="str">
        <f>Calculator!V46</f>
        <v>Include in year-1 panel; alert on first detection</v>
      </c>
    </row>
    <row r="19" spans="1:9">
      <c r="A19" s="68" t="str">
        <f>Calculator!A47</f>
        <v>MPOX</v>
      </c>
      <c r="B19" s="67" t="str">
        <f>Calculator!B47</f>
        <v>Monkeypox virus (clade I/II)</v>
      </c>
      <c r="C19" s="37" t="str">
        <f>IF(Pathogens!R15=1,"Routine qPCR",IF(Pathogens!R15=2,"Specialised","Research-grade"))</f>
        <v>Specialised</v>
      </c>
      <c r="D19" s="37" t="str">
        <f>IF(Pathogens!S15=1,"Low",IF(Pathogens!S15=2,"Medium","High"))</f>
        <v>Low</v>
      </c>
      <c r="E19" s="37" t="str">
        <f>IF(Pathogens!W15=1,"Yes","No")</f>
        <v>Yes</v>
      </c>
      <c r="F19" s="37">
        <f>ROUND((0.3*IF(Pathogens!R15=1,5,IF(Pathogens!R15=2,3,1))+0.15*IF(Pathogens!S15=1,5,IF(Pathogens!S15=2,3,1))+0.25*IF(Pathogens!W15=1,IF(Calculator!$B$26&gt;=3,5,IF(Calculator!$B$26=2,4,IF(Calculator!$B$26=1,2,1))),5)+0.15*IF(Calculator!$B$15&gt;=50,5,IF(Calculator!$B$15&gt;=25,4,IF(Calculator!$B$15&gt;=10,3,IF(Calculator!$B$15&gt;=5,2,1))))+0.15*Calculator!$B$12)/5*100,0)</f>
        <v>79</v>
      </c>
      <c r="G19" s="67">
        <f>Calculator!R47</f>
        <v>64.3</v>
      </c>
      <c r="H19" s="67" t="str">
        <f>Calculator!U47</f>
        <v>Low-cost add-on</v>
      </c>
      <c r="I19" s="42" t="str">
        <f>Calculator!V47</f>
        <v>Cheap to multiplex onto existing runs; add if capacity allows</v>
      </c>
    </row>
    <row r="20" spans="1:9">
      <c r="A20" s="68" t="str">
        <f>Calculator!A48</f>
        <v>SARS2</v>
      </c>
      <c r="B20" s="67" t="str">
        <f>Calculator!B48</f>
        <v>SARS-CoV-2</v>
      </c>
      <c r="C20" s="37" t="str">
        <f>IF(Pathogens!R16=1,"Routine qPCR",IF(Pathogens!R16=2,"Specialised","Research-grade"))</f>
        <v>Routine qPCR</v>
      </c>
      <c r="D20" s="37" t="str">
        <f>IF(Pathogens!S16=1,"Low",IF(Pathogens!S16=2,"Medium","High"))</f>
        <v>Low</v>
      </c>
      <c r="E20" s="37" t="str">
        <f>IF(Pathogens!W16=1,"Yes","No")</f>
        <v>Yes</v>
      </c>
      <c r="F20" s="37">
        <f>ROUND((0.3*IF(Pathogens!R16=1,5,IF(Pathogens!R16=2,3,1))+0.15*IF(Pathogens!S16=1,5,IF(Pathogens!S16=2,3,1))+0.25*IF(Pathogens!W16=1,IF(Calculator!$B$26&gt;=3,5,IF(Calculator!$B$26=2,4,IF(Calculator!$B$26=1,2,1))),5)+0.15*IF(Calculator!$B$15&gt;=50,5,IF(Calculator!$B$15&gt;=25,4,IF(Calculator!$B$15&gt;=10,3,IF(Calculator!$B$15&gt;=5,2,1))))+0.15*Calculator!$B$12)/5*100,0)</f>
        <v>91</v>
      </c>
      <c r="G20" s="67">
        <f>Calculator!R48</f>
        <v>69.9</v>
      </c>
      <c r="H20" s="67" t="str">
        <f>Calculator!U48</f>
        <v>Do now</v>
      </c>
      <c r="I20" s="42" t="str">
        <f>Calculator!V48</f>
        <v>Include in always-on panel; report trend vs baseline</v>
      </c>
    </row>
    <row r="21" spans="1:9">
      <c r="A21" s="68" t="str">
        <f>Calculator!A49</f>
        <v>MERS</v>
      </c>
      <c r="B21" s="67" t="str">
        <f>Calculator!B49</f>
        <v>MERS-CoV</v>
      </c>
      <c r="C21" s="37" t="str">
        <f>IF(Pathogens!R17=1,"Routine qPCR",IF(Pathogens!R17=2,"Specialised","Research-grade"))</f>
        <v>Specialised</v>
      </c>
      <c r="D21" s="37" t="str">
        <f>IF(Pathogens!S17=1,"Low",IF(Pathogens!S17=2,"Medium","High"))</f>
        <v>Low</v>
      </c>
      <c r="E21" s="37" t="str">
        <f>IF(Pathogens!W17=1,"Yes","No")</f>
        <v>No</v>
      </c>
      <c r="F21" s="37">
        <f>ROUND((0.3*IF(Pathogens!R17=1,5,IF(Pathogens!R17=2,3,1))+0.15*IF(Pathogens!S17=1,5,IF(Pathogens!S17=2,3,1))+0.25*IF(Pathogens!W17=1,IF(Calculator!$B$26&gt;=3,5,IF(Calculator!$B$26=2,4,IF(Calculator!$B$26=1,2,1))),5)+0.15*IF(Calculator!$B$15&gt;=50,5,IF(Calculator!$B$15&gt;=25,4,IF(Calculator!$B$15&gt;=10,3,IF(Calculator!$B$15&gt;=5,2,1))))+0.15*Calculator!$B$12)/5*100,0)</f>
        <v>79</v>
      </c>
      <c r="G21" s="67">
        <f>Calculator!R49</f>
        <v>61.7</v>
      </c>
      <c r="H21" s="67" t="str">
        <f>Calculator!U49</f>
        <v>Low-cost add-on</v>
      </c>
      <c r="I21" s="42" t="str">
        <f>Calculator!V49</f>
        <v>Cheap to multiplex onto existing runs; add if capacity allows</v>
      </c>
    </row>
    <row r="22" spans="1:9">
      <c r="A22" s="68" t="str">
        <f>Calculator!A50</f>
        <v>FLUA</v>
      </c>
      <c r="B22" s="67" t="str">
        <f>Calculator!B50</f>
        <v>Influenza A (H1N1, H3N2)</v>
      </c>
      <c r="C22" s="37" t="str">
        <f>IF(Pathogens!R18=1,"Routine qPCR",IF(Pathogens!R18=2,"Specialised","Research-grade"))</f>
        <v>Routine qPCR</v>
      </c>
      <c r="D22" s="37" t="str">
        <f>IF(Pathogens!S18=1,"Low",IF(Pathogens!S18=2,"Medium","High"))</f>
        <v>Low</v>
      </c>
      <c r="E22" s="37" t="str">
        <f>IF(Pathogens!W18=1,"Yes","No")</f>
        <v>Yes</v>
      </c>
      <c r="F22" s="37">
        <f>ROUND((0.3*IF(Pathogens!R18=1,5,IF(Pathogens!R18=2,3,1))+0.15*IF(Pathogens!S18=1,5,IF(Pathogens!S18=2,3,1))+0.25*IF(Pathogens!W18=1,IF(Calculator!$B$26&gt;=3,5,IF(Calculator!$B$26=2,4,IF(Calculator!$B$26=1,2,1))),5)+0.15*IF(Calculator!$B$15&gt;=50,5,IF(Calculator!$B$15&gt;=25,4,IF(Calculator!$B$15&gt;=10,3,IF(Calculator!$B$15&gt;=5,2,1))))+0.15*Calculator!$B$12)/5*100,0)</f>
        <v>91</v>
      </c>
      <c r="G22" s="67">
        <f>Calculator!R50</f>
        <v>65.5</v>
      </c>
      <c r="H22" s="67" t="str">
        <f>Calculator!U50</f>
        <v>Do now</v>
      </c>
      <c r="I22" s="42" t="str">
        <f>Calculator!V50</f>
        <v>Include in always-on panel; report trend vs baseline</v>
      </c>
    </row>
    <row r="23" spans="1:9">
      <c r="A23" s="68" t="str">
        <f>Calculator!A51</f>
        <v>H5N1</v>
      </c>
      <c r="B23" s="67" t="str">
        <f>Calculator!B51</f>
        <v>Influenza A H5N1 (avian)</v>
      </c>
      <c r="C23" s="37" t="str">
        <f>IF(Pathogens!R19=1,"Routine qPCR",IF(Pathogens!R19=2,"Specialised","Research-grade"))</f>
        <v>Specialised</v>
      </c>
      <c r="D23" s="37" t="str">
        <f>IF(Pathogens!S19=1,"Low",IF(Pathogens!S19=2,"Medium","High"))</f>
        <v>Low</v>
      </c>
      <c r="E23" s="37" t="str">
        <f>IF(Pathogens!W19=1,"Yes","No")</f>
        <v>Yes</v>
      </c>
      <c r="F23" s="37">
        <f>ROUND((0.3*IF(Pathogens!R19=1,5,IF(Pathogens!R19=2,3,1))+0.15*IF(Pathogens!S19=1,5,IF(Pathogens!S19=2,3,1))+0.25*IF(Pathogens!W19=1,IF(Calculator!$B$26&gt;=3,5,IF(Calculator!$B$26=2,4,IF(Calculator!$B$26=1,2,1))),5)+0.15*IF(Calculator!$B$15&gt;=50,5,IF(Calculator!$B$15&gt;=25,4,IF(Calculator!$B$15&gt;=10,3,IF(Calculator!$B$15&gt;=5,2,1))))+0.15*Calculator!$B$12)/5*100,0)</f>
        <v>79</v>
      </c>
      <c r="G23" s="67">
        <f>Calculator!R51</f>
        <v>67.4</v>
      </c>
      <c r="H23" s="67" t="str">
        <f>Calculator!U51</f>
        <v>Do now</v>
      </c>
      <c r="I23" s="42" t="str">
        <f>Calculator!V51</f>
        <v>Include in year-1 panel; alert on first detection</v>
      </c>
    </row>
    <row r="24" spans="1:9">
      <c r="A24" s="68" t="str">
        <f>Calculator!A52</f>
        <v>RSV</v>
      </c>
      <c r="B24" s="67" t="str">
        <f>Calculator!B52</f>
        <v>Respiratory syncytial virus</v>
      </c>
      <c r="C24" s="37" t="str">
        <f>IF(Pathogens!R20=1,"Routine qPCR",IF(Pathogens!R20=2,"Specialised","Research-grade"))</f>
        <v>Routine qPCR</v>
      </c>
      <c r="D24" s="37" t="str">
        <f>IF(Pathogens!S20=1,"Low",IF(Pathogens!S20=2,"Medium","High"))</f>
        <v>Low</v>
      </c>
      <c r="E24" s="37" t="str">
        <f>IF(Pathogens!W20=1,"Yes","No")</f>
        <v>No</v>
      </c>
      <c r="F24" s="37">
        <f>ROUND((0.3*IF(Pathogens!R20=1,5,IF(Pathogens!R20=2,3,1))+0.15*IF(Pathogens!S20=1,5,IF(Pathogens!S20=2,3,1))+0.25*IF(Pathogens!W20=1,IF(Calculator!$B$26&gt;=3,5,IF(Calculator!$B$26=2,4,IF(Calculator!$B$26=1,2,1))),5)+0.15*IF(Calculator!$B$15&gt;=50,5,IF(Calculator!$B$15&gt;=25,4,IF(Calculator!$B$15&gt;=10,3,IF(Calculator!$B$15&gt;=5,2,1))))+0.15*Calculator!$B$12)/5*100,0)</f>
        <v>91</v>
      </c>
      <c r="G24" s="67">
        <f>Calculator!R52</f>
        <v>66.2</v>
      </c>
      <c r="H24" s="67" t="str">
        <f>Calculator!U52</f>
        <v>Do now</v>
      </c>
      <c r="I24" s="42" t="str">
        <f>Calculator!V52</f>
        <v>Include in always-on panel; report trend vs baseline</v>
      </c>
    </row>
    <row r="25" spans="1:9">
      <c r="A25" s="68" t="str">
        <f>Calculator!A53</f>
        <v>ADENO</v>
      </c>
      <c r="B25" s="67" t="str">
        <f>Calculator!B53</f>
        <v>Adenovirus (resp + enteric)</v>
      </c>
      <c r="C25" s="37" t="str">
        <f>IF(Pathogens!R21=1,"Routine qPCR",IF(Pathogens!R21=2,"Specialised","Research-grade"))</f>
        <v>Routine qPCR</v>
      </c>
      <c r="D25" s="37" t="str">
        <f>IF(Pathogens!S21=1,"Low",IF(Pathogens!S21=2,"Medium","High"))</f>
        <v>Low</v>
      </c>
      <c r="E25" s="37" t="str">
        <f>IF(Pathogens!W21=1,"Yes","No")</f>
        <v>No</v>
      </c>
      <c r="F25" s="37">
        <f>ROUND((0.3*IF(Pathogens!R21=1,5,IF(Pathogens!R21=2,3,1))+0.15*IF(Pathogens!S21=1,5,IF(Pathogens!S21=2,3,1))+0.25*IF(Pathogens!W21=1,IF(Calculator!$B$26&gt;=3,5,IF(Calculator!$B$26=2,4,IF(Calculator!$B$26=1,2,1))),5)+0.15*IF(Calculator!$B$15&gt;=50,5,IF(Calculator!$B$15&gt;=25,4,IF(Calculator!$B$15&gt;=10,3,IF(Calculator!$B$15&gt;=5,2,1))))+0.15*Calculator!$B$12)/5*100,0)</f>
        <v>91</v>
      </c>
      <c r="G25" s="67">
        <f>Calculator!R53</f>
        <v>73.6</v>
      </c>
      <c r="H25" s="67" t="str">
        <f>Calculator!U53</f>
        <v>Do now</v>
      </c>
      <c r="I25" s="42" t="str">
        <f>Calculator!V53</f>
        <v>Include in always-on panel; report trend vs baseline</v>
      </c>
    </row>
    <row r="26" spans="1:9">
      <c r="A26" s="68" t="str">
        <f>Calculator!A54</f>
        <v>NIPAH</v>
      </c>
      <c r="B26" s="67" t="str">
        <f>Calculator!B54</f>
        <v>Nipah virus</v>
      </c>
      <c r="C26" s="37" t="str">
        <f>IF(Pathogens!R22=1,"Routine qPCR",IF(Pathogens!R22=2,"Specialised","Research-grade"))</f>
        <v>Research-grade</v>
      </c>
      <c r="D26" s="37" t="str">
        <f>IF(Pathogens!S22=1,"Low",IF(Pathogens!S22=2,"Medium","High"))</f>
        <v>Low</v>
      </c>
      <c r="E26" s="37" t="str">
        <f>IF(Pathogens!W22=1,"Yes","No")</f>
        <v>No</v>
      </c>
      <c r="F26" s="37">
        <f>ROUND((0.3*IF(Pathogens!R22=1,5,IF(Pathogens!R22=2,3,1))+0.15*IF(Pathogens!S22=1,5,IF(Pathogens!S22=2,3,1))+0.25*IF(Pathogens!W22=1,IF(Calculator!$B$26&gt;=3,5,IF(Calculator!$B$26=2,4,IF(Calculator!$B$26=1,2,1))),5)+0.15*IF(Calculator!$B$15&gt;=50,5,IF(Calculator!$B$15&gt;=25,4,IF(Calculator!$B$15&gt;=10,3,IF(Calculator!$B$15&gt;=5,2,1))))+0.15*Calculator!$B$12)/5*100,0)</f>
        <v>67</v>
      </c>
      <c r="G26" s="67">
        <f>Calculator!R54</f>
        <v>20.7</v>
      </c>
      <c r="H26" s="67" t="str">
        <f>Calculator!U54</f>
        <v>Defer — not present</v>
      </c>
      <c r="I26" s="42" t="str">
        <f>Calculator!V54</f>
        <v>Defer to a later phase or event-driven testing only</v>
      </c>
    </row>
    <row r="27" spans="1:9">
      <c r="A27" s="68" t="str">
        <f>Calculator!A55</f>
        <v>HEPA</v>
      </c>
      <c r="B27" s="67" t="str">
        <f>Calculator!B55</f>
        <v>Hepatitis A virus</v>
      </c>
      <c r="C27" s="37" t="str">
        <f>IF(Pathogens!R23=1,"Routine qPCR",IF(Pathogens!R23=2,"Specialised","Research-grade"))</f>
        <v>Routine qPCR</v>
      </c>
      <c r="D27" s="37" t="str">
        <f>IF(Pathogens!S23=1,"Low",IF(Pathogens!S23=2,"Medium","High"))</f>
        <v>Low</v>
      </c>
      <c r="E27" s="37" t="str">
        <f>IF(Pathogens!W23=1,"Yes","No")</f>
        <v>No</v>
      </c>
      <c r="F27" s="37">
        <f>ROUND((0.3*IF(Pathogens!R23=1,5,IF(Pathogens!R23=2,3,1))+0.15*IF(Pathogens!S23=1,5,IF(Pathogens!S23=2,3,1))+0.25*IF(Pathogens!W23=1,IF(Calculator!$B$26&gt;=3,5,IF(Calculator!$B$26=2,4,IF(Calculator!$B$26=1,2,1))),5)+0.15*IF(Calculator!$B$15&gt;=50,5,IF(Calculator!$B$15&gt;=25,4,IF(Calculator!$B$15&gt;=10,3,IF(Calculator!$B$15&gt;=5,2,1))))+0.15*Calculator!$B$12)/5*100,0)</f>
        <v>91</v>
      </c>
      <c r="G27" s="67">
        <f>Calculator!R55</f>
        <v>66.3</v>
      </c>
      <c r="H27" s="67" t="str">
        <f>Calculator!U55</f>
        <v>Do now</v>
      </c>
      <c r="I27" s="42" t="str">
        <f>Calculator!V55</f>
        <v>Include in always-on panel; report trend vs baseline</v>
      </c>
    </row>
    <row r="28" spans="1:9">
      <c r="A28" s="68" t="str">
        <f>Calculator!A56</f>
        <v>HEPE</v>
      </c>
      <c r="B28" s="67" t="str">
        <f>Calculator!B56</f>
        <v>Hepatitis E virus</v>
      </c>
      <c r="C28" s="37" t="str">
        <f>IF(Pathogens!R24=1,"Routine qPCR",IF(Pathogens!R24=2,"Specialised","Research-grade"))</f>
        <v>Specialised</v>
      </c>
      <c r="D28" s="37" t="str">
        <f>IF(Pathogens!S24=1,"Low",IF(Pathogens!S24=2,"Medium","High"))</f>
        <v>Low</v>
      </c>
      <c r="E28" s="37" t="str">
        <f>IF(Pathogens!W24=1,"Yes","No")</f>
        <v>No</v>
      </c>
      <c r="F28" s="37">
        <f>ROUND((0.3*IF(Pathogens!R24=1,5,IF(Pathogens!R24=2,3,1))+0.15*IF(Pathogens!S24=1,5,IF(Pathogens!S24=2,3,1))+0.25*IF(Pathogens!W24=1,IF(Calculator!$B$26&gt;=3,5,IF(Calculator!$B$26=2,4,IF(Calculator!$B$26=1,2,1))),5)+0.15*IF(Calculator!$B$15&gt;=50,5,IF(Calculator!$B$15&gt;=25,4,IF(Calculator!$B$15&gt;=10,3,IF(Calculator!$B$15&gt;=5,2,1))))+0.15*Calculator!$B$12)/5*100,0)</f>
        <v>79</v>
      </c>
      <c r="G28" s="67">
        <f>Calculator!R56</f>
        <v>66.6</v>
      </c>
      <c r="H28" s="67" t="str">
        <f>Calculator!U56</f>
        <v>Do now</v>
      </c>
      <c r="I28" s="42" t="str">
        <f>Calculator!V56</f>
        <v>Include in always-on panel; report trend vs baseline</v>
      </c>
    </row>
    <row r="29" spans="1:9">
      <c r="A29" s="68" t="str">
        <f>Calculator!A57</f>
        <v>NORO</v>
      </c>
      <c r="B29" s="67" t="str">
        <f>Calculator!B57</f>
        <v>Norovirus GI/GII</v>
      </c>
      <c r="C29" s="37" t="str">
        <f>IF(Pathogens!R25=1,"Routine qPCR",IF(Pathogens!R25=2,"Specialised","Research-grade"))</f>
        <v>Routine qPCR</v>
      </c>
      <c r="D29" s="37" t="str">
        <f>IF(Pathogens!S25=1,"Low",IF(Pathogens!S25=2,"Medium","High"))</f>
        <v>Low</v>
      </c>
      <c r="E29" s="37" t="str">
        <f>IF(Pathogens!W25=1,"Yes","No")</f>
        <v>No</v>
      </c>
      <c r="F29" s="37">
        <f>ROUND((0.3*IF(Pathogens!R25=1,5,IF(Pathogens!R25=2,3,1))+0.15*IF(Pathogens!S25=1,5,IF(Pathogens!S25=2,3,1))+0.25*IF(Pathogens!W25=1,IF(Calculator!$B$26&gt;=3,5,IF(Calculator!$B$26=2,4,IF(Calculator!$B$26=1,2,1))),5)+0.15*IF(Calculator!$B$15&gt;=50,5,IF(Calculator!$B$15&gt;=25,4,IF(Calculator!$B$15&gt;=10,3,IF(Calculator!$B$15&gt;=5,2,1))))+0.15*Calculator!$B$12)/5*100,0)</f>
        <v>91</v>
      </c>
      <c r="G29" s="67">
        <f>Calculator!R57</f>
        <v>67.9</v>
      </c>
      <c r="H29" s="67" t="str">
        <f>Calculator!U57</f>
        <v>Do now</v>
      </c>
      <c r="I29" s="42" t="str">
        <f>Calculator!V57</f>
        <v>Include in always-on panel; report trend vs baseline</v>
      </c>
    </row>
    <row r="30" spans="1:9">
      <c r="A30" s="68" t="str">
        <f>Calculator!A58</f>
        <v>ROTA</v>
      </c>
      <c r="B30" s="67" t="str">
        <f>Calculator!B58</f>
        <v>Rotavirus A</v>
      </c>
      <c r="C30" s="37" t="str">
        <f>IF(Pathogens!R26=1,"Routine qPCR",IF(Pathogens!R26=2,"Specialised","Research-grade"))</f>
        <v>Routine qPCR</v>
      </c>
      <c r="D30" s="37" t="str">
        <f>IF(Pathogens!S26=1,"Low",IF(Pathogens!S26=2,"Medium","High"))</f>
        <v>Low</v>
      </c>
      <c r="E30" s="37" t="str">
        <f>IF(Pathogens!W26=1,"Yes","No")</f>
        <v>No</v>
      </c>
      <c r="F30" s="37">
        <f>ROUND((0.3*IF(Pathogens!R26=1,5,IF(Pathogens!R26=2,3,1))+0.15*IF(Pathogens!S26=1,5,IF(Pathogens!S26=2,3,1))+0.25*IF(Pathogens!W26=1,IF(Calculator!$B$26&gt;=3,5,IF(Calculator!$B$26=2,4,IF(Calculator!$B$26=1,2,1))),5)+0.15*IF(Calculator!$B$15&gt;=50,5,IF(Calculator!$B$15&gt;=25,4,IF(Calculator!$B$15&gt;=10,3,IF(Calculator!$B$15&gt;=5,2,1))))+0.15*Calculator!$B$12)/5*100,0)</f>
        <v>91</v>
      </c>
      <c r="G30" s="67">
        <f>Calculator!R58</f>
        <v>66.4</v>
      </c>
      <c r="H30" s="67" t="str">
        <f>Calculator!U58</f>
        <v>Do now</v>
      </c>
      <c r="I30" s="42" t="str">
        <f>Calculator!V58</f>
        <v>Include in always-on panel; report trend vs baseline</v>
      </c>
    </row>
    <row r="31" spans="1:9">
      <c r="A31" s="68" t="str">
        <f>Calculator!A59</f>
        <v>SAPO</v>
      </c>
      <c r="B31" s="67" t="str">
        <f>Calculator!B59</f>
        <v>Sapovirus</v>
      </c>
      <c r="C31" s="37" t="str">
        <f>IF(Pathogens!R27=1,"Routine qPCR",IF(Pathogens!R27=2,"Specialised","Research-grade"))</f>
        <v>Specialised</v>
      </c>
      <c r="D31" s="37" t="str">
        <f>IF(Pathogens!S27=1,"Low",IF(Pathogens!S27=2,"Medium","High"))</f>
        <v>Low</v>
      </c>
      <c r="E31" s="37" t="str">
        <f>IF(Pathogens!W27=1,"Yes","No")</f>
        <v>No</v>
      </c>
      <c r="F31" s="37">
        <f>ROUND((0.3*IF(Pathogens!R27=1,5,IF(Pathogens!R27=2,3,1))+0.15*IF(Pathogens!S27=1,5,IF(Pathogens!S27=2,3,1))+0.25*IF(Pathogens!W27=1,IF(Calculator!$B$26&gt;=3,5,IF(Calculator!$B$26=2,4,IF(Calculator!$B$26=1,2,1))),5)+0.15*IF(Calculator!$B$15&gt;=50,5,IF(Calculator!$B$15&gt;=25,4,IF(Calculator!$B$15&gt;=10,3,IF(Calculator!$B$15&gt;=5,2,1))))+0.15*Calculator!$B$12)/5*100,0)</f>
        <v>79</v>
      </c>
      <c r="G31" s="67">
        <f>Calculator!R59</f>
        <v>59.2</v>
      </c>
      <c r="H31" s="67" t="str">
        <f>Calculator!U59</f>
        <v>Low-cost add-on</v>
      </c>
      <c r="I31" s="42" t="str">
        <f>Calculator!V59</f>
        <v>Cheap to multiplex onto existing runs; add if capacity allows</v>
      </c>
    </row>
    <row r="32" spans="1:9">
      <c r="A32" s="68" t="str">
        <f>Calculator!A60</f>
        <v>ASTRO</v>
      </c>
      <c r="B32" s="67" t="str">
        <f>Calculator!B60</f>
        <v>Astrovirus</v>
      </c>
      <c r="C32" s="37" t="str">
        <f>IF(Pathogens!R28=1,"Routine qPCR",IF(Pathogens!R28=2,"Specialised","Research-grade"))</f>
        <v>Specialised</v>
      </c>
      <c r="D32" s="37" t="str">
        <f>IF(Pathogens!S28=1,"Low",IF(Pathogens!S28=2,"Medium","High"))</f>
        <v>Low</v>
      </c>
      <c r="E32" s="37" t="str">
        <f>IF(Pathogens!W28=1,"Yes","No")</f>
        <v>No</v>
      </c>
      <c r="F32" s="37">
        <f>ROUND((0.3*IF(Pathogens!R28=1,5,IF(Pathogens!R28=2,3,1))+0.15*IF(Pathogens!S28=1,5,IF(Pathogens!S28=2,3,1))+0.25*IF(Pathogens!W28=1,IF(Calculator!$B$26&gt;=3,5,IF(Calculator!$B$26=2,4,IF(Calculator!$B$26=1,2,1))),5)+0.15*IF(Calculator!$B$15&gt;=50,5,IF(Calculator!$B$15&gt;=25,4,IF(Calculator!$B$15&gt;=10,3,IF(Calculator!$B$15&gt;=5,2,1))))+0.15*Calculator!$B$12)/5*100,0)</f>
        <v>79</v>
      </c>
      <c r="G32" s="67">
        <f>Calculator!R60</f>
        <v>59.2</v>
      </c>
      <c r="H32" s="67" t="str">
        <f>Calculator!U60</f>
        <v>Low-cost add-on</v>
      </c>
      <c r="I32" s="42" t="str">
        <f>Calculator!V60</f>
        <v>Cheap to multiplex onto existing runs; add if capacity allows</v>
      </c>
    </row>
    <row r="33" spans="1:9">
      <c r="A33" s="68" t="str">
        <f>Calculator!A61</f>
        <v>ENTV</v>
      </c>
      <c r="B33" s="67" t="str">
        <f>Calculator!B61</f>
        <v>Enteroviruses (non-polio)</v>
      </c>
      <c r="C33" s="37" t="str">
        <f>IF(Pathogens!R29=1,"Routine qPCR",IF(Pathogens!R29=2,"Specialised","Research-grade"))</f>
        <v>Routine qPCR</v>
      </c>
      <c r="D33" s="37" t="str">
        <f>IF(Pathogens!S29=1,"Low",IF(Pathogens!S29=2,"Medium","High"))</f>
        <v>Low</v>
      </c>
      <c r="E33" s="37" t="str">
        <f>IF(Pathogens!W29=1,"Yes","No")</f>
        <v>Yes</v>
      </c>
      <c r="F33" s="37">
        <f>ROUND((0.3*IF(Pathogens!R29=1,5,IF(Pathogens!R29=2,3,1))+0.15*IF(Pathogens!S29=1,5,IF(Pathogens!S29=2,3,1))+0.25*IF(Pathogens!W29=1,IF(Calculator!$B$26&gt;=3,5,IF(Calculator!$B$26=2,4,IF(Calculator!$B$26=1,2,1))),5)+0.15*IF(Calculator!$B$15&gt;=50,5,IF(Calculator!$B$15&gt;=25,4,IF(Calculator!$B$15&gt;=10,3,IF(Calculator!$B$15&gt;=5,2,1))))+0.15*Calculator!$B$12)/5*100,0)</f>
        <v>91</v>
      </c>
      <c r="G33" s="67">
        <f>Calculator!R61</f>
        <v>67.1</v>
      </c>
      <c r="H33" s="67" t="str">
        <f>Calculator!U61</f>
        <v>Do now</v>
      </c>
      <c r="I33" s="42" t="str">
        <f>Calculator!V61</f>
        <v>Include in always-on panel; report trend vs baseline</v>
      </c>
    </row>
    <row r="34" spans="1:9">
      <c r="A34" s="68" t="str">
        <f>Calculator!A62</f>
        <v>PARECH</v>
      </c>
      <c r="B34" s="67" t="str">
        <f>Calculator!B62</f>
        <v>Parechovirus</v>
      </c>
      <c r="C34" s="37" t="str">
        <f>IF(Pathogens!R30=1,"Routine qPCR",IF(Pathogens!R30=2,"Specialised","Research-grade"))</f>
        <v>Specialised</v>
      </c>
      <c r="D34" s="37" t="str">
        <f>IF(Pathogens!S30=1,"Low",IF(Pathogens!S30=2,"Medium","High"))</f>
        <v>Low</v>
      </c>
      <c r="E34" s="37" t="str">
        <f>IF(Pathogens!W30=1,"Yes","No")</f>
        <v>No</v>
      </c>
      <c r="F34" s="37">
        <f>ROUND((0.3*IF(Pathogens!R30=1,5,IF(Pathogens!R30=2,3,1))+0.15*IF(Pathogens!S30=1,5,IF(Pathogens!S30=2,3,1))+0.25*IF(Pathogens!W30=1,IF(Calculator!$B$26&gt;=3,5,IF(Calculator!$B$26=2,4,IF(Calculator!$B$26=1,2,1))),5)+0.15*IF(Calculator!$B$15&gt;=50,5,IF(Calculator!$B$15&gt;=25,4,IF(Calculator!$B$15&gt;=10,3,IF(Calculator!$B$15&gt;=5,2,1))))+0.15*Calculator!$B$12)/5*100,0)</f>
        <v>79</v>
      </c>
      <c r="G34" s="67">
        <f>Calculator!R62</f>
        <v>59.2</v>
      </c>
      <c r="H34" s="67" t="str">
        <f>Calculator!U62</f>
        <v>Low-cost add-on</v>
      </c>
      <c r="I34" s="42" t="str">
        <f>Calculator!V62</f>
        <v>Cheap to multiplex onto existing runs; add if capacity allows</v>
      </c>
    </row>
    <row r="35" spans="1:9">
      <c r="A35" s="68" t="str">
        <f>Calculator!A63</f>
        <v>VCHOL</v>
      </c>
      <c r="B35" s="67" t="str">
        <f>Calculator!B63</f>
        <v>Vibrio cholerae O1/O139</v>
      </c>
      <c r="C35" s="37" t="str">
        <f>IF(Pathogens!R31=1,"Routine qPCR",IF(Pathogens!R31=2,"Specialised","Research-grade"))</f>
        <v>Routine qPCR</v>
      </c>
      <c r="D35" s="37" t="str">
        <f>IF(Pathogens!S31=1,"Low",IF(Pathogens!S31=2,"Medium","High"))</f>
        <v>Low</v>
      </c>
      <c r="E35" s="37" t="str">
        <f>IF(Pathogens!W31=1,"Yes","No")</f>
        <v>Yes</v>
      </c>
      <c r="F35" s="37">
        <f>ROUND((0.3*IF(Pathogens!R31=1,5,IF(Pathogens!R31=2,3,1))+0.15*IF(Pathogens!S31=1,5,IF(Pathogens!S31=2,3,1))+0.25*IF(Pathogens!W31=1,IF(Calculator!$B$26&gt;=3,5,IF(Calculator!$B$26=2,4,IF(Calculator!$B$26=1,2,1))),5)+0.15*IF(Calculator!$B$15&gt;=50,5,IF(Calculator!$B$15&gt;=25,4,IF(Calculator!$B$15&gt;=10,3,IF(Calculator!$B$15&gt;=5,2,1))))+0.15*Calculator!$B$12)/5*100,0)</f>
        <v>91</v>
      </c>
      <c r="G35" s="67">
        <f>Calculator!R63</f>
        <v>63.8</v>
      </c>
      <c r="H35" s="67" t="str">
        <f>Calculator!U63</f>
        <v>Low-cost add-on</v>
      </c>
      <c r="I35" s="42" t="str">
        <f>Calculator!V63</f>
        <v>Cheap to multiplex onto existing runs; add if capacity allows</v>
      </c>
    </row>
    <row r="36" spans="1:9">
      <c r="A36" s="68" t="str">
        <f>Calculator!A64</f>
        <v>VPAR</v>
      </c>
      <c r="B36" s="67" t="str">
        <f>Calculator!B64</f>
        <v>Vibrio parahaemolyticus</v>
      </c>
      <c r="C36" s="37" t="str">
        <f>IF(Pathogens!R32=1,"Routine qPCR",IF(Pathogens!R32=2,"Specialised","Research-grade"))</f>
        <v>Specialised</v>
      </c>
      <c r="D36" s="37" t="str">
        <f>IF(Pathogens!S32=1,"Low",IF(Pathogens!S32=2,"Medium","High"))</f>
        <v>Low</v>
      </c>
      <c r="E36" s="37" t="str">
        <f>IF(Pathogens!W32=1,"Yes","No")</f>
        <v>No</v>
      </c>
      <c r="F36" s="37">
        <f>ROUND((0.3*IF(Pathogens!R32=1,5,IF(Pathogens!R32=2,3,1))+0.15*IF(Pathogens!S32=1,5,IF(Pathogens!S32=2,3,1))+0.25*IF(Pathogens!W32=1,IF(Calculator!$B$26&gt;=3,5,IF(Calculator!$B$26=2,4,IF(Calculator!$B$26=1,2,1))),5)+0.15*IF(Calculator!$B$15&gt;=50,5,IF(Calculator!$B$15&gt;=25,4,IF(Calculator!$B$15&gt;=10,3,IF(Calculator!$B$15&gt;=5,2,1))))+0.15*Calculator!$B$12)/5*100,0)</f>
        <v>79</v>
      </c>
      <c r="G36" s="67">
        <f>Calculator!R64</f>
        <v>64.7</v>
      </c>
      <c r="H36" s="67" t="str">
        <f>Calculator!U64</f>
        <v>Low-cost add-on</v>
      </c>
      <c r="I36" s="42" t="str">
        <f>Calculator!V64</f>
        <v>Cheap to multiplex onto existing runs; add if capacity allows</v>
      </c>
    </row>
    <row r="37" spans="1:9">
      <c r="A37" s="68" t="str">
        <f>Calculator!A65</f>
        <v>STYPHI</v>
      </c>
      <c r="B37" s="67" t="str">
        <f>Calculator!B65</f>
        <v>Salmonella Typhi</v>
      </c>
      <c r="C37" s="37" t="str">
        <f>IF(Pathogens!R33=1,"Routine qPCR",IF(Pathogens!R33=2,"Specialised","Research-grade"))</f>
        <v>Routine qPCR</v>
      </c>
      <c r="D37" s="37" t="str">
        <f>IF(Pathogens!S33=1,"Low",IF(Pathogens!S33=2,"Medium","High"))</f>
        <v>Low</v>
      </c>
      <c r="E37" s="37" t="str">
        <f>IF(Pathogens!W33=1,"Yes","No")</f>
        <v>Yes</v>
      </c>
      <c r="F37" s="37">
        <f>ROUND((0.3*IF(Pathogens!R33=1,5,IF(Pathogens!R33=2,3,1))+0.15*IF(Pathogens!S33=1,5,IF(Pathogens!S33=2,3,1))+0.25*IF(Pathogens!W33=1,IF(Calculator!$B$26&gt;=3,5,IF(Calculator!$B$26=2,4,IF(Calculator!$B$26=1,2,1))),5)+0.15*IF(Calculator!$B$15&gt;=50,5,IF(Calculator!$B$15&gt;=25,4,IF(Calculator!$B$15&gt;=10,3,IF(Calculator!$B$15&gt;=5,2,1))))+0.15*Calculator!$B$12)/5*100,0)</f>
        <v>91</v>
      </c>
      <c r="G37" s="67">
        <f>Calculator!R65</f>
        <v>68.6</v>
      </c>
      <c r="H37" s="67" t="str">
        <f>Calculator!U65</f>
        <v>Do now</v>
      </c>
      <c r="I37" s="42" t="str">
        <f>Calculator!V65</f>
        <v>Include in always-on panel; report trend vs baseline</v>
      </c>
    </row>
    <row r="38" spans="1:9">
      <c r="A38" s="68" t="str">
        <f>Calculator!A66</f>
        <v>STYPM</v>
      </c>
      <c r="B38" s="67" t="str">
        <f>Calculator!B66</f>
        <v>Salmonella Paratyphi A/B</v>
      </c>
      <c r="C38" s="37" t="str">
        <f>IF(Pathogens!R34=1,"Routine qPCR",IF(Pathogens!R34=2,"Specialised","Research-grade"))</f>
        <v>Specialised</v>
      </c>
      <c r="D38" s="37" t="str">
        <f>IF(Pathogens!S34=1,"Low",IF(Pathogens!S34=2,"Medium","High"))</f>
        <v>Low</v>
      </c>
      <c r="E38" s="37" t="str">
        <f>IF(Pathogens!W34=1,"Yes","No")</f>
        <v>No</v>
      </c>
      <c r="F38" s="37">
        <f>ROUND((0.3*IF(Pathogens!R34=1,5,IF(Pathogens!R34=2,3,1))+0.15*IF(Pathogens!S34=1,5,IF(Pathogens!S34=2,3,1))+0.25*IF(Pathogens!W34=1,IF(Calculator!$B$26&gt;=3,5,IF(Calculator!$B$26=2,4,IF(Calculator!$B$26=1,2,1))),5)+0.15*IF(Calculator!$B$15&gt;=50,5,IF(Calculator!$B$15&gt;=25,4,IF(Calculator!$B$15&gt;=10,3,IF(Calculator!$B$15&gt;=5,2,1))))+0.15*Calculator!$B$12)/5*100,0)</f>
        <v>79</v>
      </c>
      <c r="G38" s="67">
        <f>Calculator!R66</f>
        <v>60.7</v>
      </c>
      <c r="H38" s="67" t="str">
        <f>Calculator!U66</f>
        <v>Low-cost add-on</v>
      </c>
      <c r="I38" s="42" t="str">
        <f>Calculator!V66</f>
        <v>Cheap to multiplex onto existing runs; add if capacity allows</v>
      </c>
    </row>
    <row r="39" spans="1:9">
      <c r="A39" s="68" t="str">
        <f>Calculator!A67</f>
        <v>INTS</v>
      </c>
      <c r="B39" s="67" t="str">
        <f>Calculator!B67</f>
        <v>Invasive non-typhoidal Salmonella</v>
      </c>
      <c r="C39" s="37" t="str">
        <f>IF(Pathogens!R35=1,"Routine qPCR",IF(Pathogens!R35=2,"Specialised","Research-grade"))</f>
        <v>Specialised</v>
      </c>
      <c r="D39" s="37" t="str">
        <f>IF(Pathogens!S35=1,"Low",IF(Pathogens!S35=2,"Medium","High"))</f>
        <v>Low</v>
      </c>
      <c r="E39" s="37" t="str">
        <f>IF(Pathogens!W35=1,"Yes","No")</f>
        <v>No</v>
      </c>
      <c r="F39" s="37">
        <f>ROUND((0.3*IF(Pathogens!R35=1,5,IF(Pathogens!R35=2,3,1))+0.15*IF(Pathogens!S35=1,5,IF(Pathogens!S35=2,3,1))+0.25*IF(Pathogens!W35=1,IF(Calculator!$B$26&gt;=3,5,IF(Calculator!$B$26=2,4,IF(Calculator!$B$26=1,2,1))),5)+0.15*IF(Calculator!$B$15&gt;=50,5,IF(Calculator!$B$15&gt;=25,4,IF(Calculator!$B$15&gt;=10,3,IF(Calculator!$B$15&gt;=5,2,1))))+0.15*Calculator!$B$12)/5*100,0)</f>
        <v>79</v>
      </c>
      <c r="G39" s="67">
        <f>Calculator!R67</f>
        <v>66.6</v>
      </c>
      <c r="H39" s="67" t="str">
        <f>Calculator!U67</f>
        <v>Do now</v>
      </c>
      <c r="I39" s="42" t="str">
        <f>Calculator!V67</f>
        <v>Include in always-on panel; report trend vs baseline</v>
      </c>
    </row>
    <row r="40" spans="1:9">
      <c r="A40" s="68" t="str">
        <f>Calculator!A68</f>
        <v>SHIG</v>
      </c>
      <c r="B40" s="67" t="str">
        <f>Calculator!B68</f>
        <v>Shigella spp.</v>
      </c>
      <c r="C40" s="37" t="str">
        <f>IF(Pathogens!R36=1,"Routine qPCR",IF(Pathogens!R36=2,"Specialised","Research-grade"))</f>
        <v>Routine qPCR</v>
      </c>
      <c r="D40" s="37" t="str">
        <f>IF(Pathogens!S36=1,"Low",IF(Pathogens!S36=2,"Medium","High"))</f>
        <v>Low</v>
      </c>
      <c r="E40" s="37" t="str">
        <f>IF(Pathogens!W36=1,"Yes","No")</f>
        <v>Yes</v>
      </c>
      <c r="F40" s="37">
        <f>ROUND((0.3*IF(Pathogens!R36=1,5,IF(Pathogens!R36=2,3,1))+0.15*IF(Pathogens!S36=1,5,IF(Pathogens!S36=2,3,1))+0.25*IF(Pathogens!W36=1,IF(Calculator!$B$26&gt;=3,5,IF(Calculator!$B$26=2,4,IF(Calculator!$B$26=1,2,1))),5)+0.15*IF(Calculator!$B$15&gt;=50,5,IF(Calculator!$B$15&gt;=25,4,IF(Calculator!$B$15&gt;=10,3,IF(Calculator!$B$15&gt;=5,2,1))))+0.15*Calculator!$B$12)/5*100,0)</f>
        <v>91</v>
      </c>
      <c r="G40" s="67">
        <f>Calculator!R68</f>
        <v>68.6</v>
      </c>
      <c r="H40" s="67" t="str">
        <f>Calculator!U68</f>
        <v>Do now</v>
      </c>
      <c r="I40" s="42" t="str">
        <f>Calculator!V68</f>
        <v>Include in always-on panel; report trend vs baseline</v>
      </c>
    </row>
    <row r="41" spans="1:9">
      <c r="A41" s="68" t="str">
        <f>Calculator!A69</f>
        <v>ECOLI</v>
      </c>
      <c r="B41" s="67" t="str">
        <f>Calculator!B69</f>
        <v>Pathogenic E. coli (ETEC/EPEC/EHEC)</v>
      </c>
      <c r="C41" s="37" t="str">
        <f>IF(Pathogens!R37=1,"Routine qPCR",IF(Pathogens!R37=2,"Specialised","Research-grade"))</f>
        <v>Routine qPCR</v>
      </c>
      <c r="D41" s="37" t="str">
        <f>IF(Pathogens!S37=1,"Low",IF(Pathogens!S37=2,"Medium","High"))</f>
        <v>Low</v>
      </c>
      <c r="E41" s="37" t="str">
        <f>IF(Pathogens!W37=1,"Yes","No")</f>
        <v>No</v>
      </c>
      <c r="F41" s="37">
        <f>ROUND((0.3*IF(Pathogens!R37=1,5,IF(Pathogens!R37=2,3,1))+0.15*IF(Pathogens!S37=1,5,IF(Pathogens!S37=2,3,1))+0.25*IF(Pathogens!W37=1,IF(Calculator!$B$26&gt;=3,5,IF(Calculator!$B$26=2,4,IF(Calculator!$B$26=1,2,1))),5)+0.15*IF(Calculator!$B$15&gt;=50,5,IF(Calculator!$B$15&gt;=25,4,IF(Calculator!$B$15&gt;=10,3,IF(Calculator!$B$15&gt;=5,2,1))))+0.15*Calculator!$B$12)/5*100,0)</f>
        <v>91</v>
      </c>
      <c r="G41" s="67">
        <f>Calculator!R69</f>
        <v>69.3</v>
      </c>
      <c r="H41" s="67" t="str">
        <f>Calculator!U69</f>
        <v>Do now</v>
      </c>
      <c r="I41" s="42" t="str">
        <f>Calculator!V69</f>
        <v>Include in always-on panel; report trend vs baseline</v>
      </c>
    </row>
    <row r="42" spans="1:9">
      <c r="A42" s="68" t="str">
        <f>Calculator!A70</f>
        <v>CAMP</v>
      </c>
      <c r="B42" s="67" t="str">
        <f>Calculator!B70</f>
        <v>Campylobacter jejuni/coli</v>
      </c>
      <c r="C42" s="37" t="str">
        <f>IF(Pathogens!R38=1,"Routine qPCR",IF(Pathogens!R38=2,"Specialised","Research-grade"))</f>
        <v>Routine qPCR</v>
      </c>
      <c r="D42" s="37" t="str">
        <f>IF(Pathogens!S38=1,"Low",IF(Pathogens!S38=2,"Medium","High"))</f>
        <v>Low</v>
      </c>
      <c r="E42" s="37" t="str">
        <f>IF(Pathogens!W38=1,"Yes","No")</f>
        <v>No</v>
      </c>
      <c r="F42" s="37">
        <f>ROUND((0.3*IF(Pathogens!R38=1,5,IF(Pathogens!R38=2,3,1))+0.15*IF(Pathogens!S38=1,5,IF(Pathogens!S38=2,3,1))+0.25*IF(Pathogens!W38=1,IF(Calculator!$B$26&gt;=3,5,IF(Calculator!$B$26=2,4,IF(Calculator!$B$26=1,2,1))),5)+0.15*IF(Calculator!$B$15&gt;=50,5,IF(Calculator!$B$15&gt;=25,4,IF(Calculator!$B$15&gt;=10,3,IF(Calculator!$B$15&gt;=5,2,1))))+0.15*Calculator!$B$12)/5*100,0)</f>
        <v>91</v>
      </c>
      <c r="G42" s="67">
        <f>Calculator!R70</f>
        <v>64.2</v>
      </c>
      <c r="H42" s="67" t="str">
        <f>Calculator!U70</f>
        <v>Low-cost add-on</v>
      </c>
      <c r="I42" s="42" t="str">
        <f>Calculator!V70</f>
        <v>Cheap to multiplex onto existing runs; add if capacity allows</v>
      </c>
    </row>
    <row r="43" spans="1:9">
      <c r="A43" s="68" t="str">
        <f>Calculator!A71</f>
        <v>YERS</v>
      </c>
      <c r="B43" s="67" t="str">
        <f>Calculator!B71</f>
        <v>Yersinia enterocolitica</v>
      </c>
      <c r="C43" s="37" t="str">
        <f>IF(Pathogens!R39=1,"Routine qPCR",IF(Pathogens!R39=2,"Specialised","Research-grade"))</f>
        <v>Specialised</v>
      </c>
      <c r="D43" s="37" t="str">
        <f>IF(Pathogens!S39=1,"Low",IF(Pathogens!S39=2,"Medium","High"))</f>
        <v>Low</v>
      </c>
      <c r="E43" s="37" t="str">
        <f>IF(Pathogens!W39=1,"Yes","No")</f>
        <v>No</v>
      </c>
      <c r="F43" s="37">
        <f>ROUND((0.3*IF(Pathogens!R39=1,5,IF(Pathogens!R39=2,3,1))+0.15*IF(Pathogens!S39=1,5,IF(Pathogens!S39=2,3,1))+0.25*IF(Pathogens!W39=1,IF(Calculator!$B$26&gt;=3,5,IF(Calculator!$B$26=2,4,IF(Calculator!$B$26=1,2,1))),5)+0.15*IF(Calculator!$B$15&gt;=50,5,IF(Calculator!$B$15&gt;=25,4,IF(Calculator!$B$15&gt;=10,3,IF(Calculator!$B$15&gt;=5,2,1))))+0.15*Calculator!$B$12)/5*100,0)</f>
        <v>79</v>
      </c>
      <c r="G43" s="67">
        <f>Calculator!R71</f>
        <v>60.6</v>
      </c>
      <c r="H43" s="67" t="str">
        <f>Calculator!U71</f>
        <v>Low-cost add-on</v>
      </c>
      <c r="I43" s="42" t="str">
        <f>Calculator!V71</f>
        <v>Cheap to multiplex onto existing runs; add if capacity allows</v>
      </c>
    </row>
    <row r="44" spans="1:9">
      <c r="A44" s="68" t="str">
        <f>Calculator!A72</f>
        <v>CDIFF</v>
      </c>
      <c r="B44" s="67" t="str">
        <f>Calculator!B72</f>
        <v>Clostridioides difficile</v>
      </c>
      <c r="C44" s="37" t="str">
        <f>IF(Pathogens!R40=1,"Routine qPCR",IF(Pathogens!R40=2,"Specialised","Research-grade"))</f>
        <v>Specialised</v>
      </c>
      <c r="D44" s="37" t="str">
        <f>IF(Pathogens!S40=1,"Low",IF(Pathogens!S40=2,"Medium","High"))</f>
        <v>Low</v>
      </c>
      <c r="E44" s="37" t="str">
        <f>IF(Pathogens!W40=1,"Yes","No")</f>
        <v>No</v>
      </c>
      <c r="F44" s="37">
        <f>ROUND((0.3*IF(Pathogens!R40=1,5,IF(Pathogens!R40=2,3,1))+0.15*IF(Pathogens!S40=1,5,IF(Pathogens!S40=2,3,1))+0.25*IF(Pathogens!W40=1,IF(Calculator!$B$26&gt;=3,5,IF(Calculator!$B$26=2,4,IF(Calculator!$B$26=1,2,1))),5)+0.15*IF(Calculator!$B$15&gt;=50,5,IF(Calculator!$B$15&gt;=25,4,IF(Calculator!$B$15&gt;=10,3,IF(Calculator!$B$15&gt;=5,2,1))))+0.15*Calculator!$B$12)/5*100,0)</f>
        <v>79</v>
      </c>
      <c r="G44" s="67">
        <f>Calculator!R72</f>
        <v>66.5</v>
      </c>
      <c r="H44" s="67" t="str">
        <f>Calculator!U72</f>
        <v>Do now</v>
      </c>
      <c r="I44" s="42" t="str">
        <f>Calculator!V72</f>
        <v>Include in year-1 panel; alert on first detection</v>
      </c>
    </row>
    <row r="45" spans="1:9">
      <c r="A45" s="68" t="str">
        <f>Calculator!A73</f>
        <v>LEPTO</v>
      </c>
      <c r="B45" s="67" t="str">
        <f>Calculator!B73</f>
        <v>Leptospira spp.</v>
      </c>
      <c r="C45" s="37" t="str">
        <f>IF(Pathogens!R41=1,"Routine qPCR",IF(Pathogens!R41=2,"Specialised","Research-grade"))</f>
        <v>Specialised</v>
      </c>
      <c r="D45" s="37" t="str">
        <f>IF(Pathogens!S41=1,"Low",IF(Pathogens!S41=2,"Medium","High"))</f>
        <v>Low</v>
      </c>
      <c r="E45" s="37" t="str">
        <f>IF(Pathogens!W41=1,"Yes","No")</f>
        <v>No</v>
      </c>
      <c r="F45" s="37">
        <f>ROUND((0.3*IF(Pathogens!R41=1,5,IF(Pathogens!R41=2,3,1))+0.15*IF(Pathogens!S41=1,5,IF(Pathogens!S41=2,3,1))+0.25*IF(Pathogens!W41=1,IF(Calculator!$B$26&gt;=3,5,IF(Calculator!$B$26=2,4,IF(Calculator!$B$26=1,2,1))),5)+0.15*IF(Calculator!$B$15&gt;=50,5,IF(Calculator!$B$15&gt;=25,4,IF(Calculator!$B$15&gt;=10,3,IF(Calculator!$B$15&gt;=5,2,1))))+0.15*Calculator!$B$12)/5*100,0)</f>
        <v>79</v>
      </c>
      <c r="G45" s="67">
        <f>Calculator!R73</f>
        <v>68.1</v>
      </c>
      <c r="H45" s="67" t="str">
        <f>Calculator!U73</f>
        <v>Do now</v>
      </c>
      <c r="I45" s="42" t="str">
        <f>Calculator!V73</f>
        <v>Include in always-on panel; report trend vs baseline</v>
      </c>
    </row>
    <row r="46" spans="1:9">
      <c r="A46" s="68" t="str">
        <f>Calculator!A74</f>
        <v>BRUC</v>
      </c>
      <c r="B46" s="67" t="str">
        <f>Calculator!B74</f>
        <v>Brucella spp.</v>
      </c>
      <c r="C46" s="37" t="str">
        <f>IF(Pathogens!R42=1,"Routine qPCR",IF(Pathogens!R42=2,"Specialised","Research-grade"))</f>
        <v>Specialised</v>
      </c>
      <c r="D46" s="37" t="str">
        <f>IF(Pathogens!S42=1,"Low",IF(Pathogens!S42=2,"Medium","High"))</f>
        <v>Low</v>
      </c>
      <c r="E46" s="37" t="str">
        <f>IF(Pathogens!W42=1,"Yes","No")</f>
        <v>No</v>
      </c>
      <c r="F46" s="37">
        <f>ROUND((0.3*IF(Pathogens!R42=1,5,IF(Pathogens!R42=2,3,1))+0.15*IF(Pathogens!S42=1,5,IF(Pathogens!S42=2,3,1))+0.25*IF(Pathogens!W42=1,IF(Calculator!$B$26&gt;=3,5,IF(Calculator!$B$26=2,4,IF(Calculator!$B$26=1,2,1))),5)+0.15*IF(Calculator!$B$15&gt;=50,5,IF(Calculator!$B$15&gt;=25,4,IF(Calculator!$B$15&gt;=10,3,IF(Calculator!$B$15&gt;=5,2,1))))+0.15*Calculator!$B$12)/5*100,0)</f>
        <v>79</v>
      </c>
      <c r="G46" s="67">
        <f>Calculator!R74</f>
        <v>58.1</v>
      </c>
      <c r="H46" s="67" t="str">
        <f>Calculator!U74</f>
        <v>Low-cost add-on</v>
      </c>
      <c r="I46" s="42" t="str">
        <f>Calculator!V74</f>
        <v>Cheap to multiplex onto existing runs; add if capacity allows</v>
      </c>
    </row>
    <row r="47" spans="1:9">
      <c r="A47" s="68" t="str">
        <f>Calculator!A75</f>
        <v>COX</v>
      </c>
      <c r="B47" s="67" t="str">
        <f>Calculator!B75</f>
        <v>Coxiella burnetii</v>
      </c>
      <c r="C47" s="37" t="str">
        <f>IF(Pathogens!R43=1,"Routine qPCR",IF(Pathogens!R43=2,"Specialised","Research-grade"))</f>
        <v>Research-grade</v>
      </c>
      <c r="D47" s="37" t="str">
        <f>IF(Pathogens!S43=1,"Low",IF(Pathogens!S43=2,"Medium","High"))</f>
        <v>Low</v>
      </c>
      <c r="E47" s="37" t="str">
        <f>IF(Pathogens!W43=1,"Yes","No")</f>
        <v>No</v>
      </c>
      <c r="F47" s="37">
        <f>ROUND((0.3*IF(Pathogens!R43=1,5,IF(Pathogens!R43=2,3,1))+0.15*IF(Pathogens!S43=1,5,IF(Pathogens!S43=2,3,1))+0.25*IF(Pathogens!W43=1,IF(Calculator!$B$26&gt;=3,5,IF(Calculator!$B$26=2,4,IF(Calculator!$B$26=1,2,1))),5)+0.15*IF(Calculator!$B$15&gt;=50,5,IF(Calculator!$B$15&gt;=25,4,IF(Calculator!$B$15&gt;=10,3,IF(Calculator!$B$15&gt;=5,2,1))))+0.15*Calculator!$B$12)/5*100,0)</f>
        <v>67</v>
      </c>
      <c r="G47" s="67">
        <f>Calculator!R75</f>
        <v>57.8</v>
      </c>
      <c r="H47" s="67" t="str">
        <f>Calculator!U75</f>
        <v>Defer</v>
      </c>
      <c r="I47" s="42" t="str">
        <f>Calculator!V75</f>
        <v>Defer to a later phase or event-driven testing only</v>
      </c>
    </row>
    <row r="48" spans="1:9">
      <c r="A48" s="68" t="str">
        <f>Calculator!A76</f>
        <v>BURK</v>
      </c>
      <c r="B48" s="67" t="str">
        <f>Calculator!B76</f>
        <v>Burkholderia pseudomallei</v>
      </c>
      <c r="C48" s="37" t="str">
        <f>IF(Pathogens!R44=1,"Routine qPCR",IF(Pathogens!R44=2,"Specialised","Research-grade"))</f>
        <v>Research-grade</v>
      </c>
      <c r="D48" s="37" t="str">
        <f>IF(Pathogens!S44=1,"Low",IF(Pathogens!S44=2,"Medium","High"))</f>
        <v>Low</v>
      </c>
      <c r="E48" s="37" t="str">
        <f>IF(Pathogens!W44=1,"Yes","No")</f>
        <v>No</v>
      </c>
      <c r="F48" s="37">
        <f>ROUND((0.3*IF(Pathogens!R44=1,5,IF(Pathogens!R44=2,3,1))+0.15*IF(Pathogens!S44=1,5,IF(Pathogens!S44=2,3,1))+0.25*IF(Pathogens!W44=1,IF(Calculator!$B$26&gt;=3,5,IF(Calculator!$B$26=2,4,IF(Calculator!$B$26=1,2,1))),5)+0.15*IF(Calculator!$B$15&gt;=50,5,IF(Calculator!$B$15&gt;=25,4,IF(Calculator!$B$15&gt;=10,3,IF(Calculator!$B$15&gt;=5,2,1))))+0.15*Calculator!$B$12)/5*100,0)</f>
        <v>67</v>
      </c>
      <c r="G48" s="67">
        <f>Calculator!R76</f>
        <v>55.6</v>
      </c>
      <c r="H48" s="67" t="str">
        <f>Calculator!U76</f>
        <v>Defer</v>
      </c>
      <c r="I48" s="42" t="str">
        <f>Calculator!V76</f>
        <v>Defer to a later phase or event-driven testing only</v>
      </c>
    </row>
    <row r="49" spans="1:9">
      <c r="A49" s="68" t="str">
        <f>Calculator!A77</f>
        <v>PLAGUE</v>
      </c>
      <c r="B49" s="67" t="str">
        <f>Calculator!B77</f>
        <v>Yersinia pestis</v>
      </c>
      <c r="C49" s="37" t="str">
        <f>IF(Pathogens!R45=1,"Routine qPCR",IF(Pathogens!R45=2,"Specialised","Research-grade"))</f>
        <v>Specialised</v>
      </c>
      <c r="D49" s="37" t="str">
        <f>IF(Pathogens!S45=1,"Low",IF(Pathogens!S45=2,"Medium","High"))</f>
        <v>Low</v>
      </c>
      <c r="E49" s="37" t="str">
        <f>IF(Pathogens!W45=1,"Yes","No")</f>
        <v>No</v>
      </c>
      <c r="F49" s="37">
        <f>ROUND((0.3*IF(Pathogens!R45=1,5,IF(Pathogens!R45=2,3,1))+0.15*IF(Pathogens!S45=1,5,IF(Pathogens!S45=2,3,1))+0.25*IF(Pathogens!W45=1,IF(Calculator!$B$26&gt;=3,5,IF(Calculator!$B$26=2,4,IF(Calculator!$B$26=1,2,1))),5)+0.15*IF(Calculator!$B$15&gt;=50,5,IF(Calculator!$B$15&gt;=25,4,IF(Calculator!$B$15&gt;=10,3,IF(Calculator!$B$15&gt;=5,2,1))))+0.15*Calculator!$B$12)/5*100,0)</f>
        <v>79</v>
      </c>
      <c r="G49" s="67">
        <f>Calculator!R77</f>
        <v>64.5</v>
      </c>
      <c r="H49" s="67" t="str">
        <f>Calculator!U77</f>
        <v>Low-cost add-on</v>
      </c>
      <c r="I49" s="42" t="str">
        <f>Calculator!V77</f>
        <v>Cheap to multiplex onto existing runs; add if capacity allows</v>
      </c>
    </row>
    <row r="50" spans="1:9">
      <c r="A50" s="68" t="str">
        <f>Calculator!A78</f>
        <v>MTB</v>
      </c>
      <c r="B50" s="67" t="str">
        <f>Calculator!B78</f>
        <v>Mycobacterium tuberculosis</v>
      </c>
      <c r="C50" s="37" t="str">
        <f>IF(Pathogens!R46=1,"Routine qPCR",IF(Pathogens!R46=2,"Specialised","Research-grade"))</f>
        <v>Specialised</v>
      </c>
      <c r="D50" s="37" t="str">
        <f>IF(Pathogens!S46=1,"Low",IF(Pathogens!S46=2,"Medium","High"))</f>
        <v>Low</v>
      </c>
      <c r="E50" s="37" t="str">
        <f>IF(Pathogens!W46=1,"Yes","No")</f>
        <v>Yes</v>
      </c>
      <c r="F50" s="37">
        <f>ROUND((0.3*IF(Pathogens!R46=1,5,IF(Pathogens!R46=2,3,1))+0.15*IF(Pathogens!S46=1,5,IF(Pathogens!S46=2,3,1))+0.25*IF(Pathogens!W46=1,IF(Calculator!$B$26&gt;=3,5,IF(Calculator!$B$26=2,4,IF(Calculator!$B$26=1,2,1))),5)+0.15*IF(Calculator!$B$15&gt;=50,5,IF(Calculator!$B$15&gt;=25,4,IF(Calculator!$B$15&gt;=10,3,IF(Calculator!$B$15&gt;=5,2,1))))+0.15*Calculator!$B$12)/5*100,0)</f>
        <v>79</v>
      </c>
      <c r="G50" s="67">
        <f>Calculator!R78</f>
        <v>70.3</v>
      </c>
      <c r="H50" s="67" t="str">
        <f>Calculator!U78</f>
        <v>Do now</v>
      </c>
      <c r="I50" s="42" t="str">
        <f>Calculator!V78</f>
        <v>Include in always-on panel; report trend vs baseline</v>
      </c>
    </row>
    <row r="51" spans="1:9">
      <c r="A51" s="68" t="str">
        <f>Calculator!A79</f>
        <v>CRYPT</v>
      </c>
      <c r="B51" s="67" t="str">
        <f>Calculator!B79</f>
        <v>Cryptosporidium spp.</v>
      </c>
      <c r="C51" s="37" t="str">
        <f>IF(Pathogens!R47=1,"Routine qPCR",IF(Pathogens!R47=2,"Specialised","Research-grade"))</f>
        <v>Routine qPCR</v>
      </c>
      <c r="D51" s="37" t="str">
        <f>IF(Pathogens!S47=1,"Low",IF(Pathogens!S47=2,"Medium","High"))</f>
        <v>Low</v>
      </c>
      <c r="E51" s="37" t="str">
        <f>IF(Pathogens!W47=1,"Yes","No")</f>
        <v>No</v>
      </c>
      <c r="F51" s="37">
        <f>ROUND((0.3*IF(Pathogens!R47=1,5,IF(Pathogens!R47=2,3,1))+0.15*IF(Pathogens!S47=1,5,IF(Pathogens!S47=2,3,1))+0.25*IF(Pathogens!W47=1,IF(Calculator!$B$26&gt;=3,5,IF(Calculator!$B$26=2,4,IF(Calculator!$B$26=1,2,1))),5)+0.15*IF(Calculator!$B$15&gt;=50,5,IF(Calculator!$B$15&gt;=25,4,IF(Calculator!$B$15&gt;=10,3,IF(Calculator!$B$15&gt;=5,2,1))))+0.15*Calculator!$B$12)/5*100,0)</f>
        <v>91</v>
      </c>
      <c r="G51" s="67">
        <f>Calculator!R79</f>
        <v>67.1</v>
      </c>
      <c r="H51" s="67" t="str">
        <f>Calculator!U79</f>
        <v>Do now</v>
      </c>
      <c r="I51" s="42" t="str">
        <f>Calculator!V79</f>
        <v>Include in always-on panel; report trend vs baseline</v>
      </c>
    </row>
    <row r="52" spans="1:9">
      <c r="A52" s="68" t="str">
        <f>Calculator!A80</f>
        <v>GIA</v>
      </c>
      <c r="B52" s="67" t="str">
        <f>Calculator!B80</f>
        <v>Giardia duodenalis</v>
      </c>
      <c r="C52" s="37" t="str">
        <f>IF(Pathogens!R48=1,"Routine qPCR",IF(Pathogens!R48=2,"Specialised","Research-grade"))</f>
        <v>Routine qPCR</v>
      </c>
      <c r="D52" s="37" t="str">
        <f>IF(Pathogens!S48=1,"Low",IF(Pathogens!S48=2,"Medium","High"))</f>
        <v>Low</v>
      </c>
      <c r="E52" s="37" t="str">
        <f>IF(Pathogens!W48=1,"Yes","No")</f>
        <v>No</v>
      </c>
      <c r="F52" s="37">
        <f>ROUND((0.3*IF(Pathogens!R48=1,5,IF(Pathogens!R48=2,3,1))+0.15*IF(Pathogens!S48=1,5,IF(Pathogens!S48=2,3,1))+0.25*IF(Pathogens!W48=1,IF(Calculator!$B$26&gt;=3,5,IF(Calculator!$B$26=2,4,IF(Calculator!$B$26=1,2,1))),5)+0.15*IF(Calculator!$B$15&gt;=50,5,IF(Calculator!$B$15&gt;=25,4,IF(Calculator!$B$15&gt;=10,3,IF(Calculator!$B$15&gt;=5,2,1))))+0.15*Calculator!$B$12)/5*100,0)</f>
        <v>91</v>
      </c>
      <c r="G52" s="67">
        <f>Calculator!R80</f>
        <v>67.1</v>
      </c>
      <c r="H52" s="67" t="str">
        <f>Calculator!U80</f>
        <v>Do now</v>
      </c>
      <c r="I52" s="42" t="str">
        <f>Calculator!V80</f>
        <v>Include in always-on panel; report trend vs baseline</v>
      </c>
    </row>
    <row r="53" spans="1:9">
      <c r="A53" s="68" t="str">
        <f>Calculator!A81</f>
        <v>ENTH</v>
      </c>
      <c r="B53" s="67" t="str">
        <f>Calculator!B81</f>
        <v>Entamoeba histolytica</v>
      </c>
      <c r="C53" s="37" t="str">
        <f>IF(Pathogens!R49=1,"Routine qPCR",IF(Pathogens!R49=2,"Specialised","Research-grade"))</f>
        <v>Specialised</v>
      </c>
      <c r="D53" s="37" t="str">
        <f>IF(Pathogens!S49=1,"Low",IF(Pathogens!S49=2,"Medium","High"))</f>
        <v>Low</v>
      </c>
      <c r="E53" s="37" t="str">
        <f>IF(Pathogens!W49=1,"Yes","No")</f>
        <v>No</v>
      </c>
      <c r="F53" s="37">
        <f>ROUND((0.3*IF(Pathogens!R49=1,5,IF(Pathogens!R49=2,3,1))+0.15*IF(Pathogens!S49=1,5,IF(Pathogens!S49=2,3,1))+0.25*IF(Pathogens!W49=1,IF(Calculator!$B$26&gt;=3,5,IF(Calculator!$B$26=2,4,IF(Calculator!$B$26=1,2,1))),5)+0.15*IF(Calculator!$B$15&gt;=50,5,IF(Calculator!$B$15&gt;=25,4,IF(Calculator!$B$15&gt;=10,3,IF(Calculator!$B$15&gt;=5,2,1))))+0.15*Calculator!$B$12)/5*100,0)</f>
        <v>79</v>
      </c>
      <c r="G53" s="67">
        <f>Calculator!R81</f>
        <v>59.2</v>
      </c>
      <c r="H53" s="67" t="str">
        <f>Calculator!U81</f>
        <v>Low-cost add-on</v>
      </c>
      <c r="I53" s="42" t="str">
        <f>Calculator!V81</f>
        <v>Cheap to multiplex onto existing runs; add if capacity allows</v>
      </c>
    </row>
    <row r="54" spans="1:9">
      <c r="A54" s="68" t="str">
        <f>Calculator!A82</f>
        <v>SCHISTO</v>
      </c>
      <c r="B54" s="67" t="str">
        <f>Calculator!B82</f>
        <v>Schistosoma spp.</v>
      </c>
      <c r="C54" s="37" t="str">
        <f>IF(Pathogens!R50=1,"Routine qPCR",IF(Pathogens!R50=2,"Specialised","Research-grade"))</f>
        <v>Specialised</v>
      </c>
      <c r="D54" s="37" t="str">
        <f>IF(Pathogens!S50=1,"Low",IF(Pathogens!S50=2,"Medium","High"))</f>
        <v>Low</v>
      </c>
      <c r="E54" s="37" t="str">
        <f>IF(Pathogens!W50=1,"Yes","No")</f>
        <v>No</v>
      </c>
      <c r="F54" s="37">
        <f>ROUND((0.3*IF(Pathogens!R50=1,5,IF(Pathogens!R50=2,3,1))+0.15*IF(Pathogens!S50=1,5,IF(Pathogens!S50=2,3,1))+0.25*IF(Pathogens!W50=1,IF(Calculator!$B$26&gt;=3,5,IF(Calculator!$B$26=2,4,IF(Calculator!$B$26=1,2,1))),5)+0.15*IF(Calculator!$B$15&gt;=50,5,IF(Calculator!$B$15&gt;=25,4,IF(Calculator!$B$15&gt;=10,3,IF(Calculator!$B$15&gt;=5,2,1))))+0.15*Calculator!$B$12)/5*100,0)</f>
        <v>79</v>
      </c>
      <c r="G54" s="67">
        <f>Calculator!R82</f>
        <v>66.9</v>
      </c>
      <c r="H54" s="67" t="str">
        <f>Calculator!U82</f>
        <v>Do now</v>
      </c>
      <c r="I54" s="42" t="str">
        <f>Calculator!V82</f>
        <v>Include in always-on panel; report trend vs baseline</v>
      </c>
    </row>
    <row r="55" spans="1:9">
      <c r="A55" s="68" t="str">
        <f>Calculator!A83</f>
        <v>STH</v>
      </c>
      <c r="B55" s="67" t="str">
        <f>Calculator!B83</f>
        <v>Soil-transmitted helminths</v>
      </c>
      <c r="C55" s="37" t="str">
        <f>IF(Pathogens!R51=1,"Routine qPCR",IF(Pathogens!R51=2,"Specialised","Research-grade"))</f>
        <v>Routine qPCR</v>
      </c>
      <c r="D55" s="37" t="str">
        <f>IF(Pathogens!S51=1,"Low",IF(Pathogens!S51=2,"Medium","High"))</f>
        <v>Low</v>
      </c>
      <c r="E55" s="37" t="str">
        <f>IF(Pathogens!W51=1,"Yes","No")</f>
        <v>No</v>
      </c>
      <c r="F55" s="37">
        <f>ROUND((0.3*IF(Pathogens!R51=1,5,IF(Pathogens!R51=2,3,1))+0.15*IF(Pathogens!S51=1,5,IF(Pathogens!S51=2,3,1))+0.25*IF(Pathogens!W51=1,IF(Calculator!$B$26&gt;=3,5,IF(Calculator!$B$26=2,4,IF(Calculator!$B$26=1,2,1))),5)+0.15*IF(Calculator!$B$15&gt;=50,5,IF(Calculator!$B$15&gt;=25,4,IF(Calculator!$B$15&gt;=10,3,IF(Calculator!$B$15&gt;=5,2,1))))+0.15*Calculator!$B$12)/5*100,0)</f>
        <v>91</v>
      </c>
      <c r="G55" s="67">
        <f>Calculator!R83</f>
        <v>66.4</v>
      </c>
      <c r="H55" s="67" t="str">
        <f>Calculator!U83</f>
        <v>Do now</v>
      </c>
      <c r="I55" s="42" t="str">
        <f>Calculator!V83</f>
        <v>Include in always-on panel; report trend vs baseline</v>
      </c>
    </row>
    <row r="56" spans="1:9">
      <c r="A56" s="68" t="str">
        <f>Calculator!A84</f>
        <v>GUINEA</v>
      </c>
      <c r="B56" s="67" t="str">
        <f>Calculator!B84</f>
        <v>Guinea worm (Dracunculus)</v>
      </c>
      <c r="C56" s="37" t="str">
        <f>IF(Pathogens!R52=1,"Routine qPCR",IF(Pathogens!R52=2,"Specialised","Research-grade"))</f>
        <v>Research-grade</v>
      </c>
      <c r="D56" s="37" t="str">
        <f>IF(Pathogens!S52=1,"Low",IF(Pathogens!S52=2,"Medium","High"))</f>
        <v>Low</v>
      </c>
      <c r="E56" s="37" t="str">
        <f>IF(Pathogens!W52=1,"Yes","No")</f>
        <v>No</v>
      </c>
      <c r="F56" s="37">
        <f>ROUND((0.3*IF(Pathogens!R52=1,5,IF(Pathogens!R52=2,3,1))+0.15*IF(Pathogens!S52=1,5,IF(Pathogens!S52=2,3,1))+0.25*IF(Pathogens!W52=1,IF(Calculator!$B$26&gt;=3,5,IF(Calculator!$B$26=2,4,IF(Calculator!$B$26=1,2,1))),5)+0.15*IF(Calculator!$B$15&gt;=50,5,IF(Calculator!$B$15&gt;=25,4,IF(Calculator!$B$15&gt;=10,3,IF(Calculator!$B$15&gt;=5,2,1))))+0.15*Calculator!$B$12)/5*100,0)</f>
        <v>67</v>
      </c>
      <c r="G56" s="67">
        <f>Calculator!R84</f>
        <v>18.5</v>
      </c>
      <c r="H56" s="67" t="str">
        <f>Calculator!U84</f>
        <v>Defer — not present</v>
      </c>
      <c r="I56" s="42" t="str">
        <f>Calculator!V84</f>
        <v>Defer to a later phase or event-driven testing only</v>
      </c>
    </row>
    <row r="57" spans="1:9">
      <c r="A57" s="68" t="str">
        <f>Calculator!A85</f>
        <v>ESBL</v>
      </c>
      <c r="B57" s="67" t="str">
        <f>Calculator!B85</f>
        <v>ESBL genes (blaCTX-M)</v>
      </c>
      <c r="C57" s="37" t="str">
        <f>IF(Pathogens!R53=1,"Routine qPCR",IF(Pathogens!R53=2,"Specialised","Research-grade"))</f>
        <v>Routine qPCR</v>
      </c>
      <c r="D57" s="37" t="str">
        <f>IF(Pathogens!S53=1,"Low",IF(Pathogens!S53=2,"Medium","High"))</f>
        <v>Low</v>
      </c>
      <c r="E57" s="37" t="str">
        <f>IF(Pathogens!W53=1,"Yes","No")</f>
        <v>Yes</v>
      </c>
      <c r="F57" s="37">
        <f>ROUND((0.3*IF(Pathogens!R53=1,5,IF(Pathogens!R53=2,3,1))+0.15*IF(Pathogens!S53=1,5,IF(Pathogens!S53=2,3,1))+0.25*IF(Pathogens!W53=1,IF(Calculator!$B$26&gt;=3,5,IF(Calculator!$B$26=2,4,IF(Calculator!$B$26=1,2,1))),5)+0.15*IF(Calculator!$B$15&gt;=50,5,IF(Calculator!$B$15&gt;=25,4,IF(Calculator!$B$15&gt;=10,3,IF(Calculator!$B$15&gt;=5,2,1))))+0.15*Calculator!$B$12)/5*100,0)</f>
        <v>91</v>
      </c>
      <c r="G57" s="67">
        <f>Calculator!R85</f>
        <v>74.5</v>
      </c>
      <c r="H57" s="67" t="str">
        <f>Calculator!U85</f>
        <v>Do now</v>
      </c>
      <c r="I57" s="42" t="str">
        <f>Calculator!V85</f>
        <v>Include in always-on panel; report trend vs baseline</v>
      </c>
    </row>
    <row r="58" spans="1:9">
      <c r="A58" s="68" t="str">
        <f>Calculator!A86</f>
        <v>CRE</v>
      </c>
      <c r="B58" s="67" t="str">
        <f>Calculator!B86</f>
        <v>Carbapenemase: blaNDM</v>
      </c>
      <c r="C58" s="37" t="str">
        <f>IF(Pathogens!R54=1,"Routine qPCR",IF(Pathogens!R54=2,"Specialised","Research-grade"))</f>
        <v>Specialised</v>
      </c>
      <c r="D58" s="37" t="str">
        <f>IF(Pathogens!S54=1,"Low",IF(Pathogens!S54=2,"Medium","High"))</f>
        <v>Low</v>
      </c>
      <c r="E58" s="37" t="str">
        <f>IF(Pathogens!W54=1,"Yes","No")</f>
        <v>Yes</v>
      </c>
      <c r="F58" s="37">
        <f>ROUND((0.3*IF(Pathogens!R54=1,5,IF(Pathogens!R54=2,3,1))+0.15*IF(Pathogens!S54=1,5,IF(Pathogens!S54=2,3,1))+0.25*IF(Pathogens!W54=1,IF(Calculator!$B$26&gt;=3,5,IF(Calculator!$B$26=2,4,IF(Calculator!$B$26=1,2,1))),5)+0.15*IF(Calculator!$B$15&gt;=50,5,IF(Calculator!$B$15&gt;=25,4,IF(Calculator!$B$15&gt;=10,3,IF(Calculator!$B$15&gt;=5,2,1))))+0.15*Calculator!$B$12)/5*100,0)</f>
        <v>79</v>
      </c>
      <c r="G58" s="67">
        <f>Calculator!R86</f>
        <v>71.8</v>
      </c>
      <c r="H58" s="67" t="str">
        <f>Calculator!U86</f>
        <v>Do now</v>
      </c>
      <c r="I58" s="42" t="str">
        <f>Calculator!V86</f>
        <v>Include in always-on panel; report trend vs baseline</v>
      </c>
    </row>
    <row r="59" spans="1:9">
      <c r="A59" s="68" t="str">
        <f>Calculator!A87</f>
        <v>CRE2</v>
      </c>
      <c r="B59" s="67" t="str">
        <f>Calculator!B87</f>
        <v>Carbapenemase: blaKPC</v>
      </c>
      <c r="C59" s="37" t="str">
        <f>IF(Pathogens!R55=1,"Routine qPCR",IF(Pathogens!R55=2,"Specialised","Research-grade"))</f>
        <v>Specialised</v>
      </c>
      <c r="D59" s="37" t="str">
        <f>IF(Pathogens!S55=1,"Low",IF(Pathogens!S55=2,"Medium","High"))</f>
        <v>Low</v>
      </c>
      <c r="E59" s="37" t="str">
        <f>IF(Pathogens!W55=1,"Yes","No")</f>
        <v>Yes</v>
      </c>
      <c r="F59" s="37">
        <f>ROUND((0.3*IF(Pathogens!R55=1,5,IF(Pathogens!R55=2,3,1))+0.15*IF(Pathogens!S55=1,5,IF(Pathogens!S55=2,3,1))+0.25*IF(Pathogens!W55=1,IF(Calculator!$B$26&gt;=3,5,IF(Calculator!$B$26=2,4,IF(Calculator!$B$26=1,2,1))),5)+0.15*IF(Calculator!$B$15&gt;=50,5,IF(Calculator!$B$15&gt;=25,4,IF(Calculator!$B$15&gt;=10,3,IF(Calculator!$B$15&gt;=5,2,1))))+0.15*Calculator!$B$12)/5*100,0)</f>
        <v>79</v>
      </c>
      <c r="G59" s="67">
        <f>Calculator!R87</f>
        <v>68.4</v>
      </c>
      <c r="H59" s="67" t="str">
        <f>Calculator!U87</f>
        <v>Do now</v>
      </c>
      <c r="I59" s="42" t="str">
        <f>Calculator!V87</f>
        <v>Include in always-on panel; report trend vs baseline</v>
      </c>
    </row>
    <row r="60" spans="1:9">
      <c r="A60" s="68" t="str">
        <f>Calculator!A88</f>
        <v>CRE3</v>
      </c>
      <c r="B60" s="67" t="str">
        <f>Calculator!B88</f>
        <v>Carbapenemase: blaOXA-48</v>
      </c>
      <c r="C60" s="37" t="str">
        <f>IF(Pathogens!R56=1,"Routine qPCR",IF(Pathogens!R56=2,"Specialised","Research-grade"))</f>
        <v>Specialised</v>
      </c>
      <c r="D60" s="37" t="str">
        <f>IF(Pathogens!S56=1,"Low",IF(Pathogens!S56=2,"Medium","High"))</f>
        <v>Low</v>
      </c>
      <c r="E60" s="37" t="str">
        <f>IF(Pathogens!W56=1,"Yes","No")</f>
        <v>Yes</v>
      </c>
      <c r="F60" s="37">
        <f>ROUND((0.3*IF(Pathogens!R56=1,5,IF(Pathogens!R56=2,3,1))+0.15*IF(Pathogens!S56=1,5,IF(Pathogens!S56=2,3,1))+0.25*IF(Pathogens!W56=1,IF(Calculator!$B$26&gt;=3,5,IF(Calculator!$B$26=2,4,IF(Calculator!$B$26=1,2,1))),5)+0.15*IF(Calculator!$B$15&gt;=50,5,IF(Calculator!$B$15&gt;=25,4,IF(Calculator!$B$15&gt;=10,3,IF(Calculator!$B$15&gt;=5,2,1))))+0.15*Calculator!$B$12)/5*100,0)</f>
        <v>79</v>
      </c>
      <c r="G60" s="67">
        <f>Calculator!R88</f>
        <v>72.5</v>
      </c>
      <c r="H60" s="67" t="str">
        <f>Calculator!U88</f>
        <v>Do now</v>
      </c>
      <c r="I60" s="42" t="str">
        <f>Calculator!V88</f>
        <v>Include in always-on panel; report trend vs baseline</v>
      </c>
    </row>
    <row r="61" spans="1:9">
      <c r="A61" s="68" t="str">
        <f>Calculator!A89</f>
        <v>MCR1</v>
      </c>
      <c r="B61" s="67" t="str">
        <f>Calculator!B89</f>
        <v>Colistin resistance: mcr-1</v>
      </c>
      <c r="C61" s="37" t="str">
        <f>IF(Pathogens!R57=1,"Routine qPCR",IF(Pathogens!R57=2,"Specialised","Research-grade"))</f>
        <v>Specialised</v>
      </c>
      <c r="D61" s="37" t="str">
        <f>IF(Pathogens!S57=1,"Low",IF(Pathogens!S57=2,"Medium","High"))</f>
        <v>Low</v>
      </c>
      <c r="E61" s="37" t="str">
        <f>IF(Pathogens!W57=1,"Yes","No")</f>
        <v>Yes</v>
      </c>
      <c r="F61" s="37">
        <f>ROUND((0.3*IF(Pathogens!R57=1,5,IF(Pathogens!R57=2,3,1))+0.15*IF(Pathogens!S57=1,5,IF(Pathogens!S57=2,3,1))+0.25*IF(Pathogens!W57=1,IF(Calculator!$B$26&gt;=3,5,IF(Calculator!$B$26=2,4,IF(Calculator!$B$26=1,2,1))),5)+0.15*IF(Calculator!$B$15&gt;=50,5,IF(Calculator!$B$15&gt;=25,4,IF(Calculator!$B$15&gt;=10,3,IF(Calculator!$B$15&gt;=5,2,1))))+0.15*Calculator!$B$12)/5*100,0)</f>
        <v>79</v>
      </c>
      <c r="G61" s="67">
        <f>Calculator!R89</f>
        <v>68.4</v>
      </c>
      <c r="H61" s="67" t="str">
        <f>Calculator!U89</f>
        <v>Do now</v>
      </c>
      <c r="I61" s="42" t="str">
        <f>Calculator!V89</f>
        <v>Include in always-on panel; report trend vs baseline</v>
      </c>
    </row>
    <row r="62" spans="1:9">
      <c r="A62" s="68" t="str">
        <f>Calculator!A90</f>
        <v>VANA</v>
      </c>
      <c r="B62" s="67" t="str">
        <f>Calculator!B90</f>
        <v>Vancomycin resistance: vanA</v>
      </c>
      <c r="C62" s="37" t="str">
        <f>IF(Pathogens!R58=1,"Routine qPCR",IF(Pathogens!R58=2,"Specialised","Research-grade"))</f>
        <v>Specialised</v>
      </c>
      <c r="D62" s="37" t="str">
        <f>IF(Pathogens!S58=1,"Low",IF(Pathogens!S58=2,"Medium","High"))</f>
        <v>Low</v>
      </c>
      <c r="E62" s="37" t="str">
        <f>IF(Pathogens!W58=1,"Yes","No")</f>
        <v>Yes</v>
      </c>
      <c r="F62" s="37">
        <f>ROUND((0.3*IF(Pathogens!R58=1,5,IF(Pathogens!R58=2,3,1))+0.15*IF(Pathogens!S58=1,5,IF(Pathogens!S58=2,3,1))+0.25*IF(Pathogens!W58=1,IF(Calculator!$B$26&gt;=3,5,IF(Calculator!$B$26=2,4,IF(Calculator!$B$26=1,2,1))),5)+0.15*IF(Calculator!$B$15&gt;=50,5,IF(Calculator!$B$15&gt;=25,4,IF(Calculator!$B$15&gt;=10,3,IF(Calculator!$B$15&gt;=5,2,1))))+0.15*Calculator!$B$12)/5*100,0)</f>
        <v>79</v>
      </c>
      <c r="G62" s="67">
        <f>Calculator!R90</f>
        <v>66.2</v>
      </c>
      <c r="H62" s="67" t="str">
        <f>Calculator!U90</f>
        <v>Do now</v>
      </c>
      <c r="I62" s="42" t="str">
        <f>Calculator!V90</f>
        <v>Include in year-1 panel; alert on first detection</v>
      </c>
    </row>
    <row r="63" spans="1:9">
      <c r="A63" s="68" t="str">
        <f>Calculator!A91</f>
        <v>MECA</v>
      </c>
      <c r="B63" s="67" t="str">
        <f>Calculator!B91</f>
        <v>Methicillin resistance: mecA (MRSA)</v>
      </c>
      <c r="C63" s="37" t="str">
        <f>IF(Pathogens!R59=1,"Routine qPCR",IF(Pathogens!R59=2,"Specialised","Research-grade"))</f>
        <v>Routine qPCR</v>
      </c>
      <c r="D63" s="37" t="str">
        <f>IF(Pathogens!S59=1,"Low",IF(Pathogens!S59=2,"Medium","High"))</f>
        <v>Low</v>
      </c>
      <c r="E63" s="37" t="str">
        <f>IF(Pathogens!W59=1,"Yes","No")</f>
        <v>Yes</v>
      </c>
      <c r="F63" s="37">
        <f>ROUND((0.3*IF(Pathogens!R59=1,5,IF(Pathogens!R59=2,3,1))+0.15*IF(Pathogens!S59=1,5,IF(Pathogens!S59=2,3,1))+0.25*IF(Pathogens!W59=1,IF(Calculator!$B$26&gt;=3,5,IF(Calculator!$B$26=2,4,IF(Calculator!$B$26=1,2,1))),5)+0.15*IF(Calculator!$B$15&gt;=50,5,IF(Calculator!$B$15&gt;=25,4,IF(Calculator!$B$15&gt;=10,3,IF(Calculator!$B$15&gt;=5,2,1))))+0.15*Calculator!$B$12)/5*100,0)</f>
        <v>91</v>
      </c>
      <c r="G63" s="67">
        <f>Calculator!R91</f>
        <v>71.2</v>
      </c>
      <c r="H63" s="67" t="str">
        <f>Calculator!U91</f>
        <v>Do now</v>
      </c>
      <c r="I63" s="42" t="str">
        <f>Calculator!V91</f>
        <v>Include in always-on panel; report trend vs baseline</v>
      </c>
    </row>
    <row r="64" spans="1:9">
      <c r="A64" s="68" t="str">
        <f>Calculator!A92</f>
        <v>BLATEM</v>
      </c>
      <c r="B64" s="67" t="str">
        <f>Calculator!B92</f>
        <v>blaTEM/SHV broad-spectrum BL</v>
      </c>
      <c r="C64" s="37" t="str">
        <f>IF(Pathogens!R60=1,"Routine qPCR",IF(Pathogens!R60=2,"Specialised","Research-grade"))</f>
        <v>Routine qPCR</v>
      </c>
      <c r="D64" s="37" t="str">
        <f>IF(Pathogens!S60=1,"Low",IF(Pathogens!S60=2,"Medium","High"))</f>
        <v>Low</v>
      </c>
      <c r="E64" s="37" t="str">
        <f>IF(Pathogens!W60=1,"Yes","No")</f>
        <v>Yes</v>
      </c>
      <c r="F64" s="37">
        <f>ROUND((0.3*IF(Pathogens!R60=1,5,IF(Pathogens!R60=2,3,1))+0.15*IF(Pathogens!S60=1,5,IF(Pathogens!S60=2,3,1))+0.25*IF(Pathogens!W60=1,IF(Calculator!$B$26&gt;=3,5,IF(Calculator!$B$26=2,4,IF(Calculator!$B$26=1,2,1))),5)+0.15*IF(Calculator!$B$15&gt;=50,5,IF(Calculator!$B$15&gt;=25,4,IF(Calculator!$B$15&gt;=10,3,IF(Calculator!$B$15&gt;=5,2,1))))+0.15*Calculator!$B$12)/5*100,0)</f>
        <v>91</v>
      </c>
      <c r="G64" s="67">
        <f>Calculator!R92</f>
        <v>75.3</v>
      </c>
      <c r="H64" s="67" t="str">
        <f>Calculator!U92</f>
        <v>Do now</v>
      </c>
      <c r="I64" s="42" t="str">
        <f>Calculator!V92</f>
        <v>Include in always-on panel; report trend vs baseline</v>
      </c>
    </row>
    <row r="65" spans="1:9">
      <c r="A65" s="68" t="str">
        <f>Calculator!A93</f>
        <v>HEPB</v>
      </c>
      <c r="B65" s="67" t="str">
        <f>Calculator!B93</f>
        <v>Hepatitis B virus</v>
      </c>
      <c r="C65" s="37" t="str">
        <f>IF(Pathogens!R61=1,"Routine qPCR",IF(Pathogens!R61=2,"Specialised","Research-grade"))</f>
        <v>Specialised</v>
      </c>
      <c r="D65" s="37" t="str">
        <f>IF(Pathogens!S61=1,"Low",IF(Pathogens!S61=2,"Medium","High"))</f>
        <v>Low</v>
      </c>
      <c r="E65" s="37" t="str">
        <f>IF(Pathogens!W61=1,"Yes","No")</f>
        <v>No</v>
      </c>
      <c r="F65" s="37">
        <f>ROUND((0.3*IF(Pathogens!R61=1,5,IF(Pathogens!R61=2,3,1))+0.15*IF(Pathogens!S61=1,5,IF(Pathogens!S61=2,3,1))+0.25*IF(Pathogens!W61=1,IF(Calculator!$B$26&gt;=3,5,IF(Calculator!$B$26=2,4,IF(Calculator!$B$26=1,2,1))),5)+0.15*IF(Calculator!$B$15&gt;=50,5,IF(Calculator!$B$15&gt;=25,4,IF(Calculator!$B$15&gt;=10,3,IF(Calculator!$B$15&gt;=5,2,1))))+0.15*Calculator!$B$12)/5*100,0)</f>
        <v>79</v>
      </c>
      <c r="G65" s="67">
        <f>Calculator!R93</f>
        <v>55.2</v>
      </c>
      <c r="H65" s="67" t="str">
        <f>Calculator!U93</f>
        <v>Low-cost add-on</v>
      </c>
      <c r="I65" s="42" t="str">
        <f>Calculator!V93</f>
        <v>Cheap to multiplex onto existing runs; add if capacity allows</v>
      </c>
    </row>
    <row r="66" spans="1:9">
      <c r="A66" s="68" t="str">
        <f>Calculator!A94</f>
        <v>HIV</v>
      </c>
      <c r="B66" s="67" t="str">
        <f>Calculator!B94</f>
        <v>HIV-1</v>
      </c>
      <c r="C66" s="37" t="str">
        <f>IF(Pathogens!R62=1,"Routine qPCR",IF(Pathogens!R62=2,"Specialised","Research-grade"))</f>
        <v>Specialised</v>
      </c>
      <c r="D66" s="37" t="str">
        <f>IF(Pathogens!S62=1,"Low",IF(Pathogens!S62=2,"Medium","High"))</f>
        <v>Low</v>
      </c>
      <c r="E66" s="37" t="str">
        <f>IF(Pathogens!W62=1,"Yes","No")</f>
        <v>No</v>
      </c>
      <c r="F66" s="37">
        <f>ROUND((0.3*IF(Pathogens!R62=1,5,IF(Pathogens!R62=2,3,1))+0.15*IF(Pathogens!S62=1,5,IF(Pathogens!S62=2,3,1))+0.25*IF(Pathogens!W62=1,IF(Calculator!$B$26&gt;=3,5,IF(Calculator!$B$26=2,4,IF(Calculator!$B$26=1,2,1))),5)+0.15*IF(Calculator!$B$15&gt;=50,5,IF(Calculator!$B$15&gt;=25,4,IF(Calculator!$B$15&gt;=10,3,IF(Calculator!$B$15&gt;=5,2,1))))+0.15*Calculator!$B$12)/5*100,0)</f>
        <v>79</v>
      </c>
      <c r="G66" s="67">
        <f>Calculator!R94</f>
        <v>48.6</v>
      </c>
      <c r="H66" s="67" t="str">
        <f>Calculator!U94</f>
        <v>Low-cost add-on</v>
      </c>
      <c r="I66" s="42" t="str">
        <f>Calculator!V94</f>
        <v>Cheap to multiplex onto existing runs; add if capacity allows</v>
      </c>
    </row>
    <row r="67" spans="1:9">
      <c r="A67" s="68" t="str">
        <f>Calculator!A95</f>
        <v>ZIKAR</v>
      </c>
      <c r="B67" s="67" t="str">
        <f>Calculator!B95</f>
        <v>Rabies virus (env. proxy)</v>
      </c>
      <c r="C67" s="37" t="str">
        <f>IF(Pathogens!R63=1,"Routine qPCR",IF(Pathogens!R63=2,"Specialised","Research-grade"))</f>
        <v>Research-grade</v>
      </c>
      <c r="D67" s="37" t="str">
        <f>IF(Pathogens!S63=1,"Low",IF(Pathogens!S63=2,"Medium","High"))</f>
        <v>Low</v>
      </c>
      <c r="E67" s="37" t="str">
        <f>IF(Pathogens!W63=1,"Yes","No")</f>
        <v>No</v>
      </c>
      <c r="F67" s="37">
        <f>ROUND((0.3*IF(Pathogens!R63=1,5,IF(Pathogens!R63=2,3,1))+0.15*IF(Pathogens!S63=1,5,IF(Pathogens!S63=2,3,1))+0.25*IF(Pathogens!W63=1,IF(Calculator!$B$26&gt;=3,5,IF(Calculator!$B$26=2,4,IF(Calculator!$B$26=1,2,1))),5)+0.15*IF(Calculator!$B$15&gt;=50,5,IF(Calculator!$B$15&gt;=25,4,IF(Calculator!$B$15&gt;=10,3,IF(Calculator!$B$15&gt;=5,2,1))))+0.15*Calculator!$B$12)/5*100,0)</f>
        <v>67</v>
      </c>
      <c r="G67" s="67">
        <f>Calculator!R95</f>
        <v>47.4</v>
      </c>
      <c r="H67" s="67" t="str">
        <f>Calculator!U95</f>
        <v>Defer</v>
      </c>
      <c r="I67" s="42" t="str">
        <f>Calculator!V95</f>
        <v>Defer to a later phase or event-driven testing only</v>
      </c>
    </row>
    <row r="68" spans="1:9">
      <c r="A68" s="68" t="str">
        <f>Calculator!A96</f>
        <v>ANTH</v>
      </c>
      <c r="B68" s="67" t="str">
        <f>Calculator!B96</f>
        <v>Bacillus anthracis (spores)</v>
      </c>
      <c r="C68" s="37" t="str">
        <f>IF(Pathogens!R64=1,"Routine qPCR",IF(Pathogens!R64=2,"Specialised","Research-grade"))</f>
        <v>Research-grade</v>
      </c>
      <c r="D68" s="37" t="str">
        <f>IF(Pathogens!S64=1,"Low",IF(Pathogens!S64=2,"Medium","High"))</f>
        <v>Low</v>
      </c>
      <c r="E68" s="37" t="str">
        <f>IF(Pathogens!W64=1,"Yes","No")</f>
        <v>No</v>
      </c>
      <c r="F68" s="37">
        <f>ROUND((0.3*IF(Pathogens!R64=1,5,IF(Pathogens!R64=2,3,1))+0.15*IF(Pathogens!S64=1,5,IF(Pathogens!S64=2,3,1))+0.25*IF(Pathogens!W64=1,IF(Calculator!$B$26&gt;=3,5,IF(Calculator!$B$26=2,4,IF(Calculator!$B$26=1,2,1))),5)+0.15*IF(Calculator!$B$15&gt;=50,5,IF(Calculator!$B$15&gt;=25,4,IF(Calculator!$B$15&gt;=10,3,IF(Calculator!$B$15&gt;=5,2,1))))+0.15*Calculator!$B$12)/5*100,0)</f>
        <v>67</v>
      </c>
      <c r="G68" s="67">
        <f>Calculator!R96</f>
        <v>56.9</v>
      </c>
      <c r="H68" s="67" t="str">
        <f>Calculator!U96</f>
        <v>Defer</v>
      </c>
      <c r="I68" s="42" t="str">
        <f>Calculator!V96</f>
        <v>Defer to a later phase or event-driven testing only</v>
      </c>
    </row>
    <row r="69" spans="1:9">
      <c r="A69" s="68" t="str">
        <f>Calculator!A97</f>
        <v>LEISH</v>
      </c>
      <c r="B69" s="67" t="str">
        <f>Calculator!B97</f>
        <v>Leishmania spp.</v>
      </c>
      <c r="C69" s="37" t="str">
        <f>IF(Pathogens!R65=1,"Routine qPCR",IF(Pathogens!R65=2,"Specialised","Research-grade"))</f>
        <v>Research-grade</v>
      </c>
      <c r="D69" s="37" t="str">
        <f>IF(Pathogens!S65=1,"Low",IF(Pathogens!S65=2,"Medium","High"))</f>
        <v>Low</v>
      </c>
      <c r="E69" s="37" t="str">
        <f>IF(Pathogens!W65=1,"Yes","No")</f>
        <v>No</v>
      </c>
      <c r="F69" s="37">
        <f>ROUND((0.3*IF(Pathogens!R65=1,5,IF(Pathogens!R65=2,3,1))+0.15*IF(Pathogens!S65=1,5,IF(Pathogens!S65=2,3,1))+0.25*IF(Pathogens!W65=1,IF(Calculator!$B$26&gt;=3,5,IF(Calculator!$B$26=2,4,IF(Calculator!$B$26=1,2,1))),5)+0.15*IF(Calculator!$B$15&gt;=50,5,IF(Calculator!$B$15&gt;=25,4,IF(Calculator!$B$15&gt;=10,3,IF(Calculator!$B$15&gt;=5,2,1))))+0.15*Calculator!$B$12)/5*100,0)</f>
        <v>67</v>
      </c>
      <c r="G69" s="67">
        <f>Calculator!R97</f>
        <v>49.9</v>
      </c>
      <c r="H69" s="67" t="str">
        <f>Calculator!U97</f>
        <v>Defer</v>
      </c>
      <c r="I69" s="42" t="str">
        <f>Calculator!V97</f>
        <v>Defer to a later phase or event-driven testing only</v>
      </c>
    </row>
    <row r="72" spans="1:9">
      <c r="A72" s="66" t="s">
        <v>324</v>
      </c>
    </row>
  </sheetData>
  <autoFilter xmlns:etc="http://www.wps.cn/officeDocument/2017/etCustomData" ref="A5:I69" etc:filterBottomFollowUsedRange="0">
    <extLst/>
  </autoFilter>
  <conditionalFormatting sqref="F6:F69">
    <cfRule type="colorScale" priority="1">
      <colorScale>
        <cfvo type="num" val="20"/>
        <cfvo type="num" val="60"/>
        <cfvo type="num" val="95"/>
        <color rgb="FFF8696B"/>
        <color rgb="FFFFEB84"/>
        <color rgb="FF63BE7B"/>
      </colorScale>
    </cfRule>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A71"/>
  <sheetViews>
    <sheetView workbookViewId="0">
      <pane xSplit="3" ySplit="4" topLeftCell="D5" activePane="bottomRight" state="frozen"/>
      <selection/>
      <selection pane="topRight"/>
      <selection pane="bottomLeft"/>
      <selection pane="bottomRight" activeCell="C28" sqref="C28"/>
    </sheetView>
  </sheetViews>
  <sheetFormatPr defaultColWidth="8.5" defaultRowHeight="15" customHeight="1"/>
  <cols>
    <col min="1" max="1" width="12" customWidth="1"/>
    <col min="2" max="2" width="38" customWidth="1"/>
    <col min="3" max="3" width="26" customWidth="1"/>
    <col min="4" max="7" width="16" customWidth="1"/>
    <col min="10" max="53" width="13" style="5" hidden="1" customWidth="1"/>
  </cols>
  <sheetData>
    <row r="1" ht="17.25" customHeight="1" spans="1:53">
      <c r="A1" s="43" t="s">
        <v>325</v>
      </c>
    </row>
    <row r="2" ht="30" customHeight="1" spans="1:53">
      <c r="A2" s="44" t="s">
        <v>326</v>
      </c>
    </row>
    <row r="4" ht="31.5" customHeight="1" spans="1:53">
      <c r="A4" s="59" t="s">
        <v>147</v>
      </c>
      <c r="B4" s="59" t="s">
        <v>148</v>
      </c>
      <c r="C4" s="59" t="s">
        <v>149</v>
      </c>
      <c r="D4" s="60" t="s">
        <v>118</v>
      </c>
      <c r="E4" s="60" t="s">
        <v>327</v>
      </c>
      <c r="F4" s="60" t="s">
        <v>328</v>
      </c>
      <c r="G4" s="60" t="s">
        <v>329</v>
      </c>
      <c r="J4" s="51" t="s">
        <v>330</v>
      </c>
      <c r="K4" s="51" t="s">
        <v>331</v>
      </c>
      <c r="L4" s="51" t="s">
        <v>332</v>
      </c>
      <c r="M4" s="51" t="s">
        <v>333</v>
      </c>
      <c r="N4" s="51" t="s">
        <v>334</v>
      </c>
      <c r="O4" s="51" t="s">
        <v>335</v>
      </c>
      <c r="P4" s="51" t="s">
        <v>336</v>
      </c>
      <c r="Q4" s="51" t="s">
        <v>337</v>
      </c>
      <c r="R4" s="51" t="s">
        <v>338</v>
      </c>
      <c r="S4" s="51" t="s">
        <v>339</v>
      </c>
      <c r="T4" s="51" t="s">
        <v>340</v>
      </c>
      <c r="U4" s="51" t="s">
        <v>341</v>
      </c>
      <c r="V4" s="51" t="s">
        <v>342</v>
      </c>
      <c r="W4" s="51" t="s">
        <v>343</v>
      </c>
      <c r="X4" s="51" t="s">
        <v>344</v>
      </c>
      <c r="Y4" s="51" t="s">
        <v>345</v>
      </c>
      <c r="Z4" s="51" t="s">
        <v>346</v>
      </c>
      <c r="AA4" s="51" t="s">
        <v>347</v>
      </c>
      <c r="AB4" s="51" t="s">
        <v>348</v>
      </c>
      <c r="AC4" s="51" t="s">
        <v>349</v>
      </c>
      <c r="AD4" s="51" t="s">
        <v>350</v>
      </c>
      <c r="AE4" s="51" t="s">
        <v>351</v>
      </c>
      <c r="AF4" s="51" t="s">
        <v>352</v>
      </c>
      <c r="AG4" s="51" t="s">
        <v>353</v>
      </c>
      <c r="AH4" s="51" t="s">
        <v>354</v>
      </c>
      <c r="AI4" s="51" t="s">
        <v>355</v>
      </c>
      <c r="AJ4" s="51" t="s">
        <v>356</v>
      </c>
      <c r="AK4" s="51" t="s">
        <v>357</v>
      </c>
      <c r="AL4" s="51" t="s">
        <v>358</v>
      </c>
      <c r="AM4" s="51" t="s">
        <v>359</v>
      </c>
      <c r="AN4" s="51" t="s">
        <v>360</v>
      </c>
      <c r="AO4" s="51" t="s">
        <v>361</v>
      </c>
      <c r="AP4" s="51" t="s">
        <v>362</v>
      </c>
      <c r="AQ4" s="51" t="s">
        <v>363</v>
      </c>
      <c r="AR4" s="51" t="s">
        <v>364</v>
      </c>
      <c r="AS4" s="51" t="s">
        <v>365</v>
      </c>
      <c r="AT4" s="51" t="s">
        <v>366</v>
      </c>
      <c r="AU4" s="51" t="s">
        <v>367</v>
      </c>
      <c r="AV4" s="51" t="s">
        <v>368</v>
      </c>
      <c r="AW4" s="51" t="s">
        <v>369</v>
      </c>
      <c r="AX4" s="51" t="s">
        <v>370</v>
      </c>
      <c r="AY4" s="51" t="s">
        <v>371</v>
      </c>
      <c r="AZ4" s="51" t="s">
        <v>372</v>
      </c>
      <c r="BA4" s="51" t="s">
        <v>373</v>
      </c>
    </row>
    <row r="5" customHeight="1" spans="1:53">
      <c r="A5" s="61" t="str">
        <f>Calculator!A34</f>
        <v>POLIO</v>
      </c>
      <c r="B5" s="61" t="str">
        <f>Calculator!B34</f>
        <v>Poliovirus (WPV1, cVDPV2)</v>
      </c>
      <c r="C5" s="61" t="str">
        <f>Calculator!C34</f>
        <v>Vaccine-preventable viral</v>
      </c>
      <c r="D5" s="52">
        <f>IFERROR(ROUND(MIN(100,(($J5)*Settings!$C$23*INDEX(Settings!$B$36:$F$44,1,$T5)+($K5)*Settings!$C$24*INDEX(Settings!$B$36:$F$44,2,$T5)+($L5)*Settings!$C$25*INDEX(Settings!$B$36:$F$44,3,$T5)+($M5)*Settings!$C$26*INDEX(Settings!$B$36:$F$44,4,$T5)+($N5)*Settings!$C$27*INDEX(Settings!$B$36:$F$44,5,$T5)+($O5)*Settings!$C$28*INDEX(Settings!$B$36:$F$44,6,$T5)+($P5)*Settings!$C$29*INDEX(Settings!$B$36:$F$44,7,$T5)+($Q5)*Settings!$C$30*INDEX(Settings!$B$36:$F$44,8,$T5)+($R5)*Settings!$C$31*INDEX(Settings!$B$36:$F$44,9,$T5))/INDEX(Settings!$B$45:$F$45,1,$T5)/5*100*IF($S5="Not present",Settings!$B$51,1)),1),"")</f>
        <v>73.2</v>
      </c>
      <c r="E5" s="52">
        <f>IFERROR(ROUND(MIN(100,(($U5)*Settings!$C$23*INDEX(Settings!$B$36:$F$44,1,$AE5)+($V5)*Settings!$C$24*INDEX(Settings!$B$36:$F$44,2,$AE5)+($W5)*Settings!$C$25*INDEX(Settings!$B$36:$F$44,3,$AE5)+($X5)*Settings!$C$26*INDEX(Settings!$B$36:$F$44,4,$AE5)+($Y5)*Settings!$C$27*INDEX(Settings!$B$36:$F$44,5,$AE5)+($Z5)*Settings!$C$28*INDEX(Settings!$B$36:$F$44,6,$AE5)+($AA5)*Settings!$C$29*INDEX(Settings!$B$36:$F$44,7,$AE5)+($AB5)*Settings!$C$30*INDEX(Settings!$B$36:$F$44,8,$AE5)+($AC5)*Settings!$C$31*INDEX(Settings!$B$36:$F$44,9,$AE5))/INDEX(Settings!$B$45:$F$45,1,$AE5)/5*100*IF($AD5="Not present",Settings!$B$51,1)),1),"")</f>
        <v>67.1</v>
      </c>
      <c r="F5" s="52">
        <f>IFERROR(ROUND(MIN(100,(($AF5)*Settings!$C$23*INDEX(Settings!$B$36:$F$44,1,$AP5)+($AG5)*Settings!$C$24*INDEX(Settings!$B$36:$F$44,2,$AP5)+($AH5)*Settings!$C$25*INDEX(Settings!$B$36:$F$44,3,$AP5)+($AI5)*Settings!$C$26*INDEX(Settings!$B$36:$F$44,4,$AP5)+($AJ5)*Settings!$C$27*INDEX(Settings!$B$36:$F$44,5,$AP5)+($AK5)*Settings!$C$28*INDEX(Settings!$B$36:$F$44,6,$AP5)+($AL5)*Settings!$C$29*INDEX(Settings!$B$36:$F$44,7,$AP5)+($AM5)*Settings!$C$30*INDEX(Settings!$B$36:$F$44,8,$AP5)+($AN5)*Settings!$C$31*INDEX(Settings!$B$36:$F$44,9,$AP5))/INDEX(Settings!$B$45:$F$45,1,$AP5)/5*100*IF($AO5="Not present",Settings!$B$51,1)),1),"")</f>
        <v>70.4</v>
      </c>
      <c r="G5" s="52">
        <f>IFERROR(ROUND(MIN(100,(($AQ5)*Settings!$C$23*INDEX(Settings!$B$36:$F$44,1,$BA5)+($AR5)*Settings!$C$24*INDEX(Settings!$B$36:$F$44,2,$BA5)+($AS5)*Settings!$C$25*INDEX(Settings!$B$36:$F$44,3,$BA5)+($AT5)*Settings!$C$26*INDEX(Settings!$B$36:$F$44,4,$BA5)+($AU5)*Settings!$C$27*INDEX(Settings!$B$36:$F$44,5,$BA5)+($AV5)*Settings!$C$28*INDEX(Settings!$B$36:$F$44,6,$BA5)+($AW5)*Settings!$C$29*INDEX(Settings!$B$36:$F$44,7,$BA5)+($AX5)*Settings!$C$30*INDEX(Settings!$B$36:$F$44,8,$BA5)+($AY5)*Settings!$C$31*INDEX(Settings!$B$36:$F$44,9,$BA5))/INDEX(Settings!$B$45:$F$45,1,$BA5)/5*100*IF($AZ5="Not present",Settings!$B$51,1)),1),"")</f>
        <v>71.7</v>
      </c>
      <c r="J5" s="62">
        <f>ROUND(MIN(5,IF(Pathogens!I2&gt;=500,5,IF(Pathogens!I2&gt;=200,4,IF(Pathogens!I2&gt;=50,3,IF(Pathogens!I2&gt;=10,2,1))))*0.5+IF(Pathogens!J2&gt;=30,5,IF(Pathogens!J2&gt;=10,4,IF(Pathogens!J2&gt;=3,3,IF(Pathogens!J2&gt;=1,2,1))))*0.4+IF(AND(VLOOKUP(D$4,Countries!$B$2:$AN$55,4,FALSE)&gt;=80,Pathogens!N2&gt;=0.5),1,0)*0.1+IF(VLOOKUP(D$4,Countries!$B$2:$AN$55,7,FALSE)&lt;50,0.3,0)),0)</f>
        <v>2</v>
      </c>
      <c r="K5" s="62">
        <f>ROUND(MIN(5,IF(Pathogens!K2&gt;=8,5,IF(Pathogens!K2&gt;=5,4,IF(Pathogens!K2&gt;=3,3,IF(Pathogens!K2&gt;=1,2,1))))*0.5+IF(Pathogens!L2&gt;=5,5,IF(Pathogens!L2&gt;=3,4,IF(Pathogens!L2&gt;=2,3,IF(Pathogens!L2&gt;=1.2,2,1))))*0.3+IF(Pathogens!M2=1,2,0)*0.2+IF(VLOOKUP(D$4,Countries!$B$2:$AN$55,12,FALSE)&gt;=2,0.5,0)),0)</f>
        <v>5</v>
      </c>
      <c r="L5" s="62">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c r="M5" s="62">
        <f>ROUND(MAX(1,MIN(5,(6-VLOOKUP(D$4,Countries!$B$2:$AN$55,10,FALSE))*0.5+(6-VLOOKUP(D$4,Countries!$B$2:$AN$55,11,FALSE))*0.4+(IF(AND(Pathogens!N2&gt;=0.5,VLOOKUP(D$4,Countries!$B$2:$AN$55,5,FALSE)&lt;60),5,IF(Pathogens!N2&gt;=0.5,4,IF(Pathogens!N2&gt;=0.3,3,IF(Pathogens!N2&gt;=0.1,2,1)))))*0.1)),0)</f>
        <v>2</v>
      </c>
      <c r="N5" s="62">
        <f>IF(ISNUMBER(SEARCH("Vaccine-preventable",Pathogens!C2)),2,IF(ISNUMBER(SEARCH("AMR",Pathogens!C2)),5,IF(ISNUMBER(SEARCH("VHF",Pathogens!C2)),4,IF(ISNUMBER(SEARCH("Emerging",Pathogens!C2)),5,IF(ISNUMBER(SEARCH("Mycobacterial",Pathogens!C2)),3,IF(ISNUMBER(SEARCH("Helminth",Pathogens!C2)),3,IF(ISNUMBER(SEARCH("Respiratory",Pathogens!C2)),4,3)))))))</f>
        <v>2</v>
      </c>
      <c r="O5" s="62">
        <f>IF(ISNUMBER(SEARCH("AMR",Pathogens!C2)),5,IF(ISNUMBER(SEARCH("Mycobacterial",Pathogens!C2)),4,IF(ISNUMBER(SEARCH("Enteric bacterial",Pathogens!C2)),3,IF(ISNUMBER(SEARCH("Bacterial",Pathogens!C2)),3,1))))</f>
        <v>1</v>
      </c>
      <c r="P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 s="62">
        <f>(6-Pathogens!X2)</f>
        <v>2</v>
      </c>
      <c r="R5" s="62">
        <f>ROUND(MIN(5,MAX(1,0.35*IF(Pathogens!R2=1,5,IF(Pathogens!R2=2,3,1))+0.2*IF(Pathogens!S2=1,5,IF(Pathogens!S2=2,3,1))+0.25*IF(Pathogens!W2=1,IF(VLOOKUP(D$4,Countries!$B$2:$AN$55,38,FALSE)&gt;=3,5,IF(VLOOKUP(D$4,Countries!$B$2:$AN$55,38,FALSE)=2,4,IF(VLOOKUP(D$4,Countries!$B$2:$AN$55,38,FALSE)=1,2,1))),5)+0.2*IF(VLOOKUP(D$4,Countries!$B$2:$AN$55,24,FALSE)&gt;=50,5,IF(VLOOKUP(D$4,Countries!$B$2:$AN$55,24,FALSE)&gt;=25,4,IF(VLOOKUP(D$4,Countries!$B$2:$AN$55,24,FALSE)&gt;=10,3,IF(VLOOKUP(D$4,Countries!$B$2:$AN$55,24,FALSE)&gt;=5,2,1)))))),0)</f>
        <v>5</v>
      </c>
      <c r="S5" s="62" t="str">
        <f>IFERROR(INDEX(Endemicity!$C$2:$BN$55,MATCH(D$4,Endemicity!$B$2:$B$55,0),MATCH($A5,Endemicity!$C$1:$BN$1,0)),"Sporadic")</f>
        <v>Sporadic</v>
      </c>
      <c r="T5" s="62">
        <f>IF(Settings!$B$48="ON",IFERROR(MATCH($S5,Settings!$B$35:$F$35,0),5),5)</f>
        <v>2</v>
      </c>
      <c r="U5" s="62">
        <f>ROUND(MIN(5,IF(Pathogens!I2&gt;=500,5,IF(Pathogens!I2&gt;=200,4,IF(Pathogens!I2&gt;=50,3,IF(Pathogens!I2&gt;=10,2,1))))*0.5+IF(Pathogens!J2&gt;=30,5,IF(Pathogens!J2&gt;=10,4,IF(Pathogens!J2&gt;=3,3,IF(Pathogens!J2&gt;=1,2,1))))*0.4+IF(AND(VLOOKUP(E$4,Countries!$B$2:$AN$55,4,FALSE)&gt;=80,Pathogens!N2&gt;=0.5),1,0)*0.1+IF(VLOOKUP(E$4,Countries!$B$2:$AN$55,7,FALSE)&lt;50,0.3,0)),0)</f>
        <v>2</v>
      </c>
      <c r="V5" s="62">
        <f>ROUND(MIN(5,IF(Pathogens!K2&gt;=8,5,IF(Pathogens!K2&gt;=5,4,IF(Pathogens!K2&gt;=3,3,IF(Pathogens!K2&gt;=1,2,1))))*0.5+IF(Pathogens!L2&gt;=5,5,IF(Pathogens!L2&gt;=3,4,IF(Pathogens!L2&gt;=2,3,IF(Pathogens!L2&gt;=1.2,2,1))))*0.3+IF(Pathogens!M2=1,2,0)*0.2+IF(VLOOKUP(E$4,Countries!$B$2:$AN$55,12,FALSE)&gt;=2,0.5,0)),0)</f>
        <v>5</v>
      </c>
      <c r="W5" s="62">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c r="X5" s="62">
        <f>ROUND(MAX(1,MIN(5,(6-VLOOKUP(E$4,Countries!$B$2:$AN$55,10,FALSE))*0.5+(6-VLOOKUP(E$4,Countries!$B$2:$AN$55,11,FALSE))*0.4+(IF(AND(Pathogens!N2&gt;=0.5,VLOOKUP(E$4,Countries!$B$2:$AN$55,5,FALSE)&lt;60),5,IF(Pathogens!N2&gt;=0.5,4,IF(Pathogens!N2&gt;=0.3,3,IF(Pathogens!N2&gt;=0.1,2,1)))))*0.1)),0)</f>
        <v>3</v>
      </c>
      <c r="Y5" s="62">
        <f>IF(ISNUMBER(SEARCH("Vaccine-preventable",Pathogens!C2)),2,IF(ISNUMBER(SEARCH("AMR",Pathogens!C2)),5,IF(ISNUMBER(SEARCH("VHF",Pathogens!C2)),4,IF(ISNUMBER(SEARCH("Emerging",Pathogens!C2)),5,IF(ISNUMBER(SEARCH("Mycobacterial",Pathogens!C2)),3,IF(ISNUMBER(SEARCH("Helminth",Pathogens!C2)),3,IF(ISNUMBER(SEARCH("Respiratory",Pathogens!C2)),4,3)))))))</f>
        <v>2</v>
      </c>
      <c r="Z5" s="62">
        <f>IF(ISNUMBER(SEARCH("AMR",Pathogens!C2)),5,IF(ISNUMBER(SEARCH("Mycobacterial",Pathogens!C2)),4,IF(ISNUMBER(SEARCH("Enteric bacterial",Pathogens!C2)),3,IF(ISNUMBER(SEARCH("Bacterial",Pathogens!C2)),3,1))))</f>
        <v>1</v>
      </c>
      <c r="AA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 s="62">
        <f>(6-Pathogens!X2)</f>
        <v>2</v>
      </c>
      <c r="AC5" s="62">
        <f>ROUND(MIN(5,MAX(1,0.35*IF(Pathogens!R2=1,5,IF(Pathogens!R2=2,3,1))+0.2*IF(Pathogens!S2=1,5,IF(Pathogens!S2=2,3,1))+0.25*IF(Pathogens!W2=1,IF(VLOOKUP(E$4,Countries!$B$2:$AN$55,38,FALSE)&gt;=3,5,IF(VLOOKUP(E$4,Countries!$B$2:$AN$55,38,FALSE)=2,4,IF(VLOOKUP(E$4,Countries!$B$2:$AN$55,38,FALSE)=1,2,1))),5)+0.2*IF(VLOOKUP(E$4,Countries!$B$2:$AN$55,24,FALSE)&gt;=50,5,IF(VLOOKUP(E$4,Countries!$B$2:$AN$55,24,FALSE)&gt;=25,4,IF(VLOOKUP(E$4,Countries!$B$2:$AN$55,24,FALSE)&gt;=10,3,IF(VLOOKUP(E$4,Countries!$B$2:$AN$55,24,FALSE)&gt;=5,2,1)))))),0)</f>
        <v>4</v>
      </c>
      <c r="AD5" s="62" t="str">
        <f>IFERROR(INDEX(Endemicity!$C$2:$BN$55,MATCH(E$4,Endemicity!$B$2:$B$55,0),MATCH($A5,Endemicity!$C$1:$BN$1,0)),"Sporadic")</f>
        <v>Endemic</v>
      </c>
      <c r="AE5" s="62">
        <f>IF(Settings!$B$48="ON",IFERROR(MATCH($AD5,Settings!$B$35:$F$35,0),5),5)</f>
        <v>1</v>
      </c>
      <c r="AF5" s="62">
        <f>ROUND(MIN(5,IF(Pathogens!I2&gt;=500,5,IF(Pathogens!I2&gt;=200,4,IF(Pathogens!I2&gt;=50,3,IF(Pathogens!I2&gt;=10,2,1))))*0.5+IF(Pathogens!J2&gt;=30,5,IF(Pathogens!J2&gt;=10,4,IF(Pathogens!J2&gt;=3,3,IF(Pathogens!J2&gt;=1,2,1))))*0.4+IF(AND(VLOOKUP(F$4,Countries!$B$2:$AN$55,4,FALSE)&gt;=80,Pathogens!N2&gt;=0.5),1,0)*0.1+IF(VLOOKUP(F$4,Countries!$B$2:$AN$55,7,FALSE)&lt;50,0.3,0)),0)</f>
        <v>2</v>
      </c>
      <c r="AG5" s="62">
        <f>ROUND(MIN(5,IF(Pathogens!K2&gt;=8,5,IF(Pathogens!K2&gt;=5,4,IF(Pathogens!K2&gt;=3,3,IF(Pathogens!K2&gt;=1,2,1))))*0.5+IF(Pathogens!L2&gt;=5,5,IF(Pathogens!L2&gt;=3,4,IF(Pathogens!L2&gt;=2,3,IF(Pathogens!L2&gt;=1.2,2,1))))*0.3+IF(Pathogens!M2=1,2,0)*0.2+IF(VLOOKUP(F$4,Countries!$B$2:$AN$55,12,FALSE)&gt;=2,0.5,0)),0)</f>
        <v>5</v>
      </c>
      <c r="AH5" s="62">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c r="AI5" s="62">
        <f>ROUND(MAX(1,MIN(5,(6-VLOOKUP(F$4,Countries!$B$2:$AN$55,10,FALSE))*0.5+(6-VLOOKUP(F$4,Countries!$B$2:$AN$55,11,FALSE))*0.4+(IF(AND(Pathogens!N2&gt;=0.5,VLOOKUP(F$4,Countries!$B$2:$AN$55,5,FALSE)&lt;60),5,IF(Pathogens!N2&gt;=0.5,4,IF(Pathogens!N2&gt;=0.3,3,IF(Pathogens!N2&gt;=0.1,2,1)))))*0.1)),0)</f>
        <v>2</v>
      </c>
      <c r="AJ5" s="62">
        <f>IF(ISNUMBER(SEARCH("Vaccine-preventable",Pathogens!C2)),2,IF(ISNUMBER(SEARCH("AMR",Pathogens!C2)),5,IF(ISNUMBER(SEARCH("VHF",Pathogens!C2)),4,IF(ISNUMBER(SEARCH("Emerging",Pathogens!C2)),5,IF(ISNUMBER(SEARCH("Mycobacterial",Pathogens!C2)),3,IF(ISNUMBER(SEARCH("Helminth",Pathogens!C2)),3,IF(ISNUMBER(SEARCH("Respiratory",Pathogens!C2)),4,3)))))))</f>
        <v>2</v>
      </c>
      <c r="AK5" s="62">
        <f>IF(ISNUMBER(SEARCH("AMR",Pathogens!C2)),5,IF(ISNUMBER(SEARCH("Mycobacterial",Pathogens!C2)),4,IF(ISNUMBER(SEARCH("Enteric bacterial",Pathogens!C2)),3,IF(ISNUMBER(SEARCH("Bacterial",Pathogens!C2)),3,1))))</f>
        <v>1</v>
      </c>
      <c r="AL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 s="62">
        <f>(6-Pathogens!X2)</f>
        <v>2</v>
      </c>
      <c r="AN5" s="62">
        <f>ROUND(MIN(5,MAX(1,0.35*IF(Pathogens!R2=1,5,IF(Pathogens!R2=2,3,1))+0.2*IF(Pathogens!S2=1,5,IF(Pathogens!S2=2,3,1))+0.25*IF(Pathogens!W2=1,IF(VLOOKUP(F$4,Countries!$B$2:$AN$55,38,FALSE)&gt;=3,5,IF(VLOOKUP(F$4,Countries!$B$2:$AN$55,38,FALSE)=2,4,IF(VLOOKUP(F$4,Countries!$B$2:$AN$55,38,FALSE)=1,2,1))),5)+0.2*IF(VLOOKUP(F$4,Countries!$B$2:$AN$55,24,FALSE)&gt;=50,5,IF(VLOOKUP(F$4,Countries!$B$2:$AN$55,24,FALSE)&gt;=25,4,IF(VLOOKUP(F$4,Countries!$B$2:$AN$55,24,FALSE)&gt;=10,3,IF(VLOOKUP(F$4,Countries!$B$2:$AN$55,24,FALSE)&gt;=5,2,1)))))),0)</f>
        <v>4</v>
      </c>
      <c r="AO5" s="62" t="str">
        <f>IFERROR(INDEX(Endemicity!$C$2:$BN$55,MATCH(F$4,Endemicity!$B$2:$B$55,0),MATCH($A5,Endemicity!$C$1:$BN$1,0)),"Sporadic")</f>
        <v>Sporadic</v>
      </c>
      <c r="AP5" s="62">
        <f>IF(Settings!$B$48="ON",IFERROR(MATCH($AO5,Settings!$B$35:$F$35,0),5),5)</f>
        <v>2</v>
      </c>
      <c r="AQ5" s="62">
        <f>ROUND(MIN(5,IF(Pathogens!I2&gt;=500,5,IF(Pathogens!I2&gt;=200,4,IF(Pathogens!I2&gt;=50,3,IF(Pathogens!I2&gt;=10,2,1))))*0.5+IF(Pathogens!J2&gt;=30,5,IF(Pathogens!J2&gt;=10,4,IF(Pathogens!J2&gt;=3,3,IF(Pathogens!J2&gt;=1,2,1))))*0.4+IF(AND(VLOOKUP(G$4,Countries!$B$2:$AN$55,4,FALSE)&gt;=80,Pathogens!N2&gt;=0.5),1,0)*0.1+IF(VLOOKUP(G$4,Countries!$B$2:$AN$55,7,FALSE)&lt;50,0.3,0)),0)</f>
        <v>2</v>
      </c>
      <c r="AR5" s="62">
        <f>ROUND(MIN(5,IF(Pathogens!K2&gt;=8,5,IF(Pathogens!K2&gt;=5,4,IF(Pathogens!K2&gt;=3,3,IF(Pathogens!K2&gt;=1,2,1))))*0.5+IF(Pathogens!L2&gt;=5,5,IF(Pathogens!L2&gt;=3,4,IF(Pathogens!L2&gt;=2,3,IF(Pathogens!L2&gt;=1.2,2,1))))*0.3+IF(Pathogens!M2=1,2,0)*0.2+IF(VLOOKUP(G$4,Countries!$B$2:$AN$55,12,FALSE)&gt;=2,0.5,0)),0)</f>
        <v>5</v>
      </c>
      <c r="AS5" s="62">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c r="AT5" s="62">
        <f>ROUND(MAX(1,MIN(5,(6-VLOOKUP(G$4,Countries!$B$2:$AN$55,10,FALSE))*0.5+(6-VLOOKUP(G$4,Countries!$B$2:$AN$55,11,FALSE))*0.4+(IF(AND(Pathogens!N2&gt;=0.5,VLOOKUP(G$4,Countries!$B$2:$AN$55,5,FALSE)&lt;60),5,IF(Pathogens!N2&gt;=0.5,4,IF(Pathogens!N2&gt;=0.3,3,IF(Pathogens!N2&gt;=0.1,2,1)))))*0.1)),0)</f>
        <v>2</v>
      </c>
      <c r="AU5" s="62">
        <f>IF(ISNUMBER(SEARCH("Vaccine-preventable",Pathogens!C2)),2,IF(ISNUMBER(SEARCH("AMR",Pathogens!C2)),5,IF(ISNUMBER(SEARCH("VHF",Pathogens!C2)),4,IF(ISNUMBER(SEARCH("Emerging",Pathogens!C2)),5,IF(ISNUMBER(SEARCH("Mycobacterial",Pathogens!C2)),3,IF(ISNUMBER(SEARCH("Helminth",Pathogens!C2)),3,IF(ISNUMBER(SEARCH("Respiratory",Pathogens!C2)),4,3)))))))</f>
        <v>2</v>
      </c>
      <c r="AV5" s="62">
        <f>IF(ISNUMBER(SEARCH("AMR",Pathogens!C2)),5,IF(ISNUMBER(SEARCH("Mycobacterial",Pathogens!C2)),4,IF(ISNUMBER(SEARCH("Enteric bacterial",Pathogens!C2)),3,IF(ISNUMBER(SEARCH("Bacterial",Pathogens!C2)),3,1))))</f>
        <v>1</v>
      </c>
      <c r="AW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 s="62">
        <f>(6-Pathogens!X2)</f>
        <v>2</v>
      </c>
      <c r="AY5" s="62">
        <f>ROUND(MIN(5,MAX(1,0.35*IF(Pathogens!R2=1,5,IF(Pathogens!R2=2,3,1))+0.2*IF(Pathogens!S2=1,5,IF(Pathogens!S2=2,3,1))+0.25*IF(Pathogens!W2=1,IF(VLOOKUP(G$4,Countries!$B$2:$AN$55,38,FALSE)&gt;=3,5,IF(VLOOKUP(G$4,Countries!$B$2:$AN$55,38,FALSE)=2,4,IF(VLOOKUP(G$4,Countries!$B$2:$AN$55,38,FALSE)=1,2,1))),5)+0.2*IF(VLOOKUP(G$4,Countries!$B$2:$AN$55,24,FALSE)&gt;=50,5,IF(VLOOKUP(G$4,Countries!$B$2:$AN$55,24,FALSE)&gt;=25,4,IF(VLOOKUP(G$4,Countries!$B$2:$AN$55,24,FALSE)&gt;=10,3,IF(VLOOKUP(G$4,Countries!$B$2:$AN$55,24,FALSE)&gt;=5,2,1)))))),0)</f>
        <v>4</v>
      </c>
      <c r="AZ5" s="62" t="str">
        <f>IFERROR(INDEX(Endemicity!$C$2:$BN$55,MATCH(G$4,Endemicity!$B$2:$B$55,0),MATCH($A5,Endemicity!$C$1:$BN$1,0)),"Sporadic")</f>
        <v>Sporadic</v>
      </c>
      <c r="BA5" s="62">
        <f>IF(Settings!$B$48="ON",IFERROR(MATCH($AZ5,Settings!$B$35:$F$35,0),5),5)</f>
        <v>2</v>
      </c>
    </row>
    <row r="6" customHeight="1" spans="1:53">
      <c r="A6" s="61" t="str">
        <f>Calculator!A35</f>
        <v>MEASLES</v>
      </c>
      <c r="B6" s="61" t="str">
        <f>Calculator!B35</f>
        <v>Measles virus</v>
      </c>
      <c r="C6" s="61" t="str">
        <f>Calculator!C35</f>
        <v>Vaccine-preventable viral</v>
      </c>
      <c r="D6" s="52">
        <f>IFERROR(ROUND(MIN(100,(($J6)*Settings!$C$23*INDEX(Settings!$B$36:$F$44,1,$T6)+($K6)*Settings!$C$24*INDEX(Settings!$B$36:$F$44,2,$T6)+($L6)*Settings!$C$25*INDEX(Settings!$B$36:$F$44,3,$T6)+($M6)*Settings!$C$26*INDEX(Settings!$B$36:$F$44,4,$T6)+($N6)*Settings!$C$27*INDEX(Settings!$B$36:$F$44,5,$T6)+($O6)*Settings!$C$28*INDEX(Settings!$B$36:$F$44,6,$T6)+($P6)*Settings!$C$29*INDEX(Settings!$B$36:$F$44,7,$T6)+($Q6)*Settings!$C$30*INDEX(Settings!$B$36:$F$44,8,$T6)+($R6)*Settings!$C$31*INDEX(Settings!$B$36:$F$44,9,$T6))/INDEX(Settings!$B$45:$F$45,1,$T6)/5*100*IF($S6="Not present",Settings!$B$51,1)),1),"")</f>
        <v>59</v>
      </c>
      <c r="E6" s="52">
        <f>IFERROR(ROUND(MIN(100,(($U6)*Settings!$C$23*INDEX(Settings!$B$36:$F$44,1,$AE6)+($V6)*Settings!$C$24*INDEX(Settings!$B$36:$F$44,2,$AE6)+($W6)*Settings!$C$25*INDEX(Settings!$B$36:$F$44,3,$AE6)+($X6)*Settings!$C$26*INDEX(Settings!$B$36:$F$44,4,$AE6)+($Y6)*Settings!$C$27*INDEX(Settings!$B$36:$F$44,5,$AE6)+($Z6)*Settings!$C$28*INDEX(Settings!$B$36:$F$44,6,$AE6)+($AA6)*Settings!$C$29*INDEX(Settings!$B$36:$F$44,7,$AE6)+($AB6)*Settings!$C$30*INDEX(Settings!$B$36:$F$44,8,$AE6)+($AC6)*Settings!$C$31*INDEX(Settings!$B$36:$F$44,9,$AE6))/INDEX(Settings!$B$45:$F$45,1,$AE6)/5*100*IF($AD6="Not present",Settings!$B$51,1)),1),"")</f>
        <v>64.6</v>
      </c>
      <c r="F6" s="52">
        <f>IFERROR(ROUND(MIN(100,(($AF6)*Settings!$C$23*INDEX(Settings!$B$36:$F$44,1,$AP6)+($AG6)*Settings!$C$24*INDEX(Settings!$B$36:$F$44,2,$AP6)+($AH6)*Settings!$C$25*INDEX(Settings!$B$36:$F$44,3,$AP6)+($AI6)*Settings!$C$26*INDEX(Settings!$B$36:$F$44,4,$AP6)+($AJ6)*Settings!$C$27*INDEX(Settings!$B$36:$F$44,5,$AP6)+($AK6)*Settings!$C$28*INDEX(Settings!$B$36:$F$44,6,$AP6)+($AL6)*Settings!$C$29*INDEX(Settings!$B$36:$F$44,7,$AP6)+($AM6)*Settings!$C$30*INDEX(Settings!$B$36:$F$44,8,$AP6)+($AN6)*Settings!$C$31*INDEX(Settings!$B$36:$F$44,9,$AP6))/INDEX(Settings!$B$45:$F$45,1,$AP6)/5*100*IF($AO6="Not present",Settings!$B$51,1)),1),"")</f>
        <v>59</v>
      </c>
      <c r="G6" s="52">
        <f>IFERROR(ROUND(MIN(100,(($AQ6)*Settings!$C$23*INDEX(Settings!$B$36:$F$44,1,$BA6)+($AR6)*Settings!$C$24*INDEX(Settings!$B$36:$F$44,2,$BA6)+($AS6)*Settings!$C$25*INDEX(Settings!$B$36:$F$44,3,$BA6)+($AT6)*Settings!$C$26*INDEX(Settings!$B$36:$F$44,4,$BA6)+($AU6)*Settings!$C$27*INDEX(Settings!$B$36:$F$44,5,$BA6)+($AV6)*Settings!$C$28*INDEX(Settings!$B$36:$F$44,6,$BA6)+($AW6)*Settings!$C$29*INDEX(Settings!$B$36:$F$44,7,$BA6)+($AX6)*Settings!$C$30*INDEX(Settings!$B$36:$F$44,8,$BA6)+($AY6)*Settings!$C$31*INDEX(Settings!$B$36:$F$44,9,$BA6))/INDEX(Settings!$B$45:$F$45,1,$BA6)/5*100*IF($AZ6="Not present",Settings!$B$51,1)),1),"")</f>
        <v>60.8</v>
      </c>
      <c r="J6" s="62">
        <f>ROUND(MIN(5,IF(Pathogens!I3&gt;=500,5,IF(Pathogens!I3&gt;=200,4,IF(Pathogens!I3&gt;=50,3,IF(Pathogens!I3&gt;=10,2,1))))*0.5+IF(Pathogens!J3&gt;=30,5,IF(Pathogens!J3&gt;=10,4,IF(Pathogens!J3&gt;=3,3,IF(Pathogens!J3&gt;=1,2,1))))*0.4+IF(AND(VLOOKUP(D$4,Countries!$B$2:$AN$55,4,FALSE)&gt;=80,Pathogens!N3&gt;=0.5),1,0)*0.1+IF(VLOOKUP(D$4,Countries!$B$2:$AN$55,7,FALSE)&lt;50,0.3,0)),0)</f>
        <v>3</v>
      </c>
      <c r="K6" s="62">
        <f>ROUND(MIN(5,IF(Pathogens!K3&gt;=8,5,IF(Pathogens!K3&gt;=5,4,IF(Pathogens!K3&gt;=3,3,IF(Pathogens!K3&gt;=1,2,1))))*0.5+IF(Pathogens!L3&gt;=5,5,IF(Pathogens!L3&gt;=3,4,IF(Pathogens!L3&gt;=2,3,IF(Pathogens!L3&gt;=1.2,2,1))))*0.3+IF(Pathogens!M3=1,2,0)*0.2+IF(VLOOKUP(D$4,Countries!$B$2:$AN$55,12,FALSE)&gt;=2,0.5,0)),0)</f>
        <v>5</v>
      </c>
      <c r="L6" s="62">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c r="M6" s="62">
        <f>ROUND(MAX(1,MIN(5,(6-VLOOKUP(D$4,Countries!$B$2:$AN$55,10,FALSE))*0.5+(6-VLOOKUP(D$4,Countries!$B$2:$AN$55,11,FALSE))*0.4+(IF(AND(Pathogens!N3&gt;=0.5,VLOOKUP(D$4,Countries!$B$2:$AN$55,5,FALSE)&lt;60),5,IF(Pathogens!N3&gt;=0.5,4,IF(Pathogens!N3&gt;=0.3,3,IF(Pathogens!N3&gt;=0.1,2,1)))))*0.1)),0)</f>
        <v>2</v>
      </c>
      <c r="N6" s="62">
        <f>IF(ISNUMBER(SEARCH("Vaccine-preventable",Pathogens!C3)),2,IF(ISNUMBER(SEARCH("AMR",Pathogens!C3)),5,IF(ISNUMBER(SEARCH("VHF",Pathogens!C3)),4,IF(ISNUMBER(SEARCH("Emerging",Pathogens!C3)),5,IF(ISNUMBER(SEARCH("Mycobacterial",Pathogens!C3)),3,IF(ISNUMBER(SEARCH("Helminth",Pathogens!C3)),3,IF(ISNUMBER(SEARCH("Respiratory",Pathogens!C3)),4,3)))))))</f>
        <v>2</v>
      </c>
      <c r="O6" s="62">
        <f>IF(ISNUMBER(SEARCH("AMR",Pathogens!C3)),5,IF(ISNUMBER(SEARCH("Mycobacterial",Pathogens!C3)),4,IF(ISNUMBER(SEARCH("Enteric bacterial",Pathogens!C3)),3,IF(ISNUMBER(SEARCH("Bacterial",Pathogens!C3)),3,1))))</f>
        <v>1</v>
      </c>
      <c r="P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 s="62">
        <f>(6-Pathogens!X3)</f>
        <v>2</v>
      </c>
      <c r="R6" s="62">
        <f>ROUND(MIN(5,MAX(1,0.35*IF(Pathogens!R3=1,5,IF(Pathogens!R3=2,3,1))+0.2*IF(Pathogens!S3=1,5,IF(Pathogens!S3=2,3,1))+0.25*IF(Pathogens!W3=1,IF(VLOOKUP(D$4,Countries!$B$2:$AN$55,38,FALSE)&gt;=3,5,IF(VLOOKUP(D$4,Countries!$B$2:$AN$55,38,FALSE)=2,4,IF(VLOOKUP(D$4,Countries!$B$2:$AN$55,38,FALSE)=1,2,1))),5)+0.2*IF(VLOOKUP(D$4,Countries!$B$2:$AN$55,24,FALSE)&gt;=50,5,IF(VLOOKUP(D$4,Countries!$B$2:$AN$55,24,FALSE)&gt;=25,4,IF(VLOOKUP(D$4,Countries!$B$2:$AN$55,24,FALSE)&gt;=10,3,IF(VLOOKUP(D$4,Countries!$B$2:$AN$55,24,FALSE)&gt;=5,2,1)))))),0)</f>
        <v>4</v>
      </c>
      <c r="S6" s="62" t="str">
        <f>IFERROR(INDEX(Endemicity!$C$2:$BN$55,MATCH(D$4,Endemicity!$B$2:$B$55,0),MATCH($A6,Endemicity!$C$1:$BN$1,0)),"Sporadic")</f>
        <v>Endemic</v>
      </c>
      <c r="T6" s="62">
        <f>IF(Settings!$B$48="ON",IFERROR(MATCH($S6,Settings!$B$35:$F$35,0),5),5)</f>
        <v>1</v>
      </c>
      <c r="U6" s="62">
        <f>ROUND(MIN(5,IF(Pathogens!I3&gt;=500,5,IF(Pathogens!I3&gt;=200,4,IF(Pathogens!I3&gt;=50,3,IF(Pathogens!I3&gt;=10,2,1))))*0.5+IF(Pathogens!J3&gt;=30,5,IF(Pathogens!J3&gt;=10,4,IF(Pathogens!J3&gt;=3,3,IF(Pathogens!J3&gt;=1,2,1))))*0.4+IF(AND(VLOOKUP(E$4,Countries!$B$2:$AN$55,4,FALSE)&gt;=80,Pathogens!N3&gt;=0.5),1,0)*0.1+IF(VLOOKUP(E$4,Countries!$B$2:$AN$55,7,FALSE)&lt;50,0.3,0)),0)</f>
        <v>3</v>
      </c>
      <c r="V6" s="62">
        <f>ROUND(MIN(5,IF(Pathogens!K3&gt;=8,5,IF(Pathogens!K3&gt;=5,4,IF(Pathogens!K3&gt;=3,3,IF(Pathogens!K3&gt;=1,2,1))))*0.5+IF(Pathogens!L3&gt;=5,5,IF(Pathogens!L3&gt;=3,4,IF(Pathogens!L3&gt;=2,3,IF(Pathogens!L3&gt;=1.2,2,1))))*0.3+IF(Pathogens!M3=1,2,0)*0.2+IF(VLOOKUP(E$4,Countries!$B$2:$AN$55,12,FALSE)&gt;=2,0.5,0)),0)</f>
        <v>5</v>
      </c>
      <c r="W6" s="62">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c r="X6" s="62">
        <f>ROUND(MAX(1,MIN(5,(6-VLOOKUP(E$4,Countries!$B$2:$AN$55,10,FALSE))*0.5+(6-VLOOKUP(E$4,Countries!$B$2:$AN$55,11,FALSE))*0.4+(IF(AND(Pathogens!N3&gt;=0.5,VLOOKUP(E$4,Countries!$B$2:$AN$55,5,FALSE)&lt;60),5,IF(Pathogens!N3&gt;=0.5,4,IF(Pathogens!N3&gt;=0.3,3,IF(Pathogens!N3&gt;=0.1,2,1)))))*0.1)),0)</f>
        <v>3</v>
      </c>
      <c r="Y6" s="62">
        <f>IF(ISNUMBER(SEARCH("Vaccine-preventable",Pathogens!C3)),2,IF(ISNUMBER(SEARCH("AMR",Pathogens!C3)),5,IF(ISNUMBER(SEARCH("VHF",Pathogens!C3)),4,IF(ISNUMBER(SEARCH("Emerging",Pathogens!C3)),5,IF(ISNUMBER(SEARCH("Mycobacterial",Pathogens!C3)),3,IF(ISNUMBER(SEARCH("Helminth",Pathogens!C3)),3,IF(ISNUMBER(SEARCH("Respiratory",Pathogens!C3)),4,3)))))))</f>
        <v>2</v>
      </c>
      <c r="Z6" s="62">
        <f>IF(ISNUMBER(SEARCH("AMR",Pathogens!C3)),5,IF(ISNUMBER(SEARCH("Mycobacterial",Pathogens!C3)),4,IF(ISNUMBER(SEARCH("Enteric bacterial",Pathogens!C3)),3,IF(ISNUMBER(SEARCH("Bacterial",Pathogens!C3)),3,1))))</f>
        <v>1</v>
      </c>
      <c r="AA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 s="62">
        <f>(6-Pathogens!X3)</f>
        <v>2</v>
      </c>
      <c r="AC6" s="62">
        <f>ROUND(MIN(5,MAX(1,0.35*IF(Pathogens!R3=1,5,IF(Pathogens!R3=2,3,1))+0.2*IF(Pathogens!S3=1,5,IF(Pathogens!S3=2,3,1))+0.25*IF(Pathogens!W3=1,IF(VLOOKUP(E$4,Countries!$B$2:$AN$55,38,FALSE)&gt;=3,5,IF(VLOOKUP(E$4,Countries!$B$2:$AN$55,38,FALSE)=2,4,IF(VLOOKUP(E$4,Countries!$B$2:$AN$55,38,FALSE)=1,2,1))),5)+0.2*IF(VLOOKUP(E$4,Countries!$B$2:$AN$55,24,FALSE)&gt;=50,5,IF(VLOOKUP(E$4,Countries!$B$2:$AN$55,24,FALSE)&gt;=25,4,IF(VLOOKUP(E$4,Countries!$B$2:$AN$55,24,FALSE)&gt;=10,3,IF(VLOOKUP(E$4,Countries!$B$2:$AN$55,24,FALSE)&gt;=5,2,1)))))),0)</f>
        <v>4</v>
      </c>
      <c r="AD6" s="62" t="str">
        <f>IFERROR(INDEX(Endemicity!$C$2:$BN$55,MATCH(E$4,Endemicity!$B$2:$B$55,0),MATCH($A6,Endemicity!$C$1:$BN$1,0)),"Sporadic")</f>
        <v>Endemic</v>
      </c>
      <c r="AE6" s="62">
        <f>IF(Settings!$B$48="ON",IFERROR(MATCH($AD6,Settings!$B$35:$F$35,0),5),5)</f>
        <v>1</v>
      </c>
      <c r="AF6" s="62">
        <f>ROUND(MIN(5,IF(Pathogens!I3&gt;=500,5,IF(Pathogens!I3&gt;=200,4,IF(Pathogens!I3&gt;=50,3,IF(Pathogens!I3&gt;=10,2,1))))*0.5+IF(Pathogens!J3&gt;=30,5,IF(Pathogens!J3&gt;=10,4,IF(Pathogens!J3&gt;=3,3,IF(Pathogens!J3&gt;=1,2,1))))*0.4+IF(AND(VLOOKUP(F$4,Countries!$B$2:$AN$55,4,FALSE)&gt;=80,Pathogens!N3&gt;=0.5),1,0)*0.1+IF(VLOOKUP(F$4,Countries!$B$2:$AN$55,7,FALSE)&lt;50,0.3,0)),0)</f>
        <v>3</v>
      </c>
      <c r="AG6" s="62">
        <f>ROUND(MIN(5,IF(Pathogens!K3&gt;=8,5,IF(Pathogens!K3&gt;=5,4,IF(Pathogens!K3&gt;=3,3,IF(Pathogens!K3&gt;=1,2,1))))*0.5+IF(Pathogens!L3&gt;=5,5,IF(Pathogens!L3&gt;=3,4,IF(Pathogens!L3&gt;=2,3,IF(Pathogens!L3&gt;=1.2,2,1))))*0.3+IF(Pathogens!M3=1,2,0)*0.2+IF(VLOOKUP(F$4,Countries!$B$2:$AN$55,12,FALSE)&gt;=2,0.5,0)),0)</f>
        <v>5</v>
      </c>
      <c r="AH6" s="62">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c r="AI6" s="62">
        <f>ROUND(MAX(1,MIN(5,(6-VLOOKUP(F$4,Countries!$B$2:$AN$55,10,FALSE))*0.5+(6-VLOOKUP(F$4,Countries!$B$2:$AN$55,11,FALSE))*0.4+(IF(AND(Pathogens!N3&gt;=0.5,VLOOKUP(F$4,Countries!$B$2:$AN$55,5,FALSE)&lt;60),5,IF(Pathogens!N3&gt;=0.5,4,IF(Pathogens!N3&gt;=0.3,3,IF(Pathogens!N3&gt;=0.1,2,1)))))*0.1)),0)</f>
        <v>2</v>
      </c>
      <c r="AJ6" s="62">
        <f>IF(ISNUMBER(SEARCH("Vaccine-preventable",Pathogens!C3)),2,IF(ISNUMBER(SEARCH("AMR",Pathogens!C3)),5,IF(ISNUMBER(SEARCH("VHF",Pathogens!C3)),4,IF(ISNUMBER(SEARCH("Emerging",Pathogens!C3)),5,IF(ISNUMBER(SEARCH("Mycobacterial",Pathogens!C3)),3,IF(ISNUMBER(SEARCH("Helminth",Pathogens!C3)),3,IF(ISNUMBER(SEARCH("Respiratory",Pathogens!C3)),4,3)))))))</f>
        <v>2</v>
      </c>
      <c r="AK6" s="62">
        <f>IF(ISNUMBER(SEARCH("AMR",Pathogens!C3)),5,IF(ISNUMBER(SEARCH("Mycobacterial",Pathogens!C3)),4,IF(ISNUMBER(SEARCH("Enteric bacterial",Pathogens!C3)),3,IF(ISNUMBER(SEARCH("Bacterial",Pathogens!C3)),3,1))))</f>
        <v>1</v>
      </c>
      <c r="AL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 s="62">
        <f>(6-Pathogens!X3)</f>
        <v>2</v>
      </c>
      <c r="AN6" s="62">
        <f>ROUND(MIN(5,MAX(1,0.35*IF(Pathogens!R3=1,5,IF(Pathogens!R3=2,3,1))+0.2*IF(Pathogens!S3=1,5,IF(Pathogens!S3=2,3,1))+0.25*IF(Pathogens!W3=1,IF(VLOOKUP(F$4,Countries!$B$2:$AN$55,38,FALSE)&gt;=3,5,IF(VLOOKUP(F$4,Countries!$B$2:$AN$55,38,FALSE)=2,4,IF(VLOOKUP(F$4,Countries!$B$2:$AN$55,38,FALSE)=1,2,1))),5)+0.2*IF(VLOOKUP(F$4,Countries!$B$2:$AN$55,24,FALSE)&gt;=50,5,IF(VLOOKUP(F$4,Countries!$B$2:$AN$55,24,FALSE)&gt;=25,4,IF(VLOOKUP(F$4,Countries!$B$2:$AN$55,24,FALSE)&gt;=10,3,IF(VLOOKUP(F$4,Countries!$B$2:$AN$55,24,FALSE)&gt;=5,2,1)))))),0)</f>
        <v>4</v>
      </c>
      <c r="AO6" s="62" t="str">
        <f>IFERROR(INDEX(Endemicity!$C$2:$BN$55,MATCH(F$4,Endemicity!$B$2:$B$55,0),MATCH($A6,Endemicity!$C$1:$BN$1,0)),"Sporadic")</f>
        <v>Endemic</v>
      </c>
      <c r="AP6" s="62">
        <f>IF(Settings!$B$48="ON",IFERROR(MATCH($AO6,Settings!$B$35:$F$35,0),5),5)</f>
        <v>1</v>
      </c>
      <c r="AQ6" s="62">
        <f>ROUND(MIN(5,IF(Pathogens!I3&gt;=500,5,IF(Pathogens!I3&gt;=200,4,IF(Pathogens!I3&gt;=50,3,IF(Pathogens!I3&gt;=10,2,1))))*0.5+IF(Pathogens!J3&gt;=30,5,IF(Pathogens!J3&gt;=10,4,IF(Pathogens!J3&gt;=3,3,IF(Pathogens!J3&gt;=1,2,1))))*0.4+IF(AND(VLOOKUP(G$4,Countries!$B$2:$AN$55,4,FALSE)&gt;=80,Pathogens!N3&gt;=0.5),1,0)*0.1+IF(VLOOKUP(G$4,Countries!$B$2:$AN$55,7,FALSE)&lt;50,0.3,0)),0)</f>
        <v>3</v>
      </c>
      <c r="AR6" s="62">
        <f>ROUND(MIN(5,IF(Pathogens!K3&gt;=8,5,IF(Pathogens!K3&gt;=5,4,IF(Pathogens!K3&gt;=3,3,IF(Pathogens!K3&gt;=1,2,1))))*0.5+IF(Pathogens!L3&gt;=5,5,IF(Pathogens!L3&gt;=3,4,IF(Pathogens!L3&gt;=2,3,IF(Pathogens!L3&gt;=1.2,2,1))))*0.3+IF(Pathogens!M3=1,2,0)*0.2+IF(VLOOKUP(G$4,Countries!$B$2:$AN$55,12,FALSE)&gt;=2,0.5,0)),0)</f>
        <v>5</v>
      </c>
      <c r="AS6" s="62">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c r="AT6" s="62">
        <f>ROUND(MAX(1,MIN(5,(6-VLOOKUP(G$4,Countries!$B$2:$AN$55,10,FALSE))*0.5+(6-VLOOKUP(G$4,Countries!$B$2:$AN$55,11,FALSE))*0.4+(IF(AND(Pathogens!N3&gt;=0.5,VLOOKUP(G$4,Countries!$B$2:$AN$55,5,FALSE)&lt;60),5,IF(Pathogens!N3&gt;=0.5,4,IF(Pathogens!N3&gt;=0.3,3,IF(Pathogens!N3&gt;=0.1,2,1)))))*0.1)),0)</f>
        <v>2</v>
      </c>
      <c r="AU6" s="62">
        <f>IF(ISNUMBER(SEARCH("Vaccine-preventable",Pathogens!C3)),2,IF(ISNUMBER(SEARCH("AMR",Pathogens!C3)),5,IF(ISNUMBER(SEARCH("VHF",Pathogens!C3)),4,IF(ISNUMBER(SEARCH("Emerging",Pathogens!C3)),5,IF(ISNUMBER(SEARCH("Mycobacterial",Pathogens!C3)),3,IF(ISNUMBER(SEARCH("Helminth",Pathogens!C3)),3,IF(ISNUMBER(SEARCH("Respiratory",Pathogens!C3)),4,3)))))))</f>
        <v>2</v>
      </c>
      <c r="AV6" s="62">
        <f>IF(ISNUMBER(SEARCH("AMR",Pathogens!C3)),5,IF(ISNUMBER(SEARCH("Mycobacterial",Pathogens!C3)),4,IF(ISNUMBER(SEARCH("Enteric bacterial",Pathogens!C3)),3,IF(ISNUMBER(SEARCH("Bacterial",Pathogens!C3)),3,1))))</f>
        <v>1</v>
      </c>
      <c r="AW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 s="62">
        <f>(6-Pathogens!X3)</f>
        <v>2</v>
      </c>
      <c r="AY6" s="62">
        <f>ROUND(MIN(5,MAX(1,0.35*IF(Pathogens!R3=1,5,IF(Pathogens!R3=2,3,1))+0.2*IF(Pathogens!S3=1,5,IF(Pathogens!S3=2,3,1))+0.25*IF(Pathogens!W3=1,IF(VLOOKUP(G$4,Countries!$B$2:$AN$55,38,FALSE)&gt;=3,5,IF(VLOOKUP(G$4,Countries!$B$2:$AN$55,38,FALSE)=2,4,IF(VLOOKUP(G$4,Countries!$B$2:$AN$55,38,FALSE)=1,2,1))),5)+0.2*IF(VLOOKUP(G$4,Countries!$B$2:$AN$55,24,FALSE)&gt;=50,5,IF(VLOOKUP(G$4,Countries!$B$2:$AN$55,24,FALSE)&gt;=25,4,IF(VLOOKUP(G$4,Countries!$B$2:$AN$55,24,FALSE)&gt;=10,3,IF(VLOOKUP(G$4,Countries!$B$2:$AN$55,24,FALSE)&gt;=5,2,1)))))),0)</f>
        <v>4</v>
      </c>
      <c r="AZ6" s="62" t="str">
        <f>IFERROR(INDEX(Endemicity!$C$2:$BN$55,MATCH(G$4,Endemicity!$B$2:$B$55,0),MATCH($A6,Endemicity!$C$1:$BN$1,0)),"Sporadic")</f>
        <v>Endemic</v>
      </c>
      <c r="BA6" s="62">
        <f>IF(Settings!$B$48="ON",IFERROR(MATCH($AZ6,Settings!$B$35:$F$35,0),5),5)</f>
        <v>1</v>
      </c>
    </row>
    <row r="7" customHeight="1" spans="1:53">
      <c r="A7" s="61" t="str">
        <f>Calculator!A36</f>
        <v>RUBELLA</v>
      </c>
      <c r="B7" s="61" t="str">
        <f>Calculator!B36</f>
        <v>Rubella virus</v>
      </c>
      <c r="C7" s="61" t="str">
        <f>Calculator!C36</f>
        <v>Vaccine-preventable viral</v>
      </c>
      <c r="D7" s="52">
        <f>IFERROR(ROUND(MIN(100,(($J7)*Settings!$C$23*INDEX(Settings!$B$36:$F$44,1,$T7)+($K7)*Settings!$C$24*INDEX(Settings!$B$36:$F$44,2,$T7)+($L7)*Settings!$C$25*INDEX(Settings!$B$36:$F$44,3,$T7)+($M7)*Settings!$C$26*INDEX(Settings!$B$36:$F$44,4,$T7)+($N7)*Settings!$C$27*INDEX(Settings!$B$36:$F$44,5,$T7)+($O7)*Settings!$C$28*INDEX(Settings!$B$36:$F$44,6,$T7)+($P7)*Settings!$C$29*INDEX(Settings!$B$36:$F$44,7,$T7)+($Q7)*Settings!$C$30*INDEX(Settings!$B$36:$F$44,8,$T7)+($R7)*Settings!$C$31*INDEX(Settings!$B$36:$F$44,9,$T7))/INDEX(Settings!$B$45:$F$45,1,$T7)/5*100*IF($S7="Not present",Settings!$B$51,1)),1),"")</f>
        <v>56</v>
      </c>
      <c r="E7" s="52">
        <f>IFERROR(ROUND(MIN(100,(($U7)*Settings!$C$23*INDEX(Settings!$B$36:$F$44,1,$AE7)+($V7)*Settings!$C$24*INDEX(Settings!$B$36:$F$44,2,$AE7)+($W7)*Settings!$C$25*INDEX(Settings!$B$36:$F$44,3,$AE7)+($X7)*Settings!$C$26*INDEX(Settings!$B$36:$F$44,4,$AE7)+($Y7)*Settings!$C$27*INDEX(Settings!$B$36:$F$44,5,$AE7)+($Z7)*Settings!$C$28*INDEX(Settings!$B$36:$F$44,6,$AE7)+($AA7)*Settings!$C$29*INDEX(Settings!$B$36:$F$44,7,$AE7)+($AB7)*Settings!$C$30*INDEX(Settings!$B$36:$F$44,8,$AE7)+($AC7)*Settings!$C$31*INDEX(Settings!$B$36:$F$44,9,$AE7))/INDEX(Settings!$B$45:$F$45,1,$AE7)/5*100*IF($AD7="Not present",Settings!$B$51,1)),1),"")</f>
        <v>54.8</v>
      </c>
      <c r="F7" s="52">
        <f>IFERROR(ROUND(MIN(100,(($AF7)*Settings!$C$23*INDEX(Settings!$B$36:$F$44,1,$AP7)+($AG7)*Settings!$C$24*INDEX(Settings!$B$36:$F$44,2,$AP7)+($AH7)*Settings!$C$25*INDEX(Settings!$B$36:$F$44,3,$AP7)+($AI7)*Settings!$C$26*INDEX(Settings!$B$36:$F$44,4,$AP7)+($AJ7)*Settings!$C$27*INDEX(Settings!$B$36:$F$44,5,$AP7)+($AK7)*Settings!$C$28*INDEX(Settings!$B$36:$F$44,6,$AP7)+($AL7)*Settings!$C$29*INDEX(Settings!$B$36:$F$44,7,$AP7)+($AM7)*Settings!$C$30*INDEX(Settings!$B$36:$F$44,8,$AP7)+($AN7)*Settings!$C$31*INDEX(Settings!$B$36:$F$44,9,$AP7))/INDEX(Settings!$B$45:$F$45,1,$AP7)/5*100*IF($AO7="Not present",Settings!$B$51,1)),1),"")</f>
        <v>56</v>
      </c>
      <c r="G7" s="52">
        <f>IFERROR(ROUND(MIN(100,(($AQ7)*Settings!$C$23*INDEX(Settings!$B$36:$F$44,1,$BA7)+($AR7)*Settings!$C$24*INDEX(Settings!$B$36:$F$44,2,$BA7)+($AS7)*Settings!$C$25*INDEX(Settings!$B$36:$F$44,3,$BA7)+($AT7)*Settings!$C$26*INDEX(Settings!$B$36:$F$44,4,$BA7)+($AU7)*Settings!$C$27*INDEX(Settings!$B$36:$F$44,5,$BA7)+($AV7)*Settings!$C$28*INDEX(Settings!$B$36:$F$44,6,$BA7)+($AW7)*Settings!$C$29*INDEX(Settings!$B$36:$F$44,7,$BA7)+($AX7)*Settings!$C$30*INDEX(Settings!$B$36:$F$44,8,$BA7)+($AY7)*Settings!$C$31*INDEX(Settings!$B$36:$F$44,9,$BA7))/INDEX(Settings!$B$45:$F$45,1,$BA7)/5*100*IF($AZ7="Not present",Settings!$B$51,1)),1),"")</f>
        <v>57.3</v>
      </c>
      <c r="J7" s="62">
        <f>ROUND(MIN(5,IF(Pathogens!I4&gt;=500,5,IF(Pathogens!I4&gt;=200,4,IF(Pathogens!I4&gt;=50,3,IF(Pathogens!I4&gt;=10,2,1))))*0.5+IF(Pathogens!J4&gt;=30,5,IF(Pathogens!J4&gt;=10,4,IF(Pathogens!J4&gt;=3,3,IF(Pathogens!J4&gt;=1,2,1))))*0.4+IF(AND(VLOOKUP(D$4,Countries!$B$2:$AN$55,4,FALSE)&gt;=80,Pathogens!N4&gt;=0.5),1,0)*0.1+IF(VLOOKUP(D$4,Countries!$B$2:$AN$55,7,FALSE)&lt;50,0.3,0)),0)</f>
        <v>2</v>
      </c>
      <c r="K7" s="62">
        <f>ROUND(MIN(5,IF(Pathogens!K4&gt;=8,5,IF(Pathogens!K4&gt;=5,4,IF(Pathogens!K4&gt;=3,3,IF(Pathogens!K4&gt;=1,2,1))))*0.5+IF(Pathogens!L4&gt;=5,5,IF(Pathogens!L4&gt;=3,4,IF(Pathogens!L4&gt;=2,3,IF(Pathogens!L4&gt;=1.2,2,1))))*0.3+IF(Pathogens!M4=1,2,0)*0.2+IF(VLOOKUP(D$4,Countries!$B$2:$AN$55,12,FALSE)&gt;=2,0.5,0)),0)</f>
        <v>4</v>
      </c>
      <c r="L7" s="62">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c r="M7" s="62">
        <f>ROUND(MAX(1,MIN(5,(6-VLOOKUP(D$4,Countries!$B$2:$AN$55,10,FALSE))*0.5+(6-VLOOKUP(D$4,Countries!$B$2:$AN$55,11,FALSE))*0.4+(IF(AND(Pathogens!N4&gt;=0.5,VLOOKUP(D$4,Countries!$B$2:$AN$55,5,FALSE)&lt;60),5,IF(Pathogens!N4&gt;=0.5,4,IF(Pathogens!N4&gt;=0.3,3,IF(Pathogens!N4&gt;=0.1,2,1)))))*0.1)),0)</f>
        <v>2</v>
      </c>
      <c r="N7" s="62">
        <f>IF(ISNUMBER(SEARCH("Vaccine-preventable",Pathogens!C4)),2,IF(ISNUMBER(SEARCH("AMR",Pathogens!C4)),5,IF(ISNUMBER(SEARCH("VHF",Pathogens!C4)),4,IF(ISNUMBER(SEARCH("Emerging",Pathogens!C4)),5,IF(ISNUMBER(SEARCH("Mycobacterial",Pathogens!C4)),3,IF(ISNUMBER(SEARCH("Helminth",Pathogens!C4)),3,IF(ISNUMBER(SEARCH("Respiratory",Pathogens!C4)),4,3)))))))</f>
        <v>2</v>
      </c>
      <c r="O7" s="62">
        <f>IF(ISNUMBER(SEARCH("AMR",Pathogens!C4)),5,IF(ISNUMBER(SEARCH("Mycobacterial",Pathogens!C4)),4,IF(ISNUMBER(SEARCH("Enteric bacterial",Pathogens!C4)),3,IF(ISNUMBER(SEARCH("Bacterial",Pathogens!C4)),3,1))))</f>
        <v>1</v>
      </c>
      <c r="P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7" s="62">
        <f>(6-Pathogens!X4)</f>
        <v>4</v>
      </c>
      <c r="R7" s="62">
        <f>ROUND(MIN(5,MAX(1,0.35*IF(Pathogens!R4=1,5,IF(Pathogens!R4=2,3,1))+0.2*IF(Pathogens!S4=1,5,IF(Pathogens!S4=2,3,1))+0.25*IF(Pathogens!W4=1,IF(VLOOKUP(D$4,Countries!$B$2:$AN$55,38,FALSE)&gt;=3,5,IF(VLOOKUP(D$4,Countries!$B$2:$AN$55,38,FALSE)=2,4,IF(VLOOKUP(D$4,Countries!$B$2:$AN$55,38,FALSE)=1,2,1))),5)+0.2*IF(VLOOKUP(D$4,Countries!$B$2:$AN$55,24,FALSE)&gt;=50,5,IF(VLOOKUP(D$4,Countries!$B$2:$AN$55,24,FALSE)&gt;=25,4,IF(VLOOKUP(D$4,Countries!$B$2:$AN$55,24,FALSE)&gt;=10,3,IF(VLOOKUP(D$4,Countries!$B$2:$AN$55,24,FALSE)&gt;=5,2,1)))))),0)</f>
        <v>4</v>
      </c>
      <c r="S7" s="62" t="str">
        <f>IFERROR(INDEX(Endemicity!$C$2:$BN$55,MATCH(D$4,Endemicity!$B$2:$B$55,0),MATCH($A7,Endemicity!$C$1:$BN$1,0)),"Sporadic")</f>
        <v>Sporadic</v>
      </c>
      <c r="T7" s="62">
        <f>IF(Settings!$B$48="ON",IFERROR(MATCH($S7,Settings!$B$35:$F$35,0),5),5)</f>
        <v>2</v>
      </c>
      <c r="U7" s="62">
        <f>ROUND(MIN(5,IF(Pathogens!I4&gt;=500,5,IF(Pathogens!I4&gt;=200,4,IF(Pathogens!I4&gt;=50,3,IF(Pathogens!I4&gt;=10,2,1))))*0.5+IF(Pathogens!J4&gt;=30,5,IF(Pathogens!J4&gt;=10,4,IF(Pathogens!J4&gt;=3,3,IF(Pathogens!J4&gt;=1,2,1))))*0.4+IF(AND(VLOOKUP(E$4,Countries!$B$2:$AN$55,4,FALSE)&gt;=80,Pathogens!N4&gt;=0.5),1,0)*0.1+IF(VLOOKUP(E$4,Countries!$B$2:$AN$55,7,FALSE)&lt;50,0.3,0)),0)</f>
        <v>2</v>
      </c>
      <c r="V7" s="62">
        <f>ROUND(MIN(5,IF(Pathogens!K4&gt;=8,5,IF(Pathogens!K4&gt;=5,4,IF(Pathogens!K4&gt;=3,3,IF(Pathogens!K4&gt;=1,2,1))))*0.5+IF(Pathogens!L4&gt;=5,5,IF(Pathogens!L4&gt;=3,4,IF(Pathogens!L4&gt;=2,3,IF(Pathogens!L4&gt;=1.2,2,1))))*0.3+IF(Pathogens!M4=1,2,0)*0.2+IF(VLOOKUP(E$4,Countries!$B$2:$AN$55,12,FALSE)&gt;=2,0.5,0)),0)</f>
        <v>4</v>
      </c>
      <c r="W7" s="62">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c r="X7" s="62">
        <f>ROUND(MAX(1,MIN(5,(6-VLOOKUP(E$4,Countries!$B$2:$AN$55,10,FALSE))*0.5+(6-VLOOKUP(E$4,Countries!$B$2:$AN$55,11,FALSE))*0.4+(IF(AND(Pathogens!N4&gt;=0.5,VLOOKUP(E$4,Countries!$B$2:$AN$55,5,FALSE)&lt;60),5,IF(Pathogens!N4&gt;=0.5,4,IF(Pathogens!N4&gt;=0.3,3,IF(Pathogens!N4&gt;=0.1,2,1)))))*0.1)),0)</f>
        <v>2</v>
      </c>
      <c r="Y7" s="62">
        <f>IF(ISNUMBER(SEARCH("Vaccine-preventable",Pathogens!C4)),2,IF(ISNUMBER(SEARCH("AMR",Pathogens!C4)),5,IF(ISNUMBER(SEARCH("VHF",Pathogens!C4)),4,IF(ISNUMBER(SEARCH("Emerging",Pathogens!C4)),5,IF(ISNUMBER(SEARCH("Mycobacterial",Pathogens!C4)),3,IF(ISNUMBER(SEARCH("Helminth",Pathogens!C4)),3,IF(ISNUMBER(SEARCH("Respiratory",Pathogens!C4)),4,3)))))))</f>
        <v>2</v>
      </c>
      <c r="Z7" s="62">
        <f>IF(ISNUMBER(SEARCH("AMR",Pathogens!C4)),5,IF(ISNUMBER(SEARCH("Mycobacterial",Pathogens!C4)),4,IF(ISNUMBER(SEARCH("Enteric bacterial",Pathogens!C4)),3,IF(ISNUMBER(SEARCH("Bacterial",Pathogens!C4)),3,1))))</f>
        <v>1</v>
      </c>
      <c r="AA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7" s="62">
        <f>(6-Pathogens!X4)</f>
        <v>4</v>
      </c>
      <c r="AC7" s="62">
        <f>ROUND(MIN(5,MAX(1,0.35*IF(Pathogens!R4=1,5,IF(Pathogens!R4=2,3,1))+0.2*IF(Pathogens!S4=1,5,IF(Pathogens!S4=2,3,1))+0.25*IF(Pathogens!W4=1,IF(VLOOKUP(E$4,Countries!$B$2:$AN$55,38,FALSE)&gt;=3,5,IF(VLOOKUP(E$4,Countries!$B$2:$AN$55,38,FALSE)=2,4,IF(VLOOKUP(E$4,Countries!$B$2:$AN$55,38,FALSE)=1,2,1))),5)+0.2*IF(VLOOKUP(E$4,Countries!$B$2:$AN$55,24,FALSE)&gt;=50,5,IF(VLOOKUP(E$4,Countries!$B$2:$AN$55,24,FALSE)&gt;=25,4,IF(VLOOKUP(E$4,Countries!$B$2:$AN$55,24,FALSE)&gt;=10,3,IF(VLOOKUP(E$4,Countries!$B$2:$AN$55,24,FALSE)&gt;=5,2,1)))))),0)</f>
        <v>4</v>
      </c>
      <c r="AD7" s="62" t="str">
        <f>IFERROR(INDEX(Endemicity!$C$2:$BN$55,MATCH(E$4,Endemicity!$B$2:$B$55,0),MATCH($A7,Endemicity!$C$1:$BN$1,0)),"Sporadic")</f>
        <v>Endemic</v>
      </c>
      <c r="AE7" s="62">
        <f>IF(Settings!$B$48="ON",IFERROR(MATCH($AD7,Settings!$B$35:$F$35,0),5),5)</f>
        <v>1</v>
      </c>
      <c r="AF7" s="62">
        <f>ROUND(MIN(5,IF(Pathogens!I4&gt;=500,5,IF(Pathogens!I4&gt;=200,4,IF(Pathogens!I4&gt;=50,3,IF(Pathogens!I4&gt;=10,2,1))))*0.5+IF(Pathogens!J4&gt;=30,5,IF(Pathogens!J4&gt;=10,4,IF(Pathogens!J4&gt;=3,3,IF(Pathogens!J4&gt;=1,2,1))))*0.4+IF(AND(VLOOKUP(F$4,Countries!$B$2:$AN$55,4,FALSE)&gt;=80,Pathogens!N4&gt;=0.5),1,0)*0.1+IF(VLOOKUP(F$4,Countries!$B$2:$AN$55,7,FALSE)&lt;50,0.3,0)),0)</f>
        <v>2</v>
      </c>
      <c r="AG7" s="62">
        <f>ROUND(MIN(5,IF(Pathogens!K4&gt;=8,5,IF(Pathogens!K4&gt;=5,4,IF(Pathogens!K4&gt;=3,3,IF(Pathogens!K4&gt;=1,2,1))))*0.5+IF(Pathogens!L4&gt;=5,5,IF(Pathogens!L4&gt;=3,4,IF(Pathogens!L4&gt;=2,3,IF(Pathogens!L4&gt;=1.2,2,1))))*0.3+IF(Pathogens!M4=1,2,0)*0.2+IF(VLOOKUP(F$4,Countries!$B$2:$AN$55,12,FALSE)&gt;=2,0.5,0)),0)</f>
        <v>4</v>
      </c>
      <c r="AH7" s="62">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c r="AI7" s="62">
        <f>ROUND(MAX(1,MIN(5,(6-VLOOKUP(F$4,Countries!$B$2:$AN$55,10,FALSE))*0.5+(6-VLOOKUP(F$4,Countries!$B$2:$AN$55,11,FALSE))*0.4+(IF(AND(Pathogens!N4&gt;=0.5,VLOOKUP(F$4,Countries!$B$2:$AN$55,5,FALSE)&lt;60),5,IF(Pathogens!N4&gt;=0.5,4,IF(Pathogens!N4&gt;=0.3,3,IF(Pathogens!N4&gt;=0.1,2,1)))))*0.1)),0)</f>
        <v>2</v>
      </c>
      <c r="AJ7" s="62">
        <f>IF(ISNUMBER(SEARCH("Vaccine-preventable",Pathogens!C4)),2,IF(ISNUMBER(SEARCH("AMR",Pathogens!C4)),5,IF(ISNUMBER(SEARCH("VHF",Pathogens!C4)),4,IF(ISNUMBER(SEARCH("Emerging",Pathogens!C4)),5,IF(ISNUMBER(SEARCH("Mycobacterial",Pathogens!C4)),3,IF(ISNUMBER(SEARCH("Helminth",Pathogens!C4)),3,IF(ISNUMBER(SEARCH("Respiratory",Pathogens!C4)),4,3)))))))</f>
        <v>2</v>
      </c>
      <c r="AK7" s="62">
        <f>IF(ISNUMBER(SEARCH("AMR",Pathogens!C4)),5,IF(ISNUMBER(SEARCH("Mycobacterial",Pathogens!C4)),4,IF(ISNUMBER(SEARCH("Enteric bacterial",Pathogens!C4)),3,IF(ISNUMBER(SEARCH("Bacterial",Pathogens!C4)),3,1))))</f>
        <v>1</v>
      </c>
      <c r="AL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7" s="62">
        <f>(6-Pathogens!X4)</f>
        <v>4</v>
      </c>
      <c r="AN7" s="62">
        <f>ROUND(MIN(5,MAX(1,0.35*IF(Pathogens!R4=1,5,IF(Pathogens!R4=2,3,1))+0.2*IF(Pathogens!S4=1,5,IF(Pathogens!S4=2,3,1))+0.25*IF(Pathogens!W4=1,IF(VLOOKUP(F$4,Countries!$B$2:$AN$55,38,FALSE)&gt;=3,5,IF(VLOOKUP(F$4,Countries!$B$2:$AN$55,38,FALSE)=2,4,IF(VLOOKUP(F$4,Countries!$B$2:$AN$55,38,FALSE)=1,2,1))),5)+0.2*IF(VLOOKUP(F$4,Countries!$B$2:$AN$55,24,FALSE)&gt;=50,5,IF(VLOOKUP(F$4,Countries!$B$2:$AN$55,24,FALSE)&gt;=25,4,IF(VLOOKUP(F$4,Countries!$B$2:$AN$55,24,FALSE)&gt;=10,3,IF(VLOOKUP(F$4,Countries!$B$2:$AN$55,24,FALSE)&gt;=5,2,1)))))),0)</f>
        <v>4</v>
      </c>
      <c r="AO7" s="62" t="str">
        <f>IFERROR(INDEX(Endemicity!$C$2:$BN$55,MATCH(F$4,Endemicity!$B$2:$B$55,0),MATCH($A7,Endemicity!$C$1:$BN$1,0)),"Sporadic")</f>
        <v>Sporadic</v>
      </c>
      <c r="AP7" s="62">
        <f>IF(Settings!$B$48="ON",IFERROR(MATCH($AO7,Settings!$B$35:$F$35,0),5),5)</f>
        <v>2</v>
      </c>
      <c r="AQ7" s="62">
        <f>ROUND(MIN(5,IF(Pathogens!I4&gt;=500,5,IF(Pathogens!I4&gt;=200,4,IF(Pathogens!I4&gt;=50,3,IF(Pathogens!I4&gt;=10,2,1))))*0.5+IF(Pathogens!J4&gt;=30,5,IF(Pathogens!J4&gt;=10,4,IF(Pathogens!J4&gt;=3,3,IF(Pathogens!J4&gt;=1,2,1))))*0.4+IF(AND(VLOOKUP(G$4,Countries!$B$2:$AN$55,4,FALSE)&gt;=80,Pathogens!N4&gt;=0.5),1,0)*0.1+IF(VLOOKUP(G$4,Countries!$B$2:$AN$55,7,FALSE)&lt;50,0.3,0)),0)</f>
        <v>2</v>
      </c>
      <c r="AR7" s="62">
        <f>ROUND(MIN(5,IF(Pathogens!K4&gt;=8,5,IF(Pathogens!K4&gt;=5,4,IF(Pathogens!K4&gt;=3,3,IF(Pathogens!K4&gt;=1,2,1))))*0.5+IF(Pathogens!L4&gt;=5,5,IF(Pathogens!L4&gt;=3,4,IF(Pathogens!L4&gt;=2,3,IF(Pathogens!L4&gt;=1.2,2,1))))*0.3+IF(Pathogens!M4=1,2,0)*0.2+IF(VLOOKUP(G$4,Countries!$B$2:$AN$55,12,FALSE)&gt;=2,0.5,0)),0)</f>
        <v>4</v>
      </c>
      <c r="AS7" s="62">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c r="AT7" s="62">
        <f>ROUND(MAX(1,MIN(5,(6-VLOOKUP(G$4,Countries!$B$2:$AN$55,10,FALSE))*0.5+(6-VLOOKUP(G$4,Countries!$B$2:$AN$55,11,FALSE))*0.4+(IF(AND(Pathogens!N4&gt;=0.5,VLOOKUP(G$4,Countries!$B$2:$AN$55,5,FALSE)&lt;60),5,IF(Pathogens!N4&gt;=0.5,4,IF(Pathogens!N4&gt;=0.3,3,IF(Pathogens!N4&gt;=0.1,2,1)))))*0.1)),0)</f>
        <v>2</v>
      </c>
      <c r="AU7" s="62">
        <f>IF(ISNUMBER(SEARCH("Vaccine-preventable",Pathogens!C4)),2,IF(ISNUMBER(SEARCH("AMR",Pathogens!C4)),5,IF(ISNUMBER(SEARCH("VHF",Pathogens!C4)),4,IF(ISNUMBER(SEARCH("Emerging",Pathogens!C4)),5,IF(ISNUMBER(SEARCH("Mycobacterial",Pathogens!C4)),3,IF(ISNUMBER(SEARCH("Helminth",Pathogens!C4)),3,IF(ISNUMBER(SEARCH("Respiratory",Pathogens!C4)),4,3)))))))</f>
        <v>2</v>
      </c>
      <c r="AV7" s="62">
        <f>IF(ISNUMBER(SEARCH("AMR",Pathogens!C4)),5,IF(ISNUMBER(SEARCH("Mycobacterial",Pathogens!C4)),4,IF(ISNUMBER(SEARCH("Enteric bacterial",Pathogens!C4)),3,IF(ISNUMBER(SEARCH("Bacterial",Pathogens!C4)),3,1))))</f>
        <v>1</v>
      </c>
      <c r="AW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7" s="62">
        <f>(6-Pathogens!X4)</f>
        <v>4</v>
      </c>
      <c r="AY7" s="62">
        <f>ROUND(MIN(5,MAX(1,0.35*IF(Pathogens!R4=1,5,IF(Pathogens!R4=2,3,1))+0.2*IF(Pathogens!S4=1,5,IF(Pathogens!S4=2,3,1))+0.25*IF(Pathogens!W4=1,IF(VLOOKUP(G$4,Countries!$B$2:$AN$55,38,FALSE)&gt;=3,5,IF(VLOOKUP(G$4,Countries!$B$2:$AN$55,38,FALSE)=2,4,IF(VLOOKUP(G$4,Countries!$B$2:$AN$55,38,FALSE)=1,2,1))),5)+0.2*IF(VLOOKUP(G$4,Countries!$B$2:$AN$55,24,FALSE)&gt;=50,5,IF(VLOOKUP(G$4,Countries!$B$2:$AN$55,24,FALSE)&gt;=25,4,IF(VLOOKUP(G$4,Countries!$B$2:$AN$55,24,FALSE)&gt;=10,3,IF(VLOOKUP(G$4,Countries!$B$2:$AN$55,24,FALSE)&gt;=5,2,1)))))),0)</f>
        <v>4</v>
      </c>
      <c r="AZ7" s="62" t="str">
        <f>IFERROR(INDEX(Endemicity!$C$2:$BN$55,MATCH(G$4,Endemicity!$B$2:$B$55,0),MATCH($A7,Endemicity!$C$1:$BN$1,0)),"Sporadic")</f>
        <v>Sporadic</v>
      </c>
      <c r="BA7" s="62">
        <f>IF(Settings!$B$48="ON",IFERROR(MATCH($AZ7,Settings!$B$35:$F$35,0),5),5)</f>
        <v>2</v>
      </c>
    </row>
    <row r="8" customHeight="1" spans="1:53">
      <c r="A8" s="61" t="str">
        <f>Calculator!A37</f>
        <v>YF</v>
      </c>
      <c r="B8" s="61" t="str">
        <f>Calculator!B37</f>
        <v>Yellow fever virus</v>
      </c>
      <c r="C8" s="61" t="str">
        <f>Calculator!C37</f>
        <v>Arbovirus</v>
      </c>
      <c r="D8" s="52">
        <f>IFERROR(ROUND(MIN(100,(($J8)*Settings!$C$23*INDEX(Settings!$B$36:$F$44,1,$T8)+($K8)*Settings!$C$24*INDEX(Settings!$B$36:$F$44,2,$T8)+($L8)*Settings!$C$25*INDEX(Settings!$B$36:$F$44,3,$T8)+($M8)*Settings!$C$26*INDEX(Settings!$B$36:$F$44,4,$T8)+($N8)*Settings!$C$27*INDEX(Settings!$B$36:$F$44,5,$T8)+($O8)*Settings!$C$28*INDEX(Settings!$B$36:$F$44,6,$T8)+($P8)*Settings!$C$29*INDEX(Settings!$B$36:$F$44,7,$T8)+($Q8)*Settings!$C$30*INDEX(Settings!$B$36:$F$44,8,$T8)+($R8)*Settings!$C$31*INDEX(Settings!$B$36:$F$44,9,$T8))/INDEX(Settings!$B$45:$F$45,1,$T8)/5*100*IF($S8="Not present",Settings!$B$51,1)),1),"")</f>
        <v>53.7</v>
      </c>
      <c r="E8" s="52">
        <f>IFERROR(ROUND(MIN(100,(($U8)*Settings!$C$23*INDEX(Settings!$B$36:$F$44,1,$AE8)+($V8)*Settings!$C$24*INDEX(Settings!$B$36:$F$44,2,$AE8)+($W8)*Settings!$C$25*INDEX(Settings!$B$36:$F$44,3,$AE8)+($X8)*Settings!$C$26*INDEX(Settings!$B$36:$F$44,4,$AE8)+($Y8)*Settings!$C$27*INDEX(Settings!$B$36:$F$44,5,$AE8)+($Z8)*Settings!$C$28*INDEX(Settings!$B$36:$F$44,6,$AE8)+($AA8)*Settings!$C$29*INDEX(Settings!$B$36:$F$44,7,$AE8)+($AB8)*Settings!$C$30*INDEX(Settings!$B$36:$F$44,8,$AE8)+($AC8)*Settings!$C$31*INDEX(Settings!$B$36:$F$44,9,$AE8))/INDEX(Settings!$B$45:$F$45,1,$AE8)/5*100*IF($AD8="Not present",Settings!$B$51,1)),1),"")</f>
        <v>57.2</v>
      </c>
      <c r="F8" s="52">
        <f>IFERROR(ROUND(MIN(100,(($AF8)*Settings!$C$23*INDEX(Settings!$B$36:$F$44,1,$AP8)+($AG8)*Settings!$C$24*INDEX(Settings!$B$36:$F$44,2,$AP8)+($AH8)*Settings!$C$25*INDEX(Settings!$B$36:$F$44,3,$AP8)+($AI8)*Settings!$C$26*INDEX(Settings!$B$36:$F$44,4,$AP8)+($AJ8)*Settings!$C$27*INDEX(Settings!$B$36:$F$44,5,$AP8)+($AK8)*Settings!$C$28*INDEX(Settings!$B$36:$F$44,6,$AP8)+($AL8)*Settings!$C$29*INDEX(Settings!$B$36:$F$44,7,$AP8)+($AM8)*Settings!$C$30*INDEX(Settings!$B$36:$F$44,8,$AP8)+($AN8)*Settings!$C$31*INDEX(Settings!$B$36:$F$44,9,$AP8))/INDEX(Settings!$B$45:$F$45,1,$AP8)/5*100*IF($AO8="Not present",Settings!$B$51,1)),1),"")</f>
        <v>53.7</v>
      </c>
      <c r="G8" s="52">
        <f>IFERROR(ROUND(MIN(100,(($AQ8)*Settings!$C$23*INDEX(Settings!$B$36:$F$44,1,$BA8)+($AR8)*Settings!$C$24*INDEX(Settings!$B$36:$F$44,2,$BA8)+($AS8)*Settings!$C$25*INDEX(Settings!$B$36:$F$44,3,$BA8)+($AT8)*Settings!$C$26*INDEX(Settings!$B$36:$F$44,4,$BA8)+($AU8)*Settings!$C$27*INDEX(Settings!$B$36:$F$44,5,$BA8)+($AV8)*Settings!$C$28*INDEX(Settings!$B$36:$F$44,6,$BA8)+($AW8)*Settings!$C$29*INDEX(Settings!$B$36:$F$44,7,$BA8)+($AX8)*Settings!$C$30*INDEX(Settings!$B$36:$F$44,8,$BA8)+($AY8)*Settings!$C$31*INDEX(Settings!$B$36:$F$44,9,$BA8))/INDEX(Settings!$B$45:$F$45,1,$BA8)/5*100*IF($AZ8="Not present",Settings!$B$51,1)),1),"")</f>
        <v>55.5</v>
      </c>
      <c r="J8" s="62">
        <f>ROUND(MIN(5,IF(Pathogens!I5&gt;=500,5,IF(Pathogens!I5&gt;=200,4,IF(Pathogens!I5&gt;=50,3,IF(Pathogens!I5&gt;=10,2,1))))*0.5+IF(Pathogens!J5&gt;=30,5,IF(Pathogens!J5&gt;=10,4,IF(Pathogens!J5&gt;=3,3,IF(Pathogens!J5&gt;=1,2,1))))*0.4+IF(AND(VLOOKUP(D$4,Countries!$B$2:$AN$55,4,FALSE)&gt;=80,Pathogens!N5&gt;=0.5),1,0)*0.1+IF(VLOOKUP(D$4,Countries!$B$2:$AN$55,7,FALSE)&lt;50,0.3,0)),0)</f>
        <v>3</v>
      </c>
      <c r="K8" s="62">
        <f>ROUND(MIN(5,IF(Pathogens!K5&gt;=8,5,IF(Pathogens!K5&gt;=5,4,IF(Pathogens!K5&gt;=3,3,IF(Pathogens!K5&gt;=1,2,1))))*0.5+IF(Pathogens!L5&gt;=5,5,IF(Pathogens!L5&gt;=3,4,IF(Pathogens!L5&gt;=2,3,IF(Pathogens!L5&gt;=1.2,2,1))))*0.3+IF(Pathogens!M5=1,2,0)*0.2+IF(VLOOKUP(D$4,Countries!$B$2:$AN$55,12,FALSE)&gt;=2,0.5,0)),0)</f>
        <v>4</v>
      </c>
      <c r="L8" s="62">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c r="M8" s="62">
        <f>ROUND(MAX(1,MIN(5,(6-VLOOKUP(D$4,Countries!$B$2:$AN$55,10,FALSE))*0.5+(6-VLOOKUP(D$4,Countries!$B$2:$AN$55,11,FALSE))*0.4+(IF(AND(Pathogens!N5&gt;=0.5,VLOOKUP(D$4,Countries!$B$2:$AN$55,5,FALSE)&lt;60),5,IF(Pathogens!N5&gt;=0.5,4,IF(Pathogens!N5&gt;=0.3,3,IF(Pathogens!N5&gt;=0.1,2,1)))))*0.1)),0)</f>
        <v>2</v>
      </c>
      <c r="N8" s="62">
        <f>IF(ISNUMBER(SEARCH("Vaccine-preventable",Pathogens!C5)),2,IF(ISNUMBER(SEARCH("AMR",Pathogens!C5)),5,IF(ISNUMBER(SEARCH("VHF",Pathogens!C5)),4,IF(ISNUMBER(SEARCH("Emerging",Pathogens!C5)),5,IF(ISNUMBER(SEARCH("Mycobacterial",Pathogens!C5)),3,IF(ISNUMBER(SEARCH("Helminth",Pathogens!C5)),3,IF(ISNUMBER(SEARCH("Respiratory",Pathogens!C5)),4,3)))))))</f>
        <v>3</v>
      </c>
      <c r="O8" s="62">
        <f>IF(ISNUMBER(SEARCH("AMR",Pathogens!C5)),5,IF(ISNUMBER(SEARCH("Mycobacterial",Pathogens!C5)),4,IF(ISNUMBER(SEARCH("Enteric bacterial",Pathogens!C5)),3,IF(ISNUMBER(SEARCH("Bacterial",Pathogens!C5)),3,1))))</f>
        <v>1</v>
      </c>
      <c r="P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8" s="62">
        <f>(6-Pathogens!X5)</f>
        <v>3</v>
      </c>
      <c r="R8" s="62">
        <f>ROUND(MIN(5,MAX(1,0.35*IF(Pathogens!R5=1,5,IF(Pathogens!R5=2,3,1))+0.2*IF(Pathogens!S5=1,5,IF(Pathogens!S5=2,3,1))+0.25*IF(Pathogens!W5=1,IF(VLOOKUP(D$4,Countries!$B$2:$AN$55,38,FALSE)&gt;=3,5,IF(VLOOKUP(D$4,Countries!$B$2:$AN$55,38,FALSE)=2,4,IF(VLOOKUP(D$4,Countries!$B$2:$AN$55,38,FALSE)=1,2,1))),5)+0.2*IF(VLOOKUP(D$4,Countries!$B$2:$AN$55,24,FALSE)&gt;=50,5,IF(VLOOKUP(D$4,Countries!$B$2:$AN$55,24,FALSE)&gt;=25,4,IF(VLOOKUP(D$4,Countries!$B$2:$AN$55,24,FALSE)&gt;=10,3,IF(VLOOKUP(D$4,Countries!$B$2:$AN$55,24,FALSE)&gt;=5,2,1)))))),0)</f>
        <v>4</v>
      </c>
      <c r="S8" s="62" t="str">
        <f>IFERROR(INDEX(Endemicity!$C$2:$BN$55,MATCH(D$4,Endemicity!$B$2:$B$55,0),MATCH($A8,Endemicity!$C$1:$BN$1,0)),"Sporadic")</f>
        <v>Endemic</v>
      </c>
      <c r="T8" s="62">
        <f>IF(Settings!$B$48="ON",IFERROR(MATCH($S8,Settings!$B$35:$F$35,0),5),5)</f>
        <v>1</v>
      </c>
      <c r="U8" s="62">
        <f>ROUND(MIN(5,IF(Pathogens!I5&gt;=500,5,IF(Pathogens!I5&gt;=200,4,IF(Pathogens!I5&gt;=50,3,IF(Pathogens!I5&gt;=10,2,1))))*0.5+IF(Pathogens!J5&gt;=30,5,IF(Pathogens!J5&gt;=10,4,IF(Pathogens!J5&gt;=3,3,IF(Pathogens!J5&gt;=1,2,1))))*0.4+IF(AND(VLOOKUP(E$4,Countries!$B$2:$AN$55,4,FALSE)&gt;=80,Pathogens!N5&gt;=0.5),1,0)*0.1+IF(VLOOKUP(E$4,Countries!$B$2:$AN$55,7,FALSE)&lt;50,0.3,0)),0)</f>
        <v>3</v>
      </c>
      <c r="V8" s="62">
        <f>ROUND(MIN(5,IF(Pathogens!K5&gt;=8,5,IF(Pathogens!K5&gt;=5,4,IF(Pathogens!K5&gt;=3,3,IF(Pathogens!K5&gt;=1,2,1))))*0.5+IF(Pathogens!L5&gt;=5,5,IF(Pathogens!L5&gt;=3,4,IF(Pathogens!L5&gt;=2,3,IF(Pathogens!L5&gt;=1.2,2,1))))*0.3+IF(Pathogens!M5=1,2,0)*0.2+IF(VLOOKUP(E$4,Countries!$B$2:$AN$55,12,FALSE)&gt;=2,0.5,0)),0)</f>
        <v>4</v>
      </c>
      <c r="W8" s="62">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c r="X8" s="62">
        <f>ROUND(MAX(1,MIN(5,(6-VLOOKUP(E$4,Countries!$B$2:$AN$55,10,FALSE))*0.5+(6-VLOOKUP(E$4,Countries!$B$2:$AN$55,11,FALSE))*0.4+(IF(AND(Pathogens!N5&gt;=0.5,VLOOKUP(E$4,Countries!$B$2:$AN$55,5,FALSE)&lt;60),5,IF(Pathogens!N5&gt;=0.5,4,IF(Pathogens!N5&gt;=0.3,3,IF(Pathogens!N5&gt;=0.1,2,1)))))*0.1)),0)</f>
        <v>2</v>
      </c>
      <c r="Y8" s="62">
        <f>IF(ISNUMBER(SEARCH("Vaccine-preventable",Pathogens!C5)),2,IF(ISNUMBER(SEARCH("AMR",Pathogens!C5)),5,IF(ISNUMBER(SEARCH("VHF",Pathogens!C5)),4,IF(ISNUMBER(SEARCH("Emerging",Pathogens!C5)),5,IF(ISNUMBER(SEARCH("Mycobacterial",Pathogens!C5)),3,IF(ISNUMBER(SEARCH("Helminth",Pathogens!C5)),3,IF(ISNUMBER(SEARCH("Respiratory",Pathogens!C5)),4,3)))))))</f>
        <v>3</v>
      </c>
      <c r="Z8" s="62">
        <f>IF(ISNUMBER(SEARCH("AMR",Pathogens!C5)),5,IF(ISNUMBER(SEARCH("Mycobacterial",Pathogens!C5)),4,IF(ISNUMBER(SEARCH("Enteric bacterial",Pathogens!C5)),3,IF(ISNUMBER(SEARCH("Bacterial",Pathogens!C5)),3,1))))</f>
        <v>1</v>
      </c>
      <c r="AA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8" s="62">
        <f>(6-Pathogens!X5)</f>
        <v>3</v>
      </c>
      <c r="AC8" s="62">
        <f>ROUND(MIN(5,MAX(1,0.35*IF(Pathogens!R5=1,5,IF(Pathogens!R5=2,3,1))+0.2*IF(Pathogens!S5=1,5,IF(Pathogens!S5=2,3,1))+0.25*IF(Pathogens!W5=1,IF(VLOOKUP(E$4,Countries!$B$2:$AN$55,38,FALSE)&gt;=3,5,IF(VLOOKUP(E$4,Countries!$B$2:$AN$55,38,FALSE)=2,4,IF(VLOOKUP(E$4,Countries!$B$2:$AN$55,38,FALSE)=1,2,1))),5)+0.2*IF(VLOOKUP(E$4,Countries!$B$2:$AN$55,24,FALSE)&gt;=50,5,IF(VLOOKUP(E$4,Countries!$B$2:$AN$55,24,FALSE)&gt;=25,4,IF(VLOOKUP(E$4,Countries!$B$2:$AN$55,24,FALSE)&gt;=10,3,IF(VLOOKUP(E$4,Countries!$B$2:$AN$55,24,FALSE)&gt;=5,2,1)))))),0)</f>
        <v>4</v>
      </c>
      <c r="AD8" s="62" t="str">
        <f>IFERROR(INDEX(Endemicity!$C$2:$BN$55,MATCH(E$4,Endemicity!$B$2:$B$55,0),MATCH($A8,Endemicity!$C$1:$BN$1,0)),"Sporadic")</f>
        <v>Endemic</v>
      </c>
      <c r="AE8" s="62">
        <f>IF(Settings!$B$48="ON",IFERROR(MATCH($AD8,Settings!$B$35:$F$35,0),5),5)</f>
        <v>1</v>
      </c>
      <c r="AF8" s="62">
        <f>ROUND(MIN(5,IF(Pathogens!I5&gt;=500,5,IF(Pathogens!I5&gt;=200,4,IF(Pathogens!I5&gt;=50,3,IF(Pathogens!I5&gt;=10,2,1))))*0.5+IF(Pathogens!J5&gt;=30,5,IF(Pathogens!J5&gt;=10,4,IF(Pathogens!J5&gt;=3,3,IF(Pathogens!J5&gt;=1,2,1))))*0.4+IF(AND(VLOOKUP(F$4,Countries!$B$2:$AN$55,4,FALSE)&gt;=80,Pathogens!N5&gt;=0.5),1,0)*0.1+IF(VLOOKUP(F$4,Countries!$B$2:$AN$55,7,FALSE)&lt;50,0.3,0)),0)</f>
        <v>3</v>
      </c>
      <c r="AG8" s="62">
        <f>ROUND(MIN(5,IF(Pathogens!K5&gt;=8,5,IF(Pathogens!K5&gt;=5,4,IF(Pathogens!K5&gt;=3,3,IF(Pathogens!K5&gt;=1,2,1))))*0.5+IF(Pathogens!L5&gt;=5,5,IF(Pathogens!L5&gt;=3,4,IF(Pathogens!L5&gt;=2,3,IF(Pathogens!L5&gt;=1.2,2,1))))*0.3+IF(Pathogens!M5=1,2,0)*0.2+IF(VLOOKUP(F$4,Countries!$B$2:$AN$55,12,FALSE)&gt;=2,0.5,0)),0)</f>
        <v>4</v>
      </c>
      <c r="AH8" s="62">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c r="AI8" s="62">
        <f>ROUND(MAX(1,MIN(5,(6-VLOOKUP(F$4,Countries!$B$2:$AN$55,10,FALSE))*0.5+(6-VLOOKUP(F$4,Countries!$B$2:$AN$55,11,FALSE))*0.4+(IF(AND(Pathogens!N5&gt;=0.5,VLOOKUP(F$4,Countries!$B$2:$AN$55,5,FALSE)&lt;60),5,IF(Pathogens!N5&gt;=0.5,4,IF(Pathogens!N5&gt;=0.3,3,IF(Pathogens!N5&gt;=0.1,2,1)))))*0.1)),0)</f>
        <v>2</v>
      </c>
      <c r="AJ8" s="62">
        <f>IF(ISNUMBER(SEARCH("Vaccine-preventable",Pathogens!C5)),2,IF(ISNUMBER(SEARCH("AMR",Pathogens!C5)),5,IF(ISNUMBER(SEARCH("VHF",Pathogens!C5)),4,IF(ISNUMBER(SEARCH("Emerging",Pathogens!C5)),5,IF(ISNUMBER(SEARCH("Mycobacterial",Pathogens!C5)),3,IF(ISNUMBER(SEARCH("Helminth",Pathogens!C5)),3,IF(ISNUMBER(SEARCH("Respiratory",Pathogens!C5)),4,3)))))))</f>
        <v>3</v>
      </c>
      <c r="AK8" s="62">
        <f>IF(ISNUMBER(SEARCH("AMR",Pathogens!C5)),5,IF(ISNUMBER(SEARCH("Mycobacterial",Pathogens!C5)),4,IF(ISNUMBER(SEARCH("Enteric bacterial",Pathogens!C5)),3,IF(ISNUMBER(SEARCH("Bacterial",Pathogens!C5)),3,1))))</f>
        <v>1</v>
      </c>
      <c r="AL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8" s="62">
        <f>(6-Pathogens!X5)</f>
        <v>3</v>
      </c>
      <c r="AN8" s="62">
        <f>ROUND(MIN(5,MAX(1,0.35*IF(Pathogens!R5=1,5,IF(Pathogens!R5=2,3,1))+0.2*IF(Pathogens!S5=1,5,IF(Pathogens!S5=2,3,1))+0.25*IF(Pathogens!W5=1,IF(VLOOKUP(F$4,Countries!$B$2:$AN$55,38,FALSE)&gt;=3,5,IF(VLOOKUP(F$4,Countries!$B$2:$AN$55,38,FALSE)=2,4,IF(VLOOKUP(F$4,Countries!$B$2:$AN$55,38,FALSE)=1,2,1))),5)+0.2*IF(VLOOKUP(F$4,Countries!$B$2:$AN$55,24,FALSE)&gt;=50,5,IF(VLOOKUP(F$4,Countries!$B$2:$AN$55,24,FALSE)&gt;=25,4,IF(VLOOKUP(F$4,Countries!$B$2:$AN$55,24,FALSE)&gt;=10,3,IF(VLOOKUP(F$4,Countries!$B$2:$AN$55,24,FALSE)&gt;=5,2,1)))))),0)</f>
        <v>4</v>
      </c>
      <c r="AO8" s="62" t="str">
        <f>IFERROR(INDEX(Endemicity!$C$2:$BN$55,MATCH(F$4,Endemicity!$B$2:$B$55,0),MATCH($A8,Endemicity!$C$1:$BN$1,0)),"Sporadic")</f>
        <v>Endemic</v>
      </c>
      <c r="AP8" s="62">
        <f>IF(Settings!$B$48="ON",IFERROR(MATCH($AO8,Settings!$B$35:$F$35,0),5),5)</f>
        <v>1</v>
      </c>
      <c r="AQ8" s="62">
        <f>ROUND(MIN(5,IF(Pathogens!I5&gt;=500,5,IF(Pathogens!I5&gt;=200,4,IF(Pathogens!I5&gt;=50,3,IF(Pathogens!I5&gt;=10,2,1))))*0.5+IF(Pathogens!J5&gt;=30,5,IF(Pathogens!J5&gt;=10,4,IF(Pathogens!J5&gt;=3,3,IF(Pathogens!J5&gt;=1,2,1))))*0.4+IF(AND(VLOOKUP(G$4,Countries!$B$2:$AN$55,4,FALSE)&gt;=80,Pathogens!N5&gt;=0.5),1,0)*0.1+IF(VLOOKUP(G$4,Countries!$B$2:$AN$55,7,FALSE)&lt;50,0.3,0)),0)</f>
        <v>3</v>
      </c>
      <c r="AR8" s="62">
        <f>ROUND(MIN(5,IF(Pathogens!K5&gt;=8,5,IF(Pathogens!K5&gt;=5,4,IF(Pathogens!K5&gt;=3,3,IF(Pathogens!K5&gt;=1,2,1))))*0.5+IF(Pathogens!L5&gt;=5,5,IF(Pathogens!L5&gt;=3,4,IF(Pathogens!L5&gt;=2,3,IF(Pathogens!L5&gt;=1.2,2,1))))*0.3+IF(Pathogens!M5=1,2,0)*0.2+IF(VLOOKUP(G$4,Countries!$B$2:$AN$55,12,FALSE)&gt;=2,0.5,0)),0)</f>
        <v>4</v>
      </c>
      <c r="AS8" s="62">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c r="AT8" s="62">
        <f>ROUND(MAX(1,MIN(5,(6-VLOOKUP(G$4,Countries!$B$2:$AN$55,10,FALSE))*0.5+(6-VLOOKUP(G$4,Countries!$B$2:$AN$55,11,FALSE))*0.4+(IF(AND(Pathogens!N5&gt;=0.5,VLOOKUP(G$4,Countries!$B$2:$AN$55,5,FALSE)&lt;60),5,IF(Pathogens!N5&gt;=0.5,4,IF(Pathogens!N5&gt;=0.3,3,IF(Pathogens!N5&gt;=0.1,2,1)))))*0.1)),0)</f>
        <v>2</v>
      </c>
      <c r="AU8" s="62">
        <f>IF(ISNUMBER(SEARCH("Vaccine-preventable",Pathogens!C5)),2,IF(ISNUMBER(SEARCH("AMR",Pathogens!C5)),5,IF(ISNUMBER(SEARCH("VHF",Pathogens!C5)),4,IF(ISNUMBER(SEARCH("Emerging",Pathogens!C5)),5,IF(ISNUMBER(SEARCH("Mycobacterial",Pathogens!C5)),3,IF(ISNUMBER(SEARCH("Helminth",Pathogens!C5)),3,IF(ISNUMBER(SEARCH("Respiratory",Pathogens!C5)),4,3)))))))</f>
        <v>3</v>
      </c>
      <c r="AV8" s="62">
        <f>IF(ISNUMBER(SEARCH("AMR",Pathogens!C5)),5,IF(ISNUMBER(SEARCH("Mycobacterial",Pathogens!C5)),4,IF(ISNUMBER(SEARCH("Enteric bacterial",Pathogens!C5)),3,IF(ISNUMBER(SEARCH("Bacterial",Pathogens!C5)),3,1))))</f>
        <v>1</v>
      </c>
      <c r="AW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8" s="62">
        <f>(6-Pathogens!X5)</f>
        <v>3</v>
      </c>
      <c r="AY8" s="62">
        <f>ROUND(MIN(5,MAX(1,0.35*IF(Pathogens!R5=1,5,IF(Pathogens!R5=2,3,1))+0.2*IF(Pathogens!S5=1,5,IF(Pathogens!S5=2,3,1))+0.25*IF(Pathogens!W5=1,IF(VLOOKUP(G$4,Countries!$B$2:$AN$55,38,FALSE)&gt;=3,5,IF(VLOOKUP(G$4,Countries!$B$2:$AN$55,38,FALSE)=2,4,IF(VLOOKUP(G$4,Countries!$B$2:$AN$55,38,FALSE)=1,2,1))),5)+0.2*IF(VLOOKUP(G$4,Countries!$B$2:$AN$55,24,FALSE)&gt;=50,5,IF(VLOOKUP(G$4,Countries!$B$2:$AN$55,24,FALSE)&gt;=25,4,IF(VLOOKUP(G$4,Countries!$B$2:$AN$55,24,FALSE)&gt;=10,3,IF(VLOOKUP(G$4,Countries!$B$2:$AN$55,24,FALSE)&gt;=5,2,1)))))),0)</f>
        <v>4</v>
      </c>
      <c r="AZ8" s="62" t="str">
        <f>IFERROR(INDEX(Endemicity!$C$2:$BN$55,MATCH(G$4,Endemicity!$B$2:$B$55,0),MATCH($A8,Endemicity!$C$1:$BN$1,0)),"Sporadic")</f>
        <v>Endemic</v>
      </c>
      <c r="BA8" s="62">
        <f>IF(Settings!$B$48="ON",IFERROR(MATCH($AZ8,Settings!$B$35:$F$35,0),5),5)</f>
        <v>1</v>
      </c>
    </row>
    <row r="9" customHeight="1" spans="1:53">
      <c r="A9" s="61" t="str">
        <f>Calculator!A38</f>
        <v>DENGUE</v>
      </c>
      <c r="B9" s="61" t="str">
        <f>Calculator!B38</f>
        <v>Dengue virus (1-4)</v>
      </c>
      <c r="C9" s="61" t="str">
        <f>Calculator!C38</f>
        <v>Arbovirus</v>
      </c>
      <c r="D9" s="52">
        <f>IFERROR(ROUND(MIN(100,(($J9)*Settings!$C$23*INDEX(Settings!$B$36:$F$44,1,$T9)+($K9)*Settings!$C$24*INDEX(Settings!$B$36:$F$44,2,$T9)+($L9)*Settings!$C$25*INDEX(Settings!$B$36:$F$44,3,$T9)+($M9)*Settings!$C$26*INDEX(Settings!$B$36:$F$44,4,$T9)+($N9)*Settings!$C$27*INDEX(Settings!$B$36:$F$44,5,$T9)+($O9)*Settings!$C$28*INDEX(Settings!$B$36:$F$44,6,$T9)+($P9)*Settings!$C$29*INDEX(Settings!$B$36:$F$44,7,$T9)+($Q9)*Settings!$C$30*INDEX(Settings!$B$36:$F$44,8,$T9)+($R9)*Settings!$C$31*INDEX(Settings!$B$36:$F$44,9,$T9))/INDEX(Settings!$B$45:$F$45,1,$T9)/5*100*IF($S9="Not present",Settings!$B$51,1)),1),"")</f>
        <v>52.9</v>
      </c>
      <c r="E9" s="52">
        <f>IFERROR(ROUND(MIN(100,(($U9)*Settings!$C$23*INDEX(Settings!$B$36:$F$44,1,$AE9)+($V9)*Settings!$C$24*INDEX(Settings!$B$36:$F$44,2,$AE9)+($W9)*Settings!$C$25*INDEX(Settings!$B$36:$F$44,3,$AE9)+($X9)*Settings!$C$26*INDEX(Settings!$B$36:$F$44,4,$AE9)+($Y9)*Settings!$C$27*INDEX(Settings!$B$36:$F$44,5,$AE9)+($Z9)*Settings!$C$28*INDEX(Settings!$B$36:$F$44,6,$AE9)+($AA9)*Settings!$C$29*INDEX(Settings!$B$36:$F$44,7,$AE9)+($AB9)*Settings!$C$30*INDEX(Settings!$B$36:$F$44,8,$AE9)+($AC9)*Settings!$C$31*INDEX(Settings!$B$36:$F$44,9,$AE9))/INDEX(Settings!$B$45:$F$45,1,$AE9)/5*100*IF($AD9="Not present",Settings!$B$51,1)),1),"")</f>
        <v>56.4</v>
      </c>
      <c r="F9" s="52">
        <f>IFERROR(ROUND(MIN(100,(($AF9)*Settings!$C$23*INDEX(Settings!$B$36:$F$44,1,$AP9)+($AG9)*Settings!$C$24*INDEX(Settings!$B$36:$F$44,2,$AP9)+($AH9)*Settings!$C$25*INDEX(Settings!$B$36:$F$44,3,$AP9)+($AI9)*Settings!$C$26*INDEX(Settings!$B$36:$F$44,4,$AP9)+($AJ9)*Settings!$C$27*INDEX(Settings!$B$36:$F$44,5,$AP9)+($AK9)*Settings!$C$28*INDEX(Settings!$B$36:$F$44,6,$AP9)+($AL9)*Settings!$C$29*INDEX(Settings!$B$36:$F$44,7,$AP9)+($AM9)*Settings!$C$30*INDEX(Settings!$B$36:$F$44,8,$AP9)+($AN9)*Settings!$C$31*INDEX(Settings!$B$36:$F$44,9,$AP9))/INDEX(Settings!$B$45:$F$45,1,$AP9)/5*100*IF($AO9="Not present",Settings!$B$51,1)),1),"")</f>
        <v>52.9</v>
      </c>
      <c r="G9" s="52">
        <f>IFERROR(ROUND(MIN(100,(($AQ9)*Settings!$C$23*INDEX(Settings!$B$36:$F$44,1,$BA9)+($AR9)*Settings!$C$24*INDEX(Settings!$B$36:$F$44,2,$BA9)+($AS9)*Settings!$C$25*INDEX(Settings!$B$36:$F$44,3,$BA9)+($AT9)*Settings!$C$26*INDEX(Settings!$B$36:$F$44,4,$BA9)+($AU9)*Settings!$C$27*INDEX(Settings!$B$36:$F$44,5,$BA9)+($AV9)*Settings!$C$28*INDEX(Settings!$B$36:$F$44,6,$BA9)+($AW9)*Settings!$C$29*INDEX(Settings!$B$36:$F$44,7,$BA9)+($AX9)*Settings!$C$30*INDEX(Settings!$B$36:$F$44,8,$BA9)+($AY9)*Settings!$C$31*INDEX(Settings!$B$36:$F$44,9,$BA9))/INDEX(Settings!$B$45:$F$45,1,$BA9)/5*100*IF($AZ9="Not present",Settings!$B$51,1)),1),"")</f>
        <v>54.7</v>
      </c>
      <c r="J9" s="62">
        <f>ROUND(MIN(5,IF(Pathogens!I6&gt;=500,5,IF(Pathogens!I6&gt;=200,4,IF(Pathogens!I6&gt;=50,3,IF(Pathogens!I6&gt;=10,2,1))))*0.5+IF(Pathogens!J6&gt;=30,5,IF(Pathogens!J6&gt;=10,4,IF(Pathogens!J6&gt;=3,3,IF(Pathogens!J6&gt;=1,2,1))))*0.4+IF(AND(VLOOKUP(D$4,Countries!$B$2:$AN$55,4,FALSE)&gt;=80,Pathogens!N6&gt;=0.5),1,0)*0.1+IF(VLOOKUP(D$4,Countries!$B$2:$AN$55,7,FALSE)&lt;50,0.3,0)),0)</f>
        <v>2</v>
      </c>
      <c r="K9" s="62">
        <f>ROUND(MIN(5,IF(Pathogens!K6&gt;=8,5,IF(Pathogens!K6&gt;=5,4,IF(Pathogens!K6&gt;=3,3,IF(Pathogens!K6&gt;=1,2,1))))*0.5+IF(Pathogens!L6&gt;=5,5,IF(Pathogens!L6&gt;=3,4,IF(Pathogens!L6&gt;=2,3,IF(Pathogens!L6&gt;=1.2,2,1))))*0.3+IF(Pathogens!M6=1,2,0)*0.2+IF(VLOOKUP(D$4,Countries!$B$2:$AN$55,12,FALSE)&gt;=2,0.5,0)),0)</f>
        <v>4</v>
      </c>
      <c r="L9" s="62">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c r="M9" s="62">
        <f>ROUND(MAX(1,MIN(5,(6-VLOOKUP(D$4,Countries!$B$2:$AN$55,10,FALSE))*0.5+(6-VLOOKUP(D$4,Countries!$B$2:$AN$55,11,FALSE))*0.4+(IF(AND(Pathogens!N6&gt;=0.5,VLOOKUP(D$4,Countries!$B$2:$AN$55,5,FALSE)&lt;60),5,IF(Pathogens!N6&gt;=0.5,4,IF(Pathogens!N6&gt;=0.3,3,IF(Pathogens!N6&gt;=0.1,2,1)))))*0.1)),0)</f>
        <v>2</v>
      </c>
      <c r="N9" s="62">
        <f>IF(ISNUMBER(SEARCH("Vaccine-preventable",Pathogens!C6)),2,IF(ISNUMBER(SEARCH("AMR",Pathogens!C6)),5,IF(ISNUMBER(SEARCH("VHF",Pathogens!C6)),4,IF(ISNUMBER(SEARCH("Emerging",Pathogens!C6)),5,IF(ISNUMBER(SEARCH("Mycobacterial",Pathogens!C6)),3,IF(ISNUMBER(SEARCH("Helminth",Pathogens!C6)),3,IF(ISNUMBER(SEARCH("Respiratory",Pathogens!C6)),4,3)))))))</f>
        <v>3</v>
      </c>
      <c r="O9" s="62">
        <f>IF(ISNUMBER(SEARCH("AMR",Pathogens!C6)),5,IF(ISNUMBER(SEARCH("Mycobacterial",Pathogens!C6)),4,IF(ISNUMBER(SEARCH("Enteric bacterial",Pathogens!C6)),3,IF(ISNUMBER(SEARCH("Bacterial",Pathogens!C6)),3,1))))</f>
        <v>1</v>
      </c>
      <c r="P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9" s="62">
        <f>(6-Pathogens!X6)</f>
        <v>3</v>
      </c>
      <c r="R9" s="62">
        <f>ROUND(MIN(5,MAX(1,0.35*IF(Pathogens!R6=1,5,IF(Pathogens!R6=2,3,1))+0.2*IF(Pathogens!S6=1,5,IF(Pathogens!S6=2,3,1))+0.25*IF(Pathogens!W6=1,IF(VLOOKUP(D$4,Countries!$B$2:$AN$55,38,FALSE)&gt;=3,5,IF(VLOOKUP(D$4,Countries!$B$2:$AN$55,38,FALSE)=2,4,IF(VLOOKUP(D$4,Countries!$B$2:$AN$55,38,FALSE)=1,2,1))),5)+0.2*IF(VLOOKUP(D$4,Countries!$B$2:$AN$55,24,FALSE)&gt;=50,5,IF(VLOOKUP(D$4,Countries!$B$2:$AN$55,24,FALSE)&gt;=25,4,IF(VLOOKUP(D$4,Countries!$B$2:$AN$55,24,FALSE)&gt;=10,3,IF(VLOOKUP(D$4,Countries!$B$2:$AN$55,24,FALSE)&gt;=5,2,1)))))),0)</f>
        <v>4</v>
      </c>
      <c r="S9" s="62" t="str">
        <f>IFERROR(INDEX(Endemicity!$C$2:$BN$55,MATCH(D$4,Endemicity!$B$2:$B$55,0),MATCH($A9,Endemicity!$C$1:$BN$1,0)),"Sporadic")</f>
        <v>Endemic</v>
      </c>
      <c r="T9" s="62">
        <f>IF(Settings!$B$48="ON",IFERROR(MATCH($S9,Settings!$B$35:$F$35,0),5),5)</f>
        <v>1</v>
      </c>
      <c r="U9" s="62">
        <f>ROUND(MIN(5,IF(Pathogens!I6&gt;=500,5,IF(Pathogens!I6&gt;=200,4,IF(Pathogens!I6&gt;=50,3,IF(Pathogens!I6&gt;=10,2,1))))*0.5+IF(Pathogens!J6&gt;=30,5,IF(Pathogens!J6&gt;=10,4,IF(Pathogens!J6&gt;=3,3,IF(Pathogens!J6&gt;=1,2,1))))*0.4+IF(AND(VLOOKUP(E$4,Countries!$B$2:$AN$55,4,FALSE)&gt;=80,Pathogens!N6&gt;=0.5),1,0)*0.1+IF(VLOOKUP(E$4,Countries!$B$2:$AN$55,7,FALSE)&lt;50,0.3,0)),0)</f>
        <v>2</v>
      </c>
      <c r="V9" s="62">
        <f>ROUND(MIN(5,IF(Pathogens!K6&gt;=8,5,IF(Pathogens!K6&gt;=5,4,IF(Pathogens!K6&gt;=3,3,IF(Pathogens!K6&gt;=1,2,1))))*0.5+IF(Pathogens!L6&gt;=5,5,IF(Pathogens!L6&gt;=3,4,IF(Pathogens!L6&gt;=2,3,IF(Pathogens!L6&gt;=1.2,2,1))))*0.3+IF(Pathogens!M6=1,2,0)*0.2+IF(VLOOKUP(E$4,Countries!$B$2:$AN$55,12,FALSE)&gt;=2,0.5,0)),0)</f>
        <v>4</v>
      </c>
      <c r="W9" s="62">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c r="X9" s="62">
        <f>ROUND(MAX(1,MIN(5,(6-VLOOKUP(E$4,Countries!$B$2:$AN$55,10,FALSE))*0.5+(6-VLOOKUP(E$4,Countries!$B$2:$AN$55,11,FALSE))*0.4+(IF(AND(Pathogens!N6&gt;=0.5,VLOOKUP(E$4,Countries!$B$2:$AN$55,5,FALSE)&lt;60),5,IF(Pathogens!N6&gt;=0.5,4,IF(Pathogens!N6&gt;=0.3,3,IF(Pathogens!N6&gt;=0.1,2,1)))))*0.1)),0)</f>
        <v>2</v>
      </c>
      <c r="Y9" s="62">
        <f>IF(ISNUMBER(SEARCH("Vaccine-preventable",Pathogens!C6)),2,IF(ISNUMBER(SEARCH("AMR",Pathogens!C6)),5,IF(ISNUMBER(SEARCH("VHF",Pathogens!C6)),4,IF(ISNUMBER(SEARCH("Emerging",Pathogens!C6)),5,IF(ISNUMBER(SEARCH("Mycobacterial",Pathogens!C6)),3,IF(ISNUMBER(SEARCH("Helminth",Pathogens!C6)),3,IF(ISNUMBER(SEARCH("Respiratory",Pathogens!C6)),4,3)))))))</f>
        <v>3</v>
      </c>
      <c r="Z9" s="62">
        <f>IF(ISNUMBER(SEARCH("AMR",Pathogens!C6)),5,IF(ISNUMBER(SEARCH("Mycobacterial",Pathogens!C6)),4,IF(ISNUMBER(SEARCH("Enteric bacterial",Pathogens!C6)),3,IF(ISNUMBER(SEARCH("Bacterial",Pathogens!C6)),3,1))))</f>
        <v>1</v>
      </c>
      <c r="AA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9" s="62">
        <f>(6-Pathogens!X6)</f>
        <v>3</v>
      </c>
      <c r="AC9" s="62">
        <f>ROUND(MIN(5,MAX(1,0.35*IF(Pathogens!R6=1,5,IF(Pathogens!R6=2,3,1))+0.2*IF(Pathogens!S6=1,5,IF(Pathogens!S6=2,3,1))+0.25*IF(Pathogens!W6=1,IF(VLOOKUP(E$4,Countries!$B$2:$AN$55,38,FALSE)&gt;=3,5,IF(VLOOKUP(E$4,Countries!$B$2:$AN$55,38,FALSE)=2,4,IF(VLOOKUP(E$4,Countries!$B$2:$AN$55,38,FALSE)=1,2,1))),5)+0.2*IF(VLOOKUP(E$4,Countries!$B$2:$AN$55,24,FALSE)&gt;=50,5,IF(VLOOKUP(E$4,Countries!$B$2:$AN$55,24,FALSE)&gt;=25,4,IF(VLOOKUP(E$4,Countries!$B$2:$AN$55,24,FALSE)&gt;=10,3,IF(VLOOKUP(E$4,Countries!$B$2:$AN$55,24,FALSE)&gt;=5,2,1)))))),0)</f>
        <v>4</v>
      </c>
      <c r="AD9" s="62" t="str">
        <f>IFERROR(INDEX(Endemicity!$C$2:$BN$55,MATCH(E$4,Endemicity!$B$2:$B$55,0),MATCH($A9,Endemicity!$C$1:$BN$1,0)),"Sporadic")</f>
        <v>Endemic</v>
      </c>
      <c r="AE9" s="62">
        <f>IF(Settings!$B$48="ON",IFERROR(MATCH($AD9,Settings!$B$35:$F$35,0),5),5)</f>
        <v>1</v>
      </c>
      <c r="AF9" s="62">
        <f>ROUND(MIN(5,IF(Pathogens!I6&gt;=500,5,IF(Pathogens!I6&gt;=200,4,IF(Pathogens!I6&gt;=50,3,IF(Pathogens!I6&gt;=10,2,1))))*0.5+IF(Pathogens!J6&gt;=30,5,IF(Pathogens!J6&gt;=10,4,IF(Pathogens!J6&gt;=3,3,IF(Pathogens!J6&gt;=1,2,1))))*0.4+IF(AND(VLOOKUP(F$4,Countries!$B$2:$AN$55,4,FALSE)&gt;=80,Pathogens!N6&gt;=0.5),1,0)*0.1+IF(VLOOKUP(F$4,Countries!$B$2:$AN$55,7,FALSE)&lt;50,0.3,0)),0)</f>
        <v>2</v>
      </c>
      <c r="AG9" s="62">
        <f>ROUND(MIN(5,IF(Pathogens!K6&gt;=8,5,IF(Pathogens!K6&gt;=5,4,IF(Pathogens!K6&gt;=3,3,IF(Pathogens!K6&gt;=1,2,1))))*0.5+IF(Pathogens!L6&gt;=5,5,IF(Pathogens!L6&gt;=3,4,IF(Pathogens!L6&gt;=2,3,IF(Pathogens!L6&gt;=1.2,2,1))))*0.3+IF(Pathogens!M6=1,2,0)*0.2+IF(VLOOKUP(F$4,Countries!$B$2:$AN$55,12,FALSE)&gt;=2,0.5,0)),0)</f>
        <v>4</v>
      </c>
      <c r="AH9" s="62">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c r="AI9" s="62">
        <f>ROUND(MAX(1,MIN(5,(6-VLOOKUP(F$4,Countries!$B$2:$AN$55,10,FALSE))*0.5+(6-VLOOKUP(F$4,Countries!$B$2:$AN$55,11,FALSE))*0.4+(IF(AND(Pathogens!N6&gt;=0.5,VLOOKUP(F$4,Countries!$B$2:$AN$55,5,FALSE)&lt;60),5,IF(Pathogens!N6&gt;=0.5,4,IF(Pathogens!N6&gt;=0.3,3,IF(Pathogens!N6&gt;=0.1,2,1)))))*0.1)),0)</f>
        <v>2</v>
      </c>
      <c r="AJ9" s="62">
        <f>IF(ISNUMBER(SEARCH("Vaccine-preventable",Pathogens!C6)),2,IF(ISNUMBER(SEARCH("AMR",Pathogens!C6)),5,IF(ISNUMBER(SEARCH("VHF",Pathogens!C6)),4,IF(ISNUMBER(SEARCH("Emerging",Pathogens!C6)),5,IF(ISNUMBER(SEARCH("Mycobacterial",Pathogens!C6)),3,IF(ISNUMBER(SEARCH("Helminth",Pathogens!C6)),3,IF(ISNUMBER(SEARCH("Respiratory",Pathogens!C6)),4,3)))))))</f>
        <v>3</v>
      </c>
      <c r="AK9" s="62">
        <f>IF(ISNUMBER(SEARCH("AMR",Pathogens!C6)),5,IF(ISNUMBER(SEARCH("Mycobacterial",Pathogens!C6)),4,IF(ISNUMBER(SEARCH("Enteric bacterial",Pathogens!C6)),3,IF(ISNUMBER(SEARCH("Bacterial",Pathogens!C6)),3,1))))</f>
        <v>1</v>
      </c>
      <c r="AL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9" s="62">
        <f>(6-Pathogens!X6)</f>
        <v>3</v>
      </c>
      <c r="AN9" s="62">
        <f>ROUND(MIN(5,MAX(1,0.35*IF(Pathogens!R6=1,5,IF(Pathogens!R6=2,3,1))+0.2*IF(Pathogens!S6=1,5,IF(Pathogens!S6=2,3,1))+0.25*IF(Pathogens!W6=1,IF(VLOOKUP(F$4,Countries!$B$2:$AN$55,38,FALSE)&gt;=3,5,IF(VLOOKUP(F$4,Countries!$B$2:$AN$55,38,FALSE)=2,4,IF(VLOOKUP(F$4,Countries!$B$2:$AN$55,38,FALSE)=1,2,1))),5)+0.2*IF(VLOOKUP(F$4,Countries!$B$2:$AN$55,24,FALSE)&gt;=50,5,IF(VLOOKUP(F$4,Countries!$B$2:$AN$55,24,FALSE)&gt;=25,4,IF(VLOOKUP(F$4,Countries!$B$2:$AN$55,24,FALSE)&gt;=10,3,IF(VLOOKUP(F$4,Countries!$B$2:$AN$55,24,FALSE)&gt;=5,2,1)))))),0)</f>
        <v>4</v>
      </c>
      <c r="AO9" s="62" t="str">
        <f>IFERROR(INDEX(Endemicity!$C$2:$BN$55,MATCH(F$4,Endemicity!$B$2:$B$55,0),MATCH($A9,Endemicity!$C$1:$BN$1,0)),"Sporadic")</f>
        <v>Endemic</v>
      </c>
      <c r="AP9" s="62">
        <f>IF(Settings!$B$48="ON",IFERROR(MATCH($AO9,Settings!$B$35:$F$35,0),5),5)</f>
        <v>1</v>
      </c>
      <c r="AQ9" s="62">
        <f>ROUND(MIN(5,IF(Pathogens!I6&gt;=500,5,IF(Pathogens!I6&gt;=200,4,IF(Pathogens!I6&gt;=50,3,IF(Pathogens!I6&gt;=10,2,1))))*0.5+IF(Pathogens!J6&gt;=30,5,IF(Pathogens!J6&gt;=10,4,IF(Pathogens!J6&gt;=3,3,IF(Pathogens!J6&gt;=1,2,1))))*0.4+IF(AND(VLOOKUP(G$4,Countries!$B$2:$AN$55,4,FALSE)&gt;=80,Pathogens!N6&gt;=0.5),1,0)*0.1+IF(VLOOKUP(G$4,Countries!$B$2:$AN$55,7,FALSE)&lt;50,0.3,0)),0)</f>
        <v>2</v>
      </c>
      <c r="AR9" s="62">
        <f>ROUND(MIN(5,IF(Pathogens!K6&gt;=8,5,IF(Pathogens!K6&gt;=5,4,IF(Pathogens!K6&gt;=3,3,IF(Pathogens!K6&gt;=1,2,1))))*0.5+IF(Pathogens!L6&gt;=5,5,IF(Pathogens!L6&gt;=3,4,IF(Pathogens!L6&gt;=2,3,IF(Pathogens!L6&gt;=1.2,2,1))))*0.3+IF(Pathogens!M6=1,2,0)*0.2+IF(VLOOKUP(G$4,Countries!$B$2:$AN$55,12,FALSE)&gt;=2,0.5,0)),0)</f>
        <v>4</v>
      </c>
      <c r="AS9" s="62">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c r="AT9" s="62">
        <f>ROUND(MAX(1,MIN(5,(6-VLOOKUP(G$4,Countries!$B$2:$AN$55,10,FALSE))*0.5+(6-VLOOKUP(G$4,Countries!$B$2:$AN$55,11,FALSE))*0.4+(IF(AND(Pathogens!N6&gt;=0.5,VLOOKUP(G$4,Countries!$B$2:$AN$55,5,FALSE)&lt;60),5,IF(Pathogens!N6&gt;=0.5,4,IF(Pathogens!N6&gt;=0.3,3,IF(Pathogens!N6&gt;=0.1,2,1)))))*0.1)),0)</f>
        <v>2</v>
      </c>
      <c r="AU9" s="62">
        <f>IF(ISNUMBER(SEARCH("Vaccine-preventable",Pathogens!C6)),2,IF(ISNUMBER(SEARCH("AMR",Pathogens!C6)),5,IF(ISNUMBER(SEARCH("VHF",Pathogens!C6)),4,IF(ISNUMBER(SEARCH("Emerging",Pathogens!C6)),5,IF(ISNUMBER(SEARCH("Mycobacterial",Pathogens!C6)),3,IF(ISNUMBER(SEARCH("Helminth",Pathogens!C6)),3,IF(ISNUMBER(SEARCH("Respiratory",Pathogens!C6)),4,3)))))))</f>
        <v>3</v>
      </c>
      <c r="AV9" s="62">
        <f>IF(ISNUMBER(SEARCH("AMR",Pathogens!C6)),5,IF(ISNUMBER(SEARCH("Mycobacterial",Pathogens!C6)),4,IF(ISNUMBER(SEARCH("Enteric bacterial",Pathogens!C6)),3,IF(ISNUMBER(SEARCH("Bacterial",Pathogens!C6)),3,1))))</f>
        <v>1</v>
      </c>
      <c r="AW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9" s="62">
        <f>(6-Pathogens!X6)</f>
        <v>3</v>
      </c>
      <c r="AY9" s="62">
        <f>ROUND(MIN(5,MAX(1,0.35*IF(Pathogens!R6=1,5,IF(Pathogens!R6=2,3,1))+0.2*IF(Pathogens!S6=1,5,IF(Pathogens!S6=2,3,1))+0.25*IF(Pathogens!W6=1,IF(VLOOKUP(G$4,Countries!$B$2:$AN$55,38,FALSE)&gt;=3,5,IF(VLOOKUP(G$4,Countries!$B$2:$AN$55,38,FALSE)=2,4,IF(VLOOKUP(G$4,Countries!$B$2:$AN$55,38,FALSE)=1,2,1))),5)+0.2*IF(VLOOKUP(G$4,Countries!$B$2:$AN$55,24,FALSE)&gt;=50,5,IF(VLOOKUP(G$4,Countries!$B$2:$AN$55,24,FALSE)&gt;=25,4,IF(VLOOKUP(G$4,Countries!$B$2:$AN$55,24,FALSE)&gt;=10,3,IF(VLOOKUP(G$4,Countries!$B$2:$AN$55,24,FALSE)&gt;=5,2,1)))))),0)</f>
        <v>4</v>
      </c>
      <c r="AZ9" s="62" t="str">
        <f>IFERROR(INDEX(Endemicity!$C$2:$BN$55,MATCH(G$4,Endemicity!$B$2:$B$55,0),MATCH($A9,Endemicity!$C$1:$BN$1,0)),"Sporadic")</f>
        <v>Endemic</v>
      </c>
      <c r="BA9" s="62">
        <f>IF(Settings!$B$48="ON",IFERROR(MATCH($AZ9,Settings!$B$35:$F$35,0),5),5)</f>
        <v>1</v>
      </c>
    </row>
    <row r="10" customHeight="1" spans="1:53">
      <c r="A10" s="61" t="str">
        <f>Calculator!A39</f>
        <v>CHIK</v>
      </c>
      <c r="B10" s="61" t="str">
        <f>Calculator!B39</f>
        <v>Chikungunya virus</v>
      </c>
      <c r="C10" s="61" t="str">
        <f>Calculator!C39</f>
        <v>Arbovirus</v>
      </c>
      <c r="D10" s="52">
        <f>IFERROR(ROUND(MIN(100,(($J10)*Settings!$C$23*INDEX(Settings!$B$36:$F$44,1,$T10)+($K10)*Settings!$C$24*INDEX(Settings!$B$36:$F$44,2,$T10)+($L10)*Settings!$C$25*INDEX(Settings!$B$36:$F$44,3,$T10)+($M10)*Settings!$C$26*INDEX(Settings!$B$36:$F$44,4,$T10)+($N10)*Settings!$C$27*INDEX(Settings!$B$36:$F$44,5,$T10)+($O10)*Settings!$C$28*INDEX(Settings!$B$36:$F$44,6,$T10)+($P10)*Settings!$C$29*INDEX(Settings!$B$36:$F$44,7,$T10)+($Q10)*Settings!$C$30*INDEX(Settings!$B$36:$F$44,8,$T10)+($R10)*Settings!$C$31*INDEX(Settings!$B$36:$F$44,9,$T10))/INDEX(Settings!$B$45:$F$45,1,$T10)/5*100*IF($S10="Not present",Settings!$B$51,1)),1),"")</f>
        <v>50.3</v>
      </c>
      <c r="E10" s="52">
        <f>IFERROR(ROUND(MIN(100,(($U10)*Settings!$C$23*INDEX(Settings!$B$36:$F$44,1,$AE10)+($V10)*Settings!$C$24*INDEX(Settings!$B$36:$F$44,2,$AE10)+($W10)*Settings!$C$25*INDEX(Settings!$B$36:$F$44,3,$AE10)+($X10)*Settings!$C$26*INDEX(Settings!$B$36:$F$44,4,$AE10)+($Y10)*Settings!$C$27*INDEX(Settings!$B$36:$F$44,5,$AE10)+($Z10)*Settings!$C$28*INDEX(Settings!$B$36:$F$44,6,$AE10)+($AA10)*Settings!$C$29*INDEX(Settings!$B$36:$F$44,7,$AE10)+($AB10)*Settings!$C$30*INDEX(Settings!$B$36:$F$44,8,$AE10)+($AC10)*Settings!$C$31*INDEX(Settings!$B$36:$F$44,9,$AE10))/INDEX(Settings!$B$45:$F$45,1,$AE10)/5*100*IF($AD10="Not present",Settings!$B$51,1)),1),"")</f>
        <v>53.9</v>
      </c>
      <c r="F10" s="52">
        <f>IFERROR(ROUND(MIN(100,(($AF10)*Settings!$C$23*INDEX(Settings!$B$36:$F$44,1,$AP10)+($AG10)*Settings!$C$24*INDEX(Settings!$B$36:$F$44,2,$AP10)+($AH10)*Settings!$C$25*INDEX(Settings!$B$36:$F$44,3,$AP10)+($AI10)*Settings!$C$26*INDEX(Settings!$B$36:$F$44,4,$AP10)+($AJ10)*Settings!$C$27*INDEX(Settings!$B$36:$F$44,5,$AP10)+($AK10)*Settings!$C$28*INDEX(Settings!$B$36:$F$44,6,$AP10)+($AL10)*Settings!$C$29*INDEX(Settings!$B$36:$F$44,7,$AP10)+($AM10)*Settings!$C$30*INDEX(Settings!$B$36:$F$44,8,$AP10)+($AN10)*Settings!$C$31*INDEX(Settings!$B$36:$F$44,9,$AP10))/INDEX(Settings!$B$45:$F$45,1,$AP10)/5*100*IF($AO10="Not present",Settings!$B$51,1)),1),"")</f>
        <v>50.3</v>
      </c>
      <c r="G10" s="52">
        <f>IFERROR(ROUND(MIN(100,(($AQ10)*Settings!$C$23*INDEX(Settings!$B$36:$F$44,1,$BA10)+($AR10)*Settings!$C$24*INDEX(Settings!$B$36:$F$44,2,$BA10)+($AS10)*Settings!$C$25*INDEX(Settings!$B$36:$F$44,3,$BA10)+($AT10)*Settings!$C$26*INDEX(Settings!$B$36:$F$44,4,$BA10)+($AU10)*Settings!$C$27*INDEX(Settings!$B$36:$F$44,5,$BA10)+($AV10)*Settings!$C$28*INDEX(Settings!$B$36:$F$44,6,$BA10)+($AW10)*Settings!$C$29*INDEX(Settings!$B$36:$F$44,7,$BA10)+($AX10)*Settings!$C$30*INDEX(Settings!$B$36:$F$44,8,$BA10)+($AY10)*Settings!$C$31*INDEX(Settings!$B$36:$F$44,9,$BA10))/INDEX(Settings!$B$45:$F$45,1,$BA10)/5*100*IF($AZ10="Not present",Settings!$B$51,1)),1),"")</f>
        <v>55.1</v>
      </c>
      <c r="J10" s="62">
        <f>ROUND(MIN(5,IF(Pathogens!I7&gt;=500,5,IF(Pathogens!I7&gt;=200,4,IF(Pathogens!I7&gt;=50,3,IF(Pathogens!I7&gt;=10,2,1))))*0.5+IF(Pathogens!J7&gt;=30,5,IF(Pathogens!J7&gt;=10,4,IF(Pathogens!J7&gt;=3,3,IF(Pathogens!J7&gt;=1,2,1))))*0.4+IF(AND(VLOOKUP(D$4,Countries!$B$2:$AN$55,4,FALSE)&gt;=80,Pathogens!N7&gt;=0.5),1,0)*0.1+IF(VLOOKUP(D$4,Countries!$B$2:$AN$55,7,FALSE)&lt;50,0.3,0)),0)</f>
        <v>2</v>
      </c>
      <c r="K10" s="62">
        <f>ROUND(MIN(5,IF(Pathogens!K7&gt;=8,5,IF(Pathogens!K7&gt;=5,4,IF(Pathogens!K7&gt;=3,3,IF(Pathogens!K7&gt;=1,2,1))))*0.5+IF(Pathogens!L7&gt;=5,5,IF(Pathogens!L7&gt;=3,4,IF(Pathogens!L7&gt;=2,3,IF(Pathogens!L7&gt;=1.2,2,1))))*0.3+IF(Pathogens!M7=1,2,0)*0.2+IF(VLOOKUP(D$4,Countries!$B$2:$AN$55,12,FALSE)&gt;=2,0.5,0)),0)</f>
        <v>4</v>
      </c>
      <c r="L10" s="62">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c r="M10" s="62">
        <f>ROUND(MAX(1,MIN(5,(6-VLOOKUP(D$4,Countries!$B$2:$AN$55,10,FALSE))*0.5+(6-VLOOKUP(D$4,Countries!$B$2:$AN$55,11,FALSE))*0.4+(IF(AND(Pathogens!N7&gt;=0.5,VLOOKUP(D$4,Countries!$B$2:$AN$55,5,FALSE)&lt;60),5,IF(Pathogens!N7&gt;=0.5,4,IF(Pathogens!N7&gt;=0.3,3,IF(Pathogens!N7&gt;=0.1,2,1)))))*0.1)),0)</f>
        <v>2</v>
      </c>
      <c r="N10" s="62">
        <f>IF(ISNUMBER(SEARCH("Vaccine-preventable",Pathogens!C7)),2,IF(ISNUMBER(SEARCH("AMR",Pathogens!C7)),5,IF(ISNUMBER(SEARCH("VHF",Pathogens!C7)),4,IF(ISNUMBER(SEARCH("Emerging",Pathogens!C7)),5,IF(ISNUMBER(SEARCH("Mycobacterial",Pathogens!C7)),3,IF(ISNUMBER(SEARCH("Helminth",Pathogens!C7)),3,IF(ISNUMBER(SEARCH("Respiratory",Pathogens!C7)),4,3)))))))</f>
        <v>3</v>
      </c>
      <c r="O10" s="62">
        <f>IF(ISNUMBER(SEARCH("AMR",Pathogens!C7)),5,IF(ISNUMBER(SEARCH("Mycobacterial",Pathogens!C7)),4,IF(ISNUMBER(SEARCH("Enteric bacterial",Pathogens!C7)),3,IF(ISNUMBER(SEARCH("Bacterial",Pathogens!C7)),3,1))))</f>
        <v>1</v>
      </c>
      <c r="P1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0" s="62">
        <f>(6-Pathogens!X7)</f>
        <v>4</v>
      </c>
      <c r="R10" s="62">
        <f>ROUND(MIN(5,MAX(1,0.35*IF(Pathogens!R7=1,5,IF(Pathogens!R7=2,3,1))+0.2*IF(Pathogens!S7=1,5,IF(Pathogens!S7=2,3,1))+0.25*IF(Pathogens!W7=1,IF(VLOOKUP(D$4,Countries!$B$2:$AN$55,38,FALSE)&gt;=3,5,IF(VLOOKUP(D$4,Countries!$B$2:$AN$55,38,FALSE)=2,4,IF(VLOOKUP(D$4,Countries!$B$2:$AN$55,38,FALSE)=1,2,1))),5)+0.2*IF(VLOOKUP(D$4,Countries!$B$2:$AN$55,24,FALSE)&gt;=50,5,IF(VLOOKUP(D$4,Countries!$B$2:$AN$55,24,FALSE)&gt;=25,4,IF(VLOOKUP(D$4,Countries!$B$2:$AN$55,24,FALSE)&gt;=10,3,IF(VLOOKUP(D$4,Countries!$B$2:$AN$55,24,FALSE)&gt;=5,2,1)))))),0)</f>
        <v>4</v>
      </c>
      <c r="S10" s="62" t="str">
        <f>IFERROR(INDEX(Endemicity!$C$2:$BN$55,MATCH(D$4,Endemicity!$B$2:$B$55,0),MATCH($A10,Endemicity!$C$1:$BN$1,0)),"Sporadic")</f>
        <v>Endemic</v>
      </c>
      <c r="T10" s="62">
        <f>IF(Settings!$B$48="ON",IFERROR(MATCH($S10,Settings!$B$35:$F$35,0),5),5)</f>
        <v>1</v>
      </c>
      <c r="U10" s="62">
        <f>ROUND(MIN(5,IF(Pathogens!I7&gt;=500,5,IF(Pathogens!I7&gt;=200,4,IF(Pathogens!I7&gt;=50,3,IF(Pathogens!I7&gt;=10,2,1))))*0.5+IF(Pathogens!J7&gt;=30,5,IF(Pathogens!J7&gt;=10,4,IF(Pathogens!J7&gt;=3,3,IF(Pathogens!J7&gt;=1,2,1))))*0.4+IF(AND(VLOOKUP(E$4,Countries!$B$2:$AN$55,4,FALSE)&gt;=80,Pathogens!N7&gt;=0.5),1,0)*0.1+IF(VLOOKUP(E$4,Countries!$B$2:$AN$55,7,FALSE)&lt;50,0.3,0)),0)</f>
        <v>2</v>
      </c>
      <c r="V10" s="62">
        <f>ROUND(MIN(5,IF(Pathogens!K7&gt;=8,5,IF(Pathogens!K7&gt;=5,4,IF(Pathogens!K7&gt;=3,3,IF(Pathogens!K7&gt;=1,2,1))))*0.5+IF(Pathogens!L7&gt;=5,5,IF(Pathogens!L7&gt;=3,4,IF(Pathogens!L7&gt;=2,3,IF(Pathogens!L7&gt;=1.2,2,1))))*0.3+IF(Pathogens!M7=1,2,0)*0.2+IF(VLOOKUP(E$4,Countries!$B$2:$AN$55,12,FALSE)&gt;=2,0.5,0)),0)</f>
        <v>4</v>
      </c>
      <c r="W10" s="62">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c r="X10" s="62">
        <f>ROUND(MAX(1,MIN(5,(6-VLOOKUP(E$4,Countries!$B$2:$AN$55,10,FALSE))*0.5+(6-VLOOKUP(E$4,Countries!$B$2:$AN$55,11,FALSE))*0.4+(IF(AND(Pathogens!N7&gt;=0.5,VLOOKUP(E$4,Countries!$B$2:$AN$55,5,FALSE)&lt;60),5,IF(Pathogens!N7&gt;=0.5,4,IF(Pathogens!N7&gt;=0.3,3,IF(Pathogens!N7&gt;=0.1,2,1)))))*0.1)),0)</f>
        <v>2</v>
      </c>
      <c r="Y10" s="62">
        <f>IF(ISNUMBER(SEARCH("Vaccine-preventable",Pathogens!C7)),2,IF(ISNUMBER(SEARCH("AMR",Pathogens!C7)),5,IF(ISNUMBER(SEARCH("VHF",Pathogens!C7)),4,IF(ISNUMBER(SEARCH("Emerging",Pathogens!C7)),5,IF(ISNUMBER(SEARCH("Mycobacterial",Pathogens!C7)),3,IF(ISNUMBER(SEARCH("Helminth",Pathogens!C7)),3,IF(ISNUMBER(SEARCH("Respiratory",Pathogens!C7)),4,3)))))))</f>
        <v>3</v>
      </c>
      <c r="Z10" s="62">
        <f>IF(ISNUMBER(SEARCH("AMR",Pathogens!C7)),5,IF(ISNUMBER(SEARCH("Mycobacterial",Pathogens!C7)),4,IF(ISNUMBER(SEARCH("Enteric bacterial",Pathogens!C7)),3,IF(ISNUMBER(SEARCH("Bacterial",Pathogens!C7)),3,1))))</f>
        <v>1</v>
      </c>
      <c r="AA1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0" s="62">
        <f>(6-Pathogens!X7)</f>
        <v>4</v>
      </c>
      <c r="AC10" s="62">
        <f>ROUND(MIN(5,MAX(1,0.35*IF(Pathogens!R7=1,5,IF(Pathogens!R7=2,3,1))+0.2*IF(Pathogens!S7=1,5,IF(Pathogens!S7=2,3,1))+0.25*IF(Pathogens!W7=1,IF(VLOOKUP(E$4,Countries!$B$2:$AN$55,38,FALSE)&gt;=3,5,IF(VLOOKUP(E$4,Countries!$B$2:$AN$55,38,FALSE)=2,4,IF(VLOOKUP(E$4,Countries!$B$2:$AN$55,38,FALSE)=1,2,1))),5)+0.2*IF(VLOOKUP(E$4,Countries!$B$2:$AN$55,24,FALSE)&gt;=50,5,IF(VLOOKUP(E$4,Countries!$B$2:$AN$55,24,FALSE)&gt;=25,4,IF(VLOOKUP(E$4,Countries!$B$2:$AN$55,24,FALSE)&gt;=10,3,IF(VLOOKUP(E$4,Countries!$B$2:$AN$55,24,FALSE)&gt;=5,2,1)))))),0)</f>
        <v>4</v>
      </c>
      <c r="AD10" s="62" t="str">
        <f>IFERROR(INDEX(Endemicity!$C$2:$BN$55,MATCH(E$4,Endemicity!$B$2:$B$55,0),MATCH($A10,Endemicity!$C$1:$BN$1,0)),"Sporadic")</f>
        <v>Endemic</v>
      </c>
      <c r="AE10" s="62">
        <f>IF(Settings!$B$48="ON",IFERROR(MATCH($AD10,Settings!$B$35:$F$35,0),5),5)</f>
        <v>1</v>
      </c>
      <c r="AF10" s="62">
        <f>ROUND(MIN(5,IF(Pathogens!I7&gt;=500,5,IF(Pathogens!I7&gt;=200,4,IF(Pathogens!I7&gt;=50,3,IF(Pathogens!I7&gt;=10,2,1))))*0.5+IF(Pathogens!J7&gt;=30,5,IF(Pathogens!J7&gt;=10,4,IF(Pathogens!J7&gt;=3,3,IF(Pathogens!J7&gt;=1,2,1))))*0.4+IF(AND(VLOOKUP(F$4,Countries!$B$2:$AN$55,4,FALSE)&gt;=80,Pathogens!N7&gt;=0.5),1,0)*0.1+IF(VLOOKUP(F$4,Countries!$B$2:$AN$55,7,FALSE)&lt;50,0.3,0)),0)</f>
        <v>2</v>
      </c>
      <c r="AG10" s="62">
        <f>ROUND(MIN(5,IF(Pathogens!K7&gt;=8,5,IF(Pathogens!K7&gt;=5,4,IF(Pathogens!K7&gt;=3,3,IF(Pathogens!K7&gt;=1,2,1))))*0.5+IF(Pathogens!L7&gt;=5,5,IF(Pathogens!L7&gt;=3,4,IF(Pathogens!L7&gt;=2,3,IF(Pathogens!L7&gt;=1.2,2,1))))*0.3+IF(Pathogens!M7=1,2,0)*0.2+IF(VLOOKUP(F$4,Countries!$B$2:$AN$55,12,FALSE)&gt;=2,0.5,0)),0)</f>
        <v>4</v>
      </c>
      <c r="AH10" s="62">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c r="AI10" s="62">
        <f>ROUND(MAX(1,MIN(5,(6-VLOOKUP(F$4,Countries!$B$2:$AN$55,10,FALSE))*0.5+(6-VLOOKUP(F$4,Countries!$B$2:$AN$55,11,FALSE))*0.4+(IF(AND(Pathogens!N7&gt;=0.5,VLOOKUP(F$4,Countries!$B$2:$AN$55,5,FALSE)&lt;60),5,IF(Pathogens!N7&gt;=0.5,4,IF(Pathogens!N7&gt;=0.3,3,IF(Pathogens!N7&gt;=0.1,2,1)))))*0.1)),0)</f>
        <v>2</v>
      </c>
      <c r="AJ10" s="62">
        <f>IF(ISNUMBER(SEARCH("Vaccine-preventable",Pathogens!C7)),2,IF(ISNUMBER(SEARCH("AMR",Pathogens!C7)),5,IF(ISNUMBER(SEARCH("VHF",Pathogens!C7)),4,IF(ISNUMBER(SEARCH("Emerging",Pathogens!C7)),5,IF(ISNUMBER(SEARCH("Mycobacterial",Pathogens!C7)),3,IF(ISNUMBER(SEARCH("Helminth",Pathogens!C7)),3,IF(ISNUMBER(SEARCH("Respiratory",Pathogens!C7)),4,3)))))))</f>
        <v>3</v>
      </c>
      <c r="AK10" s="62">
        <f>IF(ISNUMBER(SEARCH("AMR",Pathogens!C7)),5,IF(ISNUMBER(SEARCH("Mycobacterial",Pathogens!C7)),4,IF(ISNUMBER(SEARCH("Enteric bacterial",Pathogens!C7)),3,IF(ISNUMBER(SEARCH("Bacterial",Pathogens!C7)),3,1))))</f>
        <v>1</v>
      </c>
      <c r="AL1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0" s="62">
        <f>(6-Pathogens!X7)</f>
        <v>4</v>
      </c>
      <c r="AN10" s="62">
        <f>ROUND(MIN(5,MAX(1,0.35*IF(Pathogens!R7=1,5,IF(Pathogens!R7=2,3,1))+0.2*IF(Pathogens!S7=1,5,IF(Pathogens!S7=2,3,1))+0.25*IF(Pathogens!W7=1,IF(VLOOKUP(F$4,Countries!$B$2:$AN$55,38,FALSE)&gt;=3,5,IF(VLOOKUP(F$4,Countries!$B$2:$AN$55,38,FALSE)=2,4,IF(VLOOKUP(F$4,Countries!$B$2:$AN$55,38,FALSE)=1,2,1))),5)+0.2*IF(VLOOKUP(F$4,Countries!$B$2:$AN$55,24,FALSE)&gt;=50,5,IF(VLOOKUP(F$4,Countries!$B$2:$AN$55,24,FALSE)&gt;=25,4,IF(VLOOKUP(F$4,Countries!$B$2:$AN$55,24,FALSE)&gt;=10,3,IF(VLOOKUP(F$4,Countries!$B$2:$AN$55,24,FALSE)&gt;=5,2,1)))))),0)</f>
        <v>4</v>
      </c>
      <c r="AO10" s="62" t="str">
        <f>IFERROR(INDEX(Endemicity!$C$2:$BN$55,MATCH(F$4,Endemicity!$B$2:$B$55,0),MATCH($A10,Endemicity!$C$1:$BN$1,0)),"Sporadic")</f>
        <v>Endemic</v>
      </c>
      <c r="AP10" s="62">
        <f>IF(Settings!$B$48="ON",IFERROR(MATCH($AO10,Settings!$B$35:$F$35,0),5),5)</f>
        <v>1</v>
      </c>
      <c r="AQ10" s="62">
        <f>ROUND(MIN(5,IF(Pathogens!I7&gt;=500,5,IF(Pathogens!I7&gt;=200,4,IF(Pathogens!I7&gt;=50,3,IF(Pathogens!I7&gt;=10,2,1))))*0.5+IF(Pathogens!J7&gt;=30,5,IF(Pathogens!J7&gt;=10,4,IF(Pathogens!J7&gt;=3,3,IF(Pathogens!J7&gt;=1,2,1))))*0.4+IF(AND(VLOOKUP(G$4,Countries!$B$2:$AN$55,4,FALSE)&gt;=80,Pathogens!N7&gt;=0.5),1,0)*0.1+IF(VLOOKUP(G$4,Countries!$B$2:$AN$55,7,FALSE)&lt;50,0.3,0)),0)</f>
        <v>2</v>
      </c>
      <c r="AR10" s="62">
        <f>ROUND(MIN(5,IF(Pathogens!K7&gt;=8,5,IF(Pathogens!K7&gt;=5,4,IF(Pathogens!K7&gt;=3,3,IF(Pathogens!K7&gt;=1,2,1))))*0.5+IF(Pathogens!L7&gt;=5,5,IF(Pathogens!L7&gt;=3,4,IF(Pathogens!L7&gt;=2,3,IF(Pathogens!L7&gt;=1.2,2,1))))*0.3+IF(Pathogens!M7=1,2,0)*0.2+IF(VLOOKUP(G$4,Countries!$B$2:$AN$55,12,FALSE)&gt;=2,0.5,0)),0)</f>
        <v>4</v>
      </c>
      <c r="AS10" s="62">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c r="AT10" s="62">
        <f>ROUND(MAX(1,MIN(5,(6-VLOOKUP(G$4,Countries!$B$2:$AN$55,10,FALSE))*0.5+(6-VLOOKUP(G$4,Countries!$B$2:$AN$55,11,FALSE))*0.4+(IF(AND(Pathogens!N7&gt;=0.5,VLOOKUP(G$4,Countries!$B$2:$AN$55,5,FALSE)&lt;60),5,IF(Pathogens!N7&gt;=0.5,4,IF(Pathogens!N7&gt;=0.3,3,IF(Pathogens!N7&gt;=0.1,2,1)))))*0.1)),0)</f>
        <v>2</v>
      </c>
      <c r="AU10" s="62">
        <f>IF(ISNUMBER(SEARCH("Vaccine-preventable",Pathogens!C7)),2,IF(ISNUMBER(SEARCH("AMR",Pathogens!C7)),5,IF(ISNUMBER(SEARCH("VHF",Pathogens!C7)),4,IF(ISNUMBER(SEARCH("Emerging",Pathogens!C7)),5,IF(ISNUMBER(SEARCH("Mycobacterial",Pathogens!C7)),3,IF(ISNUMBER(SEARCH("Helminth",Pathogens!C7)),3,IF(ISNUMBER(SEARCH("Respiratory",Pathogens!C7)),4,3)))))))</f>
        <v>3</v>
      </c>
      <c r="AV10" s="62">
        <f>IF(ISNUMBER(SEARCH("AMR",Pathogens!C7)),5,IF(ISNUMBER(SEARCH("Mycobacterial",Pathogens!C7)),4,IF(ISNUMBER(SEARCH("Enteric bacterial",Pathogens!C7)),3,IF(ISNUMBER(SEARCH("Bacterial",Pathogens!C7)),3,1))))</f>
        <v>1</v>
      </c>
      <c r="AW1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0" s="62">
        <f>(6-Pathogens!X7)</f>
        <v>4</v>
      </c>
      <c r="AY10" s="62">
        <f>ROUND(MIN(5,MAX(1,0.35*IF(Pathogens!R7=1,5,IF(Pathogens!R7=2,3,1))+0.2*IF(Pathogens!S7=1,5,IF(Pathogens!S7=2,3,1))+0.25*IF(Pathogens!W7=1,IF(VLOOKUP(G$4,Countries!$B$2:$AN$55,38,FALSE)&gt;=3,5,IF(VLOOKUP(G$4,Countries!$B$2:$AN$55,38,FALSE)=2,4,IF(VLOOKUP(G$4,Countries!$B$2:$AN$55,38,FALSE)=1,2,1))),5)+0.2*IF(VLOOKUP(G$4,Countries!$B$2:$AN$55,24,FALSE)&gt;=50,5,IF(VLOOKUP(G$4,Countries!$B$2:$AN$55,24,FALSE)&gt;=25,4,IF(VLOOKUP(G$4,Countries!$B$2:$AN$55,24,FALSE)&gt;=10,3,IF(VLOOKUP(G$4,Countries!$B$2:$AN$55,24,FALSE)&gt;=5,2,1)))))),0)</f>
        <v>4</v>
      </c>
      <c r="AZ10" s="62" t="str">
        <f>IFERROR(INDEX(Endemicity!$C$2:$BN$55,MATCH(G$4,Endemicity!$B$2:$B$55,0),MATCH($A10,Endemicity!$C$1:$BN$1,0)),"Sporadic")</f>
        <v>Sporadic</v>
      </c>
      <c r="BA10" s="62">
        <f>IF(Settings!$B$48="ON",IFERROR(MATCH($AZ10,Settings!$B$35:$F$35,0),5),5)</f>
        <v>2</v>
      </c>
    </row>
    <row r="11" customHeight="1" spans="1:53">
      <c r="A11" s="61" t="str">
        <f>Calculator!A40</f>
        <v>ZIKA</v>
      </c>
      <c r="B11" s="61" t="str">
        <f>Calculator!B40</f>
        <v>Zika virus</v>
      </c>
      <c r="C11" s="61" t="str">
        <f>Calculator!C40</f>
        <v>Arbovirus</v>
      </c>
      <c r="D11" s="52">
        <f>IFERROR(ROUND(MIN(100,(($J11)*Settings!$C$23*INDEX(Settings!$B$36:$F$44,1,$T11)+($K11)*Settings!$C$24*INDEX(Settings!$B$36:$F$44,2,$T11)+($L11)*Settings!$C$25*INDEX(Settings!$B$36:$F$44,3,$T11)+($M11)*Settings!$C$26*INDEX(Settings!$B$36:$F$44,4,$T11)+($N11)*Settings!$C$27*INDEX(Settings!$B$36:$F$44,5,$T11)+($O11)*Settings!$C$28*INDEX(Settings!$B$36:$F$44,6,$T11)+($P11)*Settings!$C$29*INDEX(Settings!$B$36:$F$44,7,$T11)+($Q11)*Settings!$C$30*INDEX(Settings!$B$36:$F$44,8,$T11)+($R11)*Settings!$C$31*INDEX(Settings!$B$36:$F$44,9,$T11))/INDEX(Settings!$B$45:$F$45,1,$T11)/5*100*IF($S11="Not present",Settings!$B$51,1)),1),"")</f>
        <v>59.2</v>
      </c>
      <c r="E11" s="52">
        <f>IFERROR(ROUND(MIN(100,(($U11)*Settings!$C$23*INDEX(Settings!$B$36:$F$44,1,$AE11)+($V11)*Settings!$C$24*INDEX(Settings!$B$36:$F$44,2,$AE11)+($W11)*Settings!$C$25*INDEX(Settings!$B$36:$F$44,3,$AE11)+($X11)*Settings!$C$26*INDEX(Settings!$B$36:$F$44,4,$AE11)+($Y11)*Settings!$C$27*INDEX(Settings!$B$36:$F$44,5,$AE11)+($Z11)*Settings!$C$28*INDEX(Settings!$B$36:$F$44,6,$AE11)+($AA11)*Settings!$C$29*INDEX(Settings!$B$36:$F$44,7,$AE11)+($AB11)*Settings!$C$30*INDEX(Settings!$B$36:$F$44,8,$AE11)+($AC11)*Settings!$C$31*INDEX(Settings!$B$36:$F$44,9,$AE11))/INDEX(Settings!$B$45:$F$45,1,$AE11)/5*100*IF($AD11="Not present",Settings!$B$51,1)),1),"")</f>
        <v>61.2</v>
      </c>
      <c r="F11" s="52">
        <f>IFERROR(ROUND(MIN(100,(($AF11)*Settings!$C$23*INDEX(Settings!$B$36:$F$44,1,$AP11)+($AG11)*Settings!$C$24*INDEX(Settings!$B$36:$F$44,2,$AP11)+($AH11)*Settings!$C$25*INDEX(Settings!$B$36:$F$44,3,$AP11)+($AI11)*Settings!$C$26*INDEX(Settings!$B$36:$F$44,4,$AP11)+($AJ11)*Settings!$C$27*INDEX(Settings!$B$36:$F$44,5,$AP11)+($AK11)*Settings!$C$28*INDEX(Settings!$B$36:$F$44,6,$AP11)+($AL11)*Settings!$C$29*INDEX(Settings!$B$36:$F$44,7,$AP11)+($AM11)*Settings!$C$30*INDEX(Settings!$B$36:$F$44,8,$AP11)+($AN11)*Settings!$C$31*INDEX(Settings!$B$36:$F$44,9,$AP11))/INDEX(Settings!$B$45:$F$45,1,$AP11)/5*100*IF($AO11="Not present",Settings!$B$51,1)),1),"")</f>
        <v>59.2</v>
      </c>
      <c r="G11" s="52">
        <f>IFERROR(ROUND(MIN(100,(($AQ11)*Settings!$C$23*INDEX(Settings!$B$36:$F$44,1,$BA11)+($AR11)*Settings!$C$24*INDEX(Settings!$B$36:$F$44,2,$BA11)+($AS11)*Settings!$C$25*INDEX(Settings!$B$36:$F$44,3,$BA11)+($AT11)*Settings!$C$26*INDEX(Settings!$B$36:$F$44,4,$BA11)+($AU11)*Settings!$C$27*INDEX(Settings!$B$36:$F$44,5,$BA11)+($AV11)*Settings!$C$28*INDEX(Settings!$B$36:$F$44,6,$BA11)+($AW11)*Settings!$C$29*INDEX(Settings!$B$36:$F$44,7,$BA11)+($AX11)*Settings!$C$30*INDEX(Settings!$B$36:$F$44,8,$BA11)+($AY11)*Settings!$C$31*INDEX(Settings!$B$36:$F$44,9,$BA11))/INDEX(Settings!$B$45:$F$45,1,$BA11)/5*100*IF($AZ11="Not present",Settings!$B$51,1)),1),"")</f>
        <v>60.2</v>
      </c>
      <c r="J11" s="62">
        <f>ROUND(MIN(5,IF(Pathogens!I8&gt;=500,5,IF(Pathogens!I8&gt;=200,4,IF(Pathogens!I8&gt;=50,3,IF(Pathogens!I8&gt;=10,2,1))))*0.5+IF(Pathogens!J8&gt;=30,5,IF(Pathogens!J8&gt;=10,4,IF(Pathogens!J8&gt;=3,3,IF(Pathogens!J8&gt;=1,2,1))))*0.4+IF(AND(VLOOKUP(D$4,Countries!$B$2:$AN$55,4,FALSE)&gt;=80,Pathogens!N8&gt;=0.5),1,0)*0.1+IF(VLOOKUP(D$4,Countries!$B$2:$AN$55,7,FALSE)&lt;50,0.3,0)),0)</f>
        <v>1</v>
      </c>
      <c r="K11" s="62">
        <f>ROUND(MIN(5,IF(Pathogens!K8&gt;=8,5,IF(Pathogens!K8&gt;=5,4,IF(Pathogens!K8&gt;=3,3,IF(Pathogens!K8&gt;=1,2,1))))*0.5+IF(Pathogens!L8&gt;=5,5,IF(Pathogens!L8&gt;=3,4,IF(Pathogens!L8&gt;=2,3,IF(Pathogens!L8&gt;=1.2,2,1))))*0.3+IF(Pathogens!M8=1,2,0)*0.2+IF(VLOOKUP(D$4,Countries!$B$2:$AN$55,12,FALSE)&gt;=2,0.5,0)),0)</f>
        <v>3</v>
      </c>
      <c r="L11" s="62">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c r="M11" s="62">
        <f>ROUND(MAX(1,MIN(5,(6-VLOOKUP(D$4,Countries!$B$2:$AN$55,10,FALSE))*0.5+(6-VLOOKUP(D$4,Countries!$B$2:$AN$55,11,FALSE))*0.4+(IF(AND(Pathogens!N8&gt;=0.5,VLOOKUP(D$4,Countries!$B$2:$AN$55,5,FALSE)&lt;60),5,IF(Pathogens!N8&gt;=0.5,4,IF(Pathogens!N8&gt;=0.3,3,IF(Pathogens!N8&gt;=0.1,2,1)))))*0.1)),0)</f>
        <v>2</v>
      </c>
      <c r="N11" s="62">
        <f>IF(ISNUMBER(SEARCH("Vaccine-preventable",Pathogens!C8)),2,IF(ISNUMBER(SEARCH("AMR",Pathogens!C8)),5,IF(ISNUMBER(SEARCH("VHF",Pathogens!C8)),4,IF(ISNUMBER(SEARCH("Emerging",Pathogens!C8)),5,IF(ISNUMBER(SEARCH("Mycobacterial",Pathogens!C8)),3,IF(ISNUMBER(SEARCH("Helminth",Pathogens!C8)),3,IF(ISNUMBER(SEARCH("Respiratory",Pathogens!C8)),4,3)))))))</f>
        <v>3</v>
      </c>
      <c r="O11" s="62">
        <f>IF(ISNUMBER(SEARCH("AMR",Pathogens!C8)),5,IF(ISNUMBER(SEARCH("Mycobacterial",Pathogens!C8)),4,IF(ISNUMBER(SEARCH("Enteric bacterial",Pathogens!C8)),3,IF(ISNUMBER(SEARCH("Bacterial",Pathogens!C8)),3,1))))</f>
        <v>1</v>
      </c>
      <c r="P1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1" s="62">
        <f>(6-Pathogens!X8)</f>
        <v>4</v>
      </c>
      <c r="R11" s="62">
        <f>ROUND(MIN(5,MAX(1,0.35*IF(Pathogens!R8=1,5,IF(Pathogens!R8=2,3,1))+0.2*IF(Pathogens!S8=1,5,IF(Pathogens!S8=2,3,1))+0.25*IF(Pathogens!W8=1,IF(VLOOKUP(D$4,Countries!$B$2:$AN$55,38,FALSE)&gt;=3,5,IF(VLOOKUP(D$4,Countries!$B$2:$AN$55,38,FALSE)=2,4,IF(VLOOKUP(D$4,Countries!$B$2:$AN$55,38,FALSE)=1,2,1))),5)+0.2*IF(VLOOKUP(D$4,Countries!$B$2:$AN$55,24,FALSE)&gt;=50,5,IF(VLOOKUP(D$4,Countries!$B$2:$AN$55,24,FALSE)&gt;=25,4,IF(VLOOKUP(D$4,Countries!$B$2:$AN$55,24,FALSE)&gt;=10,3,IF(VLOOKUP(D$4,Countries!$B$2:$AN$55,24,FALSE)&gt;=5,2,1)))))),0)</f>
        <v>4</v>
      </c>
      <c r="S11" s="62" t="str">
        <f>IFERROR(INDEX(Endemicity!$C$2:$BN$55,MATCH(D$4,Endemicity!$B$2:$B$55,0),MATCH($A11,Endemicity!$C$1:$BN$1,0)),"Sporadic")</f>
        <v>Emerging</v>
      </c>
      <c r="T11" s="62">
        <f>IF(Settings!$B$48="ON",IFERROR(MATCH($S11,Settings!$B$35:$F$35,0),5),5)</f>
        <v>3</v>
      </c>
      <c r="U11" s="62">
        <f>ROUND(MIN(5,IF(Pathogens!I8&gt;=500,5,IF(Pathogens!I8&gt;=200,4,IF(Pathogens!I8&gt;=50,3,IF(Pathogens!I8&gt;=10,2,1))))*0.5+IF(Pathogens!J8&gt;=30,5,IF(Pathogens!J8&gt;=10,4,IF(Pathogens!J8&gt;=3,3,IF(Pathogens!J8&gt;=1,2,1))))*0.4+IF(AND(VLOOKUP(E$4,Countries!$B$2:$AN$55,4,FALSE)&gt;=80,Pathogens!N8&gt;=0.5),1,0)*0.1+IF(VLOOKUP(E$4,Countries!$B$2:$AN$55,7,FALSE)&lt;50,0.3,0)),0)</f>
        <v>1</v>
      </c>
      <c r="V11" s="62">
        <f>ROUND(MIN(5,IF(Pathogens!K8&gt;=8,5,IF(Pathogens!K8&gt;=5,4,IF(Pathogens!K8&gt;=3,3,IF(Pathogens!K8&gt;=1,2,1))))*0.5+IF(Pathogens!L8&gt;=5,5,IF(Pathogens!L8&gt;=3,4,IF(Pathogens!L8&gt;=2,3,IF(Pathogens!L8&gt;=1.2,2,1))))*0.3+IF(Pathogens!M8=1,2,0)*0.2+IF(VLOOKUP(E$4,Countries!$B$2:$AN$55,12,FALSE)&gt;=2,0.5,0)),0)</f>
        <v>3</v>
      </c>
      <c r="W11" s="62">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c r="X11" s="62">
        <f>ROUND(MAX(1,MIN(5,(6-VLOOKUP(E$4,Countries!$B$2:$AN$55,10,FALSE))*0.5+(6-VLOOKUP(E$4,Countries!$B$2:$AN$55,11,FALSE))*0.4+(IF(AND(Pathogens!N8&gt;=0.5,VLOOKUP(E$4,Countries!$B$2:$AN$55,5,FALSE)&lt;60),5,IF(Pathogens!N8&gt;=0.5,4,IF(Pathogens!N8&gt;=0.3,3,IF(Pathogens!N8&gt;=0.1,2,1)))))*0.1)),0)</f>
        <v>2</v>
      </c>
      <c r="Y11" s="62">
        <f>IF(ISNUMBER(SEARCH("Vaccine-preventable",Pathogens!C8)),2,IF(ISNUMBER(SEARCH("AMR",Pathogens!C8)),5,IF(ISNUMBER(SEARCH("VHF",Pathogens!C8)),4,IF(ISNUMBER(SEARCH("Emerging",Pathogens!C8)),5,IF(ISNUMBER(SEARCH("Mycobacterial",Pathogens!C8)),3,IF(ISNUMBER(SEARCH("Helminth",Pathogens!C8)),3,IF(ISNUMBER(SEARCH("Respiratory",Pathogens!C8)),4,3)))))))</f>
        <v>3</v>
      </c>
      <c r="Z11" s="62">
        <f>IF(ISNUMBER(SEARCH("AMR",Pathogens!C8)),5,IF(ISNUMBER(SEARCH("Mycobacterial",Pathogens!C8)),4,IF(ISNUMBER(SEARCH("Enteric bacterial",Pathogens!C8)),3,IF(ISNUMBER(SEARCH("Bacterial",Pathogens!C8)),3,1))))</f>
        <v>1</v>
      </c>
      <c r="AA1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1" s="62">
        <f>(6-Pathogens!X8)</f>
        <v>4</v>
      </c>
      <c r="AC11" s="62">
        <f>ROUND(MIN(5,MAX(1,0.35*IF(Pathogens!R8=1,5,IF(Pathogens!R8=2,3,1))+0.2*IF(Pathogens!S8=1,5,IF(Pathogens!S8=2,3,1))+0.25*IF(Pathogens!W8=1,IF(VLOOKUP(E$4,Countries!$B$2:$AN$55,38,FALSE)&gt;=3,5,IF(VLOOKUP(E$4,Countries!$B$2:$AN$55,38,FALSE)=2,4,IF(VLOOKUP(E$4,Countries!$B$2:$AN$55,38,FALSE)=1,2,1))),5)+0.2*IF(VLOOKUP(E$4,Countries!$B$2:$AN$55,24,FALSE)&gt;=50,5,IF(VLOOKUP(E$4,Countries!$B$2:$AN$55,24,FALSE)&gt;=25,4,IF(VLOOKUP(E$4,Countries!$B$2:$AN$55,24,FALSE)&gt;=10,3,IF(VLOOKUP(E$4,Countries!$B$2:$AN$55,24,FALSE)&gt;=5,2,1)))))),0)</f>
        <v>4</v>
      </c>
      <c r="AD11" s="62" t="str">
        <f>IFERROR(INDEX(Endemicity!$C$2:$BN$55,MATCH(E$4,Endemicity!$B$2:$B$55,0),MATCH($A11,Endemicity!$C$1:$BN$1,0)),"Sporadic")</f>
        <v>Emerging</v>
      </c>
      <c r="AE11" s="62">
        <f>IF(Settings!$B$48="ON",IFERROR(MATCH($AD11,Settings!$B$35:$F$35,0),5),5)</f>
        <v>3</v>
      </c>
      <c r="AF11" s="62">
        <f>ROUND(MIN(5,IF(Pathogens!I8&gt;=500,5,IF(Pathogens!I8&gt;=200,4,IF(Pathogens!I8&gt;=50,3,IF(Pathogens!I8&gt;=10,2,1))))*0.5+IF(Pathogens!J8&gt;=30,5,IF(Pathogens!J8&gt;=10,4,IF(Pathogens!J8&gt;=3,3,IF(Pathogens!J8&gt;=1,2,1))))*0.4+IF(AND(VLOOKUP(F$4,Countries!$B$2:$AN$55,4,FALSE)&gt;=80,Pathogens!N8&gt;=0.5),1,0)*0.1+IF(VLOOKUP(F$4,Countries!$B$2:$AN$55,7,FALSE)&lt;50,0.3,0)),0)</f>
        <v>1</v>
      </c>
      <c r="AG11" s="62">
        <f>ROUND(MIN(5,IF(Pathogens!K8&gt;=8,5,IF(Pathogens!K8&gt;=5,4,IF(Pathogens!K8&gt;=3,3,IF(Pathogens!K8&gt;=1,2,1))))*0.5+IF(Pathogens!L8&gt;=5,5,IF(Pathogens!L8&gt;=3,4,IF(Pathogens!L8&gt;=2,3,IF(Pathogens!L8&gt;=1.2,2,1))))*0.3+IF(Pathogens!M8=1,2,0)*0.2+IF(VLOOKUP(F$4,Countries!$B$2:$AN$55,12,FALSE)&gt;=2,0.5,0)),0)</f>
        <v>3</v>
      </c>
      <c r="AH11" s="62">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c r="AI11" s="62">
        <f>ROUND(MAX(1,MIN(5,(6-VLOOKUP(F$4,Countries!$B$2:$AN$55,10,FALSE))*0.5+(6-VLOOKUP(F$4,Countries!$B$2:$AN$55,11,FALSE))*0.4+(IF(AND(Pathogens!N8&gt;=0.5,VLOOKUP(F$4,Countries!$B$2:$AN$55,5,FALSE)&lt;60),5,IF(Pathogens!N8&gt;=0.5,4,IF(Pathogens!N8&gt;=0.3,3,IF(Pathogens!N8&gt;=0.1,2,1)))))*0.1)),0)</f>
        <v>2</v>
      </c>
      <c r="AJ11" s="62">
        <f>IF(ISNUMBER(SEARCH("Vaccine-preventable",Pathogens!C8)),2,IF(ISNUMBER(SEARCH("AMR",Pathogens!C8)),5,IF(ISNUMBER(SEARCH("VHF",Pathogens!C8)),4,IF(ISNUMBER(SEARCH("Emerging",Pathogens!C8)),5,IF(ISNUMBER(SEARCH("Mycobacterial",Pathogens!C8)),3,IF(ISNUMBER(SEARCH("Helminth",Pathogens!C8)),3,IF(ISNUMBER(SEARCH("Respiratory",Pathogens!C8)),4,3)))))))</f>
        <v>3</v>
      </c>
      <c r="AK11" s="62">
        <f>IF(ISNUMBER(SEARCH("AMR",Pathogens!C8)),5,IF(ISNUMBER(SEARCH("Mycobacterial",Pathogens!C8)),4,IF(ISNUMBER(SEARCH("Enteric bacterial",Pathogens!C8)),3,IF(ISNUMBER(SEARCH("Bacterial",Pathogens!C8)),3,1))))</f>
        <v>1</v>
      </c>
      <c r="AL1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1" s="62">
        <f>(6-Pathogens!X8)</f>
        <v>4</v>
      </c>
      <c r="AN11" s="62">
        <f>ROUND(MIN(5,MAX(1,0.35*IF(Pathogens!R8=1,5,IF(Pathogens!R8=2,3,1))+0.2*IF(Pathogens!S8=1,5,IF(Pathogens!S8=2,3,1))+0.25*IF(Pathogens!W8=1,IF(VLOOKUP(F$4,Countries!$B$2:$AN$55,38,FALSE)&gt;=3,5,IF(VLOOKUP(F$4,Countries!$B$2:$AN$55,38,FALSE)=2,4,IF(VLOOKUP(F$4,Countries!$B$2:$AN$55,38,FALSE)=1,2,1))),5)+0.2*IF(VLOOKUP(F$4,Countries!$B$2:$AN$55,24,FALSE)&gt;=50,5,IF(VLOOKUP(F$4,Countries!$B$2:$AN$55,24,FALSE)&gt;=25,4,IF(VLOOKUP(F$4,Countries!$B$2:$AN$55,24,FALSE)&gt;=10,3,IF(VLOOKUP(F$4,Countries!$B$2:$AN$55,24,FALSE)&gt;=5,2,1)))))),0)</f>
        <v>4</v>
      </c>
      <c r="AO11" s="62" t="str">
        <f>IFERROR(INDEX(Endemicity!$C$2:$BN$55,MATCH(F$4,Endemicity!$B$2:$B$55,0),MATCH($A11,Endemicity!$C$1:$BN$1,0)),"Sporadic")</f>
        <v>Emerging</v>
      </c>
      <c r="AP11" s="62">
        <f>IF(Settings!$B$48="ON",IFERROR(MATCH($AO11,Settings!$B$35:$F$35,0),5),5)</f>
        <v>3</v>
      </c>
      <c r="AQ11" s="62">
        <f>ROUND(MIN(5,IF(Pathogens!I8&gt;=500,5,IF(Pathogens!I8&gt;=200,4,IF(Pathogens!I8&gt;=50,3,IF(Pathogens!I8&gt;=10,2,1))))*0.5+IF(Pathogens!J8&gt;=30,5,IF(Pathogens!J8&gt;=10,4,IF(Pathogens!J8&gt;=3,3,IF(Pathogens!J8&gt;=1,2,1))))*0.4+IF(AND(VLOOKUP(G$4,Countries!$B$2:$AN$55,4,FALSE)&gt;=80,Pathogens!N8&gt;=0.5),1,0)*0.1+IF(VLOOKUP(G$4,Countries!$B$2:$AN$55,7,FALSE)&lt;50,0.3,0)),0)</f>
        <v>1</v>
      </c>
      <c r="AR11" s="62">
        <f>ROUND(MIN(5,IF(Pathogens!K8&gt;=8,5,IF(Pathogens!K8&gt;=5,4,IF(Pathogens!K8&gt;=3,3,IF(Pathogens!K8&gt;=1,2,1))))*0.5+IF(Pathogens!L8&gt;=5,5,IF(Pathogens!L8&gt;=3,4,IF(Pathogens!L8&gt;=2,3,IF(Pathogens!L8&gt;=1.2,2,1))))*0.3+IF(Pathogens!M8=1,2,0)*0.2+IF(VLOOKUP(G$4,Countries!$B$2:$AN$55,12,FALSE)&gt;=2,0.5,0)),0)</f>
        <v>3</v>
      </c>
      <c r="AS11" s="62">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c r="AT11" s="62">
        <f>ROUND(MAX(1,MIN(5,(6-VLOOKUP(G$4,Countries!$B$2:$AN$55,10,FALSE))*0.5+(6-VLOOKUP(G$4,Countries!$B$2:$AN$55,11,FALSE))*0.4+(IF(AND(Pathogens!N8&gt;=0.5,VLOOKUP(G$4,Countries!$B$2:$AN$55,5,FALSE)&lt;60),5,IF(Pathogens!N8&gt;=0.5,4,IF(Pathogens!N8&gt;=0.3,3,IF(Pathogens!N8&gt;=0.1,2,1)))))*0.1)),0)</f>
        <v>2</v>
      </c>
      <c r="AU11" s="62">
        <f>IF(ISNUMBER(SEARCH("Vaccine-preventable",Pathogens!C8)),2,IF(ISNUMBER(SEARCH("AMR",Pathogens!C8)),5,IF(ISNUMBER(SEARCH("VHF",Pathogens!C8)),4,IF(ISNUMBER(SEARCH("Emerging",Pathogens!C8)),5,IF(ISNUMBER(SEARCH("Mycobacterial",Pathogens!C8)),3,IF(ISNUMBER(SEARCH("Helminth",Pathogens!C8)),3,IF(ISNUMBER(SEARCH("Respiratory",Pathogens!C8)),4,3)))))))</f>
        <v>3</v>
      </c>
      <c r="AV11" s="62">
        <f>IF(ISNUMBER(SEARCH("AMR",Pathogens!C8)),5,IF(ISNUMBER(SEARCH("Mycobacterial",Pathogens!C8)),4,IF(ISNUMBER(SEARCH("Enteric bacterial",Pathogens!C8)),3,IF(ISNUMBER(SEARCH("Bacterial",Pathogens!C8)),3,1))))</f>
        <v>1</v>
      </c>
      <c r="AW1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1" s="62">
        <f>(6-Pathogens!X8)</f>
        <v>4</v>
      </c>
      <c r="AY11" s="62">
        <f>ROUND(MIN(5,MAX(1,0.35*IF(Pathogens!R8=1,5,IF(Pathogens!R8=2,3,1))+0.2*IF(Pathogens!S8=1,5,IF(Pathogens!S8=2,3,1))+0.25*IF(Pathogens!W8=1,IF(VLOOKUP(G$4,Countries!$B$2:$AN$55,38,FALSE)&gt;=3,5,IF(VLOOKUP(G$4,Countries!$B$2:$AN$55,38,FALSE)=2,4,IF(VLOOKUP(G$4,Countries!$B$2:$AN$55,38,FALSE)=1,2,1))),5)+0.2*IF(VLOOKUP(G$4,Countries!$B$2:$AN$55,24,FALSE)&gt;=50,5,IF(VLOOKUP(G$4,Countries!$B$2:$AN$55,24,FALSE)&gt;=25,4,IF(VLOOKUP(G$4,Countries!$B$2:$AN$55,24,FALSE)&gt;=10,3,IF(VLOOKUP(G$4,Countries!$B$2:$AN$55,24,FALSE)&gt;=5,2,1)))))),0)</f>
        <v>4</v>
      </c>
      <c r="AZ11" s="62" t="str">
        <f>IFERROR(INDEX(Endemicity!$C$2:$BN$55,MATCH(G$4,Endemicity!$B$2:$B$55,0),MATCH($A11,Endemicity!$C$1:$BN$1,0)),"Sporadic")</f>
        <v>Emerging</v>
      </c>
      <c r="BA11" s="62">
        <f>IF(Settings!$B$48="ON",IFERROR(MATCH($AZ11,Settings!$B$35:$F$35,0),5),5)</f>
        <v>3</v>
      </c>
    </row>
    <row r="12" customHeight="1" spans="1:53">
      <c r="A12" s="61" t="str">
        <f>Calculator!A41</f>
        <v>WNV</v>
      </c>
      <c r="B12" s="61" t="str">
        <f>Calculator!B41</f>
        <v>West Nile virus</v>
      </c>
      <c r="C12" s="61" t="str">
        <f>Calculator!C41</f>
        <v>Arbovirus</v>
      </c>
      <c r="D12" s="52">
        <f>IFERROR(ROUND(MIN(100,(($J12)*Settings!$C$23*INDEX(Settings!$B$36:$F$44,1,$T12)+($K12)*Settings!$C$24*INDEX(Settings!$B$36:$F$44,2,$T12)+($L12)*Settings!$C$25*INDEX(Settings!$B$36:$F$44,3,$T12)+($M12)*Settings!$C$26*INDEX(Settings!$B$36:$F$44,4,$T12)+($N12)*Settings!$C$27*INDEX(Settings!$B$36:$F$44,5,$T12)+($O12)*Settings!$C$28*INDEX(Settings!$B$36:$F$44,6,$T12)+($P12)*Settings!$C$29*INDEX(Settings!$B$36:$F$44,7,$T12)+($Q12)*Settings!$C$30*INDEX(Settings!$B$36:$F$44,8,$T12)+($R12)*Settings!$C$31*INDEX(Settings!$B$36:$F$44,9,$T12))/INDEX(Settings!$B$45:$F$45,1,$T12)/5*100*IF($S12="Not present",Settings!$B$51,1)),1),"")</f>
        <v>47.9</v>
      </c>
      <c r="E12" s="52">
        <f>IFERROR(ROUND(MIN(100,(($U12)*Settings!$C$23*INDEX(Settings!$B$36:$F$44,1,$AE12)+($V12)*Settings!$C$24*INDEX(Settings!$B$36:$F$44,2,$AE12)+($W12)*Settings!$C$25*INDEX(Settings!$B$36:$F$44,3,$AE12)+($X12)*Settings!$C$26*INDEX(Settings!$B$36:$F$44,4,$AE12)+($Y12)*Settings!$C$27*INDEX(Settings!$B$36:$F$44,5,$AE12)+($Z12)*Settings!$C$28*INDEX(Settings!$B$36:$F$44,6,$AE12)+($AA12)*Settings!$C$29*INDEX(Settings!$B$36:$F$44,7,$AE12)+($AB12)*Settings!$C$30*INDEX(Settings!$B$36:$F$44,8,$AE12)+($AC12)*Settings!$C$31*INDEX(Settings!$B$36:$F$44,9,$AE12))/INDEX(Settings!$B$45:$F$45,1,$AE12)/5*100*IF($AD12="Not present",Settings!$B$51,1)),1),"")</f>
        <v>50.6</v>
      </c>
      <c r="F12" s="52">
        <f>IFERROR(ROUND(MIN(100,(($AF12)*Settings!$C$23*INDEX(Settings!$B$36:$F$44,1,$AP12)+($AG12)*Settings!$C$24*INDEX(Settings!$B$36:$F$44,2,$AP12)+($AH12)*Settings!$C$25*INDEX(Settings!$B$36:$F$44,3,$AP12)+($AI12)*Settings!$C$26*INDEX(Settings!$B$36:$F$44,4,$AP12)+($AJ12)*Settings!$C$27*INDEX(Settings!$B$36:$F$44,5,$AP12)+($AK12)*Settings!$C$28*INDEX(Settings!$B$36:$F$44,6,$AP12)+($AL12)*Settings!$C$29*INDEX(Settings!$B$36:$F$44,7,$AP12)+($AM12)*Settings!$C$30*INDEX(Settings!$B$36:$F$44,8,$AP12)+($AN12)*Settings!$C$31*INDEX(Settings!$B$36:$F$44,9,$AP12))/INDEX(Settings!$B$45:$F$45,1,$AP12)/5*100*IF($AO12="Not present",Settings!$B$51,1)),1),"")</f>
        <v>47.9</v>
      </c>
      <c r="G12" s="52">
        <f>IFERROR(ROUND(MIN(100,(($AQ12)*Settings!$C$23*INDEX(Settings!$B$36:$F$44,1,$BA12)+($AR12)*Settings!$C$24*INDEX(Settings!$B$36:$F$44,2,$BA12)+($AS12)*Settings!$C$25*INDEX(Settings!$B$36:$F$44,3,$BA12)+($AT12)*Settings!$C$26*INDEX(Settings!$B$36:$F$44,4,$BA12)+($AU12)*Settings!$C$27*INDEX(Settings!$B$36:$F$44,5,$BA12)+($AV12)*Settings!$C$28*INDEX(Settings!$B$36:$F$44,6,$BA12)+($AW12)*Settings!$C$29*INDEX(Settings!$B$36:$F$44,7,$BA12)+($AX12)*Settings!$C$30*INDEX(Settings!$B$36:$F$44,8,$BA12)+($AY12)*Settings!$C$31*INDEX(Settings!$B$36:$F$44,9,$BA12))/INDEX(Settings!$B$45:$F$45,1,$BA12)/5*100*IF($AZ12="Not present",Settings!$B$51,1)),1),"")</f>
        <v>49.2</v>
      </c>
      <c r="J12" s="62">
        <f>ROUND(MIN(5,IF(Pathogens!I9&gt;=500,5,IF(Pathogens!I9&gt;=200,4,IF(Pathogens!I9&gt;=50,3,IF(Pathogens!I9&gt;=10,2,1))))*0.5+IF(Pathogens!J9&gt;=30,5,IF(Pathogens!J9&gt;=10,4,IF(Pathogens!J9&gt;=3,3,IF(Pathogens!J9&gt;=1,2,1))))*0.4+IF(AND(VLOOKUP(D$4,Countries!$B$2:$AN$55,4,FALSE)&gt;=80,Pathogens!N9&gt;=0.5),1,0)*0.1+IF(VLOOKUP(D$4,Countries!$B$2:$AN$55,7,FALSE)&lt;50,0.3,0)),0)</f>
        <v>2</v>
      </c>
      <c r="K12" s="62">
        <f>ROUND(MIN(5,IF(Pathogens!K9&gt;=8,5,IF(Pathogens!K9&gt;=5,4,IF(Pathogens!K9&gt;=3,3,IF(Pathogens!K9&gt;=1,2,1))))*0.5+IF(Pathogens!L9&gt;=5,5,IF(Pathogens!L9&gt;=3,4,IF(Pathogens!L9&gt;=2,3,IF(Pathogens!L9&gt;=1.2,2,1))))*0.3+IF(Pathogens!M9=1,2,0)*0.2+IF(VLOOKUP(D$4,Countries!$B$2:$AN$55,12,FALSE)&gt;=2,0.5,0)),0)</f>
        <v>3</v>
      </c>
      <c r="L12" s="62">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c r="M12" s="62">
        <f>ROUND(MAX(1,MIN(5,(6-VLOOKUP(D$4,Countries!$B$2:$AN$55,10,FALSE))*0.5+(6-VLOOKUP(D$4,Countries!$B$2:$AN$55,11,FALSE))*0.4+(IF(AND(Pathogens!N9&gt;=0.5,VLOOKUP(D$4,Countries!$B$2:$AN$55,5,FALSE)&lt;60),5,IF(Pathogens!N9&gt;=0.5,4,IF(Pathogens!N9&gt;=0.3,3,IF(Pathogens!N9&gt;=0.1,2,1)))))*0.1)),0)</f>
        <v>2</v>
      </c>
      <c r="N12" s="62">
        <f>IF(ISNUMBER(SEARCH("Vaccine-preventable",Pathogens!C9)),2,IF(ISNUMBER(SEARCH("AMR",Pathogens!C9)),5,IF(ISNUMBER(SEARCH("VHF",Pathogens!C9)),4,IF(ISNUMBER(SEARCH("Emerging",Pathogens!C9)),5,IF(ISNUMBER(SEARCH("Mycobacterial",Pathogens!C9)),3,IF(ISNUMBER(SEARCH("Helminth",Pathogens!C9)),3,IF(ISNUMBER(SEARCH("Respiratory",Pathogens!C9)),4,3)))))))</f>
        <v>3</v>
      </c>
      <c r="O12" s="62">
        <f>IF(ISNUMBER(SEARCH("AMR",Pathogens!C9)),5,IF(ISNUMBER(SEARCH("Mycobacterial",Pathogens!C9)),4,IF(ISNUMBER(SEARCH("Enteric bacterial",Pathogens!C9)),3,IF(ISNUMBER(SEARCH("Bacterial",Pathogens!C9)),3,1))))</f>
        <v>1</v>
      </c>
      <c r="P1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2" s="62">
        <f>(6-Pathogens!X9)</f>
        <v>5</v>
      </c>
      <c r="R12" s="62">
        <f>ROUND(MIN(5,MAX(1,0.35*IF(Pathogens!R9=1,5,IF(Pathogens!R9=2,3,1))+0.2*IF(Pathogens!S9=1,5,IF(Pathogens!S9=2,3,1))+0.25*IF(Pathogens!W9=1,IF(VLOOKUP(D$4,Countries!$B$2:$AN$55,38,FALSE)&gt;=3,5,IF(VLOOKUP(D$4,Countries!$B$2:$AN$55,38,FALSE)=2,4,IF(VLOOKUP(D$4,Countries!$B$2:$AN$55,38,FALSE)=1,2,1))),5)+0.2*IF(VLOOKUP(D$4,Countries!$B$2:$AN$55,24,FALSE)&gt;=50,5,IF(VLOOKUP(D$4,Countries!$B$2:$AN$55,24,FALSE)&gt;=25,4,IF(VLOOKUP(D$4,Countries!$B$2:$AN$55,24,FALSE)&gt;=10,3,IF(VLOOKUP(D$4,Countries!$B$2:$AN$55,24,FALSE)&gt;=5,2,1)))))),0)</f>
        <v>3</v>
      </c>
      <c r="S12" s="62" t="str">
        <f>IFERROR(INDEX(Endemicity!$C$2:$BN$55,MATCH(D$4,Endemicity!$B$2:$B$55,0),MATCH($A12,Endemicity!$C$1:$BN$1,0)),"Sporadic")</f>
        <v>Sporadic</v>
      </c>
      <c r="T12" s="62">
        <f>IF(Settings!$B$48="ON",IFERROR(MATCH($S12,Settings!$B$35:$F$35,0),5),5)</f>
        <v>2</v>
      </c>
      <c r="U12" s="62">
        <f>ROUND(MIN(5,IF(Pathogens!I9&gt;=500,5,IF(Pathogens!I9&gt;=200,4,IF(Pathogens!I9&gt;=50,3,IF(Pathogens!I9&gt;=10,2,1))))*0.5+IF(Pathogens!J9&gt;=30,5,IF(Pathogens!J9&gt;=10,4,IF(Pathogens!J9&gt;=3,3,IF(Pathogens!J9&gt;=1,2,1))))*0.4+IF(AND(VLOOKUP(E$4,Countries!$B$2:$AN$55,4,FALSE)&gt;=80,Pathogens!N9&gt;=0.5),1,0)*0.1+IF(VLOOKUP(E$4,Countries!$B$2:$AN$55,7,FALSE)&lt;50,0.3,0)),0)</f>
        <v>2</v>
      </c>
      <c r="V12" s="62">
        <f>ROUND(MIN(5,IF(Pathogens!K9&gt;=8,5,IF(Pathogens!K9&gt;=5,4,IF(Pathogens!K9&gt;=3,3,IF(Pathogens!K9&gt;=1,2,1))))*0.5+IF(Pathogens!L9&gt;=5,5,IF(Pathogens!L9&gt;=3,4,IF(Pathogens!L9&gt;=2,3,IF(Pathogens!L9&gt;=1.2,2,1))))*0.3+IF(Pathogens!M9=1,2,0)*0.2+IF(VLOOKUP(E$4,Countries!$B$2:$AN$55,12,FALSE)&gt;=2,0.5,0)),0)</f>
        <v>3</v>
      </c>
      <c r="W12" s="62">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c r="X12" s="62">
        <f>ROUND(MAX(1,MIN(5,(6-VLOOKUP(E$4,Countries!$B$2:$AN$55,10,FALSE))*0.5+(6-VLOOKUP(E$4,Countries!$B$2:$AN$55,11,FALSE))*0.4+(IF(AND(Pathogens!N9&gt;=0.5,VLOOKUP(E$4,Countries!$B$2:$AN$55,5,FALSE)&lt;60),5,IF(Pathogens!N9&gt;=0.5,4,IF(Pathogens!N9&gt;=0.3,3,IF(Pathogens!N9&gt;=0.1,2,1)))))*0.1)),0)</f>
        <v>2</v>
      </c>
      <c r="Y12" s="62">
        <f>IF(ISNUMBER(SEARCH("Vaccine-preventable",Pathogens!C9)),2,IF(ISNUMBER(SEARCH("AMR",Pathogens!C9)),5,IF(ISNUMBER(SEARCH("VHF",Pathogens!C9)),4,IF(ISNUMBER(SEARCH("Emerging",Pathogens!C9)),5,IF(ISNUMBER(SEARCH("Mycobacterial",Pathogens!C9)),3,IF(ISNUMBER(SEARCH("Helminth",Pathogens!C9)),3,IF(ISNUMBER(SEARCH("Respiratory",Pathogens!C9)),4,3)))))))</f>
        <v>3</v>
      </c>
      <c r="Z12" s="62">
        <f>IF(ISNUMBER(SEARCH("AMR",Pathogens!C9)),5,IF(ISNUMBER(SEARCH("Mycobacterial",Pathogens!C9)),4,IF(ISNUMBER(SEARCH("Enteric bacterial",Pathogens!C9)),3,IF(ISNUMBER(SEARCH("Bacterial",Pathogens!C9)),3,1))))</f>
        <v>1</v>
      </c>
      <c r="AA1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2" s="62">
        <f>(6-Pathogens!X9)</f>
        <v>5</v>
      </c>
      <c r="AC12" s="62">
        <f>ROUND(MIN(5,MAX(1,0.35*IF(Pathogens!R9=1,5,IF(Pathogens!R9=2,3,1))+0.2*IF(Pathogens!S9=1,5,IF(Pathogens!S9=2,3,1))+0.25*IF(Pathogens!W9=1,IF(VLOOKUP(E$4,Countries!$B$2:$AN$55,38,FALSE)&gt;=3,5,IF(VLOOKUP(E$4,Countries!$B$2:$AN$55,38,FALSE)=2,4,IF(VLOOKUP(E$4,Countries!$B$2:$AN$55,38,FALSE)=1,2,1))),5)+0.2*IF(VLOOKUP(E$4,Countries!$B$2:$AN$55,24,FALSE)&gt;=50,5,IF(VLOOKUP(E$4,Countries!$B$2:$AN$55,24,FALSE)&gt;=25,4,IF(VLOOKUP(E$4,Countries!$B$2:$AN$55,24,FALSE)&gt;=10,3,IF(VLOOKUP(E$4,Countries!$B$2:$AN$55,24,FALSE)&gt;=5,2,1)))))),0)</f>
        <v>3</v>
      </c>
      <c r="AD12" s="62" t="str">
        <f>IFERROR(INDEX(Endemicity!$C$2:$BN$55,MATCH(E$4,Endemicity!$B$2:$B$55,0),MATCH($A12,Endemicity!$C$1:$BN$1,0)),"Sporadic")</f>
        <v>Sporadic</v>
      </c>
      <c r="AE12" s="62">
        <f>IF(Settings!$B$48="ON",IFERROR(MATCH($AD12,Settings!$B$35:$F$35,0),5),5)</f>
        <v>2</v>
      </c>
      <c r="AF12" s="62">
        <f>ROUND(MIN(5,IF(Pathogens!I9&gt;=500,5,IF(Pathogens!I9&gt;=200,4,IF(Pathogens!I9&gt;=50,3,IF(Pathogens!I9&gt;=10,2,1))))*0.5+IF(Pathogens!J9&gt;=30,5,IF(Pathogens!J9&gt;=10,4,IF(Pathogens!J9&gt;=3,3,IF(Pathogens!J9&gt;=1,2,1))))*0.4+IF(AND(VLOOKUP(F$4,Countries!$B$2:$AN$55,4,FALSE)&gt;=80,Pathogens!N9&gt;=0.5),1,0)*0.1+IF(VLOOKUP(F$4,Countries!$B$2:$AN$55,7,FALSE)&lt;50,0.3,0)),0)</f>
        <v>2</v>
      </c>
      <c r="AG12" s="62">
        <f>ROUND(MIN(5,IF(Pathogens!K9&gt;=8,5,IF(Pathogens!K9&gt;=5,4,IF(Pathogens!K9&gt;=3,3,IF(Pathogens!K9&gt;=1,2,1))))*0.5+IF(Pathogens!L9&gt;=5,5,IF(Pathogens!L9&gt;=3,4,IF(Pathogens!L9&gt;=2,3,IF(Pathogens!L9&gt;=1.2,2,1))))*0.3+IF(Pathogens!M9=1,2,0)*0.2+IF(VLOOKUP(F$4,Countries!$B$2:$AN$55,12,FALSE)&gt;=2,0.5,0)),0)</f>
        <v>3</v>
      </c>
      <c r="AH12" s="62">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c r="AI12" s="62">
        <f>ROUND(MAX(1,MIN(5,(6-VLOOKUP(F$4,Countries!$B$2:$AN$55,10,FALSE))*0.5+(6-VLOOKUP(F$4,Countries!$B$2:$AN$55,11,FALSE))*0.4+(IF(AND(Pathogens!N9&gt;=0.5,VLOOKUP(F$4,Countries!$B$2:$AN$55,5,FALSE)&lt;60),5,IF(Pathogens!N9&gt;=0.5,4,IF(Pathogens!N9&gt;=0.3,3,IF(Pathogens!N9&gt;=0.1,2,1)))))*0.1)),0)</f>
        <v>2</v>
      </c>
      <c r="AJ12" s="62">
        <f>IF(ISNUMBER(SEARCH("Vaccine-preventable",Pathogens!C9)),2,IF(ISNUMBER(SEARCH("AMR",Pathogens!C9)),5,IF(ISNUMBER(SEARCH("VHF",Pathogens!C9)),4,IF(ISNUMBER(SEARCH("Emerging",Pathogens!C9)),5,IF(ISNUMBER(SEARCH("Mycobacterial",Pathogens!C9)),3,IF(ISNUMBER(SEARCH("Helminth",Pathogens!C9)),3,IF(ISNUMBER(SEARCH("Respiratory",Pathogens!C9)),4,3)))))))</f>
        <v>3</v>
      </c>
      <c r="AK12" s="62">
        <f>IF(ISNUMBER(SEARCH("AMR",Pathogens!C9)),5,IF(ISNUMBER(SEARCH("Mycobacterial",Pathogens!C9)),4,IF(ISNUMBER(SEARCH("Enteric bacterial",Pathogens!C9)),3,IF(ISNUMBER(SEARCH("Bacterial",Pathogens!C9)),3,1))))</f>
        <v>1</v>
      </c>
      <c r="AL1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2" s="62">
        <f>(6-Pathogens!X9)</f>
        <v>5</v>
      </c>
      <c r="AN12" s="62">
        <f>ROUND(MIN(5,MAX(1,0.35*IF(Pathogens!R9=1,5,IF(Pathogens!R9=2,3,1))+0.2*IF(Pathogens!S9=1,5,IF(Pathogens!S9=2,3,1))+0.25*IF(Pathogens!W9=1,IF(VLOOKUP(F$4,Countries!$B$2:$AN$55,38,FALSE)&gt;=3,5,IF(VLOOKUP(F$4,Countries!$B$2:$AN$55,38,FALSE)=2,4,IF(VLOOKUP(F$4,Countries!$B$2:$AN$55,38,FALSE)=1,2,1))),5)+0.2*IF(VLOOKUP(F$4,Countries!$B$2:$AN$55,24,FALSE)&gt;=50,5,IF(VLOOKUP(F$4,Countries!$B$2:$AN$55,24,FALSE)&gt;=25,4,IF(VLOOKUP(F$4,Countries!$B$2:$AN$55,24,FALSE)&gt;=10,3,IF(VLOOKUP(F$4,Countries!$B$2:$AN$55,24,FALSE)&gt;=5,2,1)))))),0)</f>
        <v>3</v>
      </c>
      <c r="AO12" s="62" t="str">
        <f>IFERROR(INDEX(Endemicity!$C$2:$BN$55,MATCH(F$4,Endemicity!$B$2:$B$55,0),MATCH($A12,Endemicity!$C$1:$BN$1,0)),"Sporadic")</f>
        <v>Sporadic</v>
      </c>
      <c r="AP12" s="62">
        <f>IF(Settings!$B$48="ON",IFERROR(MATCH($AO12,Settings!$B$35:$F$35,0),5),5)</f>
        <v>2</v>
      </c>
      <c r="AQ12" s="62">
        <f>ROUND(MIN(5,IF(Pathogens!I9&gt;=500,5,IF(Pathogens!I9&gt;=200,4,IF(Pathogens!I9&gt;=50,3,IF(Pathogens!I9&gt;=10,2,1))))*0.5+IF(Pathogens!J9&gt;=30,5,IF(Pathogens!J9&gt;=10,4,IF(Pathogens!J9&gt;=3,3,IF(Pathogens!J9&gt;=1,2,1))))*0.4+IF(AND(VLOOKUP(G$4,Countries!$B$2:$AN$55,4,FALSE)&gt;=80,Pathogens!N9&gt;=0.5),1,0)*0.1+IF(VLOOKUP(G$4,Countries!$B$2:$AN$55,7,FALSE)&lt;50,0.3,0)),0)</f>
        <v>2</v>
      </c>
      <c r="AR12" s="62">
        <f>ROUND(MIN(5,IF(Pathogens!K9&gt;=8,5,IF(Pathogens!K9&gt;=5,4,IF(Pathogens!K9&gt;=3,3,IF(Pathogens!K9&gt;=1,2,1))))*0.5+IF(Pathogens!L9&gt;=5,5,IF(Pathogens!L9&gt;=3,4,IF(Pathogens!L9&gt;=2,3,IF(Pathogens!L9&gt;=1.2,2,1))))*0.3+IF(Pathogens!M9=1,2,0)*0.2+IF(VLOOKUP(G$4,Countries!$B$2:$AN$55,12,FALSE)&gt;=2,0.5,0)),0)</f>
        <v>3</v>
      </c>
      <c r="AS12" s="62">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c r="AT12" s="62">
        <f>ROUND(MAX(1,MIN(5,(6-VLOOKUP(G$4,Countries!$B$2:$AN$55,10,FALSE))*0.5+(6-VLOOKUP(G$4,Countries!$B$2:$AN$55,11,FALSE))*0.4+(IF(AND(Pathogens!N9&gt;=0.5,VLOOKUP(G$4,Countries!$B$2:$AN$55,5,FALSE)&lt;60),5,IF(Pathogens!N9&gt;=0.5,4,IF(Pathogens!N9&gt;=0.3,3,IF(Pathogens!N9&gt;=0.1,2,1)))))*0.1)),0)</f>
        <v>2</v>
      </c>
      <c r="AU12" s="62">
        <f>IF(ISNUMBER(SEARCH("Vaccine-preventable",Pathogens!C9)),2,IF(ISNUMBER(SEARCH("AMR",Pathogens!C9)),5,IF(ISNUMBER(SEARCH("VHF",Pathogens!C9)),4,IF(ISNUMBER(SEARCH("Emerging",Pathogens!C9)),5,IF(ISNUMBER(SEARCH("Mycobacterial",Pathogens!C9)),3,IF(ISNUMBER(SEARCH("Helminth",Pathogens!C9)),3,IF(ISNUMBER(SEARCH("Respiratory",Pathogens!C9)),4,3)))))))</f>
        <v>3</v>
      </c>
      <c r="AV12" s="62">
        <f>IF(ISNUMBER(SEARCH("AMR",Pathogens!C9)),5,IF(ISNUMBER(SEARCH("Mycobacterial",Pathogens!C9)),4,IF(ISNUMBER(SEARCH("Enteric bacterial",Pathogens!C9)),3,IF(ISNUMBER(SEARCH("Bacterial",Pathogens!C9)),3,1))))</f>
        <v>1</v>
      </c>
      <c r="AW1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2" s="62">
        <f>(6-Pathogens!X9)</f>
        <v>5</v>
      </c>
      <c r="AY12" s="62">
        <f>ROUND(MIN(5,MAX(1,0.35*IF(Pathogens!R9=1,5,IF(Pathogens!R9=2,3,1))+0.2*IF(Pathogens!S9=1,5,IF(Pathogens!S9=2,3,1))+0.25*IF(Pathogens!W9=1,IF(VLOOKUP(G$4,Countries!$B$2:$AN$55,38,FALSE)&gt;=3,5,IF(VLOOKUP(G$4,Countries!$B$2:$AN$55,38,FALSE)=2,4,IF(VLOOKUP(G$4,Countries!$B$2:$AN$55,38,FALSE)=1,2,1))),5)+0.2*IF(VLOOKUP(G$4,Countries!$B$2:$AN$55,24,FALSE)&gt;=50,5,IF(VLOOKUP(G$4,Countries!$B$2:$AN$55,24,FALSE)&gt;=25,4,IF(VLOOKUP(G$4,Countries!$B$2:$AN$55,24,FALSE)&gt;=10,3,IF(VLOOKUP(G$4,Countries!$B$2:$AN$55,24,FALSE)&gt;=5,2,1)))))),0)</f>
        <v>3</v>
      </c>
      <c r="AZ12" s="62" t="str">
        <f>IFERROR(INDEX(Endemicity!$C$2:$BN$55,MATCH(G$4,Endemicity!$B$2:$B$55,0),MATCH($A12,Endemicity!$C$1:$BN$1,0)),"Sporadic")</f>
        <v>Sporadic</v>
      </c>
      <c r="BA12" s="62">
        <f>IF(Settings!$B$48="ON",IFERROR(MATCH($AZ12,Settings!$B$35:$F$35,0),5),5)</f>
        <v>2</v>
      </c>
    </row>
    <row r="13" customHeight="1" spans="1:53">
      <c r="A13" s="61" t="str">
        <f>Calculator!A42</f>
        <v>RVF</v>
      </c>
      <c r="B13" s="61" t="str">
        <f>Calculator!B42</f>
        <v>Rift Valley fever virus</v>
      </c>
      <c r="C13" s="61" t="str">
        <f>Calculator!C42</f>
        <v>VHF/zoonotic</v>
      </c>
      <c r="D13" s="52">
        <f>IFERROR(ROUND(MIN(100,(($J13)*Settings!$C$23*INDEX(Settings!$B$36:$F$44,1,$T13)+($K13)*Settings!$C$24*INDEX(Settings!$B$36:$F$44,2,$T13)+($L13)*Settings!$C$25*INDEX(Settings!$B$36:$F$44,3,$T13)+($M13)*Settings!$C$26*INDEX(Settings!$B$36:$F$44,4,$T13)+($N13)*Settings!$C$27*INDEX(Settings!$B$36:$F$44,5,$T13)+($O13)*Settings!$C$28*INDEX(Settings!$B$36:$F$44,6,$T13)+($P13)*Settings!$C$29*INDEX(Settings!$B$36:$F$44,7,$T13)+($Q13)*Settings!$C$30*INDEX(Settings!$B$36:$F$44,8,$T13)+($R13)*Settings!$C$31*INDEX(Settings!$B$36:$F$44,9,$T13))/INDEX(Settings!$B$45:$F$45,1,$T13)/5*100*IF($S13="Not present",Settings!$B$51,1)),1),"")</f>
        <v>51.5</v>
      </c>
      <c r="E13" s="52">
        <f>IFERROR(ROUND(MIN(100,(($U13)*Settings!$C$23*INDEX(Settings!$B$36:$F$44,1,$AE13)+($V13)*Settings!$C$24*INDEX(Settings!$B$36:$F$44,2,$AE13)+($W13)*Settings!$C$25*INDEX(Settings!$B$36:$F$44,3,$AE13)+($X13)*Settings!$C$26*INDEX(Settings!$B$36:$F$44,4,$AE13)+($Y13)*Settings!$C$27*INDEX(Settings!$B$36:$F$44,5,$AE13)+($Z13)*Settings!$C$28*INDEX(Settings!$B$36:$F$44,6,$AE13)+($AA13)*Settings!$C$29*INDEX(Settings!$B$36:$F$44,7,$AE13)+($AB13)*Settings!$C$30*INDEX(Settings!$B$36:$F$44,8,$AE13)+($AC13)*Settings!$C$31*INDEX(Settings!$B$36:$F$44,9,$AE13))/INDEX(Settings!$B$45:$F$45,1,$AE13)/5*100*IF($AD13="Not present",Settings!$B$51,1)),1),"")</f>
        <v>57.9</v>
      </c>
      <c r="F13" s="52">
        <f>IFERROR(ROUND(MIN(100,(($AF13)*Settings!$C$23*INDEX(Settings!$B$36:$F$44,1,$AP13)+($AG13)*Settings!$C$24*INDEX(Settings!$B$36:$F$44,2,$AP13)+($AH13)*Settings!$C$25*INDEX(Settings!$B$36:$F$44,3,$AP13)+($AI13)*Settings!$C$26*INDEX(Settings!$B$36:$F$44,4,$AP13)+($AJ13)*Settings!$C$27*INDEX(Settings!$B$36:$F$44,5,$AP13)+($AK13)*Settings!$C$28*INDEX(Settings!$B$36:$F$44,6,$AP13)+($AL13)*Settings!$C$29*INDEX(Settings!$B$36:$F$44,7,$AP13)+($AM13)*Settings!$C$30*INDEX(Settings!$B$36:$F$44,8,$AP13)+($AN13)*Settings!$C$31*INDEX(Settings!$B$36:$F$44,9,$AP13))/INDEX(Settings!$B$45:$F$45,1,$AP13)/5*100*IF($AO13="Not present",Settings!$B$51,1)),1),"")</f>
        <v>51.5</v>
      </c>
      <c r="G13" s="52">
        <f>IFERROR(ROUND(MIN(100,(($AQ13)*Settings!$C$23*INDEX(Settings!$B$36:$F$44,1,$BA13)+($AR13)*Settings!$C$24*INDEX(Settings!$B$36:$F$44,2,$BA13)+($AS13)*Settings!$C$25*INDEX(Settings!$B$36:$F$44,3,$BA13)+($AT13)*Settings!$C$26*INDEX(Settings!$B$36:$F$44,4,$BA13)+($AU13)*Settings!$C$27*INDEX(Settings!$B$36:$F$44,5,$BA13)+($AV13)*Settings!$C$28*INDEX(Settings!$B$36:$F$44,6,$BA13)+($AW13)*Settings!$C$29*INDEX(Settings!$B$36:$F$44,7,$BA13)+($AX13)*Settings!$C$30*INDEX(Settings!$B$36:$F$44,8,$BA13)+($AY13)*Settings!$C$31*INDEX(Settings!$B$36:$F$44,9,$BA13))/INDEX(Settings!$B$45:$F$45,1,$BA13)/5*100*IF($AZ13="Not present",Settings!$B$51,1)),1),"")</f>
        <v>53.2</v>
      </c>
      <c r="J13" s="62">
        <f>ROUND(MIN(5,IF(Pathogens!I10&gt;=500,5,IF(Pathogens!I10&gt;=200,4,IF(Pathogens!I10&gt;=50,3,IF(Pathogens!I10&gt;=10,2,1))))*0.5+IF(Pathogens!J10&gt;=30,5,IF(Pathogens!J10&gt;=10,4,IF(Pathogens!J10&gt;=3,3,IF(Pathogens!J10&gt;=1,2,1))))*0.4+IF(AND(VLOOKUP(D$4,Countries!$B$2:$AN$55,4,FALSE)&gt;=80,Pathogens!N10&gt;=0.5),1,0)*0.1+IF(VLOOKUP(D$4,Countries!$B$2:$AN$55,7,FALSE)&lt;50,0.3,0)),0)</f>
        <v>2</v>
      </c>
      <c r="K13" s="62">
        <f>ROUND(MIN(5,IF(Pathogens!K10&gt;=8,5,IF(Pathogens!K10&gt;=5,4,IF(Pathogens!K10&gt;=3,3,IF(Pathogens!K10&gt;=1,2,1))))*0.5+IF(Pathogens!L10&gt;=5,5,IF(Pathogens!L10&gt;=3,4,IF(Pathogens!L10&gt;=2,3,IF(Pathogens!L10&gt;=1.2,2,1))))*0.3+IF(Pathogens!M10=1,2,0)*0.2+IF(VLOOKUP(D$4,Countries!$B$2:$AN$55,12,FALSE)&gt;=2,0.5,0)),0)</f>
        <v>3</v>
      </c>
      <c r="L13" s="62">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c r="M13" s="62">
        <f>ROUND(MAX(1,MIN(5,(6-VLOOKUP(D$4,Countries!$B$2:$AN$55,10,FALSE))*0.5+(6-VLOOKUP(D$4,Countries!$B$2:$AN$55,11,FALSE))*0.4+(IF(AND(Pathogens!N10&gt;=0.5,VLOOKUP(D$4,Countries!$B$2:$AN$55,5,FALSE)&lt;60),5,IF(Pathogens!N10&gt;=0.5,4,IF(Pathogens!N10&gt;=0.3,3,IF(Pathogens!N10&gt;=0.1,2,1)))))*0.1)),0)</f>
        <v>2</v>
      </c>
      <c r="N13" s="62">
        <f>IF(ISNUMBER(SEARCH("Vaccine-preventable",Pathogens!C10)),2,IF(ISNUMBER(SEARCH("AMR",Pathogens!C10)),5,IF(ISNUMBER(SEARCH("VHF",Pathogens!C10)),4,IF(ISNUMBER(SEARCH("Emerging",Pathogens!C10)),5,IF(ISNUMBER(SEARCH("Mycobacterial",Pathogens!C10)),3,IF(ISNUMBER(SEARCH("Helminth",Pathogens!C10)),3,IF(ISNUMBER(SEARCH("Respiratory",Pathogens!C10)),4,3)))))))</f>
        <v>4</v>
      </c>
      <c r="O13" s="62">
        <f>IF(ISNUMBER(SEARCH("AMR",Pathogens!C10)),5,IF(ISNUMBER(SEARCH("Mycobacterial",Pathogens!C10)),4,IF(ISNUMBER(SEARCH("Enteric bacterial",Pathogens!C10)),3,IF(ISNUMBER(SEARCH("Bacterial",Pathogens!C10)),3,1))))</f>
        <v>1</v>
      </c>
      <c r="P1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3" s="62">
        <f>(6-Pathogens!X10)</f>
        <v>4</v>
      </c>
      <c r="R13" s="62">
        <f>ROUND(MIN(5,MAX(1,0.35*IF(Pathogens!R10=1,5,IF(Pathogens!R10=2,3,1))+0.2*IF(Pathogens!S10=1,5,IF(Pathogens!S10=2,3,1))+0.25*IF(Pathogens!W10=1,IF(VLOOKUP(D$4,Countries!$B$2:$AN$55,38,FALSE)&gt;=3,5,IF(VLOOKUP(D$4,Countries!$B$2:$AN$55,38,FALSE)=2,4,IF(VLOOKUP(D$4,Countries!$B$2:$AN$55,38,FALSE)=1,2,1))),5)+0.2*IF(VLOOKUP(D$4,Countries!$B$2:$AN$55,24,FALSE)&gt;=50,5,IF(VLOOKUP(D$4,Countries!$B$2:$AN$55,24,FALSE)&gt;=25,4,IF(VLOOKUP(D$4,Countries!$B$2:$AN$55,24,FALSE)&gt;=10,3,IF(VLOOKUP(D$4,Countries!$B$2:$AN$55,24,FALSE)&gt;=5,2,1)))))),0)</f>
        <v>3</v>
      </c>
      <c r="S13" s="62" t="str">
        <f>IFERROR(INDEX(Endemicity!$C$2:$BN$55,MATCH(D$4,Endemicity!$B$2:$B$55,0),MATCH($A13,Endemicity!$C$1:$BN$1,0)),"Sporadic")</f>
        <v>Endemic</v>
      </c>
      <c r="T13" s="62">
        <f>IF(Settings!$B$48="ON",IFERROR(MATCH($S13,Settings!$B$35:$F$35,0),5),5)</f>
        <v>1</v>
      </c>
      <c r="U13" s="62">
        <f>ROUND(MIN(5,IF(Pathogens!I10&gt;=500,5,IF(Pathogens!I10&gt;=200,4,IF(Pathogens!I10&gt;=50,3,IF(Pathogens!I10&gt;=10,2,1))))*0.5+IF(Pathogens!J10&gt;=30,5,IF(Pathogens!J10&gt;=10,4,IF(Pathogens!J10&gt;=3,3,IF(Pathogens!J10&gt;=1,2,1))))*0.4+IF(AND(VLOOKUP(E$4,Countries!$B$2:$AN$55,4,FALSE)&gt;=80,Pathogens!N10&gt;=0.5),1,0)*0.1+IF(VLOOKUP(E$4,Countries!$B$2:$AN$55,7,FALSE)&lt;50,0.3,0)),0)</f>
        <v>2</v>
      </c>
      <c r="V13" s="62">
        <f>ROUND(MIN(5,IF(Pathogens!K10&gt;=8,5,IF(Pathogens!K10&gt;=5,4,IF(Pathogens!K10&gt;=3,3,IF(Pathogens!K10&gt;=1,2,1))))*0.5+IF(Pathogens!L10&gt;=5,5,IF(Pathogens!L10&gt;=3,4,IF(Pathogens!L10&gt;=2,3,IF(Pathogens!L10&gt;=1.2,2,1))))*0.3+IF(Pathogens!M10=1,2,0)*0.2+IF(VLOOKUP(E$4,Countries!$B$2:$AN$55,12,FALSE)&gt;=2,0.5,0)),0)</f>
        <v>3</v>
      </c>
      <c r="W13" s="62">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c r="X13" s="62">
        <f>ROUND(MAX(1,MIN(5,(6-VLOOKUP(E$4,Countries!$B$2:$AN$55,10,FALSE))*0.5+(6-VLOOKUP(E$4,Countries!$B$2:$AN$55,11,FALSE))*0.4+(IF(AND(Pathogens!N10&gt;=0.5,VLOOKUP(E$4,Countries!$B$2:$AN$55,5,FALSE)&lt;60),5,IF(Pathogens!N10&gt;=0.5,4,IF(Pathogens!N10&gt;=0.3,3,IF(Pathogens!N10&gt;=0.1,2,1)))))*0.1)),0)</f>
        <v>3</v>
      </c>
      <c r="Y13" s="62">
        <f>IF(ISNUMBER(SEARCH("Vaccine-preventable",Pathogens!C10)),2,IF(ISNUMBER(SEARCH("AMR",Pathogens!C10)),5,IF(ISNUMBER(SEARCH("VHF",Pathogens!C10)),4,IF(ISNUMBER(SEARCH("Emerging",Pathogens!C10)),5,IF(ISNUMBER(SEARCH("Mycobacterial",Pathogens!C10)),3,IF(ISNUMBER(SEARCH("Helminth",Pathogens!C10)),3,IF(ISNUMBER(SEARCH("Respiratory",Pathogens!C10)),4,3)))))))</f>
        <v>4</v>
      </c>
      <c r="Z13" s="62">
        <f>IF(ISNUMBER(SEARCH("AMR",Pathogens!C10)),5,IF(ISNUMBER(SEARCH("Mycobacterial",Pathogens!C10)),4,IF(ISNUMBER(SEARCH("Enteric bacterial",Pathogens!C10)),3,IF(ISNUMBER(SEARCH("Bacterial",Pathogens!C10)),3,1))))</f>
        <v>1</v>
      </c>
      <c r="AA1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3" s="62">
        <f>(6-Pathogens!X10)</f>
        <v>4</v>
      </c>
      <c r="AC13" s="62">
        <f>ROUND(MIN(5,MAX(1,0.35*IF(Pathogens!R10=1,5,IF(Pathogens!R10=2,3,1))+0.2*IF(Pathogens!S10=1,5,IF(Pathogens!S10=2,3,1))+0.25*IF(Pathogens!W10=1,IF(VLOOKUP(E$4,Countries!$B$2:$AN$55,38,FALSE)&gt;=3,5,IF(VLOOKUP(E$4,Countries!$B$2:$AN$55,38,FALSE)=2,4,IF(VLOOKUP(E$4,Countries!$B$2:$AN$55,38,FALSE)=1,2,1))),5)+0.2*IF(VLOOKUP(E$4,Countries!$B$2:$AN$55,24,FALSE)&gt;=50,5,IF(VLOOKUP(E$4,Countries!$B$2:$AN$55,24,FALSE)&gt;=25,4,IF(VLOOKUP(E$4,Countries!$B$2:$AN$55,24,FALSE)&gt;=10,3,IF(VLOOKUP(E$4,Countries!$B$2:$AN$55,24,FALSE)&gt;=5,2,1)))))),0)</f>
        <v>3</v>
      </c>
      <c r="AD13" s="62" t="str">
        <f>IFERROR(INDEX(Endemicity!$C$2:$BN$55,MATCH(E$4,Endemicity!$B$2:$B$55,0),MATCH($A13,Endemicity!$C$1:$BN$1,0)),"Sporadic")</f>
        <v>Sporadic</v>
      </c>
      <c r="AE13" s="62">
        <f>IF(Settings!$B$48="ON",IFERROR(MATCH($AD13,Settings!$B$35:$F$35,0),5),5)</f>
        <v>2</v>
      </c>
      <c r="AF13" s="62">
        <f>ROUND(MIN(5,IF(Pathogens!I10&gt;=500,5,IF(Pathogens!I10&gt;=200,4,IF(Pathogens!I10&gt;=50,3,IF(Pathogens!I10&gt;=10,2,1))))*0.5+IF(Pathogens!J10&gt;=30,5,IF(Pathogens!J10&gt;=10,4,IF(Pathogens!J10&gt;=3,3,IF(Pathogens!J10&gt;=1,2,1))))*0.4+IF(AND(VLOOKUP(F$4,Countries!$B$2:$AN$55,4,FALSE)&gt;=80,Pathogens!N10&gt;=0.5),1,0)*0.1+IF(VLOOKUP(F$4,Countries!$B$2:$AN$55,7,FALSE)&lt;50,0.3,0)),0)</f>
        <v>2</v>
      </c>
      <c r="AG13" s="62">
        <f>ROUND(MIN(5,IF(Pathogens!K10&gt;=8,5,IF(Pathogens!K10&gt;=5,4,IF(Pathogens!K10&gt;=3,3,IF(Pathogens!K10&gt;=1,2,1))))*0.5+IF(Pathogens!L10&gt;=5,5,IF(Pathogens!L10&gt;=3,4,IF(Pathogens!L10&gt;=2,3,IF(Pathogens!L10&gt;=1.2,2,1))))*0.3+IF(Pathogens!M10=1,2,0)*0.2+IF(VLOOKUP(F$4,Countries!$B$2:$AN$55,12,FALSE)&gt;=2,0.5,0)),0)</f>
        <v>3</v>
      </c>
      <c r="AH13" s="62">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c r="AI13" s="62">
        <f>ROUND(MAX(1,MIN(5,(6-VLOOKUP(F$4,Countries!$B$2:$AN$55,10,FALSE))*0.5+(6-VLOOKUP(F$4,Countries!$B$2:$AN$55,11,FALSE))*0.4+(IF(AND(Pathogens!N10&gt;=0.5,VLOOKUP(F$4,Countries!$B$2:$AN$55,5,FALSE)&lt;60),5,IF(Pathogens!N10&gt;=0.5,4,IF(Pathogens!N10&gt;=0.3,3,IF(Pathogens!N10&gt;=0.1,2,1)))))*0.1)),0)</f>
        <v>2</v>
      </c>
      <c r="AJ13" s="62">
        <f>IF(ISNUMBER(SEARCH("Vaccine-preventable",Pathogens!C10)),2,IF(ISNUMBER(SEARCH("AMR",Pathogens!C10)),5,IF(ISNUMBER(SEARCH("VHF",Pathogens!C10)),4,IF(ISNUMBER(SEARCH("Emerging",Pathogens!C10)),5,IF(ISNUMBER(SEARCH("Mycobacterial",Pathogens!C10)),3,IF(ISNUMBER(SEARCH("Helminth",Pathogens!C10)),3,IF(ISNUMBER(SEARCH("Respiratory",Pathogens!C10)),4,3)))))))</f>
        <v>4</v>
      </c>
      <c r="AK13" s="62">
        <f>IF(ISNUMBER(SEARCH("AMR",Pathogens!C10)),5,IF(ISNUMBER(SEARCH("Mycobacterial",Pathogens!C10)),4,IF(ISNUMBER(SEARCH("Enteric bacterial",Pathogens!C10)),3,IF(ISNUMBER(SEARCH("Bacterial",Pathogens!C10)),3,1))))</f>
        <v>1</v>
      </c>
      <c r="AL1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3" s="62">
        <f>(6-Pathogens!X10)</f>
        <v>4</v>
      </c>
      <c r="AN13" s="62">
        <f>ROUND(MIN(5,MAX(1,0.35*IF(Pathogens!R10=1,5,IF(Pathogens!R10=2,3,1))+0.2*IF(Pathogens!S10=1,5,IF(Pathogens!S10=2,3,1))+0.25*IF(Pathogens!W10=1,IF(VLOOKUP(F$4,Countries!$B$2:$AN$55,38,FALSE)&gt;=3,5,IF(VLOOKUP(F$4,Countries!$B$2:$AN$55,38,FALSE)=2,4,IF(VLOOKUP(F$4,Countries!$B$2:$AN$55,38,FALSE)=1,2,1))),5)+0.2*IF(VLOOKUP(F$4,Countries!$B$2:$AN$55,24,FALSE)&gt;=50,5,IF(VLOOKUP(F$4,Countries!$B$2:$AN$55,24,FALSE)&gt;=25,4,IF(VLOOKUP(F$4,Countries!$B$2:$AN$55,24,FALSE)&gt;=10,3,IF(VLOOKUP(F$4,Countries!$B$2:$AN$55,24,FALSE)&gt;=5,2,1)))))),0)</f>
        <v>3</v>
      </c>
      <c r="AO13" s="62" t="str">
        <f>IFERROR(INDEX(Endemicity!$C$2:$BN$55,MATCH(F$4,Endemicity!$B$2:$B$55,0),MATCH($A13,Endemicity!$C$1:$BN$1,0)),"Sporadic")</f>
        <v>Endemic</v>
      </c>
      <c r="AP13" s="62">
        <f>IF(Settings!$B$48="ON",IFERROR(MATCH($AO13,Settings!$B$35:$F$35,0),5),5)</f>
        <v>1</v>
      </c>
      <c r="AQ13" s="62">
        <f>ROUND(MIN(5,IF(Pathogens!I10&gt;=500,5,IF(Pathogens!I10&gt;=200,4,IF(Pathogens!I10&gt;=50,3,IF(Pathogens!I10&gt;=10,2,1))))*0.5+IF(Pathogens!J10&gt;=30,5,IF(Pathogens!J10&gt;=10,4,IF(Pathogens!J10&gt;=3,3,IF(Pathogens!J10&gt;=1,2,1))))*0.4+IF(AND(VLOOKUP(G$4,Countries!$B$2:$AN$55,4,FALSE)&gt;=80,Pathogens!N10&gt;=0.5),1,0)*0.1+IF(VLOOKUP(G$4,Countries!$B$2:$AN$55,7,FALSE)&lt;50,0.3,0)),0)</f>
        <v>2</v>
      </c>
      <c r="AR13" s="62">
        <f>ROUND(MIN(5,IF(Pathogens!K10&gt;=8,5,IF(Pathogens!K10&gt;=5,4,IF(Pathogens!K10&gt;=3,3,IF(Pathogens!K10&gt;=1,2,1))))*0.5+IF(Pathogens!L10&gt;=5,5,IF(Pathogens!L10&gt;=3,4,IF(Pathogens!L10&gt;=2,3,IF(Pathogens!L10&gt;=1.2,2,1))))*0.3+IF(Pathogens!M10=1,2,0)*0.2+IF(VLOOKUP(G$4,Countries!$B$2:$AN$55,12,FALSE)&gt;=2,0.5,0)),0)</f>
        <v>3</v>
      </c>
      <c r="AS13" s="62">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c r="AT13" s="62">
        <f>ROUND(MAX(1,MIN(5,(6-VLOOKUP(G$4,Countries!$B$2:$AN$55,10,FALSE))*0.5+(6-VLOOKUP(G$4,Countries!$B$2:$AN$55,11,FALSE))*0.4+(IF(AND(Pathogens!N10&gt;=0.5,VLOOKUP(G$4,Countries!$B$2:$AN$55,5,FALSE)&lt;60),5,IF(Pathogens!N10&gt;=0.5,4,IF(Pathogens!N10&gt;=0.3,3,IF(Pathogens!N10&gt;=0.1,2,1)))))*0.1)),0)</f>
        <v>2</v>
      </c>
      <c r="AU13" s="62">
        <f>IF(ISNUMBER(SEARCH("Vaccine-preventable",Pathogens!C10)),2,IF(ISNUMBER(SEARCH("AMR",Pathogens!C10)),5,IF(ISNUMBER(SEARCH("VHF",Pathogens!C10)),4,IF(ISNUMBER(SEARCH("Emerging",Pathogens!C10)),5,IF(ISNUMBER(SEARCH("Mycobacterial",Pathogens!C10)),3,IF(ISNUMBER(SEARCH("Helminth",Pathogens!C10)),3,IF(ISNUMBER(SEARCH("Respiratory",Pathogens!C10)),4,3)))))))</f>
        <v>4</v>
      </c>
      <c r="AV13" s="62">
        <f>IF(ISNUMBER(SEARCH("AMR",Pathogens!C10)),5,IF(ISNUMBER(SEARCH("Mycobacterial",Pathogens!C10)),4,IF(ISNUMBER(SEARCH("Enteric bacterial",Pathogens!C10)),3,IF(ISNUMBER(SEARCH("Bacterial",Pathogens!C10)),3,1))))</f>
        <v>1</v>
      </c>
      <c r="AW1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3" s="62">
        <f>(6-Pathogens!X10)</f>
        <v>4</v>
      </c>
      <c r="AY13" s="62">
        <f>ROUND(MIN(5,MAX(1,0.35*IF(Pathogens!R10=1,5,IF(Pathogens!R10=2,3,1))+0.2*IF(Pathogens!S10=1,5,IF(Pathogens!S10=2,3,1))+0.25*IF(Pathogens!W10=1,IF(VLOOKUP(G$4,Countries!$B$2:$AN$55,38,FALSE)&gt;=3,5,IF(VLOOKUP(G$4,Countries!$B$2:$AN$55,38,FALSE)=2,4,IF(VLOOKUP(G$4,Countries!$B$2:$AN$55,38,FALSE)=1,2,1))),5)+0.2*IF(VLOOKUP(G$4,Countries!$B$2:$AN$55,24,FALSE)&gt;=50,5,IF(VLOOKUP(G$4,Countries!$B$2:$AN$55,24,FALSE)&gt;=25,4,IF(VLOOKUP(G$4,Countries!$B$2:$AN$55,24,FALSE)&gt;=10,3,IF(VLOOKUP(G$4,Countries!$B$2:$AN$55,24,FALSE)&gt;=5,2,1)))))),0)</f>
        <v>3</v>
      </c>
      <c r="AZ13" s="62" t="str">
        <f>IFERROR(INDEX(Endemicity!$C$2:$BN$55,MATCH(G$4,Endemicity!$B$2:$B$55,0),MATCH($A13,Endemicity!$C$1:$BN$1,0)),"Sporadic")</f>
        <v>Endemic</v>
      </c>
      <c r="BA13" s="62">
        <f>IF(Settings!$B$48="ON",IFERROR(MATCH($AZ13,Settings!$B$35:$F$35,0),5),5)</f>
        <v>1</v>
      </c>
    </row>
    <row r="14" customHeight="1" spans="1:53">
      <c r="A14" s="61" t="str">
        <f>Calculator!A43</f>
        <v>CCHF</v>
      </c>
      <c r="B14" s="61" t="str">
        <f>Calculator!B43</f>
        <v>Crimean-Congo hemorrhagic fever</v>
      </c>
      <c r="C14" s="61" t="str">
        <f>Calculator!C43</f>
        <v>VHF/zoonotic</v>
      </c>
      <c r="D14" s="52">
        <f>IFERROR(ROUND(MIN(100,(($J14)*Settings!$C$23*INDEX(Settings!$B$36:$F$44,1,$T14)+($K14)*Settings!$C$24*INDEX(Settings!$B$36:$F$44,2,$T14)+($L14)*Settings!$C$25*INDEX(Settings!$B$36:$F$44,3,$T14)+($M14)*Settings!$C$26*INDEX(Settings!$B$36:$F$44,4,$T14)+($N14)*Settings!$C$27*INDEX(Settings!$B$36:$F$44,5,$T14)+($O14)*Settings!$C$28*INDEX(Settings!$B$36:$F$44,6,$T14)+($P14)*Settings!$C$29*INDEX(Settings!$B$36:$F$44,7,$T14)+($Q14)*Settings!$C$30*INDEX(Settings!$B$36:$F$44,8,$T14)+($R14)*Settings!$C$31*INDEX(Settings!$B$36:$F$44,9,$T14))/INDEX(Settings!$B$45:$F$45,1,$T14)/5*100*IF($S14="Not present",Settings!$B$51,1)),1),"")</f>
        <v>53.8</v>
      </c>
      <c r="E14" s="52">
        <f>IFERROR(ROUND(MIN(100,(($U14)*Settings!$C$23*INDEX(Settings!$B$36:$F$44,1,$AE14)+($V14)*Settings!$C$24*INDEX(Settings!$B$36:$F$44,2,$AE14)+($W14)*Settings!$C$25*INDEX(Settings!$B$36:$F$44,3,$AE14)+($X14)*Settings!$C$26*INDEX(Settings!$B$36:$F$44,4,$AE14)+($Y14)*Settings!$C$27*INDEX(Settings!$B$36:$F$44,5,$AE14)+($Z14)*Settings!$C$28*INDEX(Settings!$B$36:$F$44,6,$AE14)+($AA14)*Settings!$C$29*INDEX(Settings!$B$36:$F$44,7,$AE14)+($AB14)*Settings!$C$30*INDEX(Settings!$B$36:$F$44,8,$AE14)+($AC14)*Settings!$C$31*INDEX(Settings!$B$36:$F$44,9,$AE14))/INDEX(Settings!$B$45:$F$45,1,$AE14)/5*100*IF($AD14="Not present",Settings!$B$51,1)),1),"")</f>
        <v>53.5</v>
      </c>
      <c r="F14" s="52">
        <f>IFERROR(ROUND(MIN(100,(($AF14)*Settings!$C$23*INDEX(Settings!$B$36:$F$44,1,$AP14)+($AG14)*Settings!$C$24*INDEX(Settings!$B$36:$F$44,2,$AP14)+($AH14)*Settings!$C$25*INDEX(Settings!$B$36:$F$44,3,$AP14)+($AI14)*Settings!$C$26*INDEX(Settings!$B$36:$F$44,4,$AP14)+($AJ14)*Settings!$C$27*INDEX(Settings!$B$36:$F$44,5,$AP14)+($AK14)*Settings!$C$28*INDEX(Settings!$B$36:$F$44,6,$AP14)+($AL14)*Settings!$C$29*INDEX(Settings!$B$36:$F$44,7,$AP14)+($AM14)*Settings!$C$30*INDEX(Settings!$B$36:$F$44,8,$AP14)+($AN14)*Settings!$C$31*INDEX(Settings!$B$36:$F$44,9,$AP14))/INDEX(Settings!$B$45:$F$45,1,$AP14)/5*100*IF($AO14="Not present",Settings!$B$51,1)),1),"")</f>
        <v>50.8</v>
      </c>
      <c r="G14" s="52">
        <f>IFERROR(ROUND(MIN(100,(($AQ14)*Settings!$C$23*INDEX(Settings!$B$36:$F$44,1,$BA14)+($AR14)*Settings!$C$24*INDEX(Settings!$B$36:$F$44,2,$BA14)+($AS14)*Settings!$C$25*INDEX(Settings!$B$36:$F$44,3,$BA14)+($AT14)*Settings!$C$26*INDEX(Settings!$B$36:$F$44,4,$BA14)+($AU14)*Settings!$C$27*INDEX(Settings!$B$36:$F$44,5,$BA14)+($AV14)*Settings!$C$28*INDEX(Settings!$B$36:$F$44,6,$BA14)+($AW14)*Settings!$C$29*INDEX(Settings!$B$36:$F$44,7,$BA14)+($AX14)*Settings!$C$30*INDEX(Settings!$B$36:$F$44,8,$BA14)+($AY14)*Settings!$C$31*INDEX(Settings!$B$36:$F$44,9,$BA14))/INDEX(Settings!$B$45:$F$45,1,$BA14)/5*100*IF($AZ14="Not present",Settings!$B$51,1)),1),"")</f>
        <v>55.6</v>
      </c>
      <c r="J14" s="62">
        <f>ROUND(MIN(5,IF(Pathogens!I11&gt;=500,5,IF(Pathogens!I11&gt;=200,4,IF(Pathogens!I11&gt;=50,3,IF(Pathogens!I11&gt;=10,2,1))))*0.5+IF(Pathogens!J11&gt;=30,5,IF(Pathogens!J11&gt;=10,4,IF(Pathogens!J11&gt;=3,3,IF(Pathogens!J11&gt;=1,2,1))))*0.4+IF(AND(VLOOKUP(D$4,Countries!$B$2:$AN$55,4,FALSE)&gt;=80,Pathogens!N11&gt;=0.5),1,0)*0.1+IF(VLOOKUP(D$4,Countries!$B$2:$AN$55,7,FALSE)&lt;50,0.3,0)),0)</f>
        <v>3</v>
      </c>
      <c r="K14" s="62">
        <f>ROUND(MIN(5,IF(Pathogens!K11&gt;=8,5,IF(Pathogens!K11&gt;=5,4,IF(Pathogens!K11&gt;=3,3,IF(Pathogens!K11&gt;=1,2,1))))*0.5+IF(Pathogens!L11&gt;=5,5,IF(Pathogens!L11&gt;=3,4,IF(Pathogens!L11&gt;=2,3,IF(Pathogens!L11&gt;=1.2,2,1))))*0.3+IF(Pathogens!M11=1,2,0)*0.2+IF(VLOOKUP(D$4,Countries!$B$2:$AN$55,12,FALSE)&gt;=2,0.5,0)),0)</f>
        <v>2</v>
      </c>
      <c r="L14" s="62">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c r="M14" s="62">
        <f>ROUND(MAX(1,MIN(5,(6-VLOOKUP(D$4,Countries!$B$2:$AN$55,10,FALSE))*0.5+(6-VLOOKUP(D$4,Countries!$B$2:$AN$55,11,FALSE))*0.4+(IF(AND(Pathogens!N11&gt;=0.5,VLOOKUP(D$4,Countries!$B$2:$AN$55,5,FALSE)&lt;60),5,IF(Pathogens!N11&gt;=0.5,4,IF(Pathogens!N11&gt;=0.3,3,IF(Pathogens!N11&gt;=0.1,2,1)))))*0.1)),0)</f>
        <v>2</v>
      </c>
      <c r="N14" s="62">
        <f>IF(ISNUMBER(SEARCH("Vaccine-preventable",Pathogens!C11)),2,IF(ISNUMBER(SEARCH("AMR",Pathogens!C11)),5,IF(ISNUMBER(SEARCH("VHF",Pathogens!C11)),4,IF(ISNUMBER(SEARCH("Emerging",Pathogens!C11)),5,IF(ISNUMBER(SEARCH("Mycobacterial",Pathogens!C11)),3,IF(ISNUMBER(SEARCH("Helminth",Pathogens!C11)),3,IF(ISNUMBER(SEARCH("Respiratory",Pathogens!C11)),4,3)))))))</f>
        <v>4</v>
      </c>
      <c r="O14" s="62">
        <f>IF(ISNUMBER(SEARCH("AMR",Pathogens!C11)),5,IF(ISNUMBER(SEARCH("Mycobacterial",Pathogens!C11)),4,IF(ISNUMBER(SEARCH("Enteric bacterial",Pathogens!C11)),3,IF(ISNUMBER(SEARCH("Bacterial",Pathogens!C11)),3,1))))</f>
        <v>1</v>
      </c>
      <c r="P1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4" s="62">
        <f>(6-Pathogens!X11)</f>
        <v>4</v>
      </c>
      <c r="R14" s="62">
        <f>ROUND(MIN(5,MAX(1,0.35*IF(Pathogens!R11=1,5,IF(Pathogens!R11=2,3,1))+0.2*IF(Pathogens!S11=1,5,IF(Pathogens!S11=2,3,1))+0.25*IF(Pathogens!W11=1,IF(VLOOKUP(D$4,Countries!$B$2:$AN$55,38,FALSE)&gt;=3,5,IF(VLOOKUP(D$4,Countries!$B$2:$AN$55,38,FALSE)=2,4,IF(VLOOKUP(D$4,Countries!$B$2:$AN$55,38,FALSE)=1,2,1))),5)+0.2*IF(VLOOKUP(D$4,Countries!$B$2:$AN$55,24,FALSE)&gt;=50,5,IF(VLOOKUP(D$4,Countries!$B$2:$AN$55,24,FALSE)&gt;=25,4,IF(VLOOKUP(D$4,Countries!$B$2:$AN$55,24,FALSE)&gt;=10,3,IF(VLOOKUP(D$4,Countries!$B$2:$AN$55,24,FALSE)&gt;=5,2,1)))))),0)</f>
        <v>3</v>
      </c>
      <c r="S14" s="62" t="str">
        <f>IFERROR(INDEX(Endemicity!$C$2:$BN$55,MATCH(D$4,Endemicity!$B$2:$B$55,0),MATCH($A14,Endemicity!$C$1:$BN$1,0)),"Sporadic")</f>
        <v>Endemic</v>
      </c>
      <c r="T14" s="62">
        <f>IF(Settings!$B$48="ON",IFERROR(MATCH($S14,Settings!$B$35:$F$35,0),5),5)</f>
        <v>1</v>
      </c>
      <c r="U14" s="62">
        <f>ROUND(MIN(5,IF(Pathogens!I11&gt;=500,5,IF(Pathogens!I11&gt;=200,4,IF(Pathogens!I11&gt;=50,3,IF(Pathogens!I11&gt;=10,2,1))))*0.5+IF(Pathogens!J11&gt;=30,5,IF(Pathogens!J11&gt;=10,4,IF(Pathogens!J11&gt;=3,3,IF(Pathogens!J11&gt;=1,2,1))))*0.4+IF(AND(VLOOKUP(E$4,Countries!$B$2:$AN$55,4,FALSE)&gt;=80,Pathogens!N11&gt;=0.5),1,0)*0.1+IF(VLOOKUP(E$4,Countries!$B$2:$AN$55,7,FALSE)&lt;50,0.3,0)),0)</f>
        <v>3</v>
      </c>
      <c r="V14" s="62">
        <f>ROUND(MIN(5,IF(Pathogens!K11&gt;=8,5,IF(Pathogens!K11&gt;=5,4,IF(Pathogens!K11&gt;=3,3,IF(Pathogens!K11&gt;=1,2,1))))*0.5+IF(Pathogens!L11&gt;=5,5,IF(Pathogens!L11&gt;=3,4,IF(Pathogens!L11&gt;=2,3,IF(Pathogens!L11&gt;=1.2,2,1))))*0.3+IF(Pathogens!M11=1,2,0)*0.2+IF(VLOOKUP(E$4,Countries!$B$2:$AN$55,12,FALSE)&gt;=2,0.5,0)),0)</f>
        <v>2</v>
      </c>
      <c r="W14" s="62">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c r="X14" s="62">
        <f>ROUND(MAX(1,MIN(5,(6-VLOOKUP(E$4,Countries!$B$2:$AN$55,10,FALSE))*0.5+(6-VLOOKUP(E$4,Countries!$B$2:$AN$55,11,FALSE))*0.4+(IF(AND(Pathogens!N11&gt;=0.5,VLOOKUP(E$4,Countries!$B$2:$AN$55,5,FALSE)&lt;60),5,IF(Pathogens!N11&gt;=0.5,4,IF(Pathogens!N11&gt;=0.3,3,IF(Pathogens!N11&gt;=0.1,2,1)))))*0.1)),0)</f>
        <v>2</v>
      </c>
      <c r="Y14" s="62">
        <f>IF(ISNUMBER(SEARCH("Vaccine-preventable",Pathogens!C11)),2,IF(ISNUMBER(SEARCH("AMR",Pathogens!C11)),5,IF(ISNUMBER(SEARCH("VHF",Pathogens!C11)),4,IF(ISNUMBER(SEARCH("Emerging",Pathogens!C11)),5,IF(ISNUMBER(SEARCH("Mycobacterial",Pathogens!C11)),3,IF(ISNUMBER(SEARCH("Helminth",Pathogens!C11)),3,IF(ISNUMBER(SEARCH("Respiratory",Pathogens!C11)),4,3)))))))</f>
        <v>4</v>
      </c>
      <c r="Z14" s="62">
        <f>IF(ISNUMBER(SEARCH("AMR",Pathogens!C11)),5,IF(ISNUMBER(SEARCH("Mycobacterial",Pathogens!C11)),4,IF(ISNUMBER(SEARCH("Enteric bacterial",Pathogens!C11)),3,IF(ISNUMBER(SEARCH("Bacterial",Pathogens!C11)),3,1))))</f>
        <v>1</v>
      </c>
      <c r="AA1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4" s="62">
        <f>(6-Pathogens!X11)</f>
        <v>4</v>
      </c>
      <c r="AC14" s="62">
        <f>ROUND(MIN(5,MAX(1,0.35*IF(Pathogens!R11=1,5,IF(Pathogens!R11=2,3,1))+0.2*IF(Pathogens!S11=1,5,IF(Pathogens!S11=2,3,1))+0.25*IF(Pathogens!W11=1,IF(VLOOKUP(E$4,Countries!$B$2:$AN$55,38,FALSE)&gt;=3,5,IF(VLOOKUP(E$4,Countries!$B$2:$AN$55,38,FALSE)=2,4,IF(VLOOKUP(E$4,Countries!$B$2:$AN$55,38,FALSE)=1,2,1))),5)+0.2*IF(VLOOKUP(E$4,Countries!$B$2:$AN$55,24,FALSE)&gt;=50,5,IF(VLOOKUP(E$4,Countries!$B$2:$AN$55,24,FALSE)&gt;=25,4,IF(VLOOKUP(E$4,Countries!$B$2:$AN$55,24,FALSE)&gt;=10,3,IF(VLOOKUP(E$4,Countries!$B$2:$AN$55,24,FALSE)&gt;=5,2,1)))))),0)</f>
        <v>3</v>
      </c>
      <c r="AD14" s="62" t="str">
        <f>IFERROR(INDEX(Endemicity!$C$2:$BN$55,MATCH(E$4,Endemicity!$B$2:$B$55,0),MATCH($A14,Endemicity!$C$1:$BN$1,0)),"Sporadic")</f>
        <v>Sporadic</v>
      </c>
      <c r="AE14" s="62">
        <f>IF(Settings!$B$48="ON",IFERROR(MATCH($AD14,Settings!$B$35:$F$35,0),5),5)</f>
        <v>2</v>
      </c>
      <c r="AF14" s="62">
        <f>ROUND(MIN(5,IF(Pathogens!I11&gt;=500,5,IF(Pathogens!I11&gt;=200,4,IF(Pathogens!I11&gt;=50,3,IF(Pathogens!I11&gt;=10,2,1))))*0.5+IF(Pathogens!J11&gt;=30,5,IF(Pathogens!J11&gt;=10,4,IF(Pathogens!J11&gt;=3,3,IF(Pathogens!J11&gt;=1,2,1))))*0.4+IF(AND(VLOOKUP(F$4,Countries!$B$2:$AN$55,4,FALSE)&gt;=80,Pathogens!N11&gt;=0.5),1,0)*0.1+IF(VLOOKUP(F$4,Countries!$B$2:$AN$55,7,FALSE)&lt;50,0.3,0)),0)</f>
        <v>3</v>
      </c>
      <c r="AG14" s="62">
        <f>ROUND(MIN(5,IF(Pathogens!K11&gt;=8,5,IF(Pathogens!K11&gt;=5,4,IF(Pathogens!K11&gt;=3,3,IF(Pathogens!K11&gt;=1,2,1))))*0.5+IF(Pathogens!L11&gt;=5,5,IF(Pathogens!L11&gt;=3,4,IF(Pathogens!L11&gt;=2,3,IF(Pathogens!L11&gt;=1.2,2,1))))*0.3+IF(Pathogens!M11=1,2,0)*0.2+IF(VLOOKUP(F$4,Countries!$B$2:$AN$55,12,FALSE)&gt;=2,0.5,0)),0)</f>
        <v>2</v>
      </c>
      <c r="AH14" s="62">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c r="AI14" s="62">
        <f>ROUND(MAX(1,MIN(5,(6-VLOOKUP(F$4,Countries!$B$2:$AN$55,10,FALSE))*0.5+(6-VLOOKUP(F$4,Countries!$B$2:$AN$55,11,FALSE))*0.4+(IF(AND(Pathogens!N11&gt;=0.5,VLOOKUP(F$4,Countries!$B$2:$AN$55,5,FALSE)&lt;60),5,IF(Pathogens!N11&gt;=0.5,4,IF(Pathogens!N11&gt;=0.3,3,IF(Pathogens!N11&gt;=0.1,2,1)))))*0.1)),0)</f>
        <v>2</v>
      </c>
      <c r="AJ14" s="62">
        <f>IF(ISNUMBER(SEARCH("Vaccine-preventable",Pathogens!C11)),2,IF(ISNUMBER(SEARCH("AMR",Pathogens!C11)),5,IF(ISNUMBER(SEARCH("VHF",Pathogens!C11)),4,IF(ISNUMBER(SEARCH("Emerging",Pathogens!C11)),5,IF(ISNUMBER(SEARCH("Mycobacterial",Pathogens!C11)),3,IF(ISNUMBER(SEARCH("Helminth",Pathogens!C11)),3,IF(ISNUMBER(SEARCH("Respiratory",Pathogens!C11)),4,3)))))))</f>
        <v>4</v>
      </c>
      <c r="AK14" s="62">
        <f>IF(ISNUMBER(SEARCH("AMR",Pathogens!C11)),5,IF(ISNUMBER(SEARCH("Mycobacterial",Pathogens!C11)),4,IF(ISNUMBER(SEARCH("Enteric bacterial",Pathogens!C11)),3,IF(ISNUMBER(SEARCH("Bacterial",Pathogens!C11)),3,1))))</f>
        <v>1</v>
      </c>
      <c r="AL1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4" s="62">
        <f>(6-Pathogens!X11)</f>
        <v>4</v>
      </c>
      <c r="AN14" s="62">
        <f>ROUND(MIN(5,MAX(1,0.35*IF(Pathogens!R11=1,5,IF(Pathogens!R11=2,3,1))+0.2*IF(Pathogens!S11=1,5,IF(Pathogens!S11=2,3,1))+0.25*IF(Pathogens!W11=1,IF(VLOOKUP(F$4,Countries!$B$2:$AN$55,38,FALSE)&gt;=3,5,IF(VLOOKUP(F$4,Countries!$B$2:$AN$55,38,FALSE)=2,4,IF(VLOOKUP(F$4,Countries!$B$2:$AN$55,38,FALSE)=1,2,1))),5)+0.2*IF(VLOOKUP(F$4,Countries!$B$2:$AN$55,24,FALSE)&gt;=50,5,IF(VLOOKUP(F$4,Countries!$B$2:$AN$55,24,FALSE)&gt;=25,4,IF(VLOOKUP(F$4,Countries!$B$2:$AN$55,24,FALSE)&gt;=10,3,IF(VLOOKUP(F$4,Countries!$B$2:$AN$55,24,FALSE)&gt;=5,2,1)))))),0)</f>
        <v>3</v>
      </c>
      <c r="AO14" s="62" t="str">
        <f>IFERROR(INDEX(Endemicity!$C$2:$BN$55,MATCH(F$4,Endemicity!$B$2:$B$55,0),MATCH($A14,Endemicity!$C$1:$BN$1,0)),"Sporadic")</f>
        <v>Sporadic</v>
      </c>
      <c r="AP14" s="62">
        <f>IF(Settings!$B$48="ON",IFERROR(MATCH($AO14,Settings!$B$35:$F$35,0),5),5)</f>
        <v>2</v>
      </c>
      <c r="AQ14" s="62">
        <f>ROUND(MIN(5,IF(Pathogens!I11&gt;=500,5,IF(Pathogens!I11&gt;=200,4,IF(Pathogens!I11&gt;=50,3,IF(Pathogens!I11&gt;=10,2,1))))*0.5+IF(Pathogens!J11&gt;=30,5,IF(Pathogens!J11&gt;=10,4,IF(Pathogens!J11&gt;=3,3,IF(Pathogens!J11&gt;=1,2,1))))*0.4+IF(AND(VLOOKUP(G$4,Countries!$B$2:$AN$55,4,FALSE)&gt;=80,Pathogens!N11&gt;=0.5),1,0)*0.1+IF(VLOOKUP(G$4,Countries!$B$2:$AN$55,7,FALSE)&lt;50,0.3,0)),0)</f>
        <v>3</v>
      </c>
      <c r="AR14" s="62">
        <f>ROUND(MIN(5,IF(Pathogens!K11&gt;=8,5,IF(Pathogens!K11&gt;=5,4,IF(Pathogens!K11&gt;=3,3,IF(Pathogens!K11&gt;=1,2,1))))*0.5+IF(Pathogens!L11&gt;=5,5,IF(Pathogens!L11&gt;=3,4,IF(Pathogens!L11&gt;=2,3,IF(Pathogens!L11&gt;=1.2,2,1))))*0.3+IF(Pathogens!M11=1,2,0)*0.2+IF(VLOOKUP(G$4,Countries!$B$2:$AN$55,12,FALSE)&gt;=2,0.5,0)),0)</f>
        <v>2</v>
      </c>
      <c r="AS14" s="62">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c r="AT14" s="62">
        <f>ROUND(MAX(1,MIN(5,(6-VLOOKUP(G$4,Countries!$B$2:$AN$55,10,FALSE))*0.5+(6-VLOOKUP(G$4,Countries!$B$2:$AN$55,11,FALSE))*0.4+(IF(AND(Pathogens!N11&gt;=0.5,VLOOKUP(G$4,Countries!$B$2:$AN$55,5,FALSE)&lt;60),5,IF(Pathogens!N11&gt;=0.5,4,IF(Pathogens!N11&gt;=0.3,3,IF(Pathogens!N11&gt;=0.1,2,1)))))*0.1)),0)</f>
        <v>2</v>
      </c>
      <c r="AU14" s="62">
        <f>IF(ISNUMBER(SEARCH("Vaccine-preventable",Pathogens!C11)),2,IF(ISNUMBER(SEARCH("AMR",Pathogens!C11)),5,IF(ISNUMBER(SEARCH("VHF",Pathogens!C11)),4,IF(ISNUMBER(SEARCH("Emerging",Pathogens!C11)),5,IF(ISNUMBER(SEARCH("Mycobacterial",Pathogens!C11)),3,IF(ISNUMBER(SEARCH("Helminth",Pathogens!C11)),3,IF(ISNUMBER(SEARCH("Respiratory",Pathogens!C11)),4,3)))))))</f>
        <v>4</v>
      </c>
      <c r="AV14" s="62">
        <f>IF(ISNUMBER(SEARCH("AMR",Pathogens!C11)),5,IF(ISNUMBER(SEARCH("Mycobacterial",Pathogens!C11)),4,IF(ISNUMBER(SEARCH("Enteric bacterial",Pathogens!C11)),3,IF(ISNUMBER(SEARCH("Bacterial",Pathogens!C11)),3,1))))</f>
        <v>1</v>
      </c>
      <c r="AW1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4" s="62">
        <f>(6-Pathogens!X11)</f>
        <v>4</v>
      </c>
      <c r="AY14" s="62">
        <f>ROUND(MIN(5,MAX(1,0.35*IF(Pathogens!R11=1,5,IF(Pathogens!R11=2,3,1))+0.2*IF(Pathogens!S11=1,5,IF(Pathogens!S11=2,3,1))+0.25*IF(Pathogens!W11=1,IF(VLOOKUP(G$4,Countries!$B$2:$AN$55,38,FALSE)&gt;=3,5,IF(VLOOKUP(G$4,Countries!$B$2:$AN$55,38,FALSE)=2,4,IF(VLOOKUP(G$4,Countries!$B$2:$AN$55,38,FALSE)=1,2,1))),5)+0.2*IF(VLOOKUP(G$4,Countries!$B$2:$AN$55,24,FALSE)&gt;=50,5,IF(VLOOKUP(G$4,Countries!$B$2:$AN$55,24,FALSE)&gt;=25,4,IF(VLOOKUP(G$4,Countries!$B$2:$AN$55,24,FALSE)&gt;=10,3,IF(VLOOKUP(G$4,Countries!$B$2:$AN$55,24,FALSE)&gt;=5,2,1)))))),0)</f>
        <v>3</v>
      </c>
      <c r="AZ14" s="62" t="str">
        <f>IFERROR(INDEX(Endemicity!$C$2:$BN$55,MATCH(G$4,Endemicity!$B$2:$B$55,0),MATCH($A14,Endemicity!$C$1:$BN$1,0)),"Sporadic")</f>
        <v>Endemic</v>
      </c>
      <c r="BA14" s="62">
        <f>IF(Settings!$B$48="ON",IFERROR(MATCH($AZ14,Settings!$B$35:$F$35,0),5),5)</f>
        <v>1</v>
      </c>
    </row>
    <row r="15" customHeight="1" spans="1:53">
      <c r="A15" s="61" t="str">
        <f>Calculator!A44</f>
        <v>EBOV</v>
      </c>
      <c r="B15" s="61" t="str">
        <f>Calculator!B44</f>
        <v>Ebola virus (Zaire/Sudan)</v>
      </c>
      <c r="C15" s="61" t="str">
        <f>Calculator!C44</f>
        <v>VHF/zoonotic</v>
      </c>
      <c r="D15" s="52">
        <f>IFERROR(ROUND(MIN(100,(($J15)*Settings!$C$23*INDEX(Settings!$B$36:$F$44,1,$T15)+($K15)*Settings!$C$24*INDEX(Settings!$B$36:$F$44,2,$T15)+($L15)*Settings!$C$25*INDEX(Settings!$B$36:$F$44,3,$T15)+($M15)*Settings!$C$26*INDEX(Settings!$B$36:$F$44,4,$T15)+($N15)*Settings!$C$27*INDEX(Settings!$B$36:$F$44,5,$T15)+($O15)*Settings!$C$28*INDEX(Settings!$B$36:$F$44,6,$T15)+($P15)*Settings!$C$29*INDEX(Settings!$B$36:$F$44,7,$T15)+($Q15)*Settings!$C$30*INDEX(Settings!$B$36:$F$44,8,$T15)+($R15)*Settings!$C$31*INDEX(Settings!$B$36:$F$44,9,$T15))/INDEX(Settings!$B$45:$F$45,1,$T15)/5*100*IF($S15="Not present",Settings!$B$51,1)),1),"")</f>
        <v>67.9</v>
      </c>
      <c r="E15" s="52">
        <f>IFERROR(ROUND(MIN(100,(($U15)*Settings!$C$23*INDEX(Settings!$B$36:$F$44,1,$AE15)+($V15)*Settings!$C$24*INDEX(Settings!$B$36:$F$44,2,$AE15)+($W15)*Settings!$C$25*INDEX(Settings!$B$36:$F$44,3,$AE15)+($X15)*Settings!$C$26*INDEX(Settings!$B$36:$F$44,4,$AE15)+($Y15)*Settings!$C$27*INDEX(Settings!$B$36:$F$44,5,$AE15)+($Z15)*Settings!$C$28*INDEX(Settings!$B$36:$F$44,6,$AE15)+($AA15)*Settings!$C$29*INDEX(Settings!$B$36:$F$44,7,$AE15)+($AB15)*Settings!$C$30*INDEX(Settings!$B$36:$F$44,8,$AE15)+($AC15)*Settings!$C$31*INDEX(Settings!$B$36:$F$44,9,$AE15))/INDEX(Settings!$B$45:$F$45,1,$AE15)/5*100*IF($AD15="Not present",Settings!$B$51,1)),1),"")</f>
        <v>70.8</v>
      </c>
      <c r="F15" s="52">
        <f>IFERROR(ROUND(MIN(100,(($AF15)*Settings!$C$23*INDEX(Settings!$B$36:$F$44,1,$AP15)+($AG15)*Settings!$C$24*INDEX(Settings!$B$36:$F$44,2,$AP15)+($AH15)*Settings!$C$25*INDEX(Settings!$B$36:$F$44,3,$AP15)+($AI15)*Settings!$C$26*INDEX(Settings!$B$36:$F$44,4,$AP15)+($AJ15)*Settings!$C$27*INDEX(Settings!$B$36:$F$44,5,$AP15)+($AK15)*Settings!$C$28*INDEX(Settings!$B$36:$F$44,6,$AP15)+($AL15)*Settings!$C$29*INDEX(Settings!$B$36:$F$44,7,$AP15)+($AM15)*Settings!$C$30*INDEX(Settings!$B$36:$F$44,8,$AP15)+($AN15)*Settings!$C$31*INDEX(Settings!$B$36:$F$44,9,$AP15))/INDEX(Settings!$B$45:$F$45,1,$AP15)/5*100*IF($AO15="Not present",Settings!$B$51,1)),1),"")</f>
        <v>67.9</v>
      </c>
      <c r="G15" s="52">
        <f>IFERROR(ROUND(MIN(100,(($AQ15)*Settings!$C$23*INDEX(Settings!$B$36:$F$44,1,$BA15)+($AR15)*Settings!$C$24*INDEX(Settings!$B$36:$F$44,2,$BA15)+($AS15)*Settings!$C$25*INDEX(Settings!$B$36:$F$44,3,$BA15)+($AT15)*Settings!$C$26*INDEX(Settings!$B$36:$F$44,4,$BA15)+($AU15)*Settings!$C$27*INDEX(Settings!$B$36:$F$44,5,$BA15)+($AV15)*Settings!$C$28*INDEX(Settings!$B$36:$F$44,6,$BA15)+($AW15)*Settings!$C$29*INDEX(Settings!$B$36:$F$44,7,$BA15)+($AX15)*Settings!$C$30*INDEX(Settings!$B$36:$F$44,8,$BA15)+($AY15)*Settings!$C$31*INDEX(Settings!$B$36:$F$44,9,$BA15))/INDEX(Settings!$B$45:$F$45,1,$BA15)/5*100*IF($AZ15="Not present",Settings!$B$51,1)),1),"")</f>
        <v>67.1</v>
      </c>
      <c r="J15" s="62">
        <f>ROUND(MIN(5,IF(Pathogens!I12&gt;=500,5,IF(Pathogens!I12&gt;=200,4,IF(Pathogens!I12&gt;=50,3,IF(Pathogens!I12&gt;=10,2,1))))*0.5+IF(Pathogens!J12&gt;=30,5,IF(Pathogens!J12&gt;=10,4,IF(Pathogens!J12&gt;=3,3,IF(Pathogens!J12&gt;=1,2,1))))*0.4+IF(AND(VLOOKUP(D$4,Countries!$B$2:$AN$55,4,FALSE)&gt;=80,Pathogens!N12&gt;=0.5),1,0)*0.1+IF(VLOOKUP(D$4,Countries!$B$2:$AN$55,7,FALSE)&lt;50,0.3,0)),0)</f>
        <v>3</v>
      </c>
      <c r="K15" s="62">
        <f>ROUND(MIN(5,IF(Pathogens!K12&gt;=8,5,IF(Pathogens!K12&gt;=5,4,IF(Pathogens!K12&gt;=3,3,IF(Pathogens!K12&gt;=1,2,1))))*0.5+IF(Pathogens!L12&gt;=5,5,IF(Pathogens!L12&gt;=3,4,IF(Pathogens!L12&gt;=2,3,IF(Pathogens!L12&gt;=1.2,2,1))))*0.3+IF(Pathogens!M12=1,2,0)*0.2+IF(VLOOKUP(D$4,Countries!$B$2:$AN$55,12,FALSE)&gt;=2,0.5,0)),0)</f>
        <v>4</v>
      </c>
      <c r="L15" s="62">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c r="M15" s="62">
        <f>ROUND(MAX(1,MIN(5,(6-VLOOKUP(D$4,Countries!$B$2:$AN$55,10,FALSE))*0.5+(6-VLOOKUP(D$4,Countries!$B$2:$AN$55,11,FALSE))*0.4+(IF(AND(Pathogens!N12&gt;=0.5,VLOOKUP(D$4,Countries!$B$2:$AN$55,5,FALSE)&lt;60),5,IF(Pathogens!N12&gt;=0.5,4,IF(Pathogens!N12&gt;=0.3,3,IF(Pathogens!N12&gt;=0.1,2,1)))))*0.1)),0)</f>
        <v>2</v>
      </c>
      <c r="N15" s="62">
        <f>IF(ISNUMBER(SEARCH("Vaccine-preventable",Pathogens!C12)),2,IF(ISNUMBER(SEARCH("AMR",Pathogens!C12)),5,IF(ISNUMBER(SEARCH("VHF",Pathogens!C12)),4,IF(ISNUMBER(SEARCH("Emerging",Pathogens!C12)),5,IF(ISNUMBER(SEARCH("Mycobacterial",Pathogens!C12)),3,IF(ISNUMBER(SEARCH("Helminth",Pathogens!C12)),3,IF(ISNUMBER(SEARCH("Respiratory",Pathogens!C12)),4,3)))))))</f>
        <v>4</v>
      </c>
      <c r="O15" s="62">
        <f>IF(ISNUMBER(SEARCH("AMR",Pathogens!C12)),5,IF(ISNUMBER(SEARCH("Mycobacterial",Pathogens!C12)),4,IF(ISNUMBER(SEARCH("Enteric bacterial",Pathogens!C12)),3,IF(ISNUMBER(SEARCH("Bacterial",Pathogens!C12)),3,1))))</f>
        <v>1</v>
      </c>
      <c r="P1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5" s="62">
        <f>(6-Pathogens!X12)</f>
        <v>2</v>
      </c>
      <c r="R15" s="62">
        <f>ROUND(MIN(5,MAX(1,0.35*IF(Pathogens!R12=1,5,IF(Pathogens!R12=2,3,1))+0.2*IF(Pathogens!S12=1,5,IF(Pathogens!S12=2,3,1))+0.25*IF(Pathogens!W12=1,IF(VLOOKUP(D$4,Countries!$B$2:$AN$55,38,FALSE)&gt;=3,5,IF(VLOOKUP(D$4,Countries!$B$2:$AN$55,38,FALSE)=2,4,IF(VLOOKUP(D$4,Countries!$B$2:$AN$55,38,FALSE)=1,2,1))),5)+0.2*IF(VLOOKUP(D$4,Countries!$B$2:$AN$55,24,FALSE)&gt;=50,5,IF(VLOOKUP(D$4,Countries!$B$2:$AN$55,24,FALSE)&gt;=25,4,IF(VLOOKUP(D$4,Countries!$B$2:$AN$55,24,FALSE)&gt;=10,3,IF(VLOOKUP(D$4,Countries!$B$2:$AN$55,24,FALSE)&gt;=5,2,1)))))),0)</f>
        <v>4</v>
      </c>
      <c r="S15" s="62" t="str">
        <f>IFERROR(INDEX(Endemicity!$C$2:$BN$55,MATCH(D$4,Endemicity!$B$2:$B$55,0),MATCH($A15,Endemicity!$C$1:$BN$1,0)),"Sporadic")</f>
        <v>Sporadic</v>
      </c>
      <c r="T15" s="62">
        <f>IF(Settings!$B$48="ON",IFERROR(MATCH($S15,Settings!$B$35:$F$35,0),5),5)</f>
        <v>2</v>
      </c>
      <c r="U15" s="62">
        <f>ROUND(MIN(5,IF(Pathogens!I12&gt;=500,5,IF(Pathogens!I12&gt;=200,4,IF(Pathogens!I12&gt;=50,3,IF(Pathogens!I12&gt;=10,2,1))))*0.5+IF(Pathogens!J12&gt;=30,5,IF(Pathogens!J12&gt;=10,4,IF(Pathogens!J12&gt;=3,3,IF(Pathogens!J12&gt;=1,2,1))))*0.4+IF(AND(VLOOKUP(E$4,Countries!$B$2:$AN$55,4,FALSE)&gt;=80,Pathogens!N12&gt;=0.5),1,0)*0.1+IF(VLOOKUP(E$4,Countries!$B$2:$AN$55,7,FALSE)&lt;50,0.3,0)),0)</f>
        <v>3</v>
      </c>
      <c r="V15" s="62">
        <f>ROUND(MIN(5,IF(Pathogens!K12&gt;=8,5,IF(Pathogens!K12&gt;=5,4,IF(Pathogens!K12&gt;=3,3,IF(Pathogens!K12&gt;=1,2,1))))*0.5+IF(Pathogens!L12&gt;=5,5,IF(Pathogens!L12&gt;=3,4,IF(Pathogens!L12&gt;=2,3,IF(Pathogens!L12&gt;=1.2,2,1))))*0.3+IF(Pathogens!M12=1,2,0)*0.2+IF(VLOOKUP(E$4,Countries!$B$2:$AN$55,12,FALSE)&gt;=2,0.5,0)),0)</f>
        <v>4</v>
      </c>
      <c r="W15" s="62">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c r="X15" s="62">
        <f>ROUND(MAX(1,MIN(5,(6-VLOOKUP(E$4,Countries!$B$2:$AN$55,10,FALSE))*0.5+(6-VLOOKUP(E$4,Countries!$B$2:$AN$55,11,FALSE))*0.4+(IF(AND(Pathogens!N12&gt;=0.5,VLOOKUP(E$4,Countries!$B$2:$AN$55,5,FALSE)&lt;60),5,IF(Pathogens!N12&gt;=0.5,4,IF(Pathogens!N12&gt;=0.3,3,IF(Pathogens!N12&gt;=0.1,2,1)))))*0.1)),0)</f>
        <v>3</v>
      </c>
      <c r="Y15" s="62">
        <f>IF(ISNUMBER(SEARCH("Vaccine-preventable",Pathogens!C12)),2,IF(ISNUMBER(SEARCH("AMR",Pathogens!C12)),5,IF(ISNUMBER(SEARCH("VHF",Pathogens!C12)),4,IF(ISNUMBER(SEARCH("Emerging",Pathogens!C12)),5,IF(ISNUMBER(SEARCH("Mycobacterial",Pathogens!C12)),3,IF(ISNUMBER(SEARCH("Helminth",Pathogens!C12)),3,IF(ISNUMBER(SEARCH("Respiratory",Pathogens!C12)),4,3)))))))</f>
        <v>4</v>
      </c>
      <c r="Z15" s="62">
        <f>IF(ISNUMBER(SEARCH("AMR",Pathogens!C12)),5,IF(ISNUMBER(SEARCH("Mycobacterial",Pathogens!C12)),4,IF(ISNUMBER(SEARCH("Enteric bacterial",Pathogens!C12)),3,IF(ISNUMBER(SEARCH("Bacterial",Pathogens!C12)),3,1))))</f>
        <v>1</v>
      </c>
      <c r="AA1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5" s="62">
        <f>(6-Pathogens!X12)</f>
        <v>2</v>
      </c>
      <c r="AC15" s="62">
        <f>ROUND(MIN(5,MAX(1,0.35*IF(Pathogens!R12=1,5,IF(Pathogens!R12=2,3,1))+0.2*IF(Pathogens!S12=1,5,IF(Pathogens!S12=2,3,1))+0.25*IF(Pathogens!W12=1,IF(VLOOKUP(E$4,Countries!$B$2:$AN$55,38,FALSE)&gt;=3,5,IF(VLOOKUP(E$4,Countries!$B$2:$AN$55,38,FALSE)=2,4,IF(VLOOKUP(E$4,Countries!$B$2:$AN$55,38,FALSE)=1,2,1))),5)+0.2*IF(VLOOKUP(E$4,Countries!$B$2:$AN$55,24,FALSE)&gt;=50,5,IF(VLOOKUP(E$4,Countries!$B$2:$AN$55,24,FALSE)&gt;=25,4,IF(VLOOKUP(E$4,Countries!$B$2:$AN$55,24,FALSE)&gt;=10,3,IF(VLOOKUP(E$4,Countries!$B$2:$AN$55,24,FALSE)&gt;=5,2,1)))))),0)</f>
        <v>4</v>
      </c>
      <c r="AD15" s="62" t="str">
        <f>IFERROR(INDEX(Endemicity!$C$2:$BN$55,MATCH(E$4,Endemicity!$B$2:$B$55,0),MATCH($A15,Endemicity!$C$1:$BN$1,0)),"Sporadic")</f>
        <v>Endemic</v>
      </c>
      <c r="AE15" s="62">
        <f>IF(Settings!$B$48="ON",IFERROR(MATCH($AD15,Settings!$B$35:$F$35,0),5),5)</f>
        <v>1</v>
      </c>
      <c r="AF15" s="62">
        <f>ROUND(MIN(5,IF(Pathogens!I12&gt;=500,5,IF(Pathogens!I12&gt;=200,4,IF(Pathogens!I12&gt;=50,3,IF(Pathogens!I12&gt;=10,2,1))))*0.5+IF(Pathogens!J12&gt;=30,5,IF(Pathogens!J12&gt;=10,4,IF(Pathogens!J12&gt;=3,3,IF(Pathogens!J12&gt;=1,2,1))))*0.4+IF(AND(VLOOKUP(F$4,Countries!$B$2:$AN$55,4,FALSE)&gt;=80,Pathogens!N12&gt;=0.5),1,0)*0.1+IF(VLOOKUP(F$4,Countries!$B$2:$AN$55,7,FALSE)&lt;50,0.3,0)),0)</f>
        <v>3</v>
      </c>
      <c r="AG15" s="62">
        <f>ROUND(MIN(5,IF(Pathogens!K12&gt;=8,5,IF(Pathogens!K12&gt;=5,4,IF(Pathogens!K12&gt;=3,3,IF(Pathogens!K12&gt;=1,2,1))))*0.5+IF(Pathogens!L12&gt;=5,5,IF(Pathogens!L12&gt;=3,4,IF(Pathogens!L12&gt;=2,3,IF(Pathogens!L12&gt;=1.2,2,1))))*0.3+IF(Pathogens!M12=1,2,0)*0.2+IF(VLOOKUP(F$4,Countries!$B$2:$AN$55,12,FALSE)&gt;=2,0.5,0)),0)</f>
        <v>4</v>
      </c>
      <c r="AH15" s="62">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c r="AI15" s="62">
        <f>ROUND(MAX(1,MIN(5,(6-VLOOKUP(F$4,Countries!$B$2:$AN$55,10,FALSE))*0.5+(6-VLOOKUP(F$4,Countries!$B$2:$AN$55,11,FALSE))*0.4+(IF(AND(Pathogens!N12&gt;=0.5,VLOOKUP(F$4,Countries!$B$2:$AN$55,5,FALSE)&lt;60),5,IF(Pathogens!N12&gt;=0.5,4,IF(Pathogens!N12&gt;=0.3,3,IF(Pathogens!N12&gt;=0.1,2,1)))))*0.1)),0)</f>
        <v>2</v>
      </c>
      <c r="AJ15" s="62">
        <f>IF(ISNUMBER(SEARCH("Vaccine-preventable",Pathogens!C12)),2,IF(ISNUMBER(SEARCH("AMR",Pathogens!C12)),5,IF(ISNUMBER(SEARCH("VHF",Pathogens!C12)),4,IF(ISNUMBER(SEARCH("Emerging",Pathogens!C12)),5,IF(ISNUMBER(SEARCH("Mycobacterial",Pathogens!C12)),3,IF(ISNUMBER(SEARCH("Helminth",Pathogens!C12)),3,IF(ISNUMBER(SEARCH("Respiratory",Pathogens!C12)),4,3)))))))</f>
        <v>4</v>
      </c>
      <c r="AK15" s="62">
        <f>IF(ISNUMBER(SEARCH("AMR",Pathogens!C12)),5,IF(ISNUMBER(SEARCH("Mycobacterial",Pathogens!C12)),4,IF(ISNUMBER(SEARCH("Enteric bacterial",Pathogens!C12)),3,IF(ISNUMBER(SEARCH("Bacterial",Pathogens!C12)),3,1))))</f>
        <v>1</v>
      </c>
      <c r="AL1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5" s="62">
        <f>(6-Pathogens!X12)</f>
        <v>2</v>
      </c>
      <c r="AN15" s="62">
        <f>ROUND(MIN(5,MAX(1,0.35*IF(Pathogens!R12=1,5,IF(Pathogens!R12=2,3,1))+0.2*IF(Pathogens!S12=1,5,IF(Pathogens!S12=2,3,1))+0.25*IF(Pathogens!W12=1,IF(VLOOKUP(F$4,Countries!$B$2:$AN$55,38,FALSE)&gt;=3,5,IF(VLOOKUP(F$4,Countries!$B$2:$AN$55,38,FALSE)=2,4,IF(VLOOKUP(F$4,Countries!$B$2:$AN$55,38,FALSE)=1,2,1))),5)+0.2*IF(VLOOKUP(F$4,Countries!$B$2:$AN$55,24,FALSE)&gt;=50,5,IF(VLOOKUP(F$4,Countries!$B$2:$AN$55,24,FALSE)&gt;=25,4,IF(VLOOKUP(F$4,Countries!$B$2:$AN$55,24,FALSE)&gt;=10,3,IF(VLOOKUP(F$4,Countries!$B$2:$AN$55,24,FALSE)&gt;=5,2,1)))))),0)</f>
        <v>4</v>
      </c>
      <c r="AO15" s="62" t="str">
        <f>IFERROR(INDEX(Endemicity!$C$2:$BN$55,MATCH(F$4,Endemicity!$B$2:$B$55,0),MATCH($A15,Endemicity!$C$1:$BN$1,0)),"Sporadic")</f>
        <v>Sporadic</v>
      </c>
      <c r="AP15" s="62">
        <f>IF(Settings!$B$48="ON",IFERROR(MATCH($AO15,Settings!$B$35:$F$35,0),5),5)</f>
        <v>2</v>
      </c>
      <c r="AQ15" s="62">
        <f>ROUND(MIN(5,IF(Pathogens!I12&gt;=500,5,IF(Pathogens!I12&gt;=200,4,IF(Pathogens!I12&gt;=50,3,IF(Pathogens!I12&gt;=10,2,1))))*0.5+IF(Pathogens!J12&gt;=30,5,IF(Pathogens!J12&gt;=10,4,IF(Pathogens!J12&gt;=3,3,IF(Pathogens!J12&gt;=1,2,1))))*0.4+IF(AND(VLOOKUP(G$4,Countries!$B$2:$AN$55,4,FALSE)&gt;=80,Pathogens!N12&gt;=0.5),1,0)*0.1+IF(VLOOKUP(G$4,Countries!$B$2:$AN$55,7,FALSE)&lt;50,0.3,0)),0)</f>
        <v>3</v>
      </c>
      <c r="AR15" s="62">
        <f>ROUND(MIN(5,IF(Pathogens!K12&gt;=8,5,IF(Pathogens!K12&gt;=5,4,IF(Pathogens!K12&gt;=3,3,IF(Pathogens!K12&gt;=1,2,1))))*0.5+IF(Pathogens!L12&gt;=5,5,IF(Pathogens!L12&gt;=3,4,IF(Pathogens!L12&gt;=2,3,IF(Pathogens!L12&gt;=1.2,2,1))))*0.3+IF(Pathogens!M12=1,2,0)*0.2+IF(VLOOKUP(G$4,Countries!$B$2:$AN$55,12,FALSE)&gt;=2,0.5,0)),0)</f>
        <v>4</v>
      </c>
      <c r="AS15" s="62">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c r="AT15" s="62">
        <f>ROUND(MAX(1,MIN(5,(6-VLOOKUP(G$4,Countries!$B$2:$AN$55,10,FALSE))*0.5+(6-VLOOKUP(G$4,Countries!$B$2:$AN$55,11,FALSE))*0.4+(IF(AND(Pathogens!N12&gt;=0.5,VLOOKUP(G$4,Countries!$B$2:$AN$55,5,FALSE)&lt;60),5,IF(Pathogens!N12&gt;=0.5,4,IF(Pathogens!N12&gt;=0.3,3,IF(Pathogens!N12&gt;=0.1,2,1)))))*0.1)),0)</f>
        <v>2</v>
      </c>
      <c r="AU15" s="62">
        <f>IF(ISNUMBER(SEARCH("Vaccine-preventable",Pathogens!C12)),2,IF(ISNUMBER(SEARCH("AMR",Pathogens!C12)),5,IF(ISNUMBER(SEARCH("VHF",Pathogens!C12)),4,IF(ISNUMBER(SEARCH("Emerging",Pathogens!C12)),5,IF(ISNUMBER(SEARCH("Mycobacterial",Pathogens!C12)),3,IF(ISNUMBER(SEARCH("Helminth",Pathogens!C12)),3,IF(ISNUMBER(SEARCH("Respiratory",Pathogens!C12)),4,3)))))))</f>
        <v>4</v>
      </c>
      <c r="AV15" s="62">
        <f>IF(ISNUMBER(SEARCH("AMR",Pathogens!C12)),5,IF(ISNUMBER(SEARCH("Mycobacterial",Pathogens!C12)),4,IF(ISNUMBER(SEARCH("Enteric bacterial",Pathogens!C12)),3,IF(ISNUMBER(SEARCH("Bacterial",Pathogens!C12)),3,1))))</f>
        <v>1</v>
      </c>
      <c r="AW1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5" s="62">
        <f>(6-Pathogens!X12)</f>
        <v>2</v>
      </c>
      <c r="AY15" s="62">
        <f>ROUND(MIN(5,MAX(1,0.35*IF(Pathogens!R12=1,5,IF(Pathogens!R12=2,3,1))+0.2*IF(Pathogens!S12=1,5,IF(Pathogens!S12=2,3,1))+0.25*IF(Pathogens!W12=1,IF(VLOOKUP(G$4,Countries!$B$2:$AN$55,38,FALSE)&gt;=3,5,IF(VLOOKUP(G$4,Countries!$B$2:$AN$55,38,FALSE)=2,4,IF(VLOOKUP(G$4,Countries!$B$2:$AN$55,38,FALSE)=1,2,1))),5)+0.2*IF(VLOOKUP(G$4,Countries!$B$2:$AN$55,24,FALSE)&gt;=50,5,IF(VLOOKUP(G$4,Countries!$B$2:$AN$55,24,FALSE)&gt;=25,4,IF(VLOOKUP(G$4,Countries!$B$2:$AN$55,24,FALSE)&gt;=10,3,IF(VLOOKUP(G$4,Countries!$B$2:$AN$55,24,FALSE)&gt;=5,2,1)))))),0)</f>
        <v>4</v>
      </c>
      <c r="AZ15" s="62" t="str">
        <f>IFERROR(INDEX(Endemicity!$C$2:$BN$55,MATCH(G$4,Endemicity!$B$2:$B$55,0),MATCH($A15,Endemicity!$C$1:$BN$1,0)),"Sporadic")</f>
        <v>Endemic</v>
      </c>
      <c r="BA15" s="62">
        <f>IF(Settings!$B$48="ON",IFERROR(MATCH($AZ15,Settings!$B$35:$F$35,0),5),5)</f>
        <v>1</v>
      </c>
    </row>
    <row r="16" customHeight="1" spans="1:53">
      <c r="A16" s="61" t="str">
        <f>Calculator!A45</f>
        <v>MARV</v>
      </c>
      <c r="B16" s="61" t="str">
        <f>Calculator!B45</f>
        <v>Marburg virus</v>
      </c>
      <c r="C16" s="61" t="str">
        <f>Calculator!C45</f>
        <v>VHF/zoonotic</v>
      </c>
      <c r="D16" s="52">
        <f>IFERROR(ROUND(MIN(100,(($J16)*Settings!$C$23*INDEX(Settings!$B$36:$F$44,1,$T16)+($K16)*Settings!$C$24*INDEX(Settings!$B$36:$F$44,2,$T16)+($L16)*Settings!$C$25*INDEX(Settings!$B$36:$F$44,3,$T16)+($M16)*Settings!$C$26*INDEX(Settings!$B$36:$F$44,4,$T16)+($N16)*Settings!$C$27*INDEX(Settings!$B$36:$F$44,5,$T16)+($O16)*Settings!$C$28*INDEX(Settings!$B$36:$F$44,6,$T16)+($P16)*Settings!$C$29*INDEX(Settings!$B$36:$F$44,7,$T16)+($Q16)*Settings!$C$30*INDEX(Settings!$B$36:$F$44,8,$T16)+($R16)*Settings!$C$31*INDEX(Settings!$B$36:$F$44,9,$T16))/INDEX(Settings!$B$45:$F$45,1,$T16)/5*100*IF($S16="Not present",Settings!$B$51,1)),1),"")</f>
        <v>61.1</v>
      </c>
      <c r="E16" s="52">
        <f>IFERROR(ROUND(MIN(100,(($U16)*Settings!$C$23*INDEX(Settings!$B$36:$F$44,1,$AE16)+($V16)*Settings!$C$24*INDEX(Settings!$B$36:$F$44,2,$AE16)+($W16)*Settings!$C$25*INDEX(Settings!$B$36:$F$44,3,$AE16)+($X16)*Settings!$C$26*INDEX(Settings!$B$36:$F$44,4,$AE16)+($Y16)*Settings!$C$27*INDEX(Settings!$B$36:$F$44,5,$AE16)+($Z16)*Settings!$C$28*INDEX(Settings!$B$36:$F$44,6,$AE16)+($AA16)*Settings!$C$29*INDEX(Settings!$B$36:$F$44,7,$AE16)+($AB16)*Settings!$C$30*INDEX(Settings!$B$36:$F$44,8,$AE16)+($AC16)*Settings!$C$31*INDEX(Settings!$B$36:$F$44,9,$AE16))/INDEX(Settings!$B$45:$F$45,1,$AE16)/5*100*IF($AD16="Not present",Settings!$B$51,1)),1),"")</f>
        <v>66.1</v>
      </c>
      <c r="F16" s="52">
        <f>IFERROR(ROUND(MIN(100,(($AF16)*Settings!$C$23*INDEX(Settings!$B$36:$F$44,1,$AP16)+($AG16)*Settings!$C$24*INDEX(Settings!$B$36:$F$44,2,$AP16)+($AH16)*Settings!$C$25*INDEX(Settings!$B$36:$F$44,3,$AP16)+($AI16)*Settings!$C$26*INDEX(Settings!$B$36:$F$44,4,$AP16)+($AJ16)*Settings!$C$27*INDEX(Settings!$B$36:$F$44,5,$AP16)+($AK16)*Settings!$C$28*INDEX(Settings!$B$36:$F$44,6,$AP16)+($AL16)*Settings!$C$29*INDEX(Settings!$B$36:$F$44,7,$AP16)+($AM16)*Settings!$C$30*INDEX(Settings!$B$36:$F$44,8,$AP16)+($AN16)*Settings!$C$31*INDEX(Settings!$B$36:$F$44,9,$AP16))/INDEX(Settings!$B$45:$F$45,1,$AP16)/5*100*IF($AO16="Not present",Settings!$B$51,1)),1),"")</f>
        <v>61.1</v>
      </c>
      <c r="G16" s="52">
        <f>IFERROR(ROUND(MIN(100,(($AQ16)*Settings!$C$23*INDEX(Settings!$B$36:$F$44,1,$BA16)+($AR16)*Settings!$C$24*INDEX(Settings!$B$36:$F$44,2,$BA16)+($AS16)*Settings!$C$25*INDEX(Settings!$B$36:$F$44,3,$BA16)+($AT16)*Settings!$C$26*INDEX(Settings!$B$36:$F$44,4,$BA16)+($AU16)*Settings!$C$27*INDEX(Settings!$B$36:$F$44,5,$BA16)+($AV16)*Settings!$C$28*INDEX(Settings!$B$36:$F$44,6,$BA16)+($AW16)*Settings!$C$29*INDEX(Settings!$B$36:$F$44,7,$BA16)+($AX16)*Settings!$C$30*INDEX(Settings!$B$36:$F$44,8,$BA16)+($AY16)*Settings!$C$31*INDEX(Settings!$B$36:$F$44,9,$BA16))/INDEX(Settings!$B$45:$F$45,1,$BA16)/5*100*IF($AZ16="Not present",Settings!$B$51,1)),1),"")</f>
        <v>62.5</v>
      </c>
      <c r="J16" s="62">
        <f>ROUND(MIN(5,IF(Pathogens!I13&gt;=500,5,IF(Pathogens!I13&gt;=200,4,IF(Pathogens!I13&gt;=50,3,IF(Pathogens!I13&gt;=10,2,1))))*0.5+IF(Pathogens!J13&gt;=30,5,IF(Pathogens!J13&gt;=10,4,IF(Pathogens!J13&gt;=3,3,IF(Pathogens!J13&gt;=1,2,1))))*0.4+IF(AND(VLOOKUP(D$4,Countries!$B$2:$AN$55,4,FALSE)&gt;=80,Pathogens!N13&gt;=0.5),1,0)*0.1+IF(VLOOKUP(D$4,Countries!$B$2:$AN$55,7,FALSE)&lt;50,0.3,0)),0)</f>
        <v>3</v>
      </c>
      <c r="K16" s="62">
        <f>ROUND(MIN(5,IF(Pathogens!K13&gt;=8,5,IF(Pathogens!K13&gt;=5,4,IF(Pathogens!K13&gt;=3,3,IF(Pathogens!K13&gt;=1,2,1))))*0.5+IF(Pathogens!L13&gt;=5,5,IF(Pathogens!L13&gt;=3,4,IF(Pathogens!L13&gt;=2,3,IF(Pathogens!L13&gt;=1.2,2,1))))*0.3+IF(Pathogens!M13=1,2,0)*0.2+IF(VLOOKUP(D$4,Countries!$B$2:$AN$55,12,FALSE)&gt;=2,0.5,0)),0)</f>
        <v>3</v>
      </c>
      <c r="L16" s="62">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c r="M16" s="62">
        <f>ROUND(MAX(1,MIN(5,(6-VLOOKUP(D$4,Countries!$B$2:$AN$55,10,FALSE))*0.5+(6-VLOOKUP(D$4,Countries!$B$2:$AN$55,11,FALSE))*0.4+(IF(AND(Pathogens!N13&gt;=0.5,VLOOKUP(D$4,Countries!$B$2:$AN$55,5,FALSE)&lt;60),5,IF(Pathogens!N13&gt;=0.5,4,IF(Pathogens!N13&gt;=0.3,3,IF(Pathogens!N13&gt;=0.1,2,1)))))*0.1)),0)</f>
        <v>2</v>
      </c>
      <c r="N16" s="62">
        <f>IF(ISNUMBER(SEARCH("Vaccine-preventable",Pathogens!C13)),2,IF(ISNUMBER(SEARCH("AMR",Pathogens!C13)),5,IF(ISNUMBER(SEARCH("VHF",Pathogens!C13)),4,IF(ISNUMBER(SEARCH("Emerging",Pathogens!C13)),5,IF(ISNUMBER(SEARCH("Mycobacterial",Pathogens!C13)),3,IF(ISNUMBER(SEARCH("Helminth",Pathogens!C13)),3,IF(ISNUMBER(SEARCH("Respiratory",Pathogens!C13)),4,3)))))))</f>
        <v>4</v>
      </c>
      <c r="O16" s="62">
        <f>IF(ISNUMBER(SEARCH("AMR",Pathogens!C13)),5,IF(ISNUMBER(SEARCH("Mycobacterial",Pathogens!C13)),4,IF(ISNUMBER(SEARCH("Enteric bacterial",Pathogens!C13)),3,IF(ISNUMBER(SEARCH("Bacterial",Pathogens!C13)),3,1))))</f>
        <v>1</v>
      </c>
      <c r="P1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6" s="62">
        <f>(6-Pathogens!X13)</f>
        <v>2</v>
      </c>
      <c r="R16" s="62">
        <f>ROUND(MIN(5,MAX(1,0.35*IF(Pathogens!R13=1,5,IF(Pathogens!R13=2,3,1))+0.2*IF(Pathogens!S13=1,5,IF(Pathogens!S13=2,3,1))+0.25*IF(Pathogens!W13=1,IF(VLOOKUP(D$4,Countries!$B$2:$AN$55,38,FALSE)&gt;=3,5,IF(VLOOKUP(D$4,Countries!$B$2:$AN$55,38,FALSE)=2,4,IF(VLOOKUP(D$4,Countries!$B$2:$AN$55,38,FALSE)=1,2,1))),5)+0.2*IF(VLOOKUP(D$4,Countries!$B$2:$AN$55,24,FALSE)&gt;=50,5,IF(VLOOKUP(D$4,Countries!$B$2:$AN$55,24,FALSE)&gt;=25,4,IF(VLOOKUP(D$4,Countries!$B$2:$AN$55,24,FALSE)&gt;=10,3,IF(VLOOKUP(D$4,Countries!$B$2:$AN$55,24,FALSE)&gt;=5,2,1)))))),0)</f>
        <v>3</v>
      </c>
      <c r="S16" s="62" t="str">
        <f>IFERROR(INDEX(Endemicity!$C$2:$BN$55,MATCH(D$4,Endemicity!$B$2:$B$55,0),MATCH($A16,Endemicity!$C$1:$BN$1,0)),"Sporadic")</f>
        <v>Sporadic</v>
      </c>
      <c r="T16" s="62">
        <f>IF(Settings!$B$48="ON",IFERROR(MATCH($S16,Settings!$B$35:$F$35,0),5),5)</f>
        <v>2</v>
      </c>
      <c r="U16" s="62">
        <f>ROUND(MIN(5,IF(Pathogens!I13&gt;=500,5,IF(Pathogens!I13&gt;=200,4,IF(Pathogens!I13&gt;=50,3,IF(Pathogens!I13&gt;=10,2,1))))*0.5+IF(Pathogens!J13&gt;=30,5,IF(Pathogens!J13&gt;=10,4,IF(Pathogens!J13&gt;=3,3,IF(Pathogens!J13&gt;=1,2,1))))*0.4+IF(AND(VLOOKUP(E$4,Countries!$B$2:$AN$55,4,FALSE)&gt;=80,Pathogens!N13&gt;=0.5),1,0)*0.1+IF(VLOOKUP(E$4,Countries!$B$2:$AN$55,7,FALSE)&lt;50,0.3,0)),0)</f>
        <v>3</v>
      </c>
      <c r="V16" s="62">
        <f>ROUND(MIN(5,IF(Pathogens!K13&gt;=8,5,IF(Pathogens!K13&gt;=5,4,IF(Pathogens!K13&gt;=3,3,IF(Pathogens!K13&gt;=1,2,1))))*0.5+IF(Pathogens!L13&gt;=5,5,IF(Pathogens!L13&gt;=3,4,IF(Pathogens!L13&gt;=2,3,IF(Pathogens!L13&gt;=1.2,2,1))))*0.3+IF(Pathogens!M13=1,2,0)*0.2+IF(VLOOKUP(E$4,Countries!$B$2:$AN$55,12,FALSE)&gt;=2,0.5,0)),0)</f>
        <v>3</v>
      </c>
      <c r="W16" s="62">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c r="X16" s="62">
        <f>ROUND(MAX(1,MIN(5,(6-VLOOKUP(E$4,Countries!$B$2:$AN$55,10,FALSE))*0.5+(6-VLOOKUP(E$4,Countries!$B$2:$AN$55,11,FALSE))*0.4+(IF(AND(Pathogens!N13&gt;=0.5,VLOOKUP(E$4,Countries!$B$2:$AN$55,5,FALSE)&lt;60),5,IF(Pathogens!N13&gt;=0.5,4,IF(Pathogens!N13&gt;=0.3,3,IF(Pathogens!N13&gt;=0.1,2,1)))))*0.1)),0)</f>
        <v>3</v>
      </c>
      <c r="Y16" s="62">
        <f>IF(ISNUMBER(SEARCH("Vaccine-preventable",Pathogens!C13)),2,IF(ISNUMBER(SEARCH("AMR",Pathogens!C13)),5,IF(ISNUMBER(SEARCH("VHF",Pathogens!C13)),4,IF(ISNUMBER(SEARCH("Emerging",Pathogens!C13)),5,IF(ISNUMBER(SEARCH("Mycobacterial",Pathogens!C13)),3,IF(ISNUMBER(SEARCH("Helminth",Pathogens!C13)),3,IF(ISNUMBER(SEARCH("Respiratory",Pathogens!C13)),4,3)))))))</f>
        <v>4</v>
      </c>
      <c r="Z16" s="62">
        <f>IF(ISNUMBER(SEARCH("AMR",Pathogens!C13)),5,IF(ISNUMBER(SEARCH("Mycobacterial",Pathogens!C13)),4,IF(ISNUMBER(SEARCH("Enteric bacterial",Pathogens!C13)),3,IF(ISNUMBER(SEARCH("Bacterial",Pathogens!C13)),3,1))))</f>
        <v>1</v>
      </c>
      <c r="AA1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6" s="62">
        <f>(6-Pathogens!X13)</f>
        <v>2</v>
      </c>
      <c r="AC16" s="62">
        <f>ROUND(MIN(5,MAX(1,0.35*IF(Pathogens!R13=1,5,IF(Pathogens!R13=2,3,1))+0.2*IF(Pathogens!S13=1,5,IF(Pathogens!S13=2,3,1))+0.25*IF(Pathogens!W13=1,IF(VLOOKUP(E$4,Countries!$B$2:$AN$55,38,FALSE)&gt;=3,5,IF(VLOOKUP(E$4,Countries!$B$2:$AN$55,38,FALSE)=2,4,IF(VLOOKUP(E$4,Countries!$B$2:$AN$55,38,FALSE)=1,2,1))),5)+0.2*IF(VLOOKUP(E$4,Countries!$B$2:$AN$55,24,FALSE)&gt;=50,5,IF(VLOOKUP(E$4,Countries!$B$2:$AN$55,24,FALSE)&gt;=25,4,IF(VLOOKUP(E$4,Countries!$B$2:$AN$55,24,FALSE)&gt;=10,3,IF(VLOOKUP(E$4,Countries!$B$2:$AN$55,24,FALSE)&gt;=5,2,1)))))),0)</f>
        <v>3</v>
      </c>
      <c r="AD16" s="62" t="str">
        <f>IFERROR(INDEX(Endemicity!$C$2:$BN$55,MATCH(E$4,Endemicity!$B$2:$B$55,0),MATCH($A16,Endemicity!$C$1:$BN$1,0)),"Sporadic")</f>
        <v>Sporadic</v>
      </c>
      <c r="AE16" s="62">
        <f>IF(Settings!$B$48="ON",IFERROR(MATCH($AD16,Settings!$B$35:$F$35,0),5),5)</f>
        <v>2</v>
      </c>
      <c r="AF16" s="62">
        <f>ROUND(MIN(5,IF(Pathogens!I13&gt;=500,5,IF(Pathogens!I13&gt;=200,4,IF(Pathogens!I13&gt;=50,3,IF(Pathogens!I13&gt;=10,2,1))))*0.5+IF(Pathogens!J13&gt;=30,5,IF(Pathogens!J13&gt;=10,4,IF(Pathogens!J13&gt;=3,3,IF(Pathogens!J13&gt;=1,2,1))))*0.4+IF(AND(VLOOKUP(F$4,Countries!$B$2:$AN$55,4,FALSE)&gt;=80,Pathogens!N13&gt;=0.5),1,0)*0.1+IF(VLOOKUP(F$4,Countries!$B$2:$AN$55,7,FALSE)&lt;50,0.3,0)),0)</f>
        <v>3</v>
      </c>
      <c r="AG16" s="62">
        <f>ROUND(MIN(5,IF(Pathogens!K13&gt;=8,5,IF(Pathogens!K13&gt;=5,4,IF(Pathogens!K13&gt;=3,3,IF(Pathogens!K13&gt;=1,2,1))))*0.5+IF(Pathogens!L13&gt;=5,5,IF(Pathogens!L13&gt;=3,4,IF(Pathogens!L13&gt;=2,3,IF(Pathogens!L13&gt;=1.2,2,1))))*0.3+IF(Pathogens!M13=1,2,0)*0.2+IF(VLOOKUP(F$4,Countries!$B$2:$AN$55,12,FALSE)&gt;=2,0.5,0)),0)</f>
        <v>3</v>
      </c>
      <c r="AH16" s="62">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c r="AI16" s="62">
        <f>ROUND(MAX(1,MIN(5,(6-VLOOKUP(F$4,Countries!$B$2:$AN$55,10,FALSE))*0.5+(6-VLOOKUP(F$4,Countries!$B$2:$AN$55,11,FALSE))*0.4+(IF(AND(Pathogens!N13&gt;=0.5,VLOOKUP(F$4,Countries!$B$2:$AN$55,5,FALSE)&lt;60),5,IF(Pathogens!N13&gt;=0.5,4,IF(Pathogens!N13&gt;=0.3,3,IF(Pathogens!N13&gt;=0.1,2,1)))))*0.1)),0)</f>
        <v>2</v>
      </c>
      <c r="AJ16" s="62">
        <f>IF(ISNUMBER(SEARCH("Vaccine-preventable",Pathogens!C13)),2,IF(ISNUMBER(SEARCH("AMR",Pathogens!C13)),5,IF(ISNUMBER(SEARCH("VHF",Pathogens!C13)),4,IF(ISNUMBER(SEARCH("Emerging",Pathogens!C13)),5,IF(ISNUMBER(SEARCH("Mycobacterial",Pathogens!C13)),3,IF(ISNUMBER(SEARCH("Helminth",Pathogens!C13)),3,IF(ISNUMBER(SEARCH("Respiratory",Pathogens!C13)),4,3)))))))</f>
        <v>4</v>
      </c>
      <c r="AK16" s="62">
        <f>IF(ISNUMBER(SEARCH("AMR",Pathogens!C13)),5,IF(ISNUMBER(SEARCH("Mycobacterial",Pathogens!C13)),4,IF(ISNUMBER(SEARCH("Enteric bacterial",Pathogens!C13)),3,IF(ISNUMBER(SEARCH("Bacterial",Pathogens!C13)),3,1))))</f>
        <v>1</v>
      </c>
      <c r="AL1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6" s="62">
        <f>(6-Pathogens!X13)</f>
        <v>2</v>
      </c>
      <c r="AN16" s="62">
        <f>ROUND(MIN(5,MAX(1,0.35*IF(Pathogens!R13=1,5,IF(Pathogens!R13=2,3,1))+0.2*IF(Pathogens!S13=1,5,IF(Pathogens!S13=2,3,1))+0.25*IF(Pathogens!W13=1,IF(VLOOKUP(F$4,Countries!$B$2:$AN$55,38,FALSE)&gt;=3,5,IF(VLOOKUP(F$4,Countries!$B$2:$AN$55,38,FALSE)=2,4,IF(VLOOKUP(F$4,Countries!$B$2:$AN$55,38,FALSE)=1,2,1))),5)+0.2*IF(VLOOKUP(F$4,Countries!$B$2:$AN$55,24,FALSE)&gt;=50,5,IF(VLOOKUP(F$4,Countries!$B$2:$AN$55,24,FALSE)&gt;=25,4,IF(VLOOKUP(F$4,Countries!$B$2:$AN$55,24,FALSE)&gt;=10,3,IF(VLOOKUP(F$4,Countries!$B$2:$AN$55,24,FALSE)&gt;=5,2,1)))))),0)</f>
        <v>3</v>
      </c>
      <c r="AO16" s="62" t="str">
        <f>IFERROR(INDEX(Endemicity!$C$2:$BN$55,MATCH(F$4,Endemicity!$B$2:$B$55,0),MATCH($A16,Endemicity!$C$1:$BN$1,0)),"Sporadic")</f>
        <v>Sporadic</v>
      </c>
      <c r="AP16" s="62">
        <f>IF(Settings!$B$48="ON",IFERROR(MATCH($AO16,Settings!$B$35:$F$35,0),5),5)</f>
        <v>2</v>
      </c>
      <c r="AQ16" s="62">
        <f>ROUND(MIN(5,IF(Pathogens!I13&gt;=500,5,IF(Pathogens!I13&gt;=200,4,IF(Pathogens!I13&gt;=50,3,IF(Pathogens!I13&gt;=10,2,1))))*0.5+IF(Pathogens!J13&gt;=30,5,IF(Pathogens!J13&gt;=10,4,IF(Pathogens!J13&gt;=3,3,IF(Pathogens!J13&gt;=1,2,1))))*0.4+IF(AND(VLOOKUP(G$4,Countries!$B$2:$AN$55,4,FALSE)&gt;=80,Pathogens!N13&gt;=0.5),1,0)*0.1+IF(VLOOKUP(G$4,Countries!$B$2:$AN$55,7,FALSE)&lt;50,0.3,0)),0)</f>
        <v>3</v>
      </c>
      <c r="AR16" s="62">
        <f>ROUND(MIN(5,IF(Pathogens!K13&gt;=8,5,IF(Pathogens!K13&gt;=5,4,IF(Pathogens!K13&gt;=3,3,IF(Pathogens!K13&gt;=1,2,1))))*0.5+IF(Pathogens!L13&gt;=5,5,IF(Pathogens!L13&gt;=3,4,IF(Pathogens!L13&gt;=2,3,IF(Pathogens!L13&gt;=1.2,2,1))))*0.3+IF(Pathogens!M13=1,2,0)*0.2+IF(VLOOKUP(G$4,Countries!$B$2:$AN$55,12,FALSE)&gt;=2,0.5,0)),0)</f>
        <v>3</v>
      </c>
      <c r="AS16" s="62">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c r="AT16" s="62">
        <f>ROUND(MAX(1,MIN(5,(6-VLOOKUP(G$4,Countries!$B$2:$AN$55,10,FALSE))*0.5+(6-VLOOKUP(G$4,Countries!$B$2:$AN$55,11,FALSE))*0.4+(IF(AND(Pathogens!N13&gt;=0.5,VLOOKUP(G$4,Countries!$B$2:$AN$55,5,FALSE)&lt;60),5,IF(Pathogens!N13&gt;=0.5,4,IF(Pathogens!N13&gt;=0.3,3,IF(Pathogens!N13&gt;=0.1,2,1)))))*0.1)),0)</f>
        <v>2</v>
      </c>
      <c r="AU16" s="62">
        <f>IF(ISNUMBER(SEARCH("Vaccine-preventable",Pathogens!C13)),2,IF(ISNUMBER(SEARCH("AMR",Pathogens!C13)),5,IF(ISNUMBER(SEARCH("VHF",Pathogens!C13)),4,IF(ISNUMBER(SEARCH("Emerging",Pathogens!C13)),5,IF(ISNUMBER(SEARCH("Mycobacterial",Pathogens!C13)),3,IF(ISNUMBER(SEARCH("Helminth",Pathogens!C13)),3,IF(ISNUMBER(SEARCH("Respiratory",Pathogens!C13)),4,3)))))))</f>
        <v>4</v>
      </c>
      <c r="AV16" s="62">
        <f>IF(ISNUMBER(SEARCH("AMR",Pathogens!C13)),5,IF(ISNUMBER(SEARCH("Mycobacterial",Pathogens!C13)),4,IF(ISNUMBER(SEARCH("Enteric bacterial",Pathogens!C13)),3,IF(ISNUMBER(SEARCH("Bacterial",Pathogens!C13)),3,1))))</f>
        <v>1</v>
      </c>
      <c r="AW1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6" s="62">
        <f>(6-Pathogens!X13)</f>
        <v>2</v>
      </c>
      <c r="AY16" s="62">
        <f>ROUND(MIN(5,MAX(1,0.35*IF(Pathogens!R13=1,5,IF(Pathogens!R13=2,3,1))+0.2*IF(Pathogens!S13=1,5,IF(Pathogens!S13=2,3,1))+0.25*IF(Pathogens!W13=1,IF(VLOOKUP(G$4,Countries!$B$2:$AN$55,38,FALSE)&gt;=3,5,IF(VLOOKUP(G$4,Countries!$B$2:$AN$55,38,FALSE)=2,4,IF(VLOOKUP(G$4,Countries!$B$2:$AN$55,38,FALSE)=1,2,1))),5)+0.2*IF(VLOOKUP(G$4,Countries!$B$2:$AN$55,24,FALSE)&gt;=50,5,IF(VLOOKUP(G$4,Countries!$B$2:$AN$55,24,FALSE)&gt;=25,4,IF(VLOOKUP(G$4,Countries!$B$2:$AN$55,24,FALSE)&gt;=10,3,IF(VLOOKUP(G$4,Countries!$B$2:$AN$55,24,FALSE)&gt;=5,2,1)))))),0)</f>
        <v>3</v>
      </c>
      <c r="AZ16" s="62" t="str">
        <f>IFERROR(INDEX(Endemicity!$C$2:$BN$55,MATCH(G$4,Endemicity!$B$2:$B$55,0),MATCH($A16,Endemicity!$C$1:$BN$1,0)),"Sporadic")</f>
        <v>Sporadic</v>
      </c>
      <c r="BA16" s="62">
        <f>IF(Settings!$B$48="ON",IFERROR(MATCH($AZ16,Settings!$B$35:$F$35,0),5),5)</f>
        <v>2</v>
      </c>
    </row>
    <row r="17" customHeight="1" spans="1:53">
      <c r="A17" s="61" t="str">
        <f>Calculator!A46</f>
        <v>LASV</v>
      </c>
      <c r="B17" s="61" t="str">
        <f>Calculator!B46</f>
        <v>Lassa virus</v>
      </c>
      <c r="C17" s="61" t="str">
        <f>Calculator!C46</f>
        <v>VHF/zoonotic</v>
      </c>
      <c r="D17" s="52">
        <f>IFERROR(ROUND(MIN(100,(($J17)*Settings!$C$23*INDEX(Settings!$B$36:$F$44,1,$T17)+($K17)*Settings!$C$24*INDEX(Settings!$B$36:$F$44,2,$T17)+($L17)*Settings!$C$25*INDEX(Settings!$B$36:$F$44,3,$T17)+($M17)*Settings!$C$26*INDEX(Settings!$B$36:$F$44,4,$T17)+($N17)*Settings!$C$27*INDEX(Settings!$B$36:$F$44,5,$T17)+($O17)*Settings!$C$28*INDEX(Settings!$B$36:$F$44,6,$T17)+($P17)*Settings!$C$29*INDEX(Settings!$B$36:$F$44,7,$T17)+($Q17)*Settings!$C$30*INDEX(Settings!$B$36:$F$44,8,$T17)+($R17)*Settings!$C$31*INDEX(Settings!$B$36:$F$44,9,$T17))/INDEX(Settings!$B$45:$F$45,1,$T17)/5*100*IF($S17="Not present",Settings!$B$51,1)),1),"")</f>
        <v>69.5</v>
      </c>
      <c r="E17" s="52">
        <f>IFERROR(ROUND(MIN(100,(($U17)*Settings!$C$23*INDEX(Settings!$B$36:$F$44,1,$AE17)+($V17)*Settings!$C$24*INDEX(Settings!$B$36:$F$44,2,$AE17)+($W17)*Settings!$C$25*INDEX(Settings!$B$36:$F$44,3,$AE17)+($X17)*Settings!$C$26*INDEX(Settings!$B$36:$F$44,4,$AE17)+($Y17)*Settings!$C$27*INDEX(Settings!$B$36:$F$44,5,$AE17)+($Z17)*Settings!$C$28*INDEX(Settings!$B$36:$F$44,6,$AE17)+($AA17)*Settings!$C$29*INDEX(Settings!$B$36:$F$44,7,$AE17)+($AB17)*Settings!$C$30*INDEX(Settings!$B$36:$F$44,8,$AE17)+($AC17)*Settings!$C$31*INDEX(Settings!$B$36:$F$44,9,$AE17))/INDEX(Settings!$B$45:$F$45,1,$AE17)/5*100*IF($AD17="Not present",Settings!$B$51,1)),1),"")</f>
        <v>74.8</v>
      </c>
      <c r="F17" s="52">
        <f>IFERROR(ROUND(MIN(100,(($AF17)*Settings!$C$23*INDEX(Settings!$B$36:$F$44,1,$AP17)+($AG17)*Settings!$C$24*INDEX(Settings!$B$36:$F$44,2,$AP17)+($AH17)*Settings!$C$25*INDEX(Settings!$B$36:$F$44,3,$AP17)+($AI17)*Settings!$C$26*INDEX(Settings!$B$36:$F$44,4,$AP17)+($AJ17)*Settings!$C$27*INDEX(Settings!$B$36:$F$44,5,$AP17)+($AK17)*Settings!$C$28*INDEX(Settings!$B$36:$F$44,6,$AP17)+($AL17)*Settings!$C$29*INDEX(Settings!$B$36:$F$44,7,$AP17)+($AM17)*Settings!$C$30*INDEX(Settings!$B$36:$F$44,8,$AP17)+($AN17)*Settings!$C$31*INDEX(Settings!$B$36:$F$44,9,$AP17))/INDEX(Settings!$B$45:$F$45,1,$AP17)/5*100*IF($AO17="Not present",Settings!$B$51,1)),1),"")</f>
        <v>69.5</v>
      </c>
      <c r="G17" s="52">
        <f>IFERROR(ROUND(MIN(100,(($AQ17)*Settings!$C$23*INDEX(Settings!$B$36:$F$44,1,$BA17)+($AR17)*Settings!$C$24*INDEX(Settings!$B$36:$F$44,2,$BA17)+($AS17)*Settings!$C$25*INDEX(Settings!$B$36:$F$44,3,$BA17)+($AT17)*Settings!$C$26*INDEX(Settings!$B$36:$F$44,4,$BA17)+($AU17)*Settings!$C$27*INDEX(Settings!$B$36:$F$44,5,$BA17)+($AV17)*Settings!$C$28*INDEX(Settings!$B$36:$F$44,6,$BA17)+($AW17)*Settings!$C$29*INDEX(Settings!$B$36:$F$44,7,$BA17)+($AX17)*Settings!$C$30*INDEX(Settings!$B$36:$F$44,8,$BA17)+($AY17)*Settings!$C$31*INDEX(Settings!$B$36:$F$44,9,$BA17))/INDEX(Settings!$B$45:$F$45,1,$BA17)/5*100*IF($AZ17="Not present",Settings!$B$51,1)),1),"")</f>
        <v>70.5</v>
      </c>
      <c r="J17" s="62">
        <f>ROUND(MIN(5,IF(Pathogens!I14&gt;=500,5,IF(Pathogens!I14&gt;=200,4,IF(Pathogens!I14&gt;=50,3,IF(Pathogens!I14&gt;=10,2,1))))*0.5+IF(Pathogens!J14&gt;=30,5,IF(Pathogens!J14&gt;=10,4,IF(Pathogens!J14&gt;=3,3,IF(Pathogens!J14&gt;=1,2,1))))*0.4+IF(AND(VLOOKUP(D$4,Countries!$B$2:$AN$55,4,FALSE)&gt;=80,Pathogens!N14&gt;=0.5),1,0)*0.1+IF(VLOOKUP(D$4,Countries!$B$2:$AN$55,7,FALSE)&lt;50,0.3,0)),0)</f>
        <v>2</v>
      </c>
      <c r="K17" s="62">
        <f>ROUND(MIN(5,IF(Pathogens!K14&gt;=8,5,IF(Pathogens!K14&gt;=5,4,IF(Pathogens!K14&gt;=3,3,IF(Pathogens!K14&gt;=1,2,1))))*0.5+IF(Pathogens!L14&gt;=5,5,IF(Pathogens!L14&gt;=3,4,IF(Pathogens!L14&gt;=2,3,IF(Pathogens!L14&gt;=1.2,2,1))))*0.3+IF(Pathogens!M14=1,2,0)*0.2+IF(VLOOKUP(D$4,Countries!$B$2:$AN$55,12,FALSE)&gt;=2,0.5,0)),0)</f>
        <v>4</v>
      </c>
      <c r="L17" s="62">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c r="M17" s="62">
        <f>ROUND(MAX(1,MIN(5,(6-VLOOKUP(D$4,Countries!$B$2:$AN$55,10,FALSE))*0.5+(6-VLOOKUP(D$4,Countries!$B$2:$AN$55,11,FALSE))*0.4+(IF(AND(Pathogens!N14&gt;=0.5,VLOOKUP(D$4,Countries!$B$2:$AN$55,5,FALSE)&lt;60),5,IF(Pathogens!N14&gt;=0.5,4,IF(Pathogens!N14&gt;=0.3,3,IF(Pathogens!N14&gt;=0.1,2,1)))))*0.1)),0)</f>
        <v>2</v>
      </c>
      <c r="N17" s="62">
        <f>IF(ISNUMBER(SEARCH("Vaccine-preventable",Pathogens!C14)),2,IF(ISNUMBER(SEARCH("AMR",Pathogens!C14)),5,IF(ISNUMBER(SEARCH("VHF",Pathogens!C14)),4,IF(ISNUMBER(SEARCH("Emerging",Pathogens!C14)),5,IF(ISNUMBER(SEARCH("Mycobacterial",Pathogens!C14)),3,IF(ISNUMBER(SEARCH("Helminth",Pathogens!C14)),3,IF(ISNUMBER(SEARCH("Respiratory",Pathogens!C14)),4,3)))))))</f>
        <v>4</v>
      </c>
      <c r="O17" s="62">
        <f>IF(ISNUMBER(SEARCH("AMR",Pathogens!C14)),5,IF(ISNUMBER(SEARCH("Mycobacterial",Pathogens!C14)),4,IF(ISNUMBER(SEARCH("Enteric bacterial",Pathogens!C14)),3,IF(ISNUMBER(SEARCH("Bacterial",Pathogens!C14)),3,1))))</f>
        <v>1</v>
      </c>
      <c r="P1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7" s="62">
        <f>(6-Pathogens!X14)</f>
        <v>3</v>
      </c>
      <c r="R17" s="62">
        <f>ROUND(MIN(5,MAX(1,0.35*IF(Pathogens!R14=1,5,IF(Pathogens!R14=2,3,1))+0.2*IF(Pathogens!S14=1,5,IF(Pathogens!S14=2,3,1))+0.25*IF(Pathogens!W14=1,IF(VLOOKUP(D$4,Countries!$B$2:$AN$55,38,FALSE)&gt;=3,5,IF(VLOOKUP(D$4,Countries!$B$2:$AN$55,38,FALSE)=2,4,IF(VLOOKUP(D$4,Countries!$B$2:$AN$55,38,FALSE)=1,2,1))),5)+0.2*IF(VLOOKUP(D$4,Countries!$B$2:$AN$55,24,FALSE)&gt;=50,5,IF(VLOOKUP(D$4,Countries!$B$2:$AN$55,24,FALSE)&gt;=25,4,IF(VLOOKUP(D$4,Countries!$B$2:$AN$55,24,FALSE)&gt;=10,3,IF(VLOOKUP(D$4,Countries!$B$2:$AN$55,24,FALSE)&gt;=5,2,1)))))),0)</f>
        <v>4</v>
      </c>
      <c r="S17" s="62" t="str">
        <f>IFERROR(INDEX(Endemicity!$C$2:$BN$55,MATCH(D$4,Endemicity!$B$2:$B$55,0),MATCH($A17,Endemicity!$C$1:$BN$1,0)),"Sporadic")</f>
        <v>Emerging</v>
      </c>
      <c r="T17" s="62">
        <f>IF(Settings!$B$48="ON",IFERROR(MATCH($S17,Settings!$B$35:$F$35,0),5),5)</f>
        <v>3</v>
      </c>
      <c r="U17" s="62">
        <f>ROUND(MIN(5,IF(Pathogens!I14&gt;=500,5,IF(Pathogens!I14&gt;=200,4,IF(Pathogens!I14&gt;=50,3,IF(Pathogens!I14&gt;=10,2,1))))*0.5+IF(Pathogens!J14&gt;=30,5,IF(Pathogens!J14&gt;=10,4,IF(Pathogens!J14&gt;=3,3,IF(Pathogens!J14&gt;=1,2,1))))*0.4+IF(AND(VLOOKUP(E$4,Countries!$B$2:$AN$55,4,FALSE)&gt;=80,Pathogens!N14&gt;=0.5),1,0)*0.1+IF(VLOOKUP(E$4,Countries!$B$2:$AN$55,7,FALSE)&lt;50,0.3,0)),0)</f>
        <v>3</v>
      </c>
      <c r="V17" s="62">
        <f>ROUND(MIN(5,IF(Pathogens!K14&gt;=8,5,IF(Pathogens!K14&gt;=5,4,IF(Pathogens!K14&gt;=3,3,IF(Pathogens!K14&gt;=1,2,1))))*0.5+IF(Pathogens!L14&gt;=5,5,IF(Pathogens!L14&gt;=3,4,IF(Pathogens!L14&gt;=2,3,IF(Pathogens!L14&gt;=1.2,2,1))))*0.3+IF(Pathogens!M14=1,2,0)*0.2+IF(VLOOKUP(E$4,Countries!$B$2:$AN$55,12,FALSE)&gt;=2,0.5,0)),0)</f>
        <v>4</v>
      </c>
      <c r="W17" s="62">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c r="X17" s="62">
        <f>ROUND(MAX(1,MIN(5,(6-VLOOKUP(E$4,Countries!$B$2:$AN$55,10,FALSE))*0.5+(6-VLOOKUP(E$4,Countries!$B$2:$AN$55,11,FALSE))*0.4+(IF(AND(Pathogens!N14&gt;=0.5,VLOOKUP(E$4,Countries!$B$2:$AN$55,5,FALSE)&lt;60),5,IF(Pathogens!N14&gt;=0.5,4,IF(Pathogens!N14&gt;=0.3,3,IF(Pathogens!N14&gt;=0.1,2,1)))))*0.1)),0)</f>
        <v>3</v>
      </c>
      <c r="Y17" s="62">
        <f>IF(ISNUMBER(SEARCH("Vaccine-preventable",Pathogens!C14)),2,IF(ISNUMBER(SEARCH("AMR",Pathogens!C14)),5,IF(ISNUMBER(SEARCH("VHF",Pathogens!C14)),4,IF(ISNUMBER(SEARCH("Emerging",Pathogens!C14)),5,IF(ISNUMBER(SEARCH("Mycobacterial",Pathogens!C14)),3,IF(ISNUMBER(SEARCH("Helminth",Pathogens!C14)),3,IF(ISNUMBER(SEARCH("Respiratory",Pathogens!C14)),4,3)))))))</f>
        <v>4</v>
      </c>
      <c r="Z17" s="62">
        <f>IF(ISNUMBER(SEARCH("AMR",Pathogens!C14)),5,IF(ISNUMBER(SEARCH("Mycobacterial",Pathogens!C14)),4,IF(ISNUMBER(SEARCH("Enteric bacterial",Pathogens!C14)),3,IF(ISNUMBER(SEARCH("Bacterial",Pathogens!C14)),3,1))))</f>
        <v>1</v>
      </c>
      <c r="AA1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7" s="62">
        <f>(6-Pathogens!X14)</f>
        <v>3</v>
      </c>
      <c r="AC17" s="62">
        <f>ROUND(MIN(5,MAX(1,0.35*IF(Pathogens!R14=1,5,IF(Pathogens!R14=2,3,1))+0.2*IF(Pathogens!S14=1,5,IF(Pathogens!S14=2,3,1))+0.25*IF(Pathogens!W14=1,IF(VLOOKUP(E$4,Countries!$B$2:$AN$55,38,FALSE)&gt;=3,5,IF(VLOOKUP(E$4,Countries!$B$2:$AN$55,38,FALSE)=2,4,IF(VLOOKUP(E$4,Countries!$B$2:$AN$55,38,FALSE)=1,2,1))),5)+0.2*IF(VLOOKUP(E$4,Countries!$B$2:$AN$55,24,FALSE)&gt;=50,5,IF(VLOOKUP(E$4,Countries!$B$2:$AN$55,24,FALSE)&gt;=25,4,IF(VLOOKUP(E$4,Countries!$B$2:$AN$55,24,FALSE)&gt;=10,3,IF(VLOOKUP(E$4,Countries!$B$2:$AN$55,24,FALSE)&gt;=5,2,1)))))),0)</f>
        <v>4</v>
      </c>
      <c r="AD17" s="62" t="str">
        <f>IFERROR(INDEX(Endemicity!$C$2:$BN$55,MATCH(E$4,Endemicity!$B$2:$B$55,0),MATCH($A17,Endemicity!$C$1:$BN$1,0)),"Sporadic")</f>
        <v>Emerging</v>
      </c>
      <c r="AE17" s="62">
        <f>IF(Settings!$B$48="ON",IFERROR(MATCH($AD17,Settings!$B$35:$F$35,0),5),5)</f>
        <v>3</v>
      </c>
      <c r="AF17" s="62">
        <f>ROUND(MIN(5,IF(Pathogens!I14&gt;=500,5,IF(Pathogens!I14&gt;=200,4,IF(Pathogens!I14&gt;=50,3,IF(Pathogens!I14&gt;=10,2,1))))*0.5+IF(Pathogens!J14&gt;=30,5,IF(Pathogens!J14&gt;=10,4,IF(Pathogens!J14&gt;=3,3,IF(Pathogens!J14&gt;=1,2,1))))*0.4+IF(AND(VLOOKUP(F$4,Countries!$B$2:$AN$55,4,FALSE)&gt;=80,Pathogens!N14&gt;=0.5),1,0)*0.1+IF(VLOOKUP(F$4,Countries!$B$2:$AN$55,7,FALSE)&lt;50,0.3,0)),0)</f>
        <v>2</v>
      </c>
      <c r="AG17" s="62">
        <f>ROUND(MIN(5,IF(Pathogens!K14&gt;=8,5,IF(Pathogens!K14&gt;=5,4,IF(Pathogens!K14&gt;=3,3,IF(Pathogens!K14&gt;=1,2,1))))*0.5+IF(Pathogens!L14&gt;=5,5,IF(Pathogens!L14&gt;=3,4,IF(Pathogens!L14&gt;=2,3,IF(Pathogens!L14&gt;=1.2,2,1))))*0.3+IF(Pathogens!M14=1,2,0)*0.2+IF(VLOOKUP(F$4,Countries!$B$2:$AN$55,12,FALSE)&gt;=2,0.5,0)),0)</f>
        <v>4</v>
      </c>
      <c r="AH17" s="62">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c r="AI17" s="62">
        <f>ROUND(MAX(1,MIN(5,(6-VLOOKUP(F$4,Countries!$B$2:$AN$55,10,FALSE))*0.5+(6-VLOOKUP(F$4,Countries!$B$2:$AN$55,11,FALSE))*0.4+(IF(AND(Pathogens!N14&gt;=0.5,VLOOKUP(F$4,Countries!$B$2:$AN$55,5,FALSE)&lt;60),5,IF(Pathogens!N14&gt;=0.5,4,IF(Pathogens!N14&gt;=0.3,3,IF(Pathogens!N14&gt;=0.1,2,1)))))*0.1)),0)</f>
        <v>2</v>
      </c>
      <c r="AJ17" s="62">
        <f>IF(ISNUMBER(SEARCH("Vaccine-preventable",Pathogens!C14)),2,IF(ISNUMBER(SEARCH("AMR",Pathogens!C14)),5,IF(ISNUMBER(SEARCH("VHF",Pathogens!C14)),4,IF(ISNUMBER(SEARCH("Emerging",Pathogens!C14)),5,IF(ISNUMBER(SEARCH("Mycobacterial",Pathogens!C14)),3,IF(ISNUMBER(SEARCH("Helminth",Pathogens!C14)),3,IF(ISNUMBER(SEARCH("Respiratory",Pathogens!C14)),4,3)))))))</f>
        <v>4</v>
      </c>
      <c r="AK17" s="62">
        <f>IF(ISNUMBER(SEARCH("AMR",Pathogens!C14)),5,IF(ISNUMBER(SEARCH("Mycobacterial",Pathogens!C14)),4,IF(ISNUMBER(SEARCH("Enteric bacterial",Pathogens!C14)),3,IF(ISNUMBER(SEARCH("Bacterial",Pathogens!C14)),3,1))))</f>
        <v>1</v>
      </c>
      <c r="AL1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7" s="62">
        <f>(6-Pathogens!X14)</f>
        <v>3</v>
      </c>
      <c r="AN17" s="62">
        <f>ROUND(MIN(5,MAX(1,0.35*IF(Pathogens!R14=1,5,IF(Pathogens!R14=2,3,1))+0.2*IF(Pathogens!S14=1,5,IF(Pathogens!S14=2,3,1))+0.25*IF(Pathogens!W14=1,IF(VLOOKUP(F$4,Countries!$B$2:$AN$55,38,FALSE)&gt;=3,5,IF(VLOOKUP(F$4,Countries!$B$2:$AN$55,38,FALSE)=2,4,IF(VLOOKUP(F$4,Countries!$B$2:$AN$55,38,FALSE)=1,2,1))),5)+0.2*IF(VLOOKUP(F$4,Countries!$B$2:$AN$55,24,FALSE)&gt;=50,5,IF(VLOOKUP(F$4,Countries!$B$2:$AN$55,24,FALSE)&gt;=25,4,IF(VLOOKUP(F$4,Countries!$B$2:$AN$55,24,FALSE)&gt;=10,3,IF(VLOOKUP(F$4,Countries!$B$2:$AN$55,24,FALSE)&gt;=5,2,1)))))),0)</f>
        <v>4</v>
      </c>
      <c r="AO17" s="62" t="str">
        <f>IFERROR(INDEX(Endemicity!$C$2:$BN$55,MATCH(F$4,Endemicity!$B$2:$B$55,0),MATCH($A17,Endemicity!$C$1:$BN$1,0)),"Sporadic")</f>
        <v>Emerging</v>
      </c>
      <c r="AP17" s="62">
        <f>IF(Settings!$B$48="ON",IFERROR(MATCH($AO17,Settings!$B$35:$F$35,0),5),5)</f>
        <v>3</v>
      </c>
      <c r="AQ17" s="62">
        <f>ROUND(MIN(5,IF(Pathogens!I14&gt;=500,5,IF(Pathogens!I14&gt;=200,4,IF(Pathogens!I14&gt;=50,3,IF(Pathogens!I14&gt;=10,2,1))))*0.5+IF(Pathogens!J14&gt;=30,5,IF(Pathogens!J14&gt;=10,4,IF(Pathogens!J14&gt;=3,3,IF(Pathogens!J14&gt;=1,2,1))))*0.4+IF(AND(VLOOKUP(G$4,Countries!$B$2:$AN$55,4,FALSE)&gt;=80,Pathogens!N14&gt;=0.5),1,0)*0.1+IF(VLOOKUP(G$4,Countries!$B$2:$AN$55,7,FALSE)&lt;50,0.3,0)),0)</f>
        <v>2</v>
      </c>
      <c r="AR17" s="62">
        <f>ROUND(MIN(5,IF(Pathogens!K14&gt;=8,5,IF(Pathogens!K14&gt;=5,4,IF(Pathogens!K14&gt;=3,3,IF(Pathogens!K14&gt;=1,2,1))))*0.5+IF(Pathogens!L14&gt;=5,5,IF(Pathogens!L14&gt;=3,4,IF(Pathogens!L14&gt;=2,3,IF(Pathogens!L14&gt;=1.2,2,1))))*0.3+IF(Pathogens!M14=1,2,0)*0.2+IF(VLOOKUP(G$4,Countries!$B$2:$AN$55,12,FALSE)&gt;=2,0.5,0)),0)</f>
        <v>4</v>
      </c>
      <c r="AS17" s="62">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c r="AT17" s="62">
        <f>ROUND(MAX(1,MIN(5,(6-VLOOKUP(G$4,Countries!$B$2:$AN$55,10,FALSE))*0.5+(6-VLOOKUP(G$4,Countries!$B$2:$AN$55,11,FALSE))*0.4+(IF(AND(Pathogens!N14&gt;=0.5,VLOOKUP(G$4,Countries!$B$2:$AN$55,5,FALSE)&lt;60),5,IF(Pathogens!N14&gt;=0.5,4,IF(Pathogens!N14&gt;=0.3,3,IF(Pathogens!N14&gt;=0.1,2,1)))))*0.1)),0)</f>
        <v>2</v>
      </c>
      <c r="AU17" s="62">
        <f>IF(ISNUMBER(SEARCH("Vaccine-preventable",Pathogens!C14)),2,IF(ISNUMBER(SEARCH("AMR",Pathogens!C14)),5,IF(ISNUMBER(SEARCH("VHF",Pathogens!C14)),4,IF(ISNUMBER(SEARCH("Emerging",Pathogens!C14)),5,IF(ISNUMBER(SEARCH("Mycobacterial",Pathogens!C14)),3,IF(ISNUMBER(SEARCH("Helminth",Pathogens!C14)),3,IF(ISNUMBER(SEARCH("Respiratory",Pathogens!C14)),4,3)))))))</f>
        <v>4</v>
      </c>
      <c r="AV17" s="62">
        <f>IF(ISNUMBER(SEARCH("AMR",Pathogens!C14)),5,IF(ISNUMBER(SEARCH("Mycobacterial",Pathogens!C14)),4,IF(ISNUMBER(SEARCH("Enteric bacterial",Pathogens!C14)),3,IF(ISNUMBER(SEARCH("Bacterial",Pathogens!C14)),3,1))))</f>
        <v>1</v>
      </c>
      <c r="AW1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7" s="62">
        <f>(6-Pathogens!X14)</f>
        <v>3</v>
      </c>
      <c r="AY17" s="62">
        <f>ROUND(MIN(5,MAX(1,0.35*IF(Pathogens!R14=1,5,IF(Pathogens!R14=2,3,1))+0.2*IF(Pathogens!S14=1,5,IF(Pathogens!S14=2,3,1))+0.25*IF(Pathogens!W14=1,IF(VLOOKUP(G$4,Countries!$B$2:$AN$55,38,FALSE)&gt;=3,5,IF(VLOOKUP(G$4,Countries!$B$2:$AN$55,38,FALSE)=2,4,IF(VLOOKUP(G$4,Countries!$B$2:$AN$55,38,FALSE)=1,2,1))),5)+0.2*IF(VLOOKUP(G$4,Countries!$B$2:$AN$55,24,FALSE)&gt;=50,5,IF(VLOOKUP(G$4,Countries!$B$2:$AN$55,24,FALSE)&gt;=25,4,IF(VLOOKUP(G$4,Countries!$B$2:$AN$55,24,FALSE)&gt;=10,3,IF(VLOOKUP(G$4,Countries!$B$2:$AN$55,24,FALSE)&gt;=5,2,1)))))),0)</f>
        <v>4</v>
      </c>
      <c r="AZ17" s="62" t="str">
        <f>IFERROR(INDEX(Endemicity!$C$2:$BN$55,MATCH(G$4,Endemicity!$B$2:$B$55,0),MATCH($A17,Endemicity!$C$1:$BN$1,0)),"Sporadic")</f>
        <v>Emerging</v>
      </c>
      <c r="BA17" s="62">
        <f>IF(Settings!$B$48="ON",IFERROR(MATCH($AZ17,Settings!$B$35:$F$35,0),5),5)</f>
        <v>3</v>
      </c>
    </row>
    <row r="18" customHeight="1" spans="1:53">
      <c r="A18" s="61" t="str">
        <f>Calculator!A47</f>
        <v>MPOX</v>
      </c>
      <c r="B18" s="61" t="str">
        <f>Calculator!B47</f>
        <v>Monkeypox virus (clade I/II)</v>
      </c>
      <c r="C18" s="61" t="str">
        <f>Calculator!C47</f>
        <v>Emerging viral</v>
      </c>
      <c r="D18" s="52">
        <f>IFERROR(ROUND(MIN(100,(($J18)*Settings!$C$23*INDEX(Settings!$B$36:$F$44,1,$T18)+($K18)*Settings!$C$24*INDEX(Settings!$B$36:$F$44,2,$T18)+($L18)*Settings!$C$25*INDEX(Settings!$B$36:$F$44,3,$T18)+($M18)*Settings!$C$26*INDEX(Settings!$B$36:$F$44,4,$T18)+($N18)*Settings!$C$27*INDEX(Settings!$B$36:$F$44,5,$T18)+($O18)*Settings!$C$28*INDEX(Settings!$B$36:$F$44,6,$T18)+($P18)*Settings!$C$29*INDEX(Settings!$B$36:$F$44,7,$T18)+($Q18)*Settings!$C$30*INDEX(Settings!$B$36:$F$44,8,$T18)+($R18)*Settings!$C$31*INDEX(Settings!$B$36:$F$44,9,$T18))/INDEX(Settings!$B$45:$F$45,1,$T18)/5*100*IF($S18="Not present",Settings!$B$51,1)),1),"")</f>
        <v>64.3</v>
      </c>
      <c r="E18" s="52">
        <f>IFERROR(ROUND(MIN(100,(($U18)*Settings!$C$23*INDEX(Settings!$B$36:$F$44,1,$AE18)+($V18)*Settings!$C$24*INDEX(Settings!$B$36:$F$44,2,$AE18)+($W18)*Settings!$C$25*INDEX(Settings!$B$36:$F$44,3,$AE18)+($X18)*Settings!$C$26*INDEX(Settings!$B$36:$F$44,4,$AE18)+($Y18)*Settings!$C$27*INDEX(Settings!$B$36:$F$44,5,$AE18)+($Z18)*Settings!$C$28*INDEX(Settings!$B$36:$F$44,6,$AE18)+($AA18)*Settings!$C$29*INDEX(Settings!$B$36:$F$44,7,$AE18)+($AB18)*Settings!$C$30*INDEX(Settings!$B$36:$F$44,8,$AE18)+($AC18)*Settings!$C$31*INDEX(Settings!$B$36:$F$44,9,$AE18))/INDEX(Settings!$B$45:$F$45,1,$AE18)/5*100*IF($AD18="Not present",Settings!$B$51,1)),1),"")</f>
        <v>69.9</v>
      </c>
      <c r="F18" s="52">
        <f>IFERROR(ROUND(MIN(100,(($AF18)*Settings!$C$23*INDEX(Settings!$B$36:$F$44,1,$AP18)+($AG18)*Settings!$C$24*INDEX(Settings!$B$36:$F$44,2,$AP18)+($AH18)*Settings!$C$25*INDEX(Settings!$B$36:$F$44,3,$AP18)+($AI18)*Settings!$C$26*INDEX(Settings!$B$36:$F$44,4,$AP18)+($AJ18)*Settings!$C$27*INDEX(Settings!$B$36:$F$44,5,$AP18)+($AK18)*Settings!$C$28*INDEX(Settings!$B$36:$F$44,6,$AP18)+($AL18)*Settings!$C$29*INDEX(Settings!$B$36:$F$44,7,$AP18)+($AM18)*Settings!$C$30*INDEX(Settings!$B$36:$F$44,8,$AP18)+($AN18)*Settings!$C$31*INDEX(Settings!$B$36:$F$44,9,$AP18))/INDEX(Settings!$B$45:$F$45,1,$AP18)/5*100*IF($AO18="Not present",Settings!$B$51,1)),1),"")</f>
        <v>61.5</v>
      </c>
      <c r="G18" s="52">
        <f>IFERROR(ROUND(MIN(100,(($AQ18)*Settings!$C$23*INDEX(Settings!$B$36:$F$44,1,$BA18)+($AR18)*Settings!$C$24*INDEX(Settings!$B$36:$F$44,2,$BA18)+($AS18)*Settings!$C$25*INDEX(Settings!$B$36:$F$44,3,$BA18)+($AT18)*Settings!$C$26*INDEX(Settings!$B$36:$F$44,4,$BA18)+($AU18)*Settings!$C$27*INDEX(Settings!$B$36:$F$44,5,$BA18)+($AV18)*Settings!$C$28*INDEX(Settings!$B$36:$F$44,6,$BA18)+($AW18)*Settings!$C$29*INDEX(Settings!$B$36:$F$44,7,$BA18)+($AX18)*Settings!$C$30*INDEX(Settings!$B$36:$F$44,8,$BA18)+($AY18)*Settings!$C$31*INDEX(Settings!$B$36:$F$44,9,$BA18))/INDEX(Settings!$B$45:$F$45,1,$BA18)/5*100*IF($AZ18="Not present",Settings!$B$51,1)),1),"")</f>
        <v>66.1</v>
      </c>
      <c r="J18" s="62">
        <f>ROUND(MIN(5,IF(Pathogens!I15&gt;=500,5,IF(Pathogens!I15&gt;=200,4,IF(Pathogens!I15&gt;=50,3,IF(Pathogens!I15&gt;=10,2,1))))*0.5+IF(Pathogens!J15&gt;=30,5,IF(Pathogens!J15&gt;=10,4,IF(Pathogens!J15&gt;=3,3,IF(Pathogens!J15&gt;=1,2,1))))*0.4+IF(AND(VLOOKUP(D$4,Countries!$B$2:$AN$55,4,FALSE)&gt;=80,Pathogens!N15&gt;=0.5),1,0)*0.1+IF(VLOOKUP(D$4,Countries!$B$2:$AN$55,7,FALSE)&lt;50,0.3,0)),0)</f>
        <v>2</v>
      </c>
      <c r="K18" s="62">
        <f>ROUND(MIN(5,IF(Pathogens!K15&gt;=8,5,IF(Pathogens!K15&gt;=5,4,IF(Pathogens!K15&gt;=3,3,IF(Pathogens!K15&gt;=1,2,1))))*0.5+IF(Pathogens!L15&gt;=5,5,IF(Pathogens!L15&gt;=3,4,IF(Pathogens!L15&gt;=2,3,IF(Pathogens!L15&gt;=1.2,2,1))))*0.3+IF(Pathogens!M15=1,2,0)*0.2+IF(VLOOKUP(D$4,Countries!$B$2:$AN$55,12,FALSE)&gt;=2,0.5,0)),0)</f>
        <v>4</v>
      </c>
      <c r="L18" s="62">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c r="M18" s="62">
        <f>ROUND(MAX(1,MIN(5,(6-VLOOKUP(D$4,Countries!$B$2:$AN$55,10,FALSE))*0.5+(6-VLOOKUP(D$4,Countries!$B$2:$AN$55,11,FALSE))*0.4+(IF(AND(Pathogens!N15&gt;=0.5,VLOOKUP(D$4,Countries!$B$2:$AN$55,5,FALSE)&lt;60),5,IF(Pathogens!N15&gt;=0.5,4,IF(Pathogens!N15&gt;=0.3,3,IF(Pathogens!N15&gt;=0.1,2,1)))))*0.1)),0)</f>
        <v>2</v>
      </c>
      <c r="N18" s="62">
        <f>IF(ISNUMBER(SEARCH("Vaccine-preventable",Pathogens!C15)),2,IF(ISNUMBER(SEARCH("AMR",Pathogens!C15)),5,IF(ISNUMBER(SEARCH("VHF",Pathogens!C15)),4,IF(ISNUMBER(SEARCH("Emerging",Pathogens!C15)),5,IF(ISNUMBER(SEARCH("Mycobacterial",Pathogens!C15)),3,IF(ISNUMBER(SEARCH("Helminth",Pathogens!C15)),3,IF(ISNUMBER(SEARCH("Respiratory",Pathogens!C15)),4,3)))))))</f>
        <v>5</v>
      </c>
      <c r="O18" s="62">
        <f>IF(ISNUMBER(SEARCH("AMR",Pathogens!C15)),5,IF(ISNUMBER(SEARCH("Mycobacterial",Pathogens!C15)),4,IF(ISNUMBER(SEARCH("Enteric bacterial",Pathogens!C15)),3,IF(ISNUMBER(SEARCH("Bacterial",Pathogens!C15)),3,1))))</f>
        <v>1</v>
      </c>
      <c r="P1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8" s="62">
        <f>(6-Pathogens!X15)</f>
        <v>3</v>
      </c>
      <c r="R18" s="62">
        <f>ROUND(MIN(5,MAX(1,0.35*IF(Pathogens!R15=1,5,IF(Pathogens!R15=2,3,1))+0.2*IF(Pathogens!S15=1,5,IF(Pathogens!S15=2,3,1))+0.25*IF(Pathogens!W15=1,IF(VLOOKUP(D$4,Countries!$B$2:$AN$55,38,FALSE)&gt;=3,5,IF(VLOOKUP(D$4,Countries!$B$2:$AN$55,38,FALSE)=2,4,IF(VLOOKUP(D$4,Countries!$B$2:$AN$55,38,FALSE)=1,2,1))),5)+0.2*IF(VLOOKUP(D$4,Countries!$B$2:$AN$55,24,FALSE)&gt;=50,5,IF(VLOOKUP(D$4,Countries!$B$2:$AN$55,24,FALSE)&gt;=25,4,IF(VLOOKUP(D$4,Countries!$B$2:$AN$55,24,FALSE)&gt;=10,3,IF(VLOOKUP(D$4,Countries!$B$2:$AN$55,24,FALSE)&gt;=5,2,1)))))),0)</f>
        <v>4</v>
      </c>
      <c r="S18" s="62" t="str">
        <f>IFERROR(INDEX(Endemicity!$C$2:$BN$55,MATCH(D$4,Endemicity!$B$2:$B$55,0),MATCH($A18,Endemicity!$C$1:$BN$1,0)),"Sporadic")</f>
        <v>Endemic</v>
      </c>
      <c r="T18" s="62">
        <f>IF(Settings!$B$48="ON",IFERROR(MATCH($S18,Settings!$B$35:$F$35,0),5),5)</f>
        <v>1</v>
      </c>
      <c r="U18" s="62">
        <f>ROUND(MIN(5,IF(Pathogens!I15&gt;=500,5,IF(Pathogens!I15&gt;=200,4,IF(Pathogens!I15&gt;=50,3,IF(Pathogens!I15&gt;=10,2,1))))*0.5+IF(Pathogens!J15&gt;=30,5,IF(Pathogens!J15&gt;=10,4,IF(Pathogens!J15&gt;=3,3,IF(Pathogens!J15&gt;=1,2,1))))*0.4+IF(AND(VLOOKUP(E$4,Countries!$B$2:$AN$55,4,FALSE)&gt;=80,Pathogens!N15&gt;=0.5),1,0)*0.1+IF(VLOOKUP(E$4,Countries!$B$2:$AN$55,7,FALSE)&lt;50,0.3,0)),0)</f>
        <v>2</v>
      </c>
      <c r="V18" s="62">
        <f>ROUND(MIN(5,IF(Pathogens!K15&gt;=8,5,IF(Pathogens!K15&gt;=5,4,IF(Pathogens!K15&gt;=3,3,IF(Pathogens!K15&gt;=1,2,1))))*0.5+IF(Pathogens!L15&gt;=5,5,IF(Pathogens!L15&gt;=3,4,IF(Pathogens!L15&gt;=2,3,IF(Pathogens!L15&gt;=1.2,2,1))))*0.3+IF(Pathogens!M15=1,2,0)*0.2+IF(VLOOKUP(E$4,Countries!$B$2:$AN$55,12,FALSE)&gt;=2,0.5,0)),0)</f>
        <v>4</v>
      </c>
      <c r="W18" s="62">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c r="X18" s="62">
        <f>ROUND(MAX(1,MIN(5,(6-VLOOKUP(E$4,Countries!$B$2:$AN$55,10,FALSE))*0.5+(6-VLOOKUP(E$4,Countries!$B$2:$AN$55,11,FALSE))*0.4+(IF(AND(Pathogens!N15&gt;=0.5,VLOOKUP(E$4,Countries!$B$2:$AN$55,5,FALSE)&lt;60),5,IF(Pathogens!N15&gt;=0.5,4,IF(Pathogens!N15&gt;=0.3,3,IF(Pathogens!N15&gt;=0.1,2,1)))))*0.1)),0)</f>
        <v>3</v>
      </c>
      <c r="Y18" s="62">
        <f>IF(ISNUMBER(SEARCH("Vaccine-preventable",Pathogens!C15)),2,IF(ISNUMBER(SEARCH("AMR",Pathogens!C15)),5,IF(ISNUMBER(SEARCH("VHF",Pathogens!C15)),4,IF(ISNUMBER(SEARCH("Emerging",Pathogens!C15)),5,IF(ISNUMBER(SEARCH("Mycobacterial",Pathogens!C15)),3,IF(ISNUMBER(SEARCH("Helminth",Pathogens!C15)),3,IF(ISNUMBER(SEARCH("Respiratory",Pathogens!C15)),4,3)))))))</f>
        <v>5</v>
      </c>
      <c r="Z18" s="62">
        <f>IF(ISNUMBER(SEARCH("AMR",Pathogens!C15)),5,IF(ISNUMBER(SEARCH("Mycobacterial",Pathogens!C15)),4,IF(ISNUMBER(SEARCH("Enteric bacterial",Pathogens!C15)),3,IF(ISNUMBER(SEARCH("Bacterial",Pathogens!C15)),3,1))))</f>
        <v>1</v>
      </c>
      <c r="AA1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8" s="62">
        <f>(6-Pathogens!X15)</f>
        <v>3</v>
      </c>
      <c r="AC18" s="62">
        <f>ROUND(MIN(5,MAX(1,0.35*IF(Pathogens!R15=1,5,IF(Pathogens!R15=2,3,1))+0.2*IF(Pathogens!S15=1,5,IF(Pathogens!S15=2,3,1))+0.25*IF(Pathogens!W15=1,IF(VLOOKUP(E$4,Countries!$B$2:$AN$55,38,FALSE)&gt;=3,5,IF(VLOOKUP(E$4,Countries!$B$2:$AN$55,38,FALSE)=2,4,IF(VLOOKUP(E$4,Countries!$B$2:$AN$55,38,FALSE)=1,2,1))),5)+0.2*IF(VLOOKUP(E$4,Countries!$B$2:$AN$55,24,FALSE)&gt;=50,5,IF(VLOOKUP(E$4,Countries!$B$2:$AN$55,24,FALSE)&gt;=25,4,IF(VLOOKUP(E$4,Countries!$B$2:$AN$55,24,FALSE)&gt;=10,3,IF(VLOOKUP(E$4,Countries!$B$2:$AN$55,24,FALSE)&gt;=5,2,1)))))),0)</f>
        <v>4</v>
      </c>
      <c r="AD18" s="62" t="str">
        <f>IFERROR(INDEX(Endemicity!$C$2:$BN$55,MATCH(E$4,Endemicity!$B$2:$B$55,0),MATCH($A18,Endemicity!$C$1:$BN$1,0)),"Sporadic")</f>
        <v>Endemic</v>
      </c>
      <c r="AE18" s="62">
        <f>IF(Settings!$B$48="ON",IFERROR(MATCH($AD18,Settings!$B$35:$F$35,0),5),5)</f>
        <v>1</v>
      </c>
      <c r="AF18" s="62">
        <f>ROUND(MIN(5,IF(Pathogens!I15&gt;=500,5,IF(Pathogens!I15&gt;=200,4,IF(Pathogens!I15&gt;=50,3,IF(Pathogens!I15&gt;=10,2,1))))*0.5+IF(Pathogens!J15&gt;=30,5,IF(Pathogens!J15&gt;=10,4,IF(Pathogens!J15&gt;=3,3,IF(Pathogens!J15&gt;=1,2,1))))*0.4+IF(AND(VLOOKUP(F$4,Countries!$B$2:$AN$55,4,FALSE)&gt;=80,Pathogens!N15&gt;=0.5),1,0)*0.1+IF(VLOOKUP(F$4,Countries!$B$2:$AN$55,7,FALSE)&lt;50,0.3,0)),0)</f>
        <v>2</v>
      </c>
      <c r="AG18" s="62">
        <f>ROUND(MIN(5,IF(Pathogens!K15&gt;=8,5,IF(Pathogens!K15&gt;=5,4,IF(Pathogens!K15&gt;=3,3,IF(Pathogens!K15&gt;=1,2,1))))*0.5+IF(Pathogens!L15&gt;=5,5,IF(Pathogens!L15&gt;=3,4,IF(Pathogens!L15&gt;=2,3,IF(Pathogens!L15&gt;=1.2,2,1))))*0.3+IF(Pathogens!M15=1,2,0)*0.2+IF(VLOOKUP(F$4,Countries!$B$2:$AN$55,12,FALSE)&gt;=2,0.5,0)),0)</f>
        <v>4</v>
      </c>
      <c r="AH18" s="62">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c r="AI18" s="62">
        <f>ROUND(MAX(1,MIN(5,(6-VLOOKUP(F$4,Countries!$B$2:$AN$55,10,FALSE))*0.5+(6-VLOOKUP(F$4,Countries!$B$2:$AN$55,11,FALSE))*0.4+(IF(AND(Pathogens!N15&gt;=0.5,VLOOKUP(F$4,Countries!$B$2:$AN$55,5,FALSE)&lt;60),5,IF(Pathogens!N15&gt;=0.5,4,IF(Pathogens!N15&gt;=0.3,3,IF(Pathogens!N15&gt;=0.1,2,1)))))*0.1)),0)</f>
        <v>2</v>
      </c>
      <c r="AJ18" s="62">
        <f>IF(ISNUMBER(SEARCH("Vaccine-preventable",Pathogens!C15)),2,IF(ISNUMBER(SEARCH("AMR",Pathogens!C15)),5,IF(ISNUMBER(SEARCH("VHF",Pathogens!C15)),4,IF(ISNUMBER(SEARCH("Emerging",Pathogens!C15)),5,IF(ISNUMBER(SEARCH("Mycobacterial",Pathogens!C15)),3,IF(ISNUMBER(SEARCH("Helminth",Pathogens!C15)),3,IF(ISNUMBER(SEARCH("Respiratory",Pathogens!C15)),4,3)))))))</f>
        <v>5</v>
      </c>
      <c r="AK18" s="62">
        <f>IF(ISNUMBER(SEARCH("AMR",Pathogens!C15)),5,IF(ISNUMBER(SEARCH("Mycobacterial",Pathogens!C15)),4,IF(ISNUMBER(SEARCH("Enteric bacterial",Pathogens!C15)),3,IF(ISNUMBER(SEARCH("Bacterial",Pathogens!C15)),3,1))))</f>
        <v>1</v>
      </c>
      <c r="AL1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8" s="62">
        <f>(6-Pathogens!X15)</f>
        <v>3</v>
      </c>
      <c r="AN18" s="62">
        <f>ROUND(MIN(5,MAX(1,0.35*IF(Pathogens!R15=1,5,IF(Pathogens!R15=2,3,1))+0.2*IF(Pathogens!S15=1,5,IF(Pathogens!S15=2,3,1))+0.25*IF(Pathogens!W15=1,IF(VLOOKUP(F$4,Countries!$B$2:$AN$55,38,FALSE)&gt;=3,5,IF(VLOOKUP(F$4,Countries!$B$2:$AN$55,38,FALSE)=2,4,IF(VLOOKUP(F$4,Countries!$B$2:$AN$55,38,FALSE)=1,2,1))),5)+0.2*IF(VLOOKUP(F$4,Countries!$B$2:$AN$55,24,FALSE)&gt;=50,5,IF(VLOOKUP(F$4,Countries!$B$2:$AN$55,24,FALSE)&gt;=25,4,IF(VLOOKUP(F$4,Countries!$B$2:$AN$55,24,FALSE)&gt;=10,3,IF(VLOOKUP(F$4,Countries!$B$2:$AN$55,24,FALSE)&gt;=5,2,1)))))),0)</f>
        <v>3</v>
      </c>
      <c r="AO18" s="62" t="str">
        <f>IFERROR(INDEX(Endemicity!$C$2:$BN$55,MATCH(F$4,Endemicity!$B$2:$B$55,0),MATCH($A18,Endemicity!$C$1:$BN$1,0)),"Sporadic")</f>
        <v>Endemic</v>
      </c>
      <c r="AP18" s="62">
        <f>IF(Settings!$B$48="ON",IFERROR(MATCH($AO18,Settings!$B$35:$F$35,0),5),5)</f>
        <v>1</v>
      </c>
      <c r="AQ18" s="62">
        <f>ROUND(MIN(5,IF(Pathogens!I15&gt;=500,5,IF(Pathogens!I15&gt;=200,4,IF(Pathogens!I15&gt;=50,3,IF(Pathogens!I15&gt;=10,2,1))))*0.5+IF(Pathogens!J15&gt;=30,5,IF(Pathogens!J15&gt;=10,4,IF(Pathogens!J15&gt;=3,3,IF(Pathogens!J15&gt;=1,2,1))))*0.4+IF(AND(VLOOKUP(G$4,Countries!$B$2:$AN$55,4,FALSE)&gt;=80,Pathogens!N15&gt;=0.5),1,0)*0.1+IF(VLOOKUP(G$4,Countries!$B$2:$AN$55,7,FALSE)&lt;50,0.3,0)),0)</f>
        <v>2</v>
      </c>
      <c r="AR18" s="62">
        <f>ROUND(MIN(5,IF(Pathogens!K15&gt;=8,5,IF(Pathogens!K15&gt;=5,4,IF(Pathogens!K15&gt;=3,3,IF(Pathogens!K15&gt;=1,2,1))))*0.5+IF(Pathogens!L15&gt;=5,5,IF(Pathogens!L15&gt;=3,4,IF(Pathogens!L15&gt;=2,3,IF(Pathogens!L15&gt;=1.2,2,1))))*0.3+IF(Pathogens!M15=1,2,0)*0.2+IF(VLOOKUP(G$4,Countries!$B$2:$AN$55,12,FALSE)&gt;=2,0.5,0)),0)</f>
        <v>4</v>
      </c>
      <c r="AS18" s="62">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c r="AT18" s="62">
        <f>ROUND(MAX(1,MIN(5,(6-VLOOKUP(G$4,Countries!$B$2:$AN$55,10,FALSE))*0.5+(6-VLOOKUP(G$4,Countries!$B$2:$AN$55,11,FALSE))*0.4+(IF(AND(Pathogens!N15&gt;=0.5,VLOOKUP(G$4,Countries!$B$2:$AN$55,5,FALSE)&lt;60),5,IF(Pathogens!N15&gt;=0.5,4,IF(Pathogens!N15&gt;=0.3,3,IF(Pathogens!N15&gt;=0.1,2,1)))))*0.1)),0)</f>
        <v>2</v>
      </c>
      <c r="AU18" s="62">
        <f>IF(ISNUMBER(SEARCH("Vaccine-preventable",Pathogens!C15)),2,IF(ISNUMBER(SEARCH("AMR",Pathogens!C15)),5,IF(ISNUMBER(SEARCH("VHF",Pathogens!C15)),4,IF(ISNUMBER(SEARCH("Emerging",Pathogens!C15)),5,IF(ISNUMBER(SEARCH("Mycobacterial",Pathogens!C15)),3,IF(ISNUMBER(SEARCH("Helminth",Pathogens!C15)),3,IF(ISNUMBER(SEARCH("Respiratory",Pathogens!C15)),4,3)))))))</f>
        <v>5</v>
      </c>
      <c r="AV18" s="62">
        <f>IF(ISNUMBER(SEARCH("AMR",Pathogens!C15)),5,IF(ISNUMBER(SEARCH("Mycobacterial",Pathogens!C15)),4,IF(ISNUMBER(SEARCH("Enteric bacterial",Pathogens!C15)),3,IF(ISNUMBER(SEARCH("Bacterial",Pathogens!C15)),3,1))))</f>
        <v>1</v>
      </c>
      <c r="AW1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8" s="62">
        <f>(6-Pathogens!X15)</f>
        <v>3</v>
      </c>
      <c r="AY18" s="62">
        <f>ROUND(MIN(5,MAX(1,0.35*IF(Pathogens!R15=1,5,IF(Pathogens!R15=2,3,1))+0.2*IF(Pathogens!S15=1,5,IF(Pathogens!S15=2,3,1))+0.25*IF(Pathogens!W15=1,IF(VLOOKUP(G$4,Countries!$B$2:$AN$55,38,FALSE)&gt;=3,5,IF(VLOOKUP(G$4,Countries!$B$2:$AN$55,38,FALSE)=2,4,IF(VLOOKUP(G$4,Countries!$B$2:$AN$55,38,FALSE)=1,2,1))),5)+0.2*IF(VLOOKUP(G$4,Countries!$B$2:$AN$55,24,FALSE)&gt;=50,5,IF(VLOOKUP(G$4,Countries!$B$2:$AN$55,24,FALSE)&gt;=25,4,IF(VLOOKUP(G$4,Countries!$B$2:$AN$55,24,FALSE)&gt;=10,3,IF(VLOOKUP(G$4,Countries!$B$2:$AN$55,24,FALSE)&gt;=5,2,1)))))),0)</f>
        <v>4</v>
      </c>
      <c r="AZ18" s="62" t="str">
        <f>IFERROR(INDEX(Endemicity!$C$2:$BN$55,MATCH(G$4,Endemicity!$B$2:$B$55,0),MATCH($A18,Endemicity!$C$1:$BN$1,0)),"Sporadic")</f>
        <v>Endemic</v>
      </c>
      <c r="BA18" s="62">
        <f>IF(Settings!$B$48="ON",IFERROR(MATCH($AZ18,Settings!$B$35:$F$35,0),5),5)</f>
        <v>1</v>
      </c>
    </row>
    <row r="19" customHeight="1" spans="1:53">
      <c r="A19" s="61" t="str">
        <f>Calculator!A48</f>
        <v>SARS2</v>
      </c>
      <c r="B19" s="61" t="str">
        <f>Calculator!B48</f>
        <v>SARS-CoV-2</v>
      </c>
      <c r="C19" s="61" t="str">
        <f>Calculator!C48</f>
        <v>Respiratory viral</v>
      </c>
      <c r="D19" s="52">
        <f>IFERROR(ROUND(MIN(100,(($J19)*Settings!$C$23*INDEX(Settings!$B$36:$F$44,1,$T19)+($K19)*Settings!$C$24*INDEX(Settings!$B$36:$F$44,2,$T19)+($L19)*Settings!$C$25*INDEX(Settings!$B$36:$F$44,3,$T19)+($M19)*Settings!$C$26*INDEX(Settings!$B$36:$F$44,4,$T19)+($N19)*Settings!$C$27*INDEX(Settings!$B$36:$F$44,5,$T19)+($O19)*Settings!$C$28*INDEX(Settings!$B$36:$F$44,6,$T19)+($P19)*Settings!$C$29*INDEX(Settings!$B$36:$F$44,7,$T19)+($Q19)*Settings!$C$30*INDEX(Settings!$B$36:$F$44,8,$T19)+($R19)*Settings!$C$31*INDEX(Settings!$B$36:$F$44,9,$T19))/INDEX(Settings!$B$45:$F$45,1,$T19)/5*100*IF($S19="Not present",Settings!$B$51,1)),1),"")</f>
        <v>69.9</v>
      </c>
      <c r="E19" s="52">
        <f>IFERROR(ROUND(MIN(100,(($U19)*Settings!$C$23*INDEX(Settings!$B$36:$F$44,1,$AE19)+($V19)*Settings!$C$24*INDEX(Settings!$B$36:$F$44,2,$AE19)+($W19)*Settings!$C$25*INDEX(Settings!$B$36:$F$44,3,$AE19)+($X19)*Settings!$C$26*INDEX(Settings!$B$36:$F$44,4,$AE19)+($Y19)*Settings!$C$27*INDEX(Settings!$B$36:$F$44,5,$AE19)+($Z19)*Settings!$C$28*INDEX(Settings!$B$36:$F$44,6,$AE19)+($AA19)*Settings!$C$29*INDEX(Settings!$B$36:$F$44,7,$AE19)+($AB19)*Settings!$C$30*INDEX(Settings!$B$36:$F$44,8,$AE19)+($AC19)*Settings!$C$31*INDEX(Settings!$B$36:$F$44,9,$AE19))/INDEX(Settings!$B$45:$F$45,1,$AE19)/5*100*IF($AD19="Not present",Settings!$B$51,1)),1),"")</f>
        <v>70.6</v>
      </c>
      <c r="F19" s="52">
        <f>IFERROR(ROUND(MIN(100,(($AF19)*Settings!$C$23*INDEX(Settings!$B$36:$F$44,1,$AP19)+($AG19)*Settings!$C$24*INDEX(Settings!$B$36:$F$44,2,$AP19)+($AH19)*Settings!$C$25*INDEX(Settings!$B$36:$F$44,3,$AP19)+($AI19)*Settings!$C$26*INDEX(Settings!$B$36:$F$44,4,$AP19)+($AJ19)*Settings!$C$27*INDEX(Settings!$B$36:$F$44,5,$AP19)+($AK19)*Settings!$C$28*INDEX(Settings!$B$36:$F$44,6,$AP19)+($AL19)*Settings!$C$29*INDEX(Settings!$B$36:$F$44,7,$AP19)+($AM19)*Settings!$C$30*INDEX(Settings!$B$36:$F$44,8,$AP19)+($AN19)*Settings!$C$31*INDEX(Settings!$B$36:$F$44,9,$AP19))/INDEX(Settings!$B$45:$F$45,1,$AP19)/5*100*IF($AO19="Not present",Settings!$B$51,1)),1),"")</f>
        <v>67.1</v>
      </c>
      <c r="G19" s="52">
        <f>IFERROR(ROUND(MIN(100,(($AQ19)*Settings!$C$23*INDEX(Settings!$B$36:$F$44,1,$BA19)+($AR19)*Settings!$C$24*INDEX(Settings!$B$36:$F$44,2,$BA19)+($AS19)*Settings!$C$25*INDEX(Settings!$B$36:$F$44,3,$BA19)+($AT19)*Settings!$C$26*INDEX(Settings!$B$36:$F$44,4,$BA19)+($AU19)*Settings!$C$27*INDEX(Settings!$B$36:$F$44,5,$BA19)+($AV19)*Settings!$C$28*INDEX(Settings!$B$36:$F$44,6,$BA19)+($AW19)*Settings!$C$29*INDEX(Settings!$B$36:$F$44,7,$BA19)+($AX19)*Settings!$C$30*INDEX(Settings!$B$36:$F$44,8,$BA19)+($AY19)*Settings!$C$31*INDEX(Settings!$B$36:$F$44,9,$BA19))/INDEX(Settings!$B$45:$F$45,1,$BA19)/5*100*IF($AZ19="Not present",Settings!$B$51,1)),1),"")</f>
        <v>68.9</v>
      </c>
      <c r="J19" s="62">
        <f>ROUND(MIN(5,IF(Pathogens!I16&gt;=500,5,IF(Pathogens!I16&gt;=200,4,IF(Pathogens!I16&gt;=50,3,IF(Pathogens!I16&gt;=10,2,1))))*0.5+IF(Pathogens!J16&gt;=30,5,IF(Pathogens!J16&gt;=10,4,IF(Pathogens!J16&gt;=3,3,IF(Pathogens!J16&gt;=1,2,1))))*0.4+IF(AND(VLOOKUP(D$4,Countries!$B$2:$AN$55,4,FALSE)&gt;=80,Pathogens!N16&gt;=0.5),1,0)*0.1+IF(VLOOKUP(D$4,Countries!$B$2:$AN$55,7,FALSE)&lt;50,0.3,0)),0)</f>
        <v>3</v>
      </c>
      <c r="K19" s="62">
        <f>ROUND(MIN(5,IF(Pathogens!K16&gt;=8,5,IF(Pathogens!K16&gt;=5,4,IF(Pathogens!K16&gt;=3,3,IF(Pathogens!K16&gt;=1,2,1))))*0.5+IF(Pathogens!L16&gt;=5,5,IF(Pathogens!L16&gt;=3,4,IF(Pathogens!L16&gt;=2,3,IF(Pathogens!L16&gt;=1.2,2,1))))*0.3+IF(Pathogens!M16=1,2,0)*0.2+IF(VLOOKUP(D$4,Countries!$B$2:$AN$55,12,FALSE)&gt;=2,0.5,0)),0)</f>
        <v>5</v>
      </c>
      <c r="L19" s="62">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c r="M19" s="62">
        <f>ROUND(MAX(1,MIN(5,(6-VLOOKUP(D$4,Countries!$B$2:$AN$55,10,FALSE))*0.5+(6-VLOOKUP(D$4,Countries!$B$2:$AN$55,11,FALSE))*0.4+(IF(AND(Pathogens!N16&gt;=0.5,VLOOKUP(D$4,Countries!$B$2:$AN$55,5,FALSE)&lt;60),5,IF(Pathogens!N16&gt;=0.5,4,IF(Pathogens!N16&gt;=0.3,3,IF(Pathogens!N16&gt;=0.1,2,1)))))*0.1)),0)</f>
        <v>2</v>
      </c>
      <c r="N19" s="62">
        <f>IF(ISNUMBER(SEARCH("Vaccine-preventable",Pathogens!C16)),2,IF(ISNUMBER(SEARCH("AMR",Pathogens!C16)),5,IF(ISNUMBER(SEARCH("VHF",Pathogens!C16)),4,IF(ISNUMBER(SEARCH("Emerging",Pathogens!C16)),5,IF(ISNUMBER(SEARCH("Mycobacterial",Pathogens!C16)),3,IF(ISNUMBER(SEARCH("Helminth",Pathogens!C16)),3,IF(ISNUMBER(SEARCH("Respiratory",Pathogens!C16)),4,3)))))))</f>
        <v>4</v>
      </c>
      <c r="O19" s="62">
        <f>IF(ISNUMBER(SEARCH("AMR",Pathogens!C16)),5,IF(ISNUMBER(SEARCH("Mycobacterial",Pathogens!C16)),4,IF(ISNUMBER(SEARCH("Enteric bacterial",Pathogens!C16)),3,IF(ISNUMBER(SEARCH("Bacterial",Pathogens!C16)),3,1))))</f>
        <v>1</v>
      </c>
      <c r="P1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19" s="62">
        <f>(6-Pathogens!X16)</f>
        <v>2</v>
      </c>
      <c r="R19" s="62">
        <f>ROUND(MIN(5,MAX(1,0.35*IF(Pathogens!R16=1,5,IF(Pathogens!R16=2,3,1))+0.2*IF(Pathogens!S16=1,5,IF(Pathogens!S16=2,3,1))+0.25*IF(Pathogens!W16=1,IF(VLOOKUP(D$4,Countries!$B$2:$AN$55,38,FALSE)&gt;=3,5,IF(VLOOKUP(D$4,Countries!$B$2:$AN$55,38,FALSE)=2,4,IF(VLOOKUP(D$4,Countries!$B$2:$AN$55,38,FALSE)=1,2,1))),5)+0.2*IF(VLOOKUP(D$4,Countries!$B$2:$AN$55,24,FALSE)&gt;=50,5,IF(VLOOKUP(D$4,Countries!$B$2:$AN$55,24,FALSE)&gt;=25,4,IF(VLOOKUP(D$4,Countries!$B$2:$AN$55,24,FALSE)&gt;=10,3,IF(VLOOKUP(D$4,Countries!$B$2:$AN$55,24,FALSE)&gt;=5,2,1)))))),0)</f>
        <v>5</v>
      </c>
      <c r="S19" s="62" t="str">
        <f>IFERROR(INDEX(Endemicity!$C$2:$BN$55,MATCH(D$4,Endemicity!$B$2:$B$55,0),MATCH($A19,Endemicity!$C$1:$BN$1,0)),"Sporadic")</f>
        <v>Endemic</v>
      </c>
      <c r="T19" s="62">
        <f>IF(Settings!$B$48="ON",IFERROR(MATCH($S19,Settings!$B$35:$F$35,0),5),5)</f>
        <v>1</v>
      </c>
      <c r="U19" s="62">
        <f>ROUND(MIN(5,IF(Pathogens!I16&gt;=500,5,IF(Pathogens!I16&gt;=200,4,IF(Pathogens!I16&gt;=50,3,IF(Pathogens!I16&gt;=10,2,1))))*0.5+IF(Pathogens!J16&gt;=30,5,IF(Pathogens!J16&gt;=10,4,IF(Pathogens!J16&gt;=3,3,IF(Pathogens!J16&gt;=1,2,1))))*0.4+IF(AND(VLOOKUP(E$4,Countries!$B$2:$AN$55,4,FALSE)&gt;=80,Pathogens!N16&gt;=0.5),1,0)*0.1+IF(VLOOKUP(E$4,Countries!$B$2:$AN$55,7,FALSE)&lt;50,0.3,0)),0)</f>
        <v>3</v>
      </c>
      <c r="V19" s="62">
        <f>ROUND(MIN(5,IF(Pathogens!K16&gt;=8,5,IF(Pathogens!K16&gt;=5,4,IF(Pathogens!K16&gt;=3,3,IF(Pathogens!K16&gt;=1,2,1))))*0.5+IF(Pathogens!L16&gt;=5,5,IF(Pathogens!L16&gt;=3,4,IF(Pathogens!L16&gt;=2,3,IF(Pathogens!L16&gt;=1.2,2,1))))*0.3+IF(Pathogens!M16=1,2,0)*0.2+IF(VLOOKUP(E$4,Countries!$B$2:$AN$55,12,FALSE)&gt;=2,0.5,0)),0)</f>
        <v>5</v>
      </c>
      <c r="W19" s="62">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c r="X19" s="62">
        <f>ROUND(MAX(1,MIN(5,(6-VLOOKUP(E$4,Countries!$B$2:$AN$55,10,FALSE))*0.5+(6-VLOOKUP(E$4,Countries!$B$2:$AN$55,11,FALSE))*0.4+(IF(AND(Pathogens!N16&gt;=0.5,VLOOKUP(E$4,Countries!$B$2:$AN$55,5,FALSE)&lt;60),5,IF(Pathogens!N16&gt;=0.5,4,IF(Pathogens!N16&gt;=0.3,3,IF(Pathogens!N16&gt;=0.1,2,1)))))*0.1)),0)</f>
        <v>2</v>
      </c>
      <c r="Y19" s="62">
        <f>IF(ISNUMBER(SEARCH("Vaccine-preventable",Pathogens!C16)),2,IF(ISNUMBER(SEARCH("AMR",Pathogens!C16)),5,IF(ISNUMBER(SEARCH("VHF",Pathogens!C16)),4,IF(ISNUMBER(SEARCH("Emerging",Pathogens!C16)),5,IF(ISNUMBER(SEARCH("Mycobacterial",Pathogens!C16)),3,IF(ISNUMBER(SEARCH("Helminth",Pathogens!C16)),3,IF(ISNUMBER(SEARCH("Respiratory",Pathogens!C16)),4,3)))))))</f>
        <v>4</v>
      </c>
      <c r="Z19" s="62">
        <f>IF(ISNUMBER(SEARCH("AMR",Pathogens!C16)),5,IF(ISNUMBER(SEARCH("Mycobacterial",Pathogens!C16)),4,IF(ISNUMBER(SEARCH("Enteric bacterial",Pathogens!C16)),3,IF(ISNUMBER(SEARCH("Bacterial",Pathogens!C16)),3,1))))</f>
        <v>1</v>
      </c>
      <c r="AA1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19" s="62">
        <f>(6-Pathogens!X16)</f>
        <v>2</v>
      </c>
      <c r="AC19" s="62">
        <f>ROUND(MIN(5,MAX(1,0.35*IF(Pathogens!R16=1,5,IF(Pathogens!R16=2,3,1))+0.2*IF(Pathogens!S16=1,5,IF(Pathogens!S16=2,3,1))+0.25*IF(Pathogens!W16=1,IF(VLOOKUP(E$4,Countries!$B$2:$AN$55,38,FALSE)&gt;=3,5,IF(VLOOKUP(E$4,Countries!$B$2:$AN$55,38,FALSE)=2,4,IF(VLOOKUP(E$4,Countries!$B$2:$AN$55,38,FALSE)=1,2,1))),5)+0.2*IF(VLOOKUP(E$4,Countries!$B$2:$AN$55,24,FALSE)&gt;=50,5,IF(VLOOKUP(E$4,Countries!$B$2:$AN$55,24,FALSE)&gt;=25,4,IF(VLOOKUP(E$4,Countries!$B$2:$AN$55,24,FALSE)&gt;=10,3,IF(VLOOKUP(E$4,Countries!$B$2:$AN$55,24,FALSE)&gt;=5,2,1)))))),0)</f>
        <v>4</v>
      </c>
      <c r="AD19" s="62" t="str">
        <f>IFERROR(INDEX(Endemicity!$C$2:$BN$55,MATCH(E$4,Endemicity!$B$2:$B$55,0),MATCH($A19,Endemicity!$C$1:$BN$1,0)),"Sporadic")</f>
        <v>Endemic</v>
      </c>
      <c r="AE19" s="62">
        <f>IF(Settings!$B$48="ON",IFERROR(MATCH($AD19,Settings!$B$35:$F$35,0),5),5)</f>
        <v>1</v>
      </c>
      <c r="AF19" s="62">
        <f>ROUND(MIN(5,IF(Pathogens!I16&gt;=500,5,IF(Pathogens!I16&gt;=200,4,IF(Pathogens!I16&gt;=50,3,IF(Pathogens!I16&gt;=10,2,1))))*0.5+IF(Pathogens!J16&gt;=30,5,IF(Pathogens!J16&gt;=10,4,IF(Pathogens!J16&gt;=3,3,IF(Pathogens!J16&gt;=1,2,1))))*0.4+IF(AND(VLOOKUP(F$4,Countries!$B$2:$AN$55,4,FALSE)&gt;=80,Pathogens!N16&gt;=0.5),1,0)*0.1+IF(VLOOKUP(F$4,Countries!$B$2:$AN$55,7,FALSE)&lt;50,0.3,0)),0)</f>
        <v>3</v>
      </c>
      <c r="AG19" s="62">
        <f>ROUND(MIN(5,IF(Pathogens!K16&gt;=8,5,IF(Pathogens!K16&gt;=5,4,IF(Pathogens!K16&gt;=3,3,IF(Pathogens!K16&gt;=1,2,1))))*0.5+IF(Pathogens!L16&gt;=5,5,IF(Pathogens!L16&gt;=3,4,IF(Pathogens!L16&gt;=2,3,IF(Pathogens!L16&gt;=1.2,2,1))))*0.3+IF(Pathogens!M16=1,2,0)*0.2+IF(VLOOKUP(F$4,Countries!$B$2:$AN$55,12,FALSE)&gt;=2,0.5,0)),0)</f>
        <v>5</v>
      </c>
      <c r="AH19" s="62">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c r="AI19" s="62">
        <f>ROUND(MAX(1,MIN(5,(6-VLOOKUP(F$4,Countries!$B$2:$AN$55,10,FALSE))*0.5+(6-VLOOKUP(F$4,Countries!$B$2:$AN$55,11,FALSE))*0.4+(IF(AND(Pathogens!N16&gt;=0.5,VLOOKUP(F$4,Countries!$B$2:$AN$55,5,FALSE)&lt;60),5,IF(Pathogens!N16&gt;=0.5,4,IF(Pathogens!N16&gt;=0.3,3,IF(Pathogens!N16&gt;=0.1,2,1)))))*0.1)),0)</f>
        <v>2</v>
      </c>
      <c r="AJ19" s="62">
        <f>IF(ISNUMBER(SEARCH("Vaccine-preventable",Pathogens!C16)),2,IF(ISNUMBER(SEARCH("AMR",Pathogens!C16)),5,IF(ISNUMBER(SEARCH("VHF",Pathogens!C16)),4,IF(ISNUMBER(SEARCH("Emerging",Pathogens!C16)),5,IF(ISNUMBER(SEARCH("Mycobacterial",Pathogens!C16)),3,IF(ISNUMBER(SEARCH("Helminth",Pathogens!C16)),3,IF(ISNUMBER(SEARCH("Respiratory",Pathogens!C16)),4,3)))))))</f>
        <v>4</v>
      </c>
      <c r="AK19" s="62">
        <f>IF(ISNUMBER(SEARCH("AMR",Pathogens!C16)),5,IF(ISNUMBER(SEARCH("Mycobacterial",Pathogens!C16)),4,IF(ISNUMBER(SEARCH("Enteric bacterial",Pathogens!C16)),3,IF(ISNUMBER(SEARCH("Bacterial",Pathogens!C16)),3,1))))</f>
        <v>1</v>
      </c>
      <c r="AL1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19" s="62">
        <f>(6-Pathogens!X16)</f>
        <v>2</v>
      </c>
      <c r="AN19" s="62">
        <f>ROUND(MIN(5,MAX(1,0.35*IF(Pathogens!R16=1,5,IF(Pathogens!R16=2,3,1))+0.2*IF(Pathogens!S16=1,5,IF(Pathogens!S16=2,3,1))+0.25*IF(Pathogens!W16=1,IF(VLOOKUP(F$4,Countries!$B$2:$AN$55,38,FALSE)&gt;=3,5,IF(VLOOKUP(F$4,Countries!$B$2:$AN$55,38,FALSE)=2,4,IF(VLOOKUP(F$4,Countries!$B$2:$AN$55,38,FALSE)=1,2,1))),5)+0.2*IF(VLOOKUP(F$4,Countries!$B$2:$AN$55,24,FALSE)&gt;=50,5,IF(VLOOKUP(F$4,Countries!$B$2:$AN$55,24,FALSE)&gt;=25,4,IF(VLOOKUP(F$4,Countries!$B$2:$AN$55,24,FALSE)&gt;=10,3,IF(VLOOKUP(F$4,Countries!$B$2:$AN$55,24,FALSE)&gt;=5,2,1)))))),0)</f>
        <v>4</v>
      </c>
      <c r="AO19" s="62" t="str">
        <f>IFERROR(INDEX(Endemicity!$C$2:$BN$55,MATCH(F$4,Endemicity!$B$2:$B$55,0),MATCH($A19,Endemicity!$C$1:$BN$1,0)),"Sporadic")</f>
        <v>Endemic</v>
      </c>
      <c r="AP19" s="62">
        <f>IF(Settings!$B$48="ON",IFERROR(MATCH($AO19,Settings!$B$35:$F$35,0),5),5)</f>
        <v>1</v>
      </c>
      <c r="AQ19" s="62">
        <f>ROUND(MIN(5,IF(Pathogens!I16&gt;=500,5,IF(Pathogens!I16&gt;=200,4,IF(Pathogens!I16&gt;=50,3,IF(Pathogens!I16&gt;=10,2,1))))*0.5+IF(Pathogens!J16&gt;=30,5,IF(Pathogens!J16&gt;=10,4,IF(Pathogens!J16&gt;=3,3,IF(Pathogens!J16&gt;=1,2,1))))*0.4+IF(AND(VLOOKUP(G$4,Countries!$B$2:$AN$55,4,FALSE)&gt;=80,Pathogens!N16&gt;=0.5),1,0)*0.1+IF(VLOOKUP(G$4,Countries!$B$2:$AN$55,7,FALSE)&lt;50,0.3,0)),0)</f>
        <v>3</v>
      </c>
      <c r="AR19" s="62">
        <f>ROUND(MIN(5,IF(Pathogens!K16&gt;=8,5,IF(Pathogens!K16&gt;=5,4,IF(Pathogens!K16&gt;=3,3,IF(Pathogens!K16&gt;=1,2,1))))*0.5+IF(Pathogens!L16&gt;=5,5,IF(Pathogens!L16&gt;=3,4,IF(Pathogens!L16&gt;=2,3,IF(Pathogens!L16&gt;=1.2,2,1))))*0.3+IF(Pathogens!M16=1,2,0)*0.2+IF(VLOOKUP(G$4,Countries!$B$2:$AN$55,12,FALSE)&gt;=2,0.5,0)),0)</f>
        <v>5</v>
      </c>
      <c r="AS19" s="62">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c r="AT19" s="62">
        <f>ROUND(MAX(1,MIN(5,(6-VLOOKUP(G$4,Countries!$B$2:$AN$55,10,FALSE))*0.5+(6-VLOOKUP(G$4,Countries!$B$2:$AN$55,11,FALSE))*0.4+(IF(AND(Pathogens!N16&gt;=0.5,VLOOKUP(G$4,Countries!$B$2:$AN$55,5,FALSE)&lt;60),5,IF(Pathogens!N16&gt;=0.5,4,IF(Pathogens!N16&gt;=0.3,3,IF(Pathogens!N16&gt;=0.1,2,1)))))*0.1)),0)</f>
        <v>2</v>
      </c>
      <c r="AU19" s="62">
        <f>IF(ISNUMBER(SEARCH("Vaccine-preventable",Pathogens!C16)),2,IF(ISNUMBER(SEARCH("AMR",Pathogens!C16)),5,IF(ISNUMBER(SEARCH("VHF",Pathogens!C16)),4,IF(ISNUMBER(SEARCH("Emerging",Pathogens!C16)),5,IF(ISNUMBER(SEARCH("Mycobacterial",Pathogens!C16)),3,IF(ISNUMBER(SEARCH("Helminth",Pathogens!C16)),3,IF(ISNUMBER(SEARCH("Respiratory",Pathogens!C16)),4,3)))))))</f>
        <v>4</v>
      </c>
      <c r="AV19" s="62">
        <f>IF(ISNUMBER(SEARCH("AMR",Pathogens!C16)),5,IF(ISNUMBER(SEARCH("Mycobacterial",Pathogens!C16)),4,IF(ISNUMBER(SEARCH("Enteric bacterial",Pathogens!C16)),3,IF(ISNUMBER(SEARCH("Bacterial",Pathogens!C16)),3,1))))</f>
        <v>1</v>
      </c>
      <c r="AW1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19" s="62">
        <f>(6-Pathogens!X16)</f>
        <v>2</v>
      </c>
      <c r="AY19" s="62">
        <f>ROUND(MIN(5,MAX(1,0.35*IF(Pathogens!R16=1,5,IF(Pathogens!R16=2,3,1))+0.2*IF(Pathogens!S16=1,5,IF(Pathogens!S16=2,3,1))+0.25*IF(Pathogens!W16=1,IF(VLOOKUP(G$4,Countries!$B$2:$AN$55,38,FALSE)&gt;=3,5,IF(VLOOKUP(G$4,Countries!$B$2:$AN$55,38,FALSE)=2,4,IF(VLOOKUP(G$4,Countries!$B$2:$AN$55,38,FALSE)=1,2,1))),5)+0.2*IF(VLOOKUP(G$4,Countries!$B$2:$AN$55,24,FALSE)&gt;=50,5,IF(VLOOKUP(G$4,Countries!$B$2:$AN$55,24,FALSE)&gt;=25,4,IF(VLOOKUP(G$4,Countries!$B$2:$AN$55,24,FALSE)&gt;=10,3,IF(VLOOKUP(G$4,Countries!$B$2:$AN$55,24,FALSE)&gt;=5,2,1)))))),0)</f>
        <v>4</v>
      </c>
      <c r="AZ19" s="62" t="str">
        <f>IFERROR(INDEX(Endemicity!$C$2:$BN$55,MATCH(G$4,Endemicity!$B$2:$B$55,0),MATCH($A19,Endemicity!$C$1:$BN$1,0)),"Sporadic")</f>
        <v>Endemic</v>
      </c>
      <c r="BA19" s="62">
        <f>IF(Settings!$B$48="ON",IFERROR(MATCH($AZ19,Settings!$B$35:$F$35,0),5),5)</f>
        <v>1</v>
      </c>
    </row>
    <row r="20" customHeight="1" spans="1:53">
      <c r="A20" s="61" t="str">
        <f>Calculator!A49</f>
        <v>MERS</v>
      </c>
      <c r="B20" s="61" t="str">
        <f>Calculator!B49</f>
        <v>MERS-CoV</v>
      </c>
      <c r="C20" s="61" t="str">
        <f>Calculator!C49</f>
        <v>Respiratory viral</v>
      </c>
      <c r="D20" s="52">
        <f>IFERROR(ROUND(MIN(100,(($J20)*Settings!$C$23*INDEX(Settings!$B$36:$F$44,1,$T20)+($K20)*Settings!$C$24*INDEX(Settings!$B$36:$F$44,2,$T20)+($L20)*Settings!$C$25*INDEX(Settings!$B$36:$F$44,3,$T20)+($M20)*Settings!$C$26*INDEX(Settings!$B$36:$F$44,4,$T20)+($N20)*Settings!$C$27*INDEX(Settings!$B$36:$F$44,5,$T20)+($O20)*Settings!$C$28*INDEX(Settings!$B$36:$F$44,6,$T20)+($P20)*Settings!$C$29*INDEX(Settings!$B$36:$F$44,7,$T20)+($Q20)*Settings!$C$30*INDEX(Settings!$B$36:$F$44,8,$T20)+($R20)*Settings!$C$31*INDEX(Settings!$B$36:$F$44,9,$T20))/INDEX(Settings!$B$45:$F$45,1,$T20)/5*100*IF($S20="Not present",Settings!$B$51,1)),1),"")</f>
        <v>61.7</v>
      </c>
      <c r="E20" s="52">
        <f>IFERROR(ROUND(MIN(100,(($U20)*Settings!$C$23*INDEX(Settings!$B$36:$F$44,1,$AE20)+($V20)*Settings!$C$24*INDEX(Settings!$B$36:$F$44,2,$AE20)+($W20)*Settings!$C$25*INDEX(Settings!$B$36:$F$44,3,$AE20)+($X20)*Settings!$C$26*INDEX(Settings!$B$36:$F$44,4,$AE20)+($Y20)*Settings!$C$27*INDEX(Settings!$B$36:$F$44,5,$AE20)+($Z20)*Settings!$C$28*INDEX(Settings!$B$36:$F$44,6,$AE20)+($AA20)*Settings!$C$29*INDEX(Settings!$B$36:$F$44,7,$AE20)+($AB20)*Settings!$C$30*INDEX(Settings!$B$36:$F$44,8,$AE20)+($AC20)*Settings!$C$31*INDEX(Settings!$B$36:$F$44,9,$AE20))/INDEX(Settings!$B$45:$F$45,1,$AE20)/5*100*IF($AD20="Not present",Settings!$B$51,1)),1),"")</f>
        <v>64.8</v>
      </c>
      <c r="F20" s="52">
        <f>IFERROR(ROUND(MIN(100,(($AF20)*Settings!$C$23*INDEX(Settings!$B$36:$F$44,1,$AP20)+($AG20)*Settings!$C$24*INDEX(Settings!$B$36:$F$44,2,$AP20)+($AH20)*Settings!$C$25*INDEX(Settings!$B$36:$F$44,3,$AP20)+($AI20)*Settings!$C$26*INDEX(Settings!$B$36:$F$44,4,$AP20)+($AJ20)*Settings!$C$27*INDEX(Settings!$B$36:$F$44,5,$AP20)+($AK20)*Settings!$C$28*INDEX(Settings!$B$36:$F$44,6,$AP20)+($AL20)*Settings!$C$29*INDEX(Settings!$B$36:$F$44,7,$AP20)+($AM20)*Settings!$C$30*INDEX(Settings!$B$36:$F$44,8,$AP20)+($AN20)*Settings!$C$31*INDEX(Settings!$B$36:$F$44,9,$AP20))/INDEX(Settings!$B$45:$F$45,1,$AP20)/5*100*IF($AO20="Not present",Settings!$B$51,1)),1),"")</f>
        <v>62.7</v>
      </c>
      <c r="G20" s="52">
        <f>IFERROR(ROUND(MIN(100,(($AQ20)*Settings!$C$23*INDEX(Settings!$B$36:$F$44,1,$BA20)+($AR20)*Settings!$C$24*INDEX(Settings!$B$36:$F$44,2,$BA20)+($AS20)*Settings!$C$25*INDEX(Settings!$B$36:$F$44,3,$BA20)+($AT20)*Settings!$C$26*INDEX(Settings!$B$36:$F$44,4,$BA20)+($AU20)*Settings!$C$27*INDEX(Settings!$B$36:$F$44,5,$BA20)+($AV20)*Settings!$C$28*INDEX(Settings!$B$36:$F$44,6,$BA20)+($AW20)*Settings!$C$29*INDEX(Settings!$B$36:$F$44,7,$BA20)+($AX20)*Settings!$C$30*INDEX(Settings!$B$36:$F$44,8,$BA20)+($AY20)*Settings!$C$31*INDEX(Settings!$B$36:$F$44,9,$BA20))/INDEX(Settings!$B$45:$F$45,1,$BA20)/5*100*IF($AZ20="Not present",Settings!$B$51,1)),1),"")</f>
        <v>63.8</v>
      </c>
      <c r="J20" s="62">
        <f>ROUND(MIN(5,IF(Pathogens!I17&gt;=500,5,IF(Pathogens!I17&gt;=200,4,IF(Pathogens!I17&gt;=50,3,IF(Pathogens!I17&gt;=10,2,1))))*0.5+IF(Pathogens!J17&gt;=30,5,IF(Pathogens!J17&gt;=10,4,IF(Pathogens!J17&gt;=3,3,IF(Pathogens!J17&gt;=1,2,1))))*0.4+IF(AND(VLOOKUP(D$4,Countries!$B$2:$AN$55,4,FALSE)&gt;=80,Pathogens!N17&gt;=0.5),1,0)*0.1+IF(VLOOKUP(D$4,Countries!$B$2:$AN$55,7,FALSE)&lt;50,0.3,0)),0)</f>
        <v>3</v>
      </c>
      <c r="K20" s="62">
        <f>ROUND(MIN(5,IF(Pathogens!K17&gt;=8,5,IF(Pathogens!K17&gt;=5,4,IF(Pathogens!K17&gt;=3,3,IF(Pathogens!K17&gt;=1,2,1))))*0.5+IF(Pathogens!L17&gt;=5,5,IF(Pathogens!L17&gt;=3,4,IF(Pathogens!L17&gt;=2,3,IF(Pathogens!L17&gt;=1.2,2,1))))*0.3+IF(Pathogens!M17=1,2,0)*0.2+IF(VLOOKUP(D$4,Countries!$B$2:$AN$55,12,FALSE)&gt;=2,0.5,0)),0)</f>
        <v>3</v>
      </c>
      <c r="L20" s="62">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c r="M20" s="62">
        <f>ROUND(MAX(1,MIN(5,(6-VLOOKUP(D$4,Countries!$B$2:$AN$55,10,FALSE))*0.5+(6-VLOOKUP(D$4,Countries!$B$2:$AN$55,11,FALSE))*0.4+(IF(AND(Pathogens!N17&gt;=0.5,VLOOKUP(D$4,Countries!$B$2:$AN$55,5,FALSE)&lt;60),5,IF(Pathogens!N17&gt;=0.5,4,IF(Pathogens!N17&gt;=0.3,3,IF(Pathogens!N17&gt;=0.1,2,1)))))*0.1)),0)</f>
        <v>2</v>
      </c>
      <c r="N20" s="62">
        <f>IF(ISNUMBER(SEARCH("Vaccine-preventable",Pathogens!C17)),2,IF(ISNUMBER(SEARCH("AMR",Pathogens!C17)),5,IF(ISNUMBER(SEARCH("VHF",Pathogens!C17)),4,IF(ISNUMBER(SEARCH("Emerging",Pathogens!C17)),5,IF(ISNUMBER(SEARCH("Mycobacterial",Pathogens!C17)),3,IF(ISNUMBER(SEARCH("Helminth",Pathogens!C17)),3,IF(ISNUMBER(SEARCH("Respiratory",Pathogens!C17)),4,3)))))))</f>
        <v>4</v>
      </c>
      <c r="O20" s="62">
        <f>IF(ISNUMBER(SEARCH("AMR",Pathogens!C17)),5,IF(ISNUMBER(SEARCH("Mycobacterial",Pathogens!C17)),4,IF(ISNUMBER(SEARCH("Enteric bacterial",Pathogens!C17)),3,IF(ISNUMBER(SEARCH("Bacterial",Pathogens!C17)),3,1))))</f>
        <v>1</v>
      </c>
      <c r="P2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0" s="62">
        <f>(6-Pathogens!X17)</f>
        <v>4</v>
      </c>
      <c r="R20" s="62">
        <f>ROUND(MIN(5,MAX(1,0.35*IF(Pathogens!R17=1,5,IF(Pathogens!R17=2,3,1))+0.2*IF(Pathogens!S17=1,5,IF(Pathogens!S17=2,3,1))+0.25*IF(Pathogens!W17=1,IF(VLOOKUP(D$4,Countries!$B$2:$AN$55,38,FALSE)&gt;=3,5,IF(VLOOKUP(D$4,Countries!$B$2:$AN$55,38,FALSE)=2,4,IF(VLOOKUP(D$4,Countries!$B$2:$AN$55,38,FALSE)=1,2,1))),5)+0.2*IF(VLOOKUP(D$4,Countries!$B$2:$AN$55,24,FALSE)&gt;=50,5,IF(VLOOKUP(D$4,Countries!$B$2:$AN$55,24,FALSE)&gt;=25,4,IF(VLOOKUP(D$4,Countries!$B$2:$AN$55,24,FALSE)&gt;=10,3,IF(VLOOKUP(D$4,Countries!$B$2:$AN$55,24,FALSE)&gt;=5,2,1)))))),0)</f>
        <v>4</v>
      </c>
      <c r="S20" s="62" t="str">
        <f>IFERROR(INDEX(Endemicity!$C$2:$BN$55,MATCH(D$4,Endemicity!$B$2:$B$55,0),MATCH($A20,Endemicity!$C$1:$BN$1,0)),"Sporadic")</f>
        <v>Sporadic</v>
      </c>
      <c r="T20" s="62">
        <f>IF(Settings!$B$48="ON",IFERROR(MATCH($S20,Settings!$B$35:$F$35,0),5),5)</f>
        <v>2</v>
      </c>
      <c r="U20" s="62">
        <f>ROUND(MIN(5,IF(Pathogens!I17&gt;=500,5,IF(Pathogens!I17&gt;=200,4,IF(Pathogens!I17&gt;=50,3,IF(Pathogens!I17&gt;=10,2,1))))*0.5+IF(Pathogens!J17&gt;=30,5,IF(Pathogens!J17&gt;=10,4,IF(Pathogens!J17&gt;=3,3,IF(Pathogens!J17&gt;=1,2,1))))*0.4+IF(AND(VLOOKUP(E$4,Countries!$B$2:$AN$55,4,FALSE)&gt;=80,Pathogens!N17&gt;=0.5),1,0)*0.1+IF(VLOOKUP(E$4,Countries!$B$2:$AN$55,7,FALSE)&lt;50,0.3,0)),0)</f>
        <v>3</v>
      </c>
      <c r="V20" s="62">
        <f>ROUND(MIN(5,IF(Pathogens!K17&gt;=8,5,IF(Pathogens!K17&gt;=5,4,IF(Pathogens!K17&gt;=3,3,IF(Pathogens!K17&gt;=1,2,1))))*0.5+IF(Pathogens!L17&gt;=5,5,IF(Pathogens!L17&gt;=3,4,IF(Pathogens!L17&gt;=2,3,IF(Pathogens!L17&gt;=1.2,2,1))))*0.3+IF(Pathogens!M17=1,2,0)*0.2+IF(VLOOKUP(E$4,Countries!$B$2:$AN$55,12,FALSE)&gt;=2,0.5,0)),0)</f>
        <v>3</v>
      </c>
      <c r="W20" s="62">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c r="X20" s="62">
        <f>ROUND(MAX(1,MIN(5,(6-VLOOKUP(E$4,Countries!$B$2:$AN$55,10,FALSE))*0.5+(6-VLOOKUP(E$4,Countries!$B$2:$AN$55,11,FALSE))*0.4+(IF(AND(Pathogens!N17&gt;=0.5,VLOOKUP(E$4,Countries!$B$2:$AN$55,5,FALSE)&lt;60),5,IF(Pathogens!N17&gt;=0.5,4,IF(Pathogens!N17&gt;=0.3,3,IF(Pathogens!N17&gt;=0.1,2,1)))))*0.1)),0)</f>
        <v>2</v>
      </c>
      <c r="Y20" s="62">
        <f>IF(ISNUMBER(SEARCH("Vaccine-preventable",Pathogens!C17)),2,IF(ISNUMBER(SEARCH("AMR",Pathogens!C17)),5,IF(ISNUMBER(SEARCH("VHF",Pathogens!C17)),4,IF(ISNUMBER(SEARCH("Emerging",Pathogens!C17)),5,IF(ISNUMBER(SEARCH("Mycobacterial",Pathogens!C17)),3,IF(ISNUMBER(SEARCH("Helminth",Pathogens!C17)),3,IF(ISNUMBER(SEARCH("Respiratory",Pathogens!C17)),4,3)))))))</f>
        <v>4</v>
      </c>
      <c r="Z20" s="62">
        <f>IF(ISNUMBER(SEARCH("AMR",Pathogens!C17)),5,IF(ISNUMBER(SEARCH("Mycobacterial",Pathogens!C17)),4,IF(ISNUMBER(SEARCH("Enteric bacterial",Pathogens!C17)),3,IF(ISNUMBER(SEARCH("Bacterial",Pathogens!C17)),3,1))))</f>
        <v>1</v>
      </c>
      <c r="AA2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0" s="62">
        <f>(6-Pathogens!X17)</f>
        <v>4</v>
      </c>
      <c r="AC20" s="62">
        <f>ROUND(MIN(5,MAX(1,0.35*IF(Pathogens!R17=1,5,IF(Pathogens!R17=2,3,1))+0.2*IF(Pathogens!S17=1,5,IF(Pathogens!S17=2,3,1))+0.25*IF(Pathogens!W17=1,IF(VLOOKUP(E$4,Countries!$B$2:$AN$55,38,FALSE)&gt;=3,5,IF(VLOOKUP(E$4,Countries!$B$2:$AN$55,38,FALSE)=2,4,IF(VLOOKUP(E$4,Countries!$B$2:$AN$55,38,FALSE)=1,2,1))),5)+0.2*IF(VLOOKUP(E$4,Countries!$B$2:$AN$55,24,FALSE)&gt;=50,5,IF(VLOOKUP(E$4,Countries!$B$2:$AN$55,24,FALSE)&gt;=25,4,IF(VLOOKUP(E$4,Countries!$B$2:$AN$55,24,FALSE)&gt;=10,3,IF(VLOOKUP(E$4,Countries!$B$2:$AN$55,24,FALSE)&gt;=5,2,1)))))),0)</f>
        <v>4</v>
      </c>
      <c r="AD20" s="62" t="str">
        <f>IFERROR(INDEX(Endemicity!$C$2:$BN$55,MATCH(E$4,Endemicity!$B$2:$B$55,0),MATCH($A20,Endemicity!$C$1:$BN$1,0)),"Sporadic")</f>
        <v>Emerging</v>
      </c>
      <c r="AE20" s="62">
        <f>IF(Settings!$B$48="ON",IFERROR(MATCH($AD20,Settings!$B$35:$F$35,0),5),5)</f>
        <v>3</v>
      </c>
      <c r="AF20" s="62">
        <f>ROUND(MIN(5,IF(Pathogens!I17&gt;=500,5,IF(Pathogens!I17&gt;=200,4,IF(Pathogens!I17&gt;=50,3,IF(Pathogens!I17&gt;=10,2,1))))*0.5+IF(Pathogens!J17&gt;=30,5,IF(Pathogens!J17&gt;=10,4,IF(Pathogens!J17&gt;=3,3,IF(Pathogens!J17&gt;=1,2,1))))*0.4+IF(AND(VLOOKUP(F$4,Countries!$B$2:$AN$55,4,FALSE)&gt;=80,Pathogens!N17&gt;=0.5),1,0)*0.1+IF(VLOOKUP(F$4,Countries!$B$2:$AN$55,7,FALSE)&lt;50,0.3,0)),0)</f>
        <v>3</v>
      </c>
      <c r="AG20" s="62">
        <f>ROUND(MIN(5,IF(Pathogens!K17&gt;=8,5,IF(Pathogens!K17&gt;=5,4,IF(Pathogens!K17&gt;=3,3,IF(Pathogens!K17&gt;=1,2,1))))*0.5+IF(Pathogens!L17&gt;=5,5,IF(Pathogens!L17&gt;=3,4,IF(Pathogens!L17&gt;=2,3,IF(Pathogens!L17&gt;=1.2,2,1))))*0.3+IF(Pathogens!M17=1,2,0)*0.2+IF(VLOOKUP(F$4,Countries!$B$2:$AN$55,12,FALSE)&gt;=2,0.5,0)),0)</f>
        <v>3</v>
      </c>
      <c r="AH20" s="62">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c r="AI20" s="62">
        <f>ROUND(MAX(1,MIN(5,(6-VLOOKUP(F$4,Countries!$B$2:$AN$55,10,FALSE))*0.5+(6-VLOOKUP(F$4,Countries!$B$2:$AN$55,11,FALSE))*0.4+(IF(AND(Pathogens!N17&gt;=0.5,VLOOKUP(F$4,Countries!$B$2:$AN$55,5,FALSE)&lt;60),5,IF(Pathogens!N17&gt;=0.5,4,IF(Pathogens!N17&gt;=0.3,3,IF(Pathogens!N17&gt;=0.1,2,1)))))*0.1)),0)</f>
        <v>2</v>
      </c>
      <c r="AJ20" s="62">
        <f>IF(ISNUMBER(SEARCH("Vaccine-preventable",Pathogens!C17)),2,IF(ISNUMBER(SEARCH("AMR",Pathogens!C17)),5,IF(ISNUMBER(SEARCH("VHF",Pathogens!C17)),4,IF(ISNUMBER(SEARCH("Emerging",Pathogens!C17)),5,IF(ISNUMBER(SEARCH("Mycobacterial",Pathogens!C17)),3,IF(ISNUMBER(SEARCH("Helminth",Pathogens!C17)),3,IF(ISNUMBER(SEARCH("Respiratory",Pathogens!C17)),4,3)))))))</f>
        <v>4</v>
      </c>
      <c r="AK20" s="62">
        <f>IF(ISNUMBER(SEARCH("AMR",Pathogens!C17)),5,IF(ISNUMBER(SEARCH("Mycobacterial",Pathogens!C17)),4,IF(ISNUMBER(SEARCH("Enteric bacterial",Pathogens!C17)),3,IF(ISNUMBER(SEARCH("Bacterial",Pathogens!C17)),3,1))))</f>
        <v>1</v>
      </c>
      <c r="AL2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0" s="62">
        <f>(6-Pathogens!X17)</f>
        <v>4</v>
      </c>
      <c r="AN20" s="62">
        <f>ROUND(MIN(5,MAX(1,0.35*IF(Pathogens!R17=1,5,IF(Pathogens!R17=2,3,1))+0.2*IF(Pathogens!S17=1,5,IF(Pathogens!S17=2,3,1))+0.25*IF(Pathogens!W17=1,IF(VLOOKUP(F$4,Countries!$B$2:$AN$55,38,FALSE)&gt;=3,5,IF(VLOOKUP(F$4,Countries!$B$2:$AN$55,38,FALSE)=2,4,IF(VLOOKUP(F$4,Countries!$B$2:$AN$55,38,FALSE)=1,2,1))),5)+0.2*IF(VLOOKUP(F$4,Countries!$B$2:$AN$55,24,FALSE)&gt;=50,5,IF(VLOOKUP(F$4,Countries!$B$2:$AN$55,24,FALSE)&gt;=25,4,IF(VLOOKUP(F$4,Countries!$B$2:$AN$55,24,FALSE)&gt;=10,3,IF(VLOOKUP(F$4,Countries!$B$2:$AN$55,24,FALSE)&gt;=5,2,1)))))),0)</f>
        <v>4</v>
      </c>
      <c r="AO20" s="62" t="str">
        <f>IFERROR(INDEX(Endemicity!$C$2:$BN$55,MATCH(F$4,Endemicity!$B$2:$B$55,0),MATCH($A20,Endemicity!$C$1:$BN$1,0)),"Sporadic")</f>
        <v>Emerging</v>
      </c>
      <c r="AP20" s="62">
        <f>IF(Settings!$B$48="ON",IFERROR(MATCH($AO20,Settings!$B$35:$F$35,0),5),5)</f>
        <v>3</v>
      </c>
      <c r="AQ20" s="62">
        <f>ROUND(MIN(5,IF(Pathogens!I17&gt;=500,5,IF(Pathogens!I17&gt;=200,4,IF(Pathogens!I17&gt;=50,3,IF(Pathogens!I17&gt;=10,2,1))))*0.5+IF(Pathogens!J17&gt;=30,5,IF(Pathogens!J17&gt;=10,4,IF(Pathogens!J17&gt;=3,3,IF(Pathogens!J17&gt;=1,2,1))))*0.4+IF(AND(VLOOKUP(G$4,Countries!$B$2:$AN$55,4,FALSE)&gt;=80,Pathogens!N17&gt;=0.5),1,0)*0.1+IF(VLOOKUP(G$4,Countries!$B$2:$AN$55,7,FALSE)&lt;50,0.3,0)),0)</f>
        <v>3</v>
      </c>
      <c r="AR20" s="62">
        <f>ROUND(MIN(5,IF(Pathogens!K17&gt;=8,5,IF(Pathogens!K17&gt;=5,4,IF(Pathogens!K17&gt;=3,3,IF(Pathogens!K17&gt;=1,2,1))))*0.5+IF(Pathogens!L17&gt;=5,5,IF(Pathogens!L17&gt;=3,4,IF(Pathogens!L17&gt;=2,3,IF(Pathogens!L17&gt;=1.2,2,1))))*0.3+IF(Pathogens!M17=1,2,0)*0.2+IF(VLOOKUP(G$4,Countries!$B$2:$AN$55,12,FALSE)&gt;=2,0.5,0)),0)</f>
        <v>3</v>
      </c>
      <c r="AS20" s="62">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c r="AT20" s="62">
        <f>ROUND(MAX(1,MIN(5,(6-VLOOKUP(G$4,Countries!$B$2:$AN$55,10,FALSE))*0.5+(6-VLOOKUP(G$4,Countries!$B$2:$AN$55,11,FALSE))*0.4+(IF(AND(Pathogens!N17&gt;=0.5,VLOOKUP(G$4,Countries!$B$2:$AN$55,5,FALSE)&lt;60),5,IF(Pathogens!N17&gt;=0.5,4,IF(Pathogens!N17&gt;=0.3,3,IF(Pathogens!N17&gt;=0.1,2,1)))))*0.1)),0)</f>
        <v>2</v>
      </c>
      <c r="AU20" s="62">
        <f>IF(ISNUMBER(SEARCH("Vaccine-preventable",Pathogens!C17)),2,IF(ISNUMBER(SEARCH("AMR",Pathogens!C17)),5,IF(ISNUMBER(SEARCH("VHF",Pathogens!C17)),4,IF(ISNUMBER(SEARCH("Emerging",Pathogens!C17)),5,IF(ISNUMBER(SEARCH("Mycobacterial",Pathogens!C17)),3,IF(ISNUMBER(SEARCH("Helminth",Pathogens!C17)),3,IF(ISNUMBER(SEARCH("Respiratory",Pathogens!C17)),4,3)))))))</f>
        <v>4</v>
      </c>
      <c r="AV20" s="62">
        <f>IF(ISNUMBER(SEARCH("AMR",Pathogens!C17)),5,IF(ISNUMBER(SEARCH("Mycobacterial",Pathogens!C17)),4,IF(ISNUMBER(SEARCH("Enteric bacterial",Pathogens!C17)),3,IF(ISNUMBER(SEARCH("Bacterial",Pathogens!C17)),3,1))))</f>
        <v>1</v>
      </c>
      <c r="AW2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0" s="62">
        <f>(6-Pathogens!X17)</f>
        <v>4</v>
      </c>
      <c r="AY20" s="62">
        <f>ROUND(MIN(5,MAX(1,0.35*IF(Pathogens!R17=1,5,IF(Pathogens!R17=2,3,1))+0.2*IF(Pathogens!S17=1,5,IF(Pathogens!S17=2,3,1))+0.25*IF(Pathogens!W17=1,IF(VLOOKUP(G$4,Countries!$B$2:$AN$55,38,FALSE)&gt;=3,5,IF(VLOOKUP(G$4,Countries!$B$2:$AN$55,38,FALSE)=2,4,IF(VLOOKUP(G$4,Countries!$B$2:$AN$55,38,FALSE)=1,2,1))),5)+0.2*IF(VLOOKUP(G$4,Countries!$B$2:$AN$55,24,FALSE)&gt;=50,5,IF(VLOOKUP(G$4,Countries!$B$2:$AN$55,24,FALSE)&gt;=25,4,IF(VLOOKUP(G$4,Countries!$B$2:$AN$55,24,FALSE)&gt;=10,3,IF(VLOOKUP(G$4,Countries!$B$2:$AN$55,24,FALSE)&gt;=5,2,1)))))),0)</f>
        <v>4</v>
      </c>
      <c r="AZ20" s="62" t="str">
        <f>IFERROR(INDEX(Endemicity!$C$2:$BN$55,MATCH(G$4,Endemicity!$B$2:$B$55,0),MATCH($A20,Endemicity!$C$1:$BN$1,0)),"Sporadic")</f>
        <v>Emerging</v>
      </c>
      <c r="BA20" s="62">
        <f>IF(Settings!$B$48="ON",IFERROR(MATCH($AZ20,Settings!$B$35:$F$35,0),5),5)</f>
        <v>3</v>
      </c>
    </row>
    <row r="21" customHeight="1" spans="1:53">
      <c r="A21" s="61" t="str">
        <f>Calculator!A50</f>
        <v>FLUA</v>
      </c>
      <c r="B21" s="61" t="str">
        <f>Calculator!B50</f>
        <v>Influenza A (H1N1, H3N2)</v>
      </c>
      <c r="C21" s="61" t="str">
        <f>Calculator!C50</f>
        <v>Respiratory viral</v>
      </c>
      <c r="D21" s="52">
        <f>IFERROR(ROUND(MIN(100,(($J21)*Settings!$C$23*INDEX(Settings!$B$36:$F$44,1,$T21)+($K21)*Settings!$C$24*INDEX(Settings!$B$36:$F$44,2,$T21)+($L21)*Settings!$C$25*INDEX(Settings!$B$36:$F$44,3,$T21)+($M21)*Settings!$C$26*INDEX(Settings!$B$36:$F$44,4,$T21)+($N21)*Settings!$C$27*INDEX(Settings!$B$36:$F$44,5,$T21)+($O21)*Settings!$C$28*INDEX(Settings!$B$36:$F$44,6,$T21)+($P21)*Settings!$C$29*INDEX(Settings!$B$36:$F$44,7,$T21)+($Q21)*Settings!$C$30*INDEX(Settings!$B$36:$F$44,8,$T21)+($R21)*Settings!$C$31*INDEX(Settings!$B$36:$F$44,9,$T21))/INDEX(Settings!$B$45:$F$45,1,$T21)/5*100*IF($S21="Not present",Settings!$B$51,1)),1),"")</f>
        <v>65.5</v>
      </c>
      <c r="E21" s="52">
        <f>IFERROR(ROUND(MIN(100,(($U21)*Settings!$C$23*INDEX(Settings!$B$36:$F$44,1,$AE21)+($V21)*Settings!$C$24*INDEX(Settings!$B$36:$F$44,2,$AE21)+($W21)*Settings!$C$25*INDEX(Settings!$B$36:$F$44,3,$AE21)+($X21)*Settings!$C$26*INDEX(Settings!$B$36:$F$44,4,$AE21)+($Y21)*Settings!$C$27*INDEX(Settings!$B$36:$F$44,5,$AE21)+($Z21)*Settings!$C$28*INDEX(Settings!$B$36:$F$44,6,$AE21)+($AA21)*Settings!$C$29*INDEX(Settings!$B$36:$F$44,7,$AE21)+($AB21)*Settings!$C$30*INDEX(Settings!$B$36:$F$44,8,$AE21)+($AC21)*Settings!$C$31*INDEX(Settings!$B$36:$F$44,9,$AE21))/INDEX(Settings!$B$45:$F$45,1,$AE21)/5*100*IF($AD21="Not present",Settings!$B$51,1)),1),"")</f>
        <v>66.3</v>
      </c>
      <c r="F21" s="52">
        <f>IFERROR(ROUND(MIN(100,(($AF21)*Settings!$C$23*INDEX(Settings!$B$36:$F$44,1,$AP21)+($AG21)*Settings!$C$24*INDEX(Settings!$B$36:$F$44,2,$AP21)+($AH21)*Settings!$C$25*INDEX(Settings!$B$36:$F$44,3,$AP21)+($AI21)*Settings!$C$26*INDEX(Settings!$B$36:$F$44,4,$AP21)+($AJ21)*Settings!$C$27*INDEX(Settings!$B$36:$F$44,5,$AP21)+($AK21)*Settings!$C$28*INDEX(Settings!$B$36:$F$44,6,$AP21)+($AL21)*Settings!$C$29*INDEX(Settings!$B$36:$F$44,7,$AP21)+($AM21)*Settings!$C$30*INDEX(Settings!$B$36:$F$44,8,$AP21)+($AN21)*Settings!$C$31*INDEX(Settings!$B$36:$F$44,9,$AP21))/INDEX(Settings!$B$45:$F$45,1,$AP21)/5*100*IF($AO21="Not present",Settings!$B$51,1)),1),"")</f>
        <v>62.7</v>
      </c>
      <c r="G21" s="52">
        <f>IFERROR(ROUND(MIN(100,(($AQ21)*Settings!$C$23*INDEX(Settings!$B$36:$F$44,1,$BA21)+($AR21)*Settings!$C$24*INDEX(Settings!$B$36:$F$44,2,$BA21)+($AS21)*Settings!$C$25*INDEX(Settings!$B$36:$F$44,3,$BA21)+($AT21)*Settings!$C$26*INDEX(Settings!$B$36:$F$44,4,$BA21)+($AU21)*Settings!$C$27*INDEX(Settings!$B$36:$F$44,5,$BA21)+($AV21)*Settings!$C$28*INDEX(Settings!$B$36:$F$44,6,$BA21)+($AW21)*Settings!$C$29*INDEX(Settings!$B$36:$F$44,7,$BA21)+($AX21)*Settings!$C$30*INDEX(Settings!$B$36:$F$44,8,$BA21)+($AY21)*Settings!$C$31*INDEX(Settings!$B$36:$F$44,9,$BA21))/INDEX(Settings!$B$45:$F$45,1,$BA21)/5*100*IF($AZ21="Not present",Settings!$B$51,1)),1),"")</f>
        <v>64.5</v>
      </c>
      <c r="J21" s="62">
        <f>ROUND(MIN(5,IF(Pathogens!I18&gt;=500,5,IF(Pathogens!I18&gt;=200,4,IF(Pathogens!I18&gt;=50,3,IF(Pathogens!I18&gt;=10,2,1))))*0.5+IF(Pathogens!J18&gt;=30,5,IF(Pathogens!J18&gt;=10,4,IF(Pathogens!J18&gt;=3,3,IF(Pathogens!J18&gt;=1,2,1))))*0.4+IF(AND(VLOOKUP(D$4,Countries!$B$2:$AN$55,4,FALSE)&gt;=80,Pathogens!N18&gt;=0.5),1,0)*0.1+IF(VLOOKUP(D$4,Countries!$B$2:$AN$55,7,FALSE)&lt;50,0.3,0)),0)</f>
        <v>3</v>
      </c>
      <c r="K21" s="62">
        <f>ROUND(MIN(5,IF(Pathogens!K18&gt;=8,5,IF(Pathogens!K18&gt;=5,4,IF(Pathogens!K18&gt;=3,3,IF(Pathogens!K18&gt;=1,2,1))))*0.5+IF(Pathogens!L18&gt;=5,5,IF(Pathogens!L18&gt;=3,4,IF(Pathogens!L18&gt;=2,3,IF(Pathogens!L18&gt;=1.2,2,1))))*0.3+IF(Pathogens!M18=1,2,0)*0.2+IF(VLOOKUP(D$4,Countries!$B$2:$AN$55,12,FALSE)&gt;=2,0.5,0)),0)</f>
        <v>4</v>
      </c>
      <c r="L21" s="62">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c r="M21" s="62">
        <f>ROUND(MAX(1,MIN(5,(6-VLOOKUP(D$4,Countries!$B$2:$AN$55,10,FALSE))*0.5+(6-VLOOKUP(D$4,Countries!$B$2:$AN$55,11,FALSE))*0.4+(IF(AND(Pathogens!N18&gt;=0.5,VLOOKUP(D$4,Countries!$B$2:$AN$55,5,FALSE)&lt;60),5,IF(Pathogens!N18&gt;=0.5,4,IF(Pathogens!N18&gt;=0.3,3,IF(Pathogens!N18&gt;=0.1,2,1)))))*0.1)),0)</f>
        <v>2</v>
      </c>
      <c r="N21" s="62">
        <f>IF(ISNUMBER(SEARCH("Vaccine-preventable",Pathogens!C18)),2,IF(ISNUMBER(SEARCH("AMR",Pathogens!C18)),5,IF(ISNUMBER(SEARCH("VHF",Pathogens!C18)),4,IF(ISNUMBER(SEARCH("Emerging",Pathogens!C18)),5,IF(ISNUMBER(SEARCH("Mycobacterial",Pathogens!C18)),3,IF(ISNUMBER(SEARCH("Helminth",Pathogens!C18)),3,IF(ISNUMBER(SEARCH("Respiratory",Pathogens!C18)),4,3)))))))</f>
        <v>4</v>
      </c>
      <c r="O21" s="62">
        <f>IF(ISNUMBER(SEARCH("AMR",Pathogens!C18)),5,IF(ISNUMBER(SEARCH("Mycobacterial",Pathogens!C18)),4,IF(ISNUMBER(SEARCH("Enteric bacterial",Pathogens!C18)),3,IF(ISNUMBER(SEARCH("Bacterial",Pathogens!C18)),3,1))))</f>
        <v>1</v>
      </c>
      <c r="P2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1" s="62">
        <f>(6-Pathogens!X18)</f>
        <v>3</v>
      </c>
      <c r="R21" s="62">
        <f>ROUND(MIN(5,MAX(1,0.35*IF(Pathogens!R18=1,5,IF(Pathogens!R18=2,3,1))+0.2*IF(Pathogens!S18=1,5,IF(Pathogens!S18=2,3,1))+0.25*IF(Pathogens!W18=1,IF(VLOOKUP(D$4,Countries!$B$2:$AN$55,38,FALSE)&gt;=3,5,IF(VLOOKUP(D$4,Countries!$B$2:$AN$55,38,FALSE)=2,4,IF(VLOOKUP(D$4,Countries!$B$2:$AN$55,38,FALSE)=1,2,1))),5)+0.2*IF(VLOOKUP(D$4,Countries!$B$2:$AN$55,24,FALSE)&gt;=50,5,IF(VLOOKUP(D$4,Countries!$B$2:$AN$55,24,FALSE)&gt;=25,4,IF(VLOOKUP(D$4,Countries!$B$2:$AN$55,24,FALSE)&gt;=10,3,IF(VLOOKUP(D$4,Countries!$B$2:$AN$55,24,FALSE)&gt;=5,2,1)))))),0)</f>
        <v>5</v>
      </c>
      <c r="S21" s="62" t="str">
        <f>IFERROR(INDEX(Endemicity!$C$2:$BN$55,MATCH(D$4,Endemicity!$B$2:$B$55,0),MATCH($A21,Endemicity!$C$1:$BN$1,0)),"Sporadic")</f>
        <v>Endemic</v>
      </c>
      <c r="T21" s="62">
        <f>IF(Settings!$B$48="ON",IFERROR(MATCH($S21,Settings!$B$35:$F$35,0),5),5)</f>
        <v>1</v>
      </c>
      <c r="U21" s="62">
        <f>ROUND(MIN(5,IF(Pathogens!I18&gt;=500,5,IF(Pathogens!I18&gt;=200,4,IF(Pathogens!I18&gt;=50,3,IF(Pathogens!I18&gt;=10,2,1))))*0.5+IF(Pathogens!J18&gt;=30,5,IF(Pathogens!J18&gt;=10,4,IF(Pathogens!J18&gt;=3,3,IF(Pathogens!J18&gt;=1,2,1))))*0.4+IF(AND(VLOOKUP(E$4,Countries!$B$2:$AN$55,4,FALSE)&gt;=80,Pathogens!N18&gt;=0.5),1,0)*0.1+IF(VLOOKUP(E$4,Countries!$B$2:$AN$55,7,FALSE)&lt;50,0.3,0)),0)</f>
        <v>3</v>
      </c>
      <c r="V21" s="62">
        <f>ROUND(MIN(5,IF(Pathogens!K18&gt;=8,5,IF(Pathogens!K18&gt;=5,4,IF(Pathogens!K18&gt;=3,3,IF(Pathogens!K18&gt;=1,2,1))))*0.5+IF(Pathogens!L18&gt;=5,5,IF(Pathogens!L18&gt;=3,4,IF(Pathogens!L18&gt;=2,3,IF(Pathogens!L18&gt;=1.2,2,1))))*0.3+IF(Pathogens!M18=1,2,0)*0.2+IF(VLOOKUP(E$4,Countries!$B$2:$AN$55,12,FALSE)&gt;=2,0.5,0)),0)</f>
        <v>4</v>
      </c>
      <c r="W21" s="62">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c r="X21" s="62">
        <f>ROUND(MAX(1,MIN(5,(6-VLOOKUP(E$4,Countries!$B$2:$AN$55,10,FALSE))*0.5+(6-VLOOKUP(E$4,Countries!$B$2:$AN$55,11,FALSE))*0.4+(IF(AND(Pathogens!N18&gt;=0.5,VLOOKUP(E$4,Countries!$B$2:$AN$55,5,FALSE)&lt;60),5,IF(Pathogens!N18&gt;=0.5,4,IF(Pathogens!N18&gt;=0.3,3,IF(Pathogens!N18&gt;=0.1,2,1)))))*0.1)),0)</f>
        <v>2</v>
      </c>
      <c r="Y21" s="62">
        <f>IF(ISNUMBER(SEARCH("Vaccine-preventable",Pathogens!C18)),2,IF(ISNUMBER(SEARCH("AMR",Pathogens!C18)),5,IF(ISNUMBER(SEARCH("VHF",Pathogens!C18)),4,IF(ISNUMBER(SEARCH("Emerging",Pathogens!C18)),5,IF(ISNUMBER(SEARCH("Mycobacterial",Pathogens!C18)),3,IF(ISNUMBER(SEARCH("Helminth",Pathogens!C18)),3,IF(ISNUMBER(SEARCH("Respiratory",Pathogens!C18)),4,3)))))))</f>
        <v>4</v>
      </c>
      <c r="Z21" s="62">
        <f>IF(ISNUMBER(SEARCH("AMR",Pathogens!C18)),5,IF(ISNUMBER(SEARCH("Mycobacterial",Pathogens!C18)),4,IF(ISNUMBER(SEARCH("Enteric bacterial",Pathogens!C18)),3,IF(ISNUMBER(SEARCH("Bacterial",Pathogens!C18)),3,1))))</f>
        <v>1</v>
      </c>
      <c r="AA2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1" s="62">
        <f>(6-Pathogens!X18)</f>
        <v>3</v>
      </c>
      <c r="AC21" s="62">
        <f>ROUND(MIN(5,MAX(1,0.35*IF(Pathogens!R18=1,5,IF(Pathogens!R18=2,3,1))+0.2*IF(Pathogens!S18=1,5,IF(Pathogens!S18=2,3,1))+0.25*IF(Pathogens!W18=1,IF(VLOOKUP(E$4,Countries!$B$2:$AN$55,38,FALSE)&gt;=3,5,IF(VLOOKUP(E$4,Countries!$B$2:$AN$55,38,FALSE)=2,4,IF(VLOOKUP(E$4,Countries!$B$2:$AN$55,38,FALSE)=1,2,1))),5)+0.2*IF(VLOOKUP(E$4,Countries!$B$2:$AN$55,24,FALSE)&gt;=50,5,IF(VLOOKUP(E$4,Countries!$B$2:$AN$55,24,FALSE)&gt;=25,4,IF(VLOOKUP(E$4,Countries!$B$2:$AN$55,24,FALSE)&gt;=10,3,IF(VLOOKUP(E$4,Countries!$B$2:$AN$55,24,FALSE)&gt;=5,2,1)))))),0)</f>
        <v>4</v>
      </c>
      <c r="AD21" s="62" t="str">
        <f>IFERROR(INDEX(Endemicity!$C$2:$BN$55,MATCH(E$4,Endemicity!$B$2:$B$55,0),MATCH($A21,Endemicity!$C$1:$BN$1,0)),"Sporadic")</f>
        <v>Endemic</v>
      </c>
      <c r="AE21" s="62">
        <f>IF(Settings!$B$48="ON",IFERROR(MATCH($AD21,Settings!$B$35:$F$35,0),5),5)</f>
        <v>1</v>
      </c>
      <c r="AF21" s="62">
        <f>ROUND(MIN(5,IF(Pathogens!I18&gt;=500,5,IF(Pathogens!I18&gt;=200,4,IF(Pathogens!I18&gt;=50,3,IF(Pathogens!I18&gt;=10,2,1))))*0.5+IF(Pathogens!J18&gt;=30,5,IF(Pathogens!J18&gt;=10,4,IF(Pathogens!J18&gt;=3,3,IF(Pathogens!J18&gt;=1,2,1))))*0.4+IF(AND(VLOOKUP(F$4,Countries!$B$2:$AN$55,4,FALSE)&gt;=80,Pathogens!N18&gt;=0.5),1,0)*0.1+IF(VLOOKUP(F$4,Countries!$B$2:$AN$55,7,FALSE)&lt;50,0.3,0)),0)</f>
        <v>3</v>
      </c>
      <c r="AG21" s="62">
        <f>ROUND(MIN(5,IF(Pathogens!K18&gt;=8,5,IF(Pathogens!K18&gt;=5,4,IF(Pathogens!K18&gt;=3,3,IF(Pathogens!K18&gt;=1,2,1))))*0.5+IF(Pathogens!L18&gt;=5,5,IF(Pathogens!L18&gt;=3,4,IF(Pathogens!L18&gt;=2,3,IF(Pathogens!L18&gt;=1.2,2,1))))*0.3+IF(Pathogens!M18=1,2,0)*0.2+IF(VLOOKUP(F$4,Countries!$B$2:$AN$55,12,FALSE)&gt;=2,0.5,0)),0)</f>
        <v>4</v>
      </c>
      <c r="AH21" s="62">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c r="AI21" s="62">
        <f>ROUND(MAX(1,MIN(5,(6-VLOOKUP(F$4,Countries!$B$2:$AN$55,10,FALSE))*0.5+(6-VLOOKUP(F$4,Countries!$B$2:$AN$55,11,FALSE))*0.4+(IF(AND(Pathogens!N18&gt;=0.5,VLOOKUP(F$4,Countries!$B$2:$AN$55,5,FALSE)&lt;60),5,IF(Pathogens!N18&gt;=0.5,4,IF(Pathogens!N18&gt;=0.3,3,IF(Pathogens!N18&gt;=0.1,2,1)))))*0.1)),0)</f>
        <v>2</v>
      </c>
      <c r="AJ21" s="62">
        <f>IF(ISNUMBER(SEARCH("Vaccine-preventable",Pathogens!C18)),2,IF(ISNUMBER(SEARCH("AMR",Pathogens!C18)),5,IF(ISNUMBER(SEARCH("VHF",Pathogens!C18)),4,IF(ISNUMBER(SEARCH("Emerging",Pathogens!C18)),5,IF(ISNUMBER(SEARCH("Mycobacterial",Pathogens!C18)),3,IF(ISNUMBER(SEARCH("Helminth",Pathogens!C18)),3,IF(ISNUMBER(SEARCH("Respiratory",Pathogens!C18)),4,3)))))))</f>
        <v>4</v>
      </c>
      <c r="AK21" s="62">
        <f>IF(ISNUMBER(SEARCH("AMR",Pathogens!C18)),5,IF(ISNUMBER(SEARCH("Mycobacterial",Pathogens!C18)),4,IF(ISNUMBER(SEARCH("Enteric bacterial",Pathogens!C18)),3,IF(ISNUMBER(SEARCH("Bacterial",Pathogens!C18)),3,1))))</f>
        <v>1</v>
      </c>
      <c r="AL2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1" s="62">
        <f>(6-Pathogens!X18)</f>
        <v>3</v>
      </c>
      <c r="AN21" s="62">
        <f>ROUND(MIN(5,MAX(1,0.35*IF(Pathogens!R18=1,5,IF(Pathogens!R18=2,3,1))+0.2*IF(Pathogens!S18=1,5,IF(Pathogens!S18=2,3,1))+0.25*IF(Pathogens!W18=1,IF(VLOOKUP(F$4,Countries!$B$2:$AN$55,38,FALSE)&gt;=3,5,IF(VLOOKUP(F$4,Countries!$B$2:$AN$55,38,FALSE)=2,4,IF(VLOOKUP(F$4,Countries!$B$2:$AN$55,38,FALSE)=1,2,1))),5)+0.2*IF(VLOOKUP(F$4,Countries!$B$2:$AN$55,24,FALSE)&gt;=50,5,IF(VLOOKUP(F$4,Countries!$B$2:$AN$55,24,FALSE)&gt;=25,4,IF(VLOOKUP(F$4,Countries!$B$2:$AN$55,24,FALSE)&gt;=10,3,IF(VLOOKUP(F$4,Countries!$B$2:$AN$55,24,FALSE)&gt;=5,2,1)))))),0)</f>
        <v>4</v>
      </c>
      <c r="AO21" s="62" t="str">
        <f>IFERROR(INDEX(Endemicity!$C$2:$BN$55,MATCH(F$4,Endemicity!$B$2:$B$55,0),MATCH($A21,Endemicity!$C$1:$BN$1,0)),"Sporadic")</f>
        <v>Endemic</v>
      </c>
      <c r="AP21" s="62">
        <f>IF(Settings!$B$48="ON",IFERROR(MATCH($AO21,Settings!$B$35:$F$35,0),5),5)</f>
        <v>1</v>
      </c>
      <c r="AQ21" s="62">
        <f>ROUND(MIN(5,IF(Pathogens!I18&gt;=500,5,IF(Pathogens!I18&gt;=200,4,IF(Pathogens!I18&gt;=50,3,IF(Pathogens!I18&gt;=10,2,1))))*0.5+IF(Pathogens!J18&gt;=30,5,IF(Pathogens!J18&gt;=10,4,IF(Pathogens!J18&gt;=3,3,IF(Pathogens!J18&gt;=1,2,1))))*0.4+IF(AND(VLOOKUP(G$4,Countries!$B$2:$AN$55,4,FALSE)&gt;=80,Pathogens!N18&gt;=0.5),1,0)*0.1+IF(VLOOKUP(G$4,Countries!$B$2:$AN$55,7,FALSE)&lt;50,0.3,0)),0)</f>
        <v>3</v>
      </c>
      <c r="AR21" s="62">
        <f>ROUND(MIN(5,IF(Pathogens!K18&gt;=8,5,IF(Pathogens!K18&gt;=5,4,IF(Pathogens!K18&gt;=3,3,IF(Pathogens!K18&gt;=1,2,1))))*0.5+IF(Pathogens!L18&gt;=5,5,IF(Pathogens!L18&gt;=3,4,IF(Pathogens!L18&gt;=2,3,IF(Pathogens!L18&gt;=1.2,2,1))))*0.3+IF(Pathogens!M18=1,2,0)*0.2+IF(VLOOKUP(G$4,Countries!$B$2:$AN$55,12,FALSE)&gt;=2,0.5,0)),0)</f>
        <v>4</v>
      </c>
      <c r="AS21" s="62">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c r="AT21" s="62">
        <f>ROUND(MAX(1,MIN(5,(6-VLOOKUP(G$4,Countries!$B$2:$AN$55,10,FALSE))*0.5+(6-VLOOKUP(G$4,Countries!$B$2:$AN$55,11,FALSE))*0.4+(IF(AND(Pathogens!N18&gt;=0.5,VLOOKUP(G$4,Countries!$B$2:$AN$55,5,FALSE)&lt;60),5,IF(Pathogens!N18&gt;=0.5,4,IF(Pathogens!N18&gt;=0.3,3,IF(Pathogens!N18&gt;=0.1,2,1)))))*0.1)),0)</f>
        <v>2</v>
      </c>
      <c r="AU21" s="62">
        <f>IF(ISNUMBER(SEARCH("Vaccine-preventable",Pathogens!C18)),2,IF(ISNUMBER(SEARCH("AMR",Pathogens!C18)),5,IF(ISNUMBER(SEARCH("VHF",Pathogens!C18)),4,IF(ISNUMBER(SEARCH("Emerging",Pathogens!C18)),5,IF(ISNUMBER(SEARCH("Mycobacterial",Pathogens!C18)),3,IF(ISNUMBER(SEARCH("Helminth",Pathogens!C18)),3,IF(ISNUMBER(SEARCH("Respiratory",Pathogens!C18)),4,3)))))))</f>
        <v>4</v>
      </c>
      <c r="AV21" s="62">
        <f>IF(ISNUMBER(SEARCH("AMR",Pathogens!C18)),5,IF(ISNUMBER(SEARCH("Mycobacterial",Pathogens!C18)),4,IF(ISNUMBER(SEARCH("Enteric bacterial",Pathogens!C18)),3,IF(ISNUMBER(SEARCH("Bacterial",Pathogens!C18)),3,1))))</f>
        <v>1</v>
      </c>
      <c r="AW2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1" s="62">
        <f>(6-Pathogens!X18)</f>
        <v>3</v>
      </c>
      <c r="AY21" s="62">
        <f>ROUND(MIN(5,MAX(1,0.35*IF(Pathogens!R18=1,5,IF(Pathogens!R18=2,3,1))+0.2*IF(Pathogens!S18=1,5,IF(Pathogens!S18=2,3,1))+0.25*IF(Pathogens!W18=1,IF(VLOOKUP(G$4,Countries!$B$2:$AN$55,38,FALSE)&gt;=3,5,IF(VLOOKUP(G$4,Countries!$B$2:$AN$55,38,FALSE)=2,4,IF(VLOOKUP(G$4,Countries!$B$2:$AN$55,38,FALSE)=1,2,1))),5)+0.2*IF(VLOOKUP(G$4,Countries!$B$2:$AN$55,24,FALSE)&gt;=50,5,IF(VLOOKUP(G$4,Countries!$B$2:$AN$55,24,FALSE)&gt;=25,4,IF(VLOOKUP(G$4,Countries!$B$2:$AN$55,24,FALSE)&gt;=10,3,IF(VLOOKUP(G$4,Countries!$B$2:$AN$55,24,FALSE)&gt;=5,2,1)))))),0)</f>
        <v>4</v>
      </c>
      <c r="AZ21" s="62" t="str">
        <f>IFERROR(INDEX(Endemicity!$C$2:$BN$55,MATCH(G$4,Endemicity!$B$2:$B$55,0),MATCH($A21,Endemicity!$C$1:$BN$1,0)),"Sporadic")</f>
        <v>Endemic</v>
      </c>
      <c r="BA21" s="62">
        <f>IF(Settings!$B$48="ON",IFERROR(MATCH($AZ21,Settings!$B$35:$F$35,0),5),5)</f>
        <v>1</v>
      </c>
    </row>
    <row r="22" customHeight="1" spans="1:53">
      <c r="A22" s="61" t="str">
        <f>Calculator!A51</f>
        <v>H5N1</v>
      </c>
      <c r="B22" s="61" t="str">
        <f>Calculator!B51</f>
        <v>Influenza A H5N1 (avian)</v>
      </c>
      <c r="C22" s="61" t="str">
        <f>Calculator!C51</f>
        <v>Respiratory viral/zoonotic</v>
      </c>
      <c r="D22" s="52">
        <f>IFERROR(ROUND(MIN(100,(($J22)*Settings!$C$23*INDEX(Settings!$B$36:$F$44,1,$T22)+($K22)*Settings!$C$24*INDEX(Settings!$B$36:$F$44,2,$T22)+($L22)*Settings!$C$25*INDEX(Settings!$B$36:$F$44,3,$T22)+($M22)*Settings!$C$26*INDEX(Settings!$B$36:$F$44,4,$T22)+($N22)*Settings!$C$27*INDEX(Settings!$B$36:$F$44,5,$T22)+($O22)*Settings!$C$28*INDEX(Settings!$B$36:$F$44,6,$T22)+($P22)*Settings!$C$29*INDEX(Settings!$B$36:$F$44,7,$T22)+($Q22)*Settings!$C$30*INDEX(Settings!$B$36:$F$44,8,$T22)+($R22)*Settings!$C$31*INDEX(Settings!$B$36:$F$44,9,$T22))/INDEX(Settings!$B$45:$F$45,1,$T22)/5*100*IF($S22="Not present",Settings!$B$51,1)),1),"")</f>
        <v>67.4</v>
      </c>
      <c r="E22" s="52">
        <f>IFERROR(ROUND(MIN(100,(($U22)*Settings!$C$23*INDEX(Settings!$B$36:$F$44,1,$AE22)+($V22)*Settings!$C$24*INDEX(Settings!$B$36:$F$44,2,$AE22)+($W22)*Settings!$C$25*INDEX(Settings!$B$36:$F$44,3,$AE22)+($X22)*Settings!$C$26*INDEX(Settings!$B$36:$F$44,4,$AE22)+($Y22)*Settings!$C$27*INDEX(Settings!$B$36:$F$44,5,$AE22)+($Z22)*Settings!$C$28*INDEX(Settings!$B$36:$F$44,6,$AE22)+($AA22)*Settings!$C$29*INDEX(Settings!$B$36:$F$44,7,$AE22)+($AB22)*Settings!$C$30*INDEX(Settings!$B$36:$F$44,8,$AE22)+($AC22)*Settings!$C$31*INDEX(Settings!$B$36:$F$44,9,$AE22))/INDEX(Settings!$B$45:$F$45,1,$AE22)/5*100*IF($AD22="Not present",Settings!$B$51,1)),1),"")</f>
        <v>70.7</v>
      </c>
      <c r="F22" s="52">
        <f>IFERROR(ROUND(MIN(100,(($AF22)*Settings!$C$23*INDEX(Settings!$B$36:$F$44,1,$AP22)+($AG22)*Settings!$C$24*INDEX(Settings!$B$36:$F$44,2,$AP22)+($AH22)*Settings!$C$25*INDEX(Settings!$B$36:$F$44,3,$AP22)+($AI22)*Settings!$C$26*INDEX(Settings!$B$36:$F$44,4,$AP22)+($AJ22)*Settings!$C$27*INDEX(Settings!$B$36:$F$44,5,$AP22)+($AK22)*Settings!$C$28*INDEX(Settings!$B$36:$F$44,6,$AP22)+($AL22)*Settings!$C$29*INDEX(Settings!$B$36:$F$44,7,$AP22)+($AM22)*Settings!$C$30*INDEX(Settings!$B$36:$F$44,8,$AP22)+($AN22)*Settings!$C$31*INDEX(Settings!$B$36:$F$44,9,$AP22))/INDEX(Settings!$B$45:$F$45,1,$AP22)/5*100*IF($AO22="Not present",Settings!$B$51,1)),1),"")</f>
        <v>63.8</v>
      </c>
      <c r="G22" s="52">
        <f>IFERROR(ROUND(MIN(100,(($AQ22)*Settings!$C$23*INDEX(Settings!$B$36:$F$44,1,$BA22)+($AR22)*Settings!$C$24*INDEX(Settings!$B$36:$F$44,2,$BA22)+($AS22)*Settings!$C$25*INDEX(Settings!$B$36:$F$44,3,$BA22)+($AT22)*Settings!$C$26*INDEX(Settings!$B$36:$F$44,4,$BA22)+($AU22)*Settings!$C$27*INDEX(Settings!$B$36:$F$44,5,$BA22)+($AV22)*Settings!$C$28*INDEX(Settings!$B$36:$F$44,6,$BA22)+($AW22)*Settings!$C$29*INDEX(Settings!$B$36:$F$44,7,$BA22)+($AX22)*Settings!$C$30*INDEX(Settings!$B$36:$F$44,8,$BA22)+($AY22)*Settings!$C$31*INDEX(Settings!$B$36:$F$44,9,$BA22))/INDEX(Settings!$B$45:$F$45,1,$BA22)/5*100*IF($AZ22="Not present",Settings!$B$51,1)),1),"")</f>
        <v>68.5</v>
      </c>
      <c r="J22" s="62">
        <f>ROUND(MIN(5,IF(Pathogens!I19&gt;=500,5,IF(Pathogens!I19&gt;=200,4,IF(Pathogens!I19&gt;=50,3,IF(Pathogens!I19&gt;=10,2,1))))*0.5+IF(Pathogens!J19&gt;=30,5,IF(Pathogens!J19&gt;=10,4,IF(Pathogens!J19&gt;=3,3,IF(Pathogens!J19&gt;=1,2,1))))*0.4+IF(AND(VLOOKUP(D$4,Countries!$B$2:$AN$55,4,FALSE)&gt;=80,Pathogens!N19&gt;=0.5),1,0)*0.1+IF(VLOOKUP(D$4,Countries!$B$2:$AN$55,7,FALSE)&lt;50,0.3,0)),0)</f>
        <v>3</v>
      </c>
      <c r="K22" s="62">
        <f>ROUND(MIN(5,IF(Pathogens!K19&gt;=8,5,IF(Pathogens!K19&gt;=5,4,IF(Pathogens!K19&gt;=3,3,IF(Pathogens!K19&gt;=1,2,1))))*0.5+IF(Pathogens!L19&gt;=5,5,IF(Pathogens!L19&gt;=3,4,IF(Pathogens!L19&gt;=2,3,IF(Pathogens!L19&gt;=1.2,2,1))))*0.3+IF(Pathogens!M19=1,2,0)*0.2+IF(VLOOKUP(D$4,Countries!$B$2:$AN$55,12,FALSE)&gt;=2,0.5,0)),0)</f>
        <v>3</v>
      </c>
      <c r="L22" s="62">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c r="M22" s="62">
        <f>ROUND(MAX(1,MIN(5,(6-VLOOKUP(D$4,Countries!$B$2:$AN$55,10,FALSE))*0.5+(6-VLOOKUP(D$4,Countries!$B$2:$AN$55,11,FALSE))*0.4+(IF(AND(Pathogens!N19&gt;=0.5,VLOOKUP(D$4,Countries!$B$2:$AN$55,5,FALSE)&lt;60),5,IF(Pathogens!N19&gt;=0.5,4,IF(Pathogens!N19&gt;=0.3,3,IF(Pathogens!N19&gt;=0.1,2,1)))))*0.1)),0)</f>
        <v>2</v>
      </c>
      <c r="N22" s="62">
        <f>IF(ISNUMBER(SEARCH("Vaccine-preventable",Pathogens!C19)),2,IF(ISNUMBER(SEARCH("AMR",Pathogens!C19)),5,IF(ISNUMBER(SEARCH("VHF",Pathogens!C19)),4,IF(ISNUMBER(SEARCH("Emerging",Pathogens!C19)),5,IF(ISNUMBER(SEARCH("Mycobacterial",Pathogens!C19)),3,IF(ISNUMBER(SEARCH("Helminth",Pathogens!C19)),3,IF(ISNUMBER(SEARCH("Respiratory",Pathogens!C19)),4,3)))))))</f>
        <v>4</v>
      </c>
      <c r="O22" s="62">
        <f>IF(ISNUMBER(SEARCH("AMR",Pathogens!C19)),5,IF(ISNUMBER(SEARCH("Mycobacterial",Pathogens!C19)),4,IF(ISNUMBER(SEARCH("Enteric bacterial",Pathogens!C19)),3,IF(ISNUMBER(SEARCH("Bacterial",Pathogens!C19)),3,1))))</f>
        <v>1</v>
      </c>
      <c r="P2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2" s="62">
        <f>(6-Pathogens!X19)</f>
        <v>4</v>
      </c>
      <c r="R22" s="62">
        <f>ROUND(MIN(5,MAX(1,0.35*IF(Pathogens!R19=1,5,IF(Pathogens!R19=2,3,1))+0.2*IF(Pathogens!S19=1,5,IF(Pathogens!S19=2,3,1))+0.25*IF(Pathogens!W19=1,IF(VLOOKUP(D$4,Countries!$B$2:$AN$55,38,FALSE)&gt;=3,5,IF(VLOOKUP(D$4,Countries!$B$2:$AN$55,38,FALSE)=2,4,IF(VLOOKUP(D$4,Countries!$B$2:$AN$55,38,FALSE)=1,2,1))),5)+0.2*IF(VLOOKUP(D$4,Countries!$B$2:$AN$55,24,FALSE)&gt;=50,5,IF(VLOOKUP(D$4,Countries!$B$2:$AN$55,24,FALSE)&gt;=25,4,IF(VLOOKUP(D$4,Countries!$B$2:$AN$55,24,FALSE)&gt;=10,3,IF(VLOOKUP(D$4,Countries!$B$2:$AN$55,24,FALSE)&gt;=5,2,1)))))),0)</f>
        <v>4</v>
      </c>
      <c r="S22" s="62" t="str">
        <f>IFERROR(INDEX(Endemicity!$C$2:$BN$55,MATCH(D$4,Endemicity!$B$2:$B$55,0),MATCH($A22,Endemicity!$C$1:$BN$1,0)),"Sporadic")</f>
        <v>Emerging</v>
      </c>
      <c r="T22" s="62">
        <f>IF(Settings!$B$48="ON",IFERROR(MATCH($S22,Settings!$B$35:$F$35,0),5),5)</f>
        <v>3</v>
      </c>
      <c r="U22" s="62">
        <f>ROUND(MIN(5,IF(Pathogens!I19&gt;=500,5,IF(Pathogens!I19&gt;=200,4,IF(Pathogens!I19&gt;=50,3,IF(Pathogens!I19&gt;=10,2,1))))*0.5+IF(Pathogens!J19&gt;=30,5,IF(Pathogens!J19&gt;=10,4,IF(Pathogens!J19&gt;=3,3,IF(Pathogens!J19&gt;=1,2,1))))*0.4+IF(AND(VLOOKUP(E$4,Countries!$B$2:$AN$55,4,FALSE)&gt;=80,Pathogens!N19&gt;=0.5),1,0)*0.1+IF(VLOOKUP(E$4,Countries!$B$2:$AN$55,7,FALSE)&lt;50,0.3,0)),0)</f>
        <v>3</v>
      </c>
      <c r="V22" s="62">
        <f>ROUND(MIN(5,IF(Pathogens!K19&gt;=8,5,IF(Pathogens!K19&gt;=5,4,IF(Pathogens!K19&gt;=3,3,IF(Pathogens!K19&gt;=1,2,1))))*0.5+IF(Pathogens!L19&gt;=5,5,IF(Pathogens!L19&gt;=3,4,IF(Pathogens!L19&gt;=2,3,IF(Pathogens!L19&gt;=1.2,2,1))))*0.3+IF(Pathogens!M19=1,2,0)*0.2+IF(VLOOKUP(E$4,Countries!$B$2:$AN$55,12,FALSE)&gt;=2,0.5,0)),0)</f>
        <v>3</v>
      </c>
      <c r="W22" s="62">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c r="X22" s="62">
        <f>ROUND(MAX(1,MIN(5,(6-VLOOKUP(E$4,Countries!$B$2:$AN$55,10,FALSE))*0.5+(6-VLOOKUP(E$4,Countries!$B$2:$AN$55,11,FALSE))*0.4+(IF(AND(Pathogens!N19&gt;=0.5,VLOOKUP(E$4,Countries!$B$2:$AN$55,5,FALSE)&lt;60),5,IF(Pathogens!N19&gt;=0.5,4,IF(Pathogens!N19&gt;=0.3,3,IF(Pathogens!N19&gt;=0.1,2,1)))))*0.1)),0)</f>
        <v>3</v>
      </c>
      <c r="Y22" s="62">
        <f>IF(ISNUMBER(SEARCH("Vaccine-preventable",Pathogens!C19)),2,IF(ISNUMBER(SEARCH("AMR",Pathogens!C19)),5,IF(ISNUMBER(SEARCH("VHF",Pathogens!C19)),4,IF(ISNUMBER(SEARCH("Emerging",Pathogens!C19)),5,IF(ISNUMBER(SEARCH("Mycobacterial",Pathogens!C19)),3,IF(ISNUMBER(SEARCH("Helminth",Pathogens!C19)),3,IF(ISNUMBER(SEARCH("Respiratory",Pathogens!C19)),4,3)))))))</f>
        <v>4</v>
      </c>
      <c r="Z22" s="62">
        <f>IF(ISNUMBER(SEARCH("AMR",Pathogens!C19)),5,IF(ISNUMBER(SEARCH("Mycobacterial",Pathogens!C19)),4,IF(ISNUMBER(SEARCH("Enteric bacterial",Pathogens!C19)),3,IF(ISNUMBER(SEARCH("Bacterial",Pathogens!C19)),3,1))))</f>
        <v>1</v>
      </c>
      <c r="AA2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2" s="62">
        <f>(6-Pathogens!X19)</f>
        <v>4</v>
      </c>
      <c r="AC22" s="62">
        <f>ROUND(MIN(5,MAX(1,0.35*IF(Pathogens!R19=1,5,IF(Pathogens!R19=2,3,1))+0.2*IF(Pathogens!S19=1,5,IF(Pathogens!S19=2,3,1))+0.25*IF(Pathogens!W19=1,IF(VLOOKUP(E$4,Countries!$B$2:$AN$55,38,FALSE)&gt;=3,5,IF(VLOOKUP(E$4,Countries!$B$2:$AN$55,38,FALSE)=2,4,IF(VLOOKUP(E$4,Countries!$B$2:$AN$55,38,FALSE)=1,2,1))),5)+0.2*IF(VLOOKUP(E$4,Countries!$B$2:$AN$55,24,FALSE)&gt;=50,5,IF(VLOOKUP(E$4,Countries!$B$2:$AN$55,24,FALSE)&gt;=25,4,IF(VLOOKUP(E$4,Countries!$B$2:$AN$55,24,FALSE)&gt;=10,3,IF(VLOOKUP(E$4,Countries!$B$2:$AN$55,24,FALSE)&gt;=5,2,1)))))),0)</f>
        <v>4</v>
      </c>
      <c r="AD22" s="62" t="str">
        <f>IFERROR(INDEX(Endemicity!$C$2:$BN$55,MATCH(E$4,Endemicity!$B$2:$B$55,0),MATCH($A22,Endemicity!$C$1:$BN$1,0)),"Sporadic")</f>
        <v>Sporadic</v>
      </c>
      <c r="AE22" s="62">
        <f>IF(Settings!$B$48="ON",IFERROR(MATCH($AD22,Settings!$B$35:$F$35,0),5),5)</f>
        <v>2</v>
      </c>
      <c r="AF22" s="62">
        <f>ROUND(MIN(5,IF(Pathogens!I19&gt;=500,5,IF(Pathogens!I19&gt;=200,4,IF(Pathogens!I19&gt;=50,3,IF(Pathogens!I19&gt;=10,2,1))))*0.5+IF(Pathogens!J19&gt;=30,5,IF(Pathogens!J19&gt;=10,4,IF(Pathogens!J19&gt;=3,3,IF(Pathogens!J19&gt;=1,2,1))))*0.4+IF(AND(VLOOKUP(F$4,Countries!$B$2:$AN$55,4,FALSE)&gt;=80,Pathogens!N19&gt;=0.5),1,0)*0.1+IF(VLOOKUP(F$4,Countries!$B$2:$AN$55,7,FALSE)&lt;50,0.3,0)),0)</f>
        <v>3</v>
      </c>
      <c r="AG22" s="62">
        <f>ROUND(MIN(5,IF(Pathogens!K19&gt;=8,5,IF(Pathogens!K19&gt;=5,4,IF(Pathogens!K19&gt;=3,3,IF(Pathogens!K19&gt;=1,2,1))))*0.5+IF(Pathogens!L19&gt;=5,5,IF(Pathogens!L19&gt;=3,4,IF(Pathogens!L19&gt;=2,3,IF(Pathogens!L19&gt;=1.2,2,1))))*0.3+IF(Pathogens!M19=1,2,0)*0.2+IF(VLOOKUP(F$4,Countries!$B$2:$AN$55,12,FALSE)&gt;=2,0.5,0)),0)</f>
        <v>3</v>
      </c>
      <c r="AH22" s="62">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c r="AI22" s="62">
        <f>ROUND(MAX(1,MIN(5,(6-VLOOKUP(F$4,Countries!$B$2:$AN$55,10,FALSE))*0.5+(6-VLOOKUP(F$4,Countries!$B$2:$AN$55,11,FALSE))*0.4+(IF(AND(Pathogens!N19&gt;=0.5,VLOOKUP(F$4,Countries!$B$2:$AN$55,5,FALSE)&lt;60),5,IF(Pathogens!N19&gt;=0.5,4,IF(Pathogens!N19&gt;=0.3,3,IF(Pathogens!N19&gt;=0.1,2,1)))))*0.1)),0)</f>
        <v>2</v>
      </c>
      <c r="AJ22" s="62">
        <f>IF(ISNUMBER(SEARCH("Vaccine-preventable",Pathogens!C19)),2,IF(ISNUMBER(SEARCH("AMR",Pathogens!C19)),5,IF(ISNUMBER(SEARCH("VHF",Pathogens!C19)),4,IF(ISNUMBER(SEARCH("Emerging",Pathogens!C19)),5,IF(ISNUMBER(SEARCH("Mycobacterial",Pathogens!C19)),3,IF(ISNUMBER(SEARCH("Helminth",Pathogens!C19)),3,IF(ISNUMBER(SEARCH("Respiratory",Pathogens!C19)),4,3)))))))</f>
        <v>4</v>
      </c>
      <c r="AK22" s="62">
        <f>IF(ISNUMBER(SEARCH("AMR",Pathogens!C19)),5,IF(ISNUMBER(SEARCH("Mycobacterial",Pathogens!C19)),4,IF(ISNUMBER(SEARCH("Enteric bacterial",Pathogens!C19)),3,IF(ISNUMBER(SEARCH("Bacterial",Pathogens!C19)),3,1))))</f>
        <v>1</v>
      </c>
      <c r="AL2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2" s="62">
        <f>(6-Pathogens!X19)</f>
        <v>4</v>
      </c>
      <c r="AN22" s="62">
        <f>ROUND(MIN(5,MAX(1,0.35*IF(Pathogens!R19=1,5,IF(Pathogens!R19=2,3,1))+0.2*IF(Pathogens!S19=1,5,IF(Pathogens!S19=2,3,1))+0.25*IF(Pathogens!W19=1,IF(VLOOKUP(F$4,Countries!$B$2:$AN$55,38,FALSE)&gt;=3,5,IF(VLOOKUP(F$4,Countries!$B$2:$AN$55,38,FALSE)=2,4,IF(VLOOKUP(F$4,Countries!$B$2:$AN$55,38,FALSE)=1,2,1))),5)+0.2*IF(VLOOKUP(F$4,Countries!$B$2:$AN$55,24,FALSE)&gt;=50,5,IF(VLOOKUP(F$4,Countries!$B$2:$AN$55,24,FALSE)&gt;=25,4,IF(VLOOKUP(F$4,Countries!$B$2:$AN$55,24,FALSE)&gt;=10,3,IF(VLOOKUP(F$4,Countries!$B$2:$AN$55,24,FALSE)&gt;=5,2,1)))))),0)</f>
        <v>3</v>
      </c>
      <c r="AO22" s="62" t="str">
        <f>IFERROR(INDEX(Endemicity!$C$2:$BN$55,MATCH(F$4,Endemicity!$B$2:$B$55,0),MATCH($A22,Endemicity!$C$1:$BN$1,0)),"Sporadic")</f>
        <v>Emerging</v>
      </c>
      <c r="AP22" s="62">
        <f>IF(Settings!$B$48="ON",IFERROR(MATCH($AO22,Settings!$B$35:$F$35,0),5),5)</f>
        <v>3</v>
      </c>
      <c r="AQ22" s="62">
        <f>ROUND(MIN(5,IF(Pathogens!I19&gt;=500,5,IF(Pathogens!I19&gt;=200,4,IF(Pathogens!I19&gt;=50,3,IF(Pathogens!I19&gt;=10,2,1))))*0.5+IF(Pathogens!J19&gt;=30,5,IF(Pathogens!J19&gt;=10,4,IF(Pathogens!J19&gt;=3,3,IF(Pathogens!J19&gt;=1,2,1))))*0.4+IF(AND(VLOOKUP(G$4,Countries!$B$2:$AN$55,4,FALSE)&gt;=80,Pathogens!N19&gt;=0.5),1,0)*0.1+IF(VLOOKUP(G$4,Countries!$B$2:$AN$55,7,FALSE)&lt;50,0.3,0)),0)</f>
        <v>3</v>
      </c>
      <c r="AR22" s="62">
        <f>ROUND(MIN(5,IF(Pathogens!K19&gt;=8,5,IF(Pathogens!K19&gt;=5,4,IF(Pathogens!K19&gt;=3,3,IF(Pathogens!K19&gt;=1,2,1))))*0.5+IF(Pathogens!L19&gt;=5,5,IF(Pathogens!L19&gt;=3,4,IF(Pathogens!L19&gt;=2,3,IF(Pathogens!L19&gt;=1.2,2,1))))*0.3+IF(Pathogens!M19=1,2,0)*0.2+IF(VLOOKUP(G$4,Countries!$B$2:$AN$55,12,FALSE)&gt;=2,0.5,0)),0)</f>
        <v>3</v>
      </c>
      <c r="AS22" s="62">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c r="AT22" s="62">
        <f>ROUND(MAX(1,MIN(5,(6-VLOOKUP(G$4,Countries!$B$2:$AN$55,10,FALSE))*0.5+(6-VLOOKUP(G$4,Countries!$B$2:$AN$55,11,FALSE))*0.4+(IF(AND(Pathogens!N19&gt;=0.5,VLOOKUP(G$4,Countries!$B$2:$AN$55,5,FALSE)&lt;60),5,IF(Pathogens!N19&gt;=0.5,4,IF(Pathogens!N19&gt;=0.3,3,IF(Pathogens!N19&gt;=0.1,2,1)))))*0.1)),0)</f>
        <v>2</v>
      </c>
      <c r="AU22" s="62">
        <f>IF(ISNUMBER(SEARCH("Vaccine-preventable",Pathogens!C19)),2,IF(ISNUMBER(SEARCH("AMR",Pathogens!C19)),5,IF(ISNUMBER(SEARCH("VHF",Pathogens!C19)),4,IF(ISNUMBER(SEARCH("Emerging",Pathogens!C19)),5,IF(ISNUMBER(SEARCH("Mycobacterial",Pathogens!C19)),3,IF(ISNUMBER(SEARCH("Helminth",Pathogens!C19)),3,IF(ISNUMBER(SEARCH("Respiratory",Pathogens!C19)),4,3)))))))</f>
        <v>4</v>
      </c>
      <c r="AV22" s="62">
        <f>IF(ISNUMBER(SEARCH("AMR",Pathogens!C19)),5,IF(ISNUMBER(SEARCH("Mycobacterial",Pathogens!C19)),4,IF(ISNUMBER(SEARCH("Enteric bacterial",Pathogens!C19)),3,IF(ISNUMBER(SEARCH("Bacterial",Pathogens!C19)),3,1))))</f>
        <v>1</v>
      </c>
      <c r="AW2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2" s="62">
        <f>(6-Pathogens!X19)</f>
        <v>4</v>
      </c>
      <c r="AY22" s="62">
        <f>ROUND(MIN(5,MAX(1,0.35*IF(Pathogens!R19=1,5,IF(Pathogens!R19=2,3,1))+0.2*IF(Pathogens!S19=1,5,IF(Pathogens!S19=2,3,1))+0.25*IF(Pathogens!W19=1,IF(VLOOKUP(G$4,Countries!$B$2:$AN$55,38,FALSE)&gt;=3,5,IF(VLOOKUP(G$4,Countries!$B$2:$AN$55,38,FALSE)=2,4,IF(VLOOKUP(G$4,Countries!$B$2:$AN$55,38,FALSE)=1,2,1))),5)+0.2*IF(VLOOKUP(G$4,Countries!$B$2:$AN$55,24,FALSE)&gt;=50,5,IF(VLOOKUP(G$4,Countries!$B$2:$AN$55,24,FALSE)&gt;=25,4,IF(VLOOKUP(G$4,Countries!$B$2:$AN$55,24,FALSE)&gt;=10,3,IF(VLOOKUP(G$4,Countries!$B$2:$AN$55,24,FALSE)&gt;=5,2,1)))))),0)</f>
        <v>4</v>
      </c>
      <c r="AZ22" s="62" t="str">
        <f>IFERROR(INDEX(Endemicity!$C$2:$BN$55,MATCH(G$4,Endemicity!$B$2:$B$55,0),MATCH($A22,Endemicity!$C$1:$BN$1,0)),"Sporadic")</f>
        <v>Emerging</v>
      </c>
      <c r="BA22" s="62">
        <f>IF(Settings!$B$48="ON",IFERROR(MATCH($AZ22,Settings!$B$35:$F$35,0),5),5)</f>
        <v>3</v>
      </c>
    </row>
    <row r="23" customHeight="1" spans="1:53">
      <c r="A23" s="61" t="str">
        <f>Calculator!A52</f>
        <v>RSV</v>
      </c>
      <c r="B23" s="61" t="str">
        <f>Calculator!B52</f>
        <v>Respiratory syncytial virus</v>
      </c>
      <c r="C23" s="61" t="str">
        <f>Calculator!C52</f>
        <v>Respiratory viral</v>
      </c>
      <c r="D23" s="52">
        <f>IFERROR(ROUND(MIN(100,(($J23)*Settings!$C$23*INDEX(Settings!$B$36:$F$44,1,$T23)+($K23)*Settings!$C$24*INDEX(Settings!$B$36:$F$44,2,$T23)+($L23)*Settings!$C$25*INDEX(Settings!$B$36:$F$44,3,$T23)+($M23)*Settings!$C$26*INDEX(Settings!$B$36:$F$44,4,$T23)+($N23)*Settings!$C$27*INDEX(Settings!$B$36:$F$44,5,$T23)+($O23)*Settings!$C$28*INDEX(Settings!$B$36:$F$44,6,$T23)+($P23)*Settings!$C$29*INDEX(Settings!$B$36:$F$44,7,$T23)+($Q23)*Settings!$C$30*INDEX(Settings!$B$36:$F$44,8,$T23)+($R23)*Settings!$C$31*INDEX(Settings!$B$36:$F$44,9,$T23))/INDEX(Settings!$B$45:$F$45,1,$T23)/5*100*IF($S23="Not present",Settings!$B$51,1)),1),"")</f>
        <v>66.2</v>
      </c>
      <c r="E23" s="52">
        <f>IFERROR(ROUND(MIN(100,(($U23)*Settings!$C$23*INDEX(Settings!$B$36:$F$44,1,$AE23)+($V23)*Settings!$C$24*INDEX(Settings!$B$36:$F$44,2,$AE23)+($W23)*Settings!$C$25*INDEX(Settings!$B$36:$F$44,3,$AE23)+($X23)*Settings!$C$26*INDEX(Settings!$B$36:$F$44,4,$AE23)+($Y23)*Settings!$C$27*INDEX(Settings!$B$36:$F$44,5,$AE23)+($Z23)*Settings!$C$28*INDEX(Settings!$B$36:$F$44,6,$AE23)+($AA23)*Settings!$C$29*INDEX(Settings!$B$36:$F$44,7,$AE23)+($AB23)*Settings!$C$30*INDEX(Settings!$B$36:$F$44,8,$AE23)+($AC23)*Settings!$C$31*INDEX(Settings!$B$36:$F$44,9,$AE23))/INDEX(Settings!$B$45:$F$45,1,$AE23)/5*100*IF($AD23="Not present",Settings!$B$51,1)),1),"")</f>
        <v>67</v>
      </c>
      <c r="F23" s="52">
        <f>IFERROR(ROUND(MIN(100,(($AF23)*Settings!$C$23*INDEX(Settings!$B$36:$F$44,1,$AP23)+($AG23)*Settings!$C$24*INDEX(Settings!$B$36:$F$44,2,$AP23)+($AH23)*Settings!$C$25*INDEX(Settings!$B$36:$F$44,3,$AP23)+($AI23)*Settings!$C$26*INDEX(Settings!$B$36:$F$44,4,$AP23)+($AJ23)*Settings!$C$27*INDEX(Settings!$B$36:$F$44,5,$AP23)+($AK23)*Settings!$C$28*INDEX(Settings!$B$36:$F$44,6,$AP23)+($AL23)*Settings!$C$29*INDEX(Settings!$B$36:$F$44,7,$AP23)+($AM23)*Settings!$C$30*INDEX(Settings!$B$36:$F$44,8,$AP23)+($AN23)*Settings!$C$31*INDEX(Settings!$B$36:$F$44,9,$AP23))/INDEX(Settings!$B$45:$F$45,1,$AP23)/5*100*IF($AO23="Not present",Settings!$B$51,1)),1),"")</f>
        <v>63.5</v>
      </c>
      <c r="G23" s="52">
        <f>IFERROR(ROUND(MIN(100,(($AQ23)*Settings!$C$23*INDEX(Settings!$B$36:$F$44,1,$BA23)+($AR23)*Settings!$C$24*INDEX(Settings!$B$36:$F$44,2,$BA23)+($AS23)*Settings!$C$25*INDEX(Settings!$B$36:$F$44,3,$BA23)+($AT23)*Settings!$C$26*INDEX(Settings!$B$36:$F$44,4,$BA23)+($AU23)*Settings!$C$27*INDEX(Settings!$B$36:$F$44,5,$BA23)+($AV23)*Settings!$C$28*INDEX(Settings!$B$36:$F$44,6,$BA23)+($AW23)*Settings!$C$29*INDEX(Settings!$B$36:$F$44,7,$BA23)+($AX23)*Settings!$C$30*INDEX(Settings!$B$36:$F$44,8,$BA23)+($AY23)*Settings!$C$31*INDEX(Settings!$B$36:$F$44,9,$BA23))/INDEX(Settings!$B$45:$F$45,1,$BA23)/5*100*IF($AZ23="Not present",Settings!$B$51,1)),1),"")</f>
        <v>65.2</v>
      </c>
      <c r="J23" s="62">
        <f>ROUND(MIN(5,IF(Pathogens!I20&gt;=500,5,IF(Pathogens!I20&gt;=200,4,IF(Pathogens!I20&gt;=50,3,IF(Pathogens!I20&gt;=10,2,1))))*0.5+IF(Pathogens!J20&gt;=30,5,IF(Pathogens!J20&gt;=10,4,IF(Pathogens!J20&gt;=3,3,IF(Pathogens!J20&gt;=1,2,1))))*0.4+IF(AND(VLOOKUP(D$4,Countries!$B$2:$AN$55,4,FALSE)&gt;=80,Pathogens!N20&gt;=0.5),1,0)*0.1+IF(VLOOKUP(D$4,Countries!$B$2:$AN$55,7,FALSE)&lt;50,0.3,0)),0)</f>
        <v>3</v>
      </c>
      <c r="K23" s="62">
        <f>ROUND(MIN(5,IF(Pathogens!K20&gt;=8,5,IF(Pathogens!K20&gt;=5,4,IF(Pathogens!K20&gt;=3,3,IF(Pathogens!K20&gt;=1,2,1))))*0.5+IF(Pathogens!L20&gt;=5,5,IF(Pathogens!L20&gt;=3,4,IF(Pathogens!L20&gt;=2,3,IF(Pathogens!L20&gt;=1.2,2,1))))*0.3+IF(Pathogens!M20=1,2,0)*0.2+IF(VLOOKUP(D$4,Countries!$B$2:$AN$55,12,FALSE)&gt;=2,0.5,0)),0)</f>
        <v>4</v>
      </c>
      <c r="L23" s="62">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c r="M23" s="62">
        <f>ROUND(MAX(1,MIN(5,(6-VLOOKUP(D$4,Countries!$B$2:$AN$55,10,FALSE))*0.5+(6-VLOOKUP(D$4,Countries!$B$2:$AN$55,11,FALSE))*0.4+(IF(AND(Pathogens!N20&gt;=0.5,VLOOKUP(D$4,Countries!$B$2:$AN$55,5,FALSE)&lt;60),5,IF(Pathogens!N20&gt;=0.5,4,IF(Pathogens!N20&gt;=0.3,3,IF(Pathogens!N20&gt;=0.1,2,1)))))*0.1)),0)</f>
        <v>2</v>
      </c>
      <c r="N23" s="62">
        <f>IF(ISNUMBER(SEARCH("Vaccine-preventable",Pathogens!C20)),2,IF(ISNUMBER(SEARCH("AMR",Pathogens!C20)),5,IF(ISNUMBER(SEARCH("VHF",Pathogens!C20)),4,IF(ISNUMBER(SEARCH("Emerging",Pathogens!C20)),5,IF(ISNUMBER(SEARCH("Mycobacterial",Pathogens!C20)),3,IF(ISNUMBER(SEARCH("Helminth",Pathogens!C20)),3,IF(ISNUMBER(SEARCH("Respiratory",Pathogens!C20)),4,3)))))))</f>
        <v>4</v>
      </c>
      <c r="O23" s="62">
        <f>IF(ISNUMBER(SEARCH("AMR",Pathogens!C20)),5,IF(ISNUMBER(SEARCH("Mycobacterial",Pathogens!C20)),4,IF(ISNUMBER(SEARCH("Enteric bacterial",Pathogens!C20)),3,IF(ISNUMBER(SEARCH("Bacterial",Pathogens!C20)),3,1))))</f>
        <v>1</v>
      </c>
      <c r="P2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3" s="62">
        <f>(6-Pathogens!X20)</f>
        <v>4</v>
      </c>
      <c r="R23" s="62">
        <f>ROUND(MIN(5,MAX(1,0.35*IF(Pathogens!R20=1,5,IF(Pathogens!R20=2,3,1))+0.2*IF(Pathogens!S20=1,5,IF(Pathogens!S20=2,3,1))+0.25*IF(Pathogens!W20=1,IF(VLOOKUP(D$4,Countries!$B$2:$AN$55,38,FALSE)&gt;=3,5,IF(VLOOKUP(D$4,Countries!$B$2:$AN$55,38,FALSE)=2,4,IF(VLOOKUP(D$4,Countries!$B$2:$AN$55,38,FALSE)=1,2,1))),5)+0.2*IF(VLOOKUP(D$4,Countries!$B$2:$AN$55,24,FALSE)&gt;=50,5,IF(VLOOKUP(D$4,Countries!$B$2:$AN$55,24,FALSE)&gt;=25,4,IF(VLOOKUP(D$4,Countries!$B$2:$AN$55,24,FALSE)&gt;=10,3,IF(VLOOKUP(D$4,Countries!$B$2:$AN$55,24,FALSE)&gt;=5,2,1)))))),0)</f>
        <v>5</v>
      </c>
      <c r="S23" s="62" t="str">
        <f>IFERROR(INDEX(Endemicity!$C$2:$BN$55,MATCH(D$4,Endemicity!$B$2:$B$55,0),MATCH($A23,Endemicity!$C$1:$BN$1,0)),"Sporadic")</f>
        <v>Endemic</v>
      </c>
      <c r="T23" s="62">
        <f>IF(Settings!$B$48="ON",IFERROR(MATCH($S23,Settings!$B$35:$F$35,0),5),5)</f>
        <v>1</v>
      </c>
      <c r="U23" s="62">
        <f>ROUND(MIN(5,IF(Pathogens!I20&gt;=500,5,IF(Pathogens!I20&gt;=200,4,IF(Pathogens!I20&gt;=50,3,IF(Pathogens!I20&gt;=10,2,1))))*0.5+IF(Pathogens!J20&gt;=30,5,IF(Pathogens!J20&gt;=10,4,IF(Pathogens!J20&gt;=3,3,IF(Pathogens!J20&gt;=1,2,1))))*0.4+IF(AND(VLOOKUP(E$4,Countries!$B$2:$AN$55,4,FALSE)&gt;=80,Pathogens!N20&gt;=0.5),1,0)*0.1+IF(VLOOKUP(E$4,Countries!$B$2:$AN$55,7,FALSE)&lt;50,0.3,0)),0)</f>
        <v>3</v>
      </c>
      <c r="V23" s="62">
        <f>ROUND(MIN(5,IF(Pathogens!K20&gt;=8,5,IF(Pathogens!K20&gt;=5,4,IF(Pathogens!K20&gt;=3,3,IF(Pathogens!K20&gt;=1,2,1))))*0.5+IF(Pathogens!L20&gt;=5,5,IF(Pathogens!L20&gt;=3,4,IF(Pathogens!L20&gt;=2,3,IF(Pathogens!L20&gt;=1.2,2,1))))*0.3+IF(Pathogens!M20=1,2,0)*0.2+IF(VLOOKUP(E$4,Countries!$B$2:$AN$55,12,FALSE)&gt;=2,0.5,0)),0)</f>
        <v>4</v>
      </c>
      <c r="W23" s="62">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c r="X23" s="62">
        <f>ROUND(MAX(1,MIN(5,(6-VLOOKUP(E$4,Countries!$B$2:$AN$55,10,FALSE))*0.5+(6-VLOOKUP(E$4,Countries!$B$2:$AN$55,11,FALSE))*0.4+(IF(AND(Pathogens!N20&gt;=0.5,VLOOKUP(E$4,Countries!$B$2:$AN$55,5,FALSE)&lt;60),5,IF(Pathogens!N20&gt;=0.5,4,IF(Pathogens!N20&gt;=0.3,3,IF(Pathogens!N20&gt;=0.1,2,1)))))*0.1)),0)</f>
        <v>2</v>
      </c>
      <c r="Y23" s="62">
        <f>IF(ISNUMBER(SEARCH("Vaccine-preventable",Pathogens!C20)),2,IF(ISNUMBER(SEARCH("AMR",Pathogens!C20)),5,IF(ISNUMBER(SEARCH("VHF",Pathogens!C20)),4,IF(ISNUMBER(SEARCH("Emerging",Pathogens!C20)),5,IF(ISNUMBER(SEARCH("Mycobacterial",Pathogens!C20)),3,IF(ISNUMBER(SEARCH("Helminth",Pathogens!C20)),3,IF(ISNUMBER(SEARCH("Respiratory",Pathogens!C20)),4,3)))))))</f>
        <v>4</v>
      </c>
      <c r="Z23" s="62">
        <f>IF(ISNUMBER(SEARCH("AMR",Pathogens!C20)),5,IF(ISNUMBER(SEARCH("Mycobacterial",Pathogens!C20)),4,IF(ISNUMBER(SEARCH("Enteric bacterial",Pathogens!C20)),3,IF(ISNUMBER(SEARCH("Bacterial",Pathogens!C20)),3,1))))</f>
        <v>1</v>
      </c>
      <c r="AA2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3" s="62">
        <f>(6-Pathogens!X20)</f>
        <v>4</v>
      </c>
      <c r="AC23" s="62">
        <f>ROUND(MIN(5,MAX(1,0.35*IF(Pathogens!R20=1,5,IF(Pathogens!R20=2,3,1))+0.2*IF(Pathogens!S20=1,5,IF(Pathogens!S20=2,3,1))+0.25*IF(Pathogens!W20=1,IF(VLOOKUP(E$4,Countries!$B$2:$AN$55,38,FALSE)&gt;=3,5,IF(VLOOKUP(E$4,Countries!$B$2:$AN$55,38,FALSE)=2,4,IF(VLOOKUP(E$4,Countries!$B$2:$AN$55,38,FALSE)=1,2,1))),5)+0.2*IF(VLOOKUP(E$4,Countries!$B$2:$AN$55,24,FALSE)&gt;=50,5,IF(VLOOKUP(E$4,Countries!$B$2:$AN$55,24,FALSE)&gt;=25,4,IF(VLOOKUP(E$4,Countries!$B$2:$AN$55,24,FALSE)&gt;=10,3,IF(VLOOKUP(E$4,Countries!$B$2:$AN$55,24,FALSE)&gt;=5,2,1)))))),0)</f>
        <v>4</v>
      </c>
      <c r="AD23" s="62" t="str">
        <f>IFERROR(INDEX(Endemicity!$C$2:$BN$55,MATCH(E$4,Endemicity!$B$2:$B$55,0),MATCH($A23,Endemicity!$C$1:$BN$1,0)),"Sporadic")</f>
        <v>Endemic</v>
      </c>
      <c r="AE23" s="62">
        <f>IF(Settings!$B$48="ON",IFERROR(MATCH($AD23,Settings!$B$35:$F$35,0),5),5)</f>
        <v>1</v>
      </c>
      <c r="AF23" s="62">
        <f>ROUND(MIN(5,IF(Pathogens!I20&gt;=500,5,IF(Pathogens!I20&gt;=200,4,IF(Pathogens!I20&gt;=50,3,IF(Pathogens!I20&gt;=10,2,1))))*0.5+IF(Pathogens!J20&gt;=30,5,IF(Pathogens!J20&gt;=10,4,IF(Pathogens!J20&gt;=3,3,IF(Pathogens!J20&gt;=1,2,1))))*0.4+IF(AND(VLOOKUP(F$4,Countries!$B$2:$AN$55,4,FALSE)&gt;=80,Pathogens!N20&gt;=0.5),1,0)*0.1+IF(VLOOKUP(F$4,Countries!$B$2:$AN$55,7,FALSE)&lt;50,0.3,0)),0)</f>
        <v>3</v>
      </c>
      <c r="AG23" s="62">
        <f>ROUND(MIN(5,IF(Pathogens!K20&gt;=8,5,IF(Pathogens!K20&gt;=5,4,IF(Pathogens!K20&gt;=3,3,IF(Pathogens!K20&gt;=1,2,1))))*0.5+IF(Pathogens!L20&gt;=5,5,IF(Pathogens!L20&gt;=3,4,IF(Pathogens!L20&gt;=2,3,IF(Pathogens!L20&gt;=1.2,2,1))))*0.3+IF(Pathogens!M20=1,2,0)*0.2+IF(VLOOKUP(F$4,Countries!$B$2:$AN$55,12,FALSE)&gt;=2,0.5,0)),0)</f>
        <v>4</v>
      </c>
      <c r="AH23" s="62">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c r="AI23" s="62">
        <f>ROUND(MAX(1,MIN(5,(6-VLOOKUP(F$4,Countries!$B$2:$AN$55,10,FALSE))*0.5+(6-VLOOKUP(F$4,Countries!$B$2:$AN$55,11,FALSE))*0.4+(IF(AND(Pathogens!N20&gt;=0.5,VLOOKUP(F$4,Countries!$B$2:$AN$55,5,FALSE)&lt;60),5,IF(Pathogens!N20&gt;=0.5,4,IF(Pathogens!N20&gt;=0.3,3,IF(Pathogens!N20&gt;=0.1,2,1)))))*0.1)),0)</f>
        <v>2</v>
      </c>
      <c r="AJ23" s="62">
        <f>IF(ISNUMBER(SEARCH("Vaccine-preventable",Pathogens!C20)),2,IF(ISNUMBER(SEARCH("AMR",Pathogens!C20)),5,IF(ISNUMBER(SEARCH("VHF",Pathogens!C20)),4,IF(ISNUMBER(SEARCH("Emerging",Pathogens!C20)),5,IF(ISNUMBER(SEARCH("Mycobacterial",Pathogens!C20)),3,IF(ISNUMBER(SEARCH("Helminth",Pathogens!C20)),3,IF(ISNUMBER(SEARCH("Respiratory",Pathogens!C20)),4,3)))))))</f>
        <v>4</v>
      </c>
      <c r="AK23" s="62">
        <f>IF(ISNUMBER(SEARCH("AMR",Pathogens!C20)),5,IF(ISNUMBER(SEARCH("Mycobacterial",Pathogens!C20)),4,IF(ISNUMBER(SEARCH("Enteric bacterial",Pathogens!C20)),3,IF(ISNUMBER(SEARCH("Bacterial",Pathogens!C20)),3,1))))</f>
        <v>1</v>
      </c>
      <c r="AL2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3" s="62">
        <f>(6-Pathogens!X20)</f>
        <v>4</v>
      </c>
      <c r="AN23" s="62">
        <f>ROUND(MIN(5,MAX(1,0.35*IF(Pathogens!R20=1,5,IF(Pathogens!R20=2,3,1))+0.2*IF(Pathogens!S20=1,5,IF(Pathogens!S20=2,3,1))+0.25*IF(Pathogens!W20=1,IF(VLOOKUP(F$4,Countries!$B$2:$AN$55,38,FALSE)&gt;=3,5,IF(VLOOKUP(F$4,Countries!$B$2:$AN$55,38,FALSE)=2,4,IF(VLOOKUP(F$4,Countries!$B$2:$AN$55,38,FALSE)=1,2,1))),5)+0.2*IF(VLOOKUP(F$4,Countries!$B$2:$AN$55,24,FALSE)&gt;=50,5,IF(VLOOKUP(F$4,Countries!$B$2:$AN$55,24,FALSE)&gt;=25,4,IF(VLOOKUP(F$4,Countries!$B$2:$AN$55,24,FALSE)&gt;=10,3,IF(VLOOKUP(F$4,Countries!$B$2:$AN$55,24,FALSE)&gt;=5,2,1)))))),0)</f>
        <v>4</v>
      </c>
      <c r="AO23" s="62" t="str">
        <f>IFERROR(INDEX(Endemicity!$C$2:$BN$55,MATCH(F$4,Endemicity!$B$2:$B$55,0),MATCH($A23,Endemicity!$C$1:$BN$1,0)),"Sporadic")</f>
        <v>Endemic</v>
      </c>
      <c r="AP23" s="62">
        <f>IF(Settings!$B$48="ON",IFERROR(MATCH($AO23,Settings!$B$35:$F$35,0),5),5)</f>
        <v>1</v>
      </c>
      <c r="AQ23" s="62">
        <f>ROUND(MIN(5,IF(Pathogens!I20&gt;=500,5,IF(Pathogens!I20&gt;=200,4,IF(Pathogens!I20&gt;=50,3,IF(Pathogens!I20&gt;=10,2,1))))*0.5+IF(Pathogens!J20&gt;=30,5,IF(Pathogens!J20&gt;=10,4,IF(Pathogens!J20&gt;=3,3,IF(Pathogens!J20&gt;=1,2,1))))*0.4+IF(AND(VLOOKUP(G$4,Countries!$B$2:$AN$55,4,FALSE)&gt;=80,Pathogens!N20&gt;=0.5),1,0)*0.1+IF(VLOOKUP(G$4,Countries!$B$2:$AN$55,7,FALSE)&lt;50,0.3,0)),0)</f>
        <v>3</v>
      </c>
      <c r="AR23" s="62">
        <f>ROUND(MIN(5,IF(Pathogens!K20&gt;=8,5,IF(Pathogens!K20&gt;=5,4,IF(Pathogens!K20&gt;=3,3,IF(Pathogens!K20&gt;=1,2,1))))*0.5+IF(Pathogens!L20&gt;=5,5,IF(Pathogens!L20&gt;=3,4,IF(Pathogens!L20&gt;=2,3,IF(Pathogens!L20&gt;=1.2,2,1))))*0.3+IF(Pathogens!M20=1,2,0)*0.2+IF(VLOOKUP(G$4,Countries!$B$2:$AN$55,12,FALSE)&gt;=2,0.5,0)),0)</f>
        <v>4</v>
      </c>
      <c r="AS23" s="62">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c r="AT23" s="62">
        <f>ROUND(MAX(1,MIN(5,(6-VLOOKUP(G$4,Countries!$B$2:$AN$55,10,FALSE))*0.5+(6-VLOOKUP(G$4,Countries!$B$2:$AN$55,11,FALSE))*0.4+(IF(AND(Pathogens!N20&gt;=0.5,VLOOKUP(G$4,Countries!$B$2:$AN$55,5,FALSE)&lt;60),5,IF(Pathogens!N20&gt;=0.5,4,IF(Pathogens!N20&gt;=0.3,3,IF(Pathogens!N20&gt;=0.1,2,1)))))*0.1)),0)</f>
        <v>2</v>
      </c>
      <c r="AU23" s="62">
        <f>IF(ISNUMBER(SEARCH("Vaccine-preventable",Pathogens!C20)),2,IF(ISNUMBER(SEARCH("AMR",Pathogens!C20)),5,IF(ISNUMBER(SEARCH("VHF",Pathogens!C20)),4,IF(ISNUMBER(SEARCH("Emerging",Pathogens!C20)),5,IF(ISNUMBER(SEARCH("Mycobacterial",Pathogens!C20)),3,IF(ISNUMBER(SEARCH("Helminth",Pathogens!C20)),3,IF(ISNUMBER(SEARCH("Respiratory",Pathogens!C20)),4,3)))))))</f>
        <v>4</v>
      </c>
      <c r="AV23" s="62">
        <f>IF(ISNUMBER(SEARCH("AMR",Pathogens!C20)),5,IF(ISNUMBER(SEARCH("Mycobacterial",Pathogens!C20)),4,IF(ISNUMBER(SEARCH("Enteric bacterial",Pathogens!C20)),3,IF(ISNUMBER(SEARCH("Bacterial",Pathogens!C20)),3,1))))</f>
        <v>1</v>
      </c>
      <c r="AW2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3" s="62">
        <f>(6-Pathogens!X20)</f>
        <v>4</v>
      </c>
      <c r="AY23" s="62">
        <f>ROUND(MIN(5,MAX(1,0.35*IF(Pathogens!R20=1,5,IF(Pathogens!R20=2,3,1))+0.2*IF(Pathogens!S20=1,5,IF(Pathogens!S20=2,3,1))+0.25*IF(Pathogens!W20=1,IF(VLOOKUP(G$4,Countries!$B$2:$AN$55,38,FALSE)&gt;=3,5,IF(VLOOKUP(G$4,Countries!$B$2:$AN$55,38,FALSE)=2,4,IF(VLOOKUP(G$4,Countries!$B$2:$AN$55,38,FALSE)=1,2,1))),5)+0.2*IF(VLOOKUP(G$4,Countries!$B$2:$AN$55,24,FALSE)&gt;=50,5,IF(VLOOKUP(G$4,Countries!$B$2:$AN$55,24,FALSE)&gt;=25,4,IF(VLOOKUP(G$4,Countries!$B$2:$AN$55,24,FALSE)&gt;=10,3,IF(VLOOKUP(G$4,Countries!$B$2:$AN$55,24,FALSE)&gt;=5,2,1)))))),0)</f>
        <v>4</v>
      </c>
      <c r="AZ23" s="62" t="str">
        <f>IFERROR(INDEX(Endemicity!$C$2:$BN$55,MATCH(G$4,Endemicity!$B$2:$B$55,0),MATCH($A23,Endemicity!$C$1:$BN$1,0)),"Sporadic")</f>
        <v>Endemic</v>
      </c>
      <c r="BA23" s="62">
        <f>IF(Settings!$B$48="ON",IFERROR(MATCH($AZ23,Settings!$B$35:$F$35,0),5),5)</f>
        <v>1</v>
      </c>
    </row>
    <row r="24" customHeight="1" spans="1:53">
      <c r="A24" s="61" t="str">
        <f>Calculator!A53</f>
        <v>ADENO</v>
      </c>
      <c r="B24" s="61" t="str">
        <f>Calculator!B53</f>
        <v>Adenovirus (resp + enteric)</v>
      </c>
      <c r="C24" s="61" t="str">
        <f>Calculator!C53</f>
        <v>Respiratory/enteric viral</v>
      </c>
      <c r="D24" s="52">
        <f>IFERROR(ROUND(MIN(100,(($J24)*Settings!$C$23*INDEX(Settings!$B$36:$F$44,1,$T24)+($K24)*Settings!$C$24*INDEX(Settings!$B$36:$F$44,2,$T24)+($L24)*Settings!$C$25*INDEX(Settings!$B$36:$F$44,3,$T24)+($M24)*Settings!$C$26*INDEX(Settings!$B$36:$F$44,4,$T24)+($N24)*Settings!$C$27*INDEX(Settings!$B$36:$F$44,5,$T24)+($O24)*Settings!$C$28*INDEX(Settings!$B$36:$F$44,6,$T24)+($P24)*Settings!$C$29*INDEX(Settings!$B$36:$F$44,7,$T24)+($Q24)*Settings!$C$30*INDEX(Settings!$B$36:$F$44,8,$T24)+($R24)*Settings!$C$31*INDEX(Settings!$B$36:$F$44,9,$T24))/INDEX(Settings!$B$45:$F$45,1,$T24)/5*100*IF($S24="Not present",Settings!$B$51,1)),1),"")</f>
        <v>73.6</v>
      </c>
      <c r="E24" s="52">
        <f>IFERROR(ROUND(MIN(100,(($U24)*Settings!$C$23*INDEX(Settings!$B$36:$F$44,1,$AE24)+($V24)*Settings!$C$24*INDEX(Settings!$B$36:$F$44,2,$AE24)+($W24)*Settings!$C$25*INDEX(Settings!$B$36:$F$44,3,$AE24)+($X24)*Settings!$C$26*INDEX(Settings!$B$36:$F$44,4,$AE24)+($Y24)*Settings!$C$27*INDEX(Settings!$B$36:$F$44,5,$AE24)+($Z24)*Settings!$C$28*INDEX(Settings!$B$36:$F$44,6,$AE24)+($AA24)*Settings!$C$29*INDEX(Settings!$B$36:$F$44,7,$AE24)+($AB24)*Settings!$C$30*INDEX(Settings!$B$36:$F$44,8,$AE24)+($AC24)*Settings!$C$31*INDEX(Settings!$B$36:$F$44,9,$AE24))/INDEX(Settings!$B$45:$F$45,1,$AE24)/5*100*IF($AD24="Not present",Settings!$B$51,1)),1),"")</f>
        <v>76.4</v>
      </c>
      <c r="F24" s="52">
        <f>IFERROR(ROUND(MIN(100,(($AF24)*Settings!$C$23*INDEX(Settings!$B$36:$F$44,1,$AP24)+($AG24)*Settings!$C$24*INDEX(Settings!$B$36:$F$44,2,$AP24)+($AH24)*Settings!$C$25*INDEX(Settings!$B$36:$F$44,3,$AP24)+($AI24)*Settings!$C$26*INDEX(Settings!$B$36:$F$44,4,$AP24)+($AJ24)*Settings!$C$27*INDEX(Settings!$B$36:$F$44,5,$AP24)+($AK24)*Settings!$C$28*INDEX(Settings!$B$36:$F$44,6,$AP24)+($AL24)*Settings!$C$29*INDEX(Settings!$B$36:$F$44,7,$AP24)+($AM24)*Settings!$C$30*INDEX(Settings!$B$36:$F$44,8,$AP24)+($AN24)*Settings!$C$31*INDEX(Settings!$B$36:$F$44,9,$AP24))/INDEX(Settings!$B$45:$F$45,1,$AP24)/5*100*IF($AO24="Not present",Settings!$B$51,1)),1),"")</f>
        <v>70.8</v>
      </c>
      <c r="G24" s="52">
        <f>IFERROR(ROUND(MIN(100,(($AQ24)*Settings!$C$23*INDEX(Settings!$B$36:$F$44,1,$BA24)+($AR24)*Settings!$C$24*INDEX(Settings!$B$36:$F$44,2,$BA24)+($AS24)*Settings!$C$25*INDEX(Settings!$B$36:$F$44,3,$BA24)+($AT24)*Settings!$C$26*INDEX(Settings!$B$36:$F$44,4,$BA24)+($AU24)*Settings!$C$27*INDEX(Settings!$B$36:$F$44,5,$BA24)+($AV24)*Settings!$C$28*INDEX(Settings!$B$36:$F$44,6,$BA24)+($AW24)*Settings!$C$29*INDEX(Settings!$B$36:$F$44,7,$BA24)+($AX24)*Settings!$C$30*INDEX(Settings!$B$36:$F$44,8,$BA24)+($AY24)*Settings!$C$31*INDEX(Settings!$B$36:$F$44,9,$BA24))/INDEX(Settings!$B$45:$F$45,1,$BA24)/5*100*IF($AZ24="Not present",Settings!$B$51,1)),1),"")</f>
        <v>72.6</v>
      </c>
      <c r="J24" s="62">
        <f>ROUND(MIN(5,IF(Pathogens!I21&gt;=500,5,IF(Pathogens!I21&gt;=200,4,IF(Pathogens!I21&gt;=50,3,IF(Pathogens!I21&gt;=10,2,1))))*0.5+IF(Pathogens!J21&gt;=30,5,IF(Pathogens!J21&gt;=10,4,IF(Pathogens!J21&gt;=3,3,IF(Pathogens!J21&gt;=1,2,1))))*0.4+IF(AND(VLOOKUP(D$4,Countries!$B$2:$AN$55,4,FALSE)&gt;=80,Pathogens!N21&gt;=0.5),1,0)*0.1+IF(VLOOKUP(D$4,Countries!$B$2:$AN$55,7,FALSE)&lt;50,0.3,0)),0)</f>
        <v>3</v>
      </c>
      <c r="K24" s="62">
        <f>ROUND(MIN(5,IF(Pathogens!K21&gt;=8,5,IF(Pathogens!K21&gt;=5,4,IF(Pathogens!K21&gt;=3,3,IF(Pathogens!K21&gt;=1,2,1))))*0.5+IF(Pathogens!L21&gt;=5,5,IF(Pathogens!L21&gt;=3,4,IF(Pathogens!L21&gt;=2,3,IF(Pathogens!L21&gt;=1.2,2,1))))*0.3+IF(Pathogens!M21=1,2,0)*0.2+IF(VLOOKUP(D$4,Countries!$B$2:$AN$55,12,FALSE)&gt;=2,0.5,0)),0)</f>
        <v>4</v>
      </c>
      <c r="L24" s="62">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c r="M24" s="62">
        <f>ROUND(MAX(1,MIN(5,(6-VLOOKUP(D$4,Countries!$B$2:$AN$55,10,FALSE))*0.5+(6-VLOOKUP(D$4,Countries!$B$2:$AN$55,11,FALSE))*0.4+(IF(AND(Pathogens!N21&gt;=0.5,VLOOKUP(D$4,Countries!$B$2:$AN$55,5,FALSE)&lt;60),5,IF(Pathogens!N21&gt;=0.5,4,IF(Pathogens!N21&gt;=0.3,3,IF(Pathogens!N21&gt;=0.1,2,1)))))*0.1)),0)</f>
        <v>2</v>
      </c>
      <c r="N24" s="62">
        <f>IF(ISNUMBER(SEARCH("Vaccine-preventable",Pathogens!C21)),2,IF(ISNUMBER(SEARCH("AMR",Pathogens!C21)),5,IF(ISNUMBER(SEARCH("VHF",Pathogens!C21)),4,IF(ISNUMBER(SEARCH("Emerging",Pathogens!C21)),5,IF(ISNUMBER(SEARCH("Mycobacterial",Pathogens!C21)),3,IF(ISNUMBER(SEARCH("Helminth",Pathogens!C21)),3,IF(ISNUMBER(SEARCH("Respiratory",Pathogens!C21)),4,3)))))))</f>
        <v>4</v>
      </c>
      <c r="O24" s="62">
        <f>IF(ISNUMBER(SEARCH("AMR",Pathogens!C21)),5,IF(ISNUMBER(SEARCH("Mycobacterial",Pathogens!C21)),4,IF(ISNUMBER(SEARCH("Enteric bacterial",Pathogens!C21)),3,IF(ISNUMBER(SEARCH("Bacterial",Pathogens!C21)),3,1))))</f>
        <v>1</v>
      </c>
      <c r="P2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4" s="62">
        <f>(6-Pathogens!X21)</f>
        <v>5</v>
      </c>
      <c r="R24" s="62">
        <f>ROUND(MIN(5,MAX(1,0.35*IF(Pathogens!R21=1,5,IF(Pathogens!R21=2,3,1))+0.2*IF(Pathogens!S21=1,5,IF(Pathogens!S21=2,3,1))+0.25*IF(Pathogens!W21=1,IF(VLOOKUP(D$4,Countries!$B$2:$AN$55,38,FALSE)&gt;=3,5,IF(VLOOKUP(D$4,Countries!$B$2:$AN$55,38,FALSE)=2,4,IF(VLOOKUP(D$4,Countries!$B$2:$AN$55,38,FALSE)=1,2,1))),5)+0.2*IF(VLOOKUP(D$4,Countries!$B$2:$AN$55,24,FALSE)&gt;=50,5,IF(VLOOKUP(D$4,Countries!$B$2:$AN$55,24,FALSE)&gt;=25,4,IF(VLOOKUP(D$4,Countries!$B$2:$AN$55,24,FALSE)&gt;=10,3,IF(VLOOKUP(D$4,Countries!$B$2:$AN$55,24,FALSE)&gt;=5,2,1)))))),0)</f>
        <v>5</v>
      </c>
      <c r="S24" s="62" t="str">
        <f>IFERROR(INDEX(Endemicity!$C$2:$BN$55,MATCH(D$4,Endemicity!$B$2:$B$55,0),MATCH($A24,Endemicity!$C$1:$BN$1,0)),"Sporadic")</f>
        <v>Endemic</v>
      </c>
      <c r="T24" s="62">
        <f>IF(Settings!$B$48="ON",IFERROR(MATCH($S24,Settings!$B$35:$F$35,0),5),5)</f>
        <v>1</v>
      </c>
      <c r="U24" s="62">
        <f>ROUND(MIN(5,IF(Pathogens!I21&gt;=500,5,IF(Pathogens!I21&gt;=200,4,IF(Pathogens!I21&gt;=50,3,IF(Pathogens!I21&gt;=10,2,1))))*0.5+IF(Pathogens!J21&gt;=30,5,IF(Pathogens!J21&gt;=10,4,IF(Pathogens!J21&gt;=3,3,IF(Pathogens!J21&gt;=1,2,1))))*0.4+IF(AND(VLOOKUP(E$4,Countries!$B$2:$AN$55,4,FALSE)&gt;=80,Pathogens!N21&gt;=0.5),1,0)*0.1+IF(VLOOKUP(E$4,Countries!$B$2:$AN$55,7,FALSE)&lt;50,0.3,0)),0)</f>
        <v>3</v>
      </c>
      <c r="V24" s="62">
        <f>ROUND(MIN(5,IF(Pathogens!K21&gt;=8,5,IF(Pathogens!K21&gt;=5,4,IF(Pathogens!K21&gt;=3,3,IF(Pathogens!K21&gt;=1,2,1))))*0.5+IF(Pathogens!L21&gt;=5,5,IF(Pathogens!L21&gt;=3,4,IF(Pathogens!L21&gt;=2,3,IF(Pathogens!L21&gt;=1.2,2,1))))*0.3+IF(Pathogens!M21=1,2,0)*0.2+IF(VLOOKUP(E$4,Countries!$B$2:$AN$55,12,FALSE)&gt;=2,0.5,0)),0)</f>
        <v>4</v>
      </c>
      <c r="W24" s="62">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c r="X24" s="62">
        <f>ROUND(MAX(1,MIN(5,(6-VLOOKUP(E$4,Countries!$B$2:$AN$55,10,FALSE))*0.5+(6-VLOOKUP(E$4,Countries!$B$2:$AN$55,11,FALSE))*0.4+(IF(AND(Pathogens!N21&gt;=0.5,VLOOKUP(E$4,Countries!$B$2:$AN$55,5,FALSE)&lt;60),5,IF(Pathogens!N21&gt;=0.5,4,IF(Pathogens!N21&gt;=0.3,3,IF(Pathogens!N21&gt;=0.1,2,1)))))*0.1)),0)</f>
        <v>3</v>
      </c>
      <c r="Y24" s="62">
        <f>IF(ISNUMBER(SEARCH("Vaccine-preventable",Pathogens!C21)),2,IF(ISNUMBER(SEARCH("AMR",Pathogens!C21)),5,IF(ISNUMBER(SEARCH("VHF",Pathogens!C21)),4,IF(ISNUMBER(SEARCH("Emerging",Pathogens!C21)),5,IF(ISNUMBER(SEARCH("Mycobacterial",Pathogens!C21)),3,IF(ISNUMBER(SEARCH("Helminth",Pathogens!C21)),3,IF(ISNUMBER(SEARCH("Respiratory",Pathogens!C21)),4,3)))))))</f>
        <v>4</v>
      </c>
      <c r="Z24" s="62">
        <f>IF(ISNUMBER(SEARCH("AMR",Pathogens!C21)),5,IF(ISNUMBER(SEARCH("Mycobacterial",Pathogens!C21)),4,IF(ISNUMBER(SEARCH("Enteric bacterial",Pathogens!C21)),3,IF(ISNUMBER(SEARCH("Bacterial",Pathogens!C21)),3,1))))</f>
        <v>1</v>
      </c>
      <c r="AA2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4" s="62">
        <f>(6-Pathogens!X21)</f>
        <v>5</v>
      </c>
      <c r="AC24" s="62">
        <f>ROUND(MIN(5,MAX(1,0.35*IF(Pathogens!R21=1,5,IF(Pathogens!R21=2,3,1))+0.2*IF(Pathogens!S21=1,5,IF(Pathogens!S21=2,3,1))+0.25*IF(Pathogens!W21=1,IF(VLOOKUP(E$4,Countries!$B$2:$AN$55,38,FALSE)&gt;=3,5,IF(VLOOKUP(E$4,Countries!$B$2:$AN$55,38,FALSE)=2,4,IF(VLOOKUP(E$4,Countries!$B$2:$AN$55,38,FALSE)=1,2,1))),5)+0.2*IF(VLOOKUP(E$4,Countries!$B$2:$AN$55,24,FALSE)&gt;=50,5,IF(VLOOKUP(E$4,Countries!$B$2:$AN$55,24,FALSE)&gt;=25,4,IF(VLOOKUP(E$4,Countries!$B$2:$AN$55,24,FALSE)&gt;=10,3,IF(VLOOKUP(E$4,Countries!$B$2:$AN$55,24,FALSE)&gt;=5,2,1)))))),0)</f>
        <v>4</v>
      </c>
      <c r="AD24" s="62" t="str">
        <f>IFERROR(INDEX(Endemicity!$C$2:$BN$55,MATCH(E$4,Endemicity!$B$2:$B$55,0),MATCH($A24,Endemicity!$C$1:$BN$1,0)),"Sporadic")</f>
        <v>Endemic</v>
      </c>
      <c r="AE24" s="62">
        <f>IF(Settings!$B$48="ON",IFERROR(MATCH($AD24,Settings!$B$35:$F$35,0),5),5)</f>
        <v>1</v>
      </c>
      <c r="AF24" s="62">
        <f>ROUND(MIN(5,IF(Pathogens!I21&gt;=500,5,IF(Pathogens!I21&gt;=200,4,IF(Pathogens!I21&gt;=50,3,IF(Pathogens!I21&gt;=10,2,1))))*0.5+IF(Pathogens!J21&gt;=30,5,IF(Pathogens!J21&gt;=10,4,IF(Pathogens!J21&gt;=3,3,IF(Pathogens!J21&gt;=1,2,1))))*0.4+IF(AND(VLOOKUP(F$4,Countries!$B$2:$AN$55,4,FALSE)&gt;=80,Pathogens!N21&gt;=0.5),1,0)*0.1+IF(VLOOKUP(F$4,Countries!$B$2:$AN$55,7,FALSE)&lt;50,0.3,0)),0)</f>
        <v>3</v>
      </c>
      <c r="AG24" s="62">
        <f>ROUND(MIN(5,IF(Pathogens!K21&gt;=8,5,IF(Pathogens!K21&gt;=5,4,IF(Pathogens!K21&gt;=3,3,IF(Pathogens!K21&gt;=1,2,1))))*0.5+IF(Pathogens!L21&gt;=5,5,IF(Pathogens!L21&gt;=3,4,IF(Pathogens!L21&gt;=2,3,IF(Pathogens!L21&gt;=1.2,2,1))))*0.3+IF(Pathogens!M21=1,2,0)*0.2+IF(VLOOKUP(F$4,Countries!$B$2:$AN$55,12,FALSE)&gt;=2,0.5,0)),0)</f>
        <v>4</v>
      </c>
      <c r="AH24" s="62">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c r="AI24" s="62">
        <f>ROUND(MAX(1,MIN(5,(6-VLOOKUP(F$4,Countries!$B$2:$AN$55,10,FALSE))*0.5+(6-VLOOKUP(F$4,Countries!$B$2:$AN$55,11,FALSE))*0.4+(IF(AND(Pathogens!N21&gt;=0.5,VLOOKUP(F$4,Countries!$B$2:$AN$55,5,FALSE)&lt;60),5,IF(Pathogens!N21&gt;=0.5,4,IF(Pathogens!N21&gt;=0.3,3,IF(Pathogens!N21&gt;=0.1,2,1)))))*0.1)),0)</f>
        <v>2</v>
      </c>
      <c r="AJ24" s="62">
        <f>IF(ISNUMBER(SEARCH("Vaccine-preventable",Pathogens!C21)),2,IF(ISNUMBER(SEARCH("AMR",Pathogens!C21)),5,IF(ISNUMBER(SEARCH("VHF",Pathogens!C21)),4,IF(ISNUMBER(SEARCH("Emerging",Pathogens!C21)),5,IF(ISNUMBER(SEARCH("Mycobacterial",Pathogens!C21)),3,IF(ISNUMBER(SEARCH("Helminth",Pathogens!C21)),3,IF(ISNUMBER(SEARCH("Respiratory",Pathogens!C21)),4,3)))))))</f>
        <v>4</v>
      </c>
      <c r="AK24" s="62">
        <f>IF(ISNUMBER(SEARCH("AMR",Pathogens!C21)),5,IF(ISNUMBER(SEARCH("Mycobacterial",Pathogens!C21)),4,IF(ISNUMBER(SEARCH("Enteric bacterial",Pathogens!C21)),3,IF(ISNUMBER(SEARCH("Bacterial",Pathogens!C21)),3,1))))</f>
        <v>1</v>
      </c>
      <c r="AL2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4" s="62">
        <f>(6-Pathogens!X21)</f>
        <v>5</v>
      </c>
      <c r="AN24" s="62">
        <f>ROUND(MIN(5,MAX(1,0.35*IF(Pathogens!R21=1,5,IF(Pathogens!R21=2,3,1))+0.2*IF(Pathogens!S21=1,5,IF(Pathogens!S21=2,3,1))+0.25*IF(Pathogens!W21=1,IF(VLOOKUP(F$4,Countries!$B$2:$AN$55,38,FALSE)&gt;=3,5,IF(VLOOKUP(F$4,Countries!$B$2:$AN$55,38,FALSE)=2,4,IF(VLOOKUP(F$4,Countries!$B$2:$AN$55,38,FALSE)=1,2,1))),5)+0.2*IF(VLOOKUP(F$4,Countries!$B$2:$AN$55,24,FALSE)&gt;=50,5,IF(VLOOKUP(F$4,Countries!$B$2:$AN$55,24,FALSE)&gt;=25,4,IF(VLOOKUP(F$4,Countries!$B$2:$AN$55,24,FALSE)&gt;=10,3,IF(VLOOKUP(F$4,Countries!$B$2:$AN$55,24,FALSE)&gt;=5,2,1)))))),0)</f>
        <v>4</v>
      </c>
      <c r="AO24" s="62" t="str">
        <f>IFERROR(INDEX(Endemicity!$C$2:$BN$55,MATCH(F$4,Endemicity!$B$2:$B$55,0),MATCH($A24,Endemicity!$C$1:$BN$1,0)),"Sporadic")</f>
        <v>Endemic</v>
      </c>
      <c r="AP24" s="62">
        <f>IF(Settings!$B$48="ON",IFERROR(MATCH($AO24,Settings!$B$35:$F$35,0),5),5)</f>
        <v>1</v>
      </c>
      <c r="AQ24" s="62">
        <f>ROUND(MIN(5,IF(Pathogens!I21&gt;=500,5,IF(Pathogens!I21&gt;=200,4,IF(Pathogens!I21&gt;=50,3,IF(Pathogens!I21&gt;=10,2,1))))*0.5+IF(Pathogens!J21&gt;=30,5,IF(Pathogens!J21&gt;=10,4,IF(Pathogens!J21&gt;=3,3,IF(Pathogens!J21&gt;=1,2,1))))*0.4+IF(AND(VLOOKUP(G$4,Countries!$B$2:$AN$55,4,FALSE)&gt;=80,Pathogens!N21&gt;=0.5),1,0)*0.1+IF(VLOOKUP(G$4,Countries!$B$2:$AN$55,7,FALSE)&lt;50,0.3,0)),0)</f>
        <v>3</v>
      </c>
      <c r="AR24" s="62">
        <f>ROUND(MIN(5,IF(Pathogens!K21&gt;=8,5,IF(Pathogens!K21&gt;=5,4,IF(Pathogens!K21&gt;=3,3,IF(Pathogens!K21&gt;=1,2,1))))*0.5+IF(Pathogens!L21&gt;=5,5,IF(Pathogens!L21&gt;=3,4,IF(Pathogens!L21&gt;=2,3,IF(Pathogens!L21&gt;=1.2,2,1))))*0.3+IF(Pathogens!M21=1,2,0)*0.2+IF(VLOOKUP(G$4,Countries!$B$2:$AN$55,12,FALSE)&gt;=2,0.5,0)),0)</f>
        <v>4</v>
      </c>
      <c r="AS24" s="62">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c r="AT24" s="62">
        <f>ROUND(MAX(1,MIN(5,(6-VLOOKUP(G$4,Countries!$B$2:$AN$55,10,FALSE))*0.5+(6-VLOOKUP(G$4,Countries!$B$2:$AN$55,11,FALSE))*0.4+(IF(AND(Pathogens!N21&gt;=0.5,VLOOKUP(G$4,Countries!$B$2:$AN$55,5,FALSE)&lt;60),5,IF(Pathogens!N21&gt;=0.5,4,IF(Pathogens!N21&gt;=0.3,3,IF(Pathogens!N21&gt;=0.1,2,1)))))*0.1)),0)</f>
        <v>2</v>
      </c>
      <c r="AU24" s="62">
        <f>IF(ISNUMBER(SEARCH("Vaccine-preventable",Pathogens!C21)),2,IF(ISNUMBER(SEARCH("AMR",Pathogens!C21)),5,IF(ISNUMBER(SEARCH("VHF",Pathogens!C21)),4,IF(ISNUMBER(SEARCH("Emerging",Pathogens!C21)),5,IF(ISNUMBER(SEARCH("Mycobacterial",Pathogens!C21)),3,IF(ISNUMBER(SEARCH("Helminth",Pathogens!C21)),3,IF(ISNUMBER(SEARCH("Respiratory",Pathogens!C21)),4,3)))))))</f>
        <v>4</v>
      </c>
      <c r="AV24" s="62">
        <f>IF(ISNUMBER(SEARCH("AMR",Pathogens!C21)),5,IF(ISNUMBER(SEARCH("Mycobacterial",Pathogens!C21)),4,IF(ISNUMBER(SEARCH("Enteric bacterial",Pathogens!C21)),3,IF(ISNUMBER(SEARCH("Bacterial",Pathogens!C21)),3,1))))</f>
        <v>1</v>
      </c>
      <c r="AW2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4" s="62">
        <f>(6-Pathogens!X21)</f>
        <v>5</v>
      </c>
      <c r="AY24" s="62">
        <f>ROUND(MIN(5,MAX(1,0.35*IF(Pathogens!R21=1,5,IF(Pathogens!R21=2,3,1))+0.2*IF(Pathogens!S21=1,5,IF(Pathogens!S21=2,3,1))+0.25*IF(Pathogens!W21=1,IF(VLOOKUP(G$4,Countries!$B$2:$AN$55,38,FALSE)&gt;=3,5,IF(VLOOKUP(G$4,Countries!$B$2:$AN$55,38,FALSE)=2,4,IF(VLOOKUP(G$4,Countries!$B$2:$AN$55,38,FALSE)=1,2,1))),5)+0.2*IF(VLOOKUP(G$4,Countries!$B$2:$AN$55,24,FALSE)&gt;=50,5,IF(VLOOKUP(G$4,Countries!$B$2:$AN$55,24,FALSE)&gt;=25,4,IF(VLOOKUP(G$4,Countries!$B$2:$AN$55,24,FALSE)&gt;=10,3,IF(VLOOKUP(G$4,Countries!$B$2:$AN$55,24,FALSE)&gt;=5,2,1)))))),0)</f>
        <v>4</v>
      </c>
      <c r="AZ24" s="62" t="str">
        <f>IFERROR(INDEX(Endemicity!$C$2:$BN$55,MATCH(G$4,Endemicity!$B$2:$B$55,0),MATCH($A24,Endemicity!$C$1:$BN$1,0)),"Sporadic")</f>
        <v>Endemic</v>
      </c>
      <c r="BA24" s="62">
        <f>IF(Settings!$B$48="ON",IFERROR(MATCH($AZ24,Settings!$B$35:$F$35,0),5),5)</f>
        <v>1</v>
      </c>
    </row>
    <row r="25" customHeight="1" spans="1:53">
      <c r="A25" s="61" t="str">
        <f>Calculator!A54</f>
        <v>NIPAH</v>
      </c>
      <c r="B25" s="61" t="str">
        <f>Calculator!B54</f>
        <v>Nipah virus</v>
      </c>
      <c r="C25" s="61" t="str">
        <f>Calculator!C54</f>
        <v>Emerging viral/zoonotic</v>
      </c>
      <c r="D25" s="52">
        <f>IFERROR(ROUND(MIN(100,(($J25)*Settings!$C$23*INDEX(Settings!$B$36:$F$44,1,$T25)+($K25)*Settings!$C$24*INDEX(Settings!$B$36:$F$44,2,$T25)+($L25)*Settings!$C$25*INDEX(Settings!$B$36:$F$44,3,$T25)+($M25)*Settings!$C$26*INDEX(Settings!$B$36:$F$44,4,$T25)+($N25)*Settings!$C$27*INDEX(Settings!$B$36:$F$44,5,$T25)+($O25)*Settings!$C$28*INDEX(Settings!$B$36:$F$44,6,$T25)+($P25)*Settings!$C$29*INDEX(Settings!$B$36:$F$44,7,$T25)+($Q25)*Settings!$C$30*INDEX(Settings!$B$36:$F$44,8,$T25)+($R25)*Settings!$C$31*INDEX(Settings!$B$36:$F$44,9,$T25))/INDEX(Settings!$B$45:$F$45,1,$T25)/5*100*IF($S25="Not present",Settings!$B$51,1)),1),"")</f>
        <v>20.7</v>
      </c>
      <c r="E25" s="52">
        <f>IFERROR(ROUND(MIN(100,(($U25)*Settings!$C$23*INDEX(Settings!$B$36:$F$44,1,$AE25)+($V25)*Settings!$C$24*INDEX(Settings!$B$36:$F$44,2,$AE25)+($W25)*Settings!$C$25*INDEX(Settings!$B$36:$F$44,3,$AE25)+($X25)*Settings!$C$26*INDEX(Settings!$B$36:$F$44,4,$AE25)+($Y25)*Settings!$C$27*INDEX(Settings!$B$36:$F$44,5,$AE25)+($Z25)*Settings!$C$28*INDEX(Settings!$B$36:$F$44,6,$AE25)+($AA25)*Settings!$C$29*INDEX(Settings!$B$36:$F$44,7,$AE25)+($AB25)*Settings!$C$30*INDEX(Settings!$B$36:$F$44,8,$AE25)+($AC25)*Settings!$C$31*INDEX(Settings!$B$36:$F$44,9,$AE25))/INDEX(Settings!$B$45:$F$45,1,$AE25)/5*100*IF($AD25="Not present",Settings!$B$51,1)),1),"")</f>
        <v>61.8</v>
      </c>
      <c r="F25" s="52">
        <f>IFERROR(ROUND(MIN(100,(($AF25)*Settings!$C$23*INDEX(Settings!$B$36:$F$44,1,$AP25)+($AG25)*Settings!$C$24*INDEX(Settings!$B$36:$F$44,2,$AP25)+($AH25)*Settings!$C$25*INDEX(Settings!$B$36:$F$44,3,$AP25)+($AI25)*Settings!$C$26*INDEX(Settings!$B$36:$F$44,4,$AP25)+($AJ25)*Settings!$C$27*INDEX(Settings!$B$36:$F$44,5,$AP25)+($AK25)*Settings!$C$28*INDEX(Settings!$B$36:$F$44,6,$AP25)+($AL25)*Settings!$C$29*INDEX(Settings!$B$36:$F$44,7,$AP25)+($AM25)*Settings!$C$30*INDEX(Settings!$B$36:$F$44,8,$AP25)+($AN25)*Settings!$C$31*INDEX(Settings!$B$36:$F$44,9,$AP25))/INDEX(Settings!$B$45:$F$45,1,$AP25)/5*100*IF($AO25="Not present",Settings!$B$51,1)),1),"")</f>
        <v>20.7</v>
      </c>
      <c r="G25" s="52">
        <f>IFERROR(ROUND(MIN(100,(($AQ25)*Settings!$C$23*INDEX(Settings!$B$36:$F$44,1,$BA25)+($AR25)*Settings!$C$24*INDEX(Settings!$B$36:$F$44,2,$BA25)+($AS25)*Settings!$C$25*INDEX(Settings!$B$36:$F$44,3,$BA25)+($AT25)*Settings!$C$26*INDEX(Settings!$B$36:$F$44,4,$BA25)+($AU25)*Settings!$C$27*INDEX(Settings!$B$36:$F$44,5,$BA25)+($AV25)*Settings!$C$28*INDEX(Settings!$B$36:$F$44,6,$BA25)+($AW25)*Settings!$C$29*INDEX(Settings!$B$36:$F$44,7,$BA25)+($AX25)*Settings!$C$30*INDEX(Settings!$B$36:$F$44,8,$BA25)+($AY25)*Settings!$C$31*INDEX(Settings!$B$36:$F$44,9,$BA25))/INDEX(Settings!$B$45:$F$45,1,$BA25)/5*100*IF($AZ25="Not present",Settings!$B$51,1)),1),"")</f>
        <v>21</v>
      </c>
      <c r="J25" s="62">
        <f>ROUND(MIN(5,IF(Pathogens!I22&gt;=500,5,IF(Pathogens!I22&gt;=200,4,IF(Pathogens!I22&gt;=50,3,IF(Pathogens!I22&gt;=10,2,1))))*0.5+IF(Pathogens!J22&gt;=30,5,IF(Pathogens!J22&gt;=10,4,IF(Pathogens!J22&gt;=3,3,IF(Pathogens!J22&gt;=1,2,1))))*0.4+IF(AND(VLOOKUP(D$4,Countries!$B$2:$AN$55,4,FALSE)&gt;=80,Pathogens!N22&gt;=0.5),1,0)*0.1+IF(VLOOKUP(D$4,Countries!$B$2:$AN$55,7,FALSE)&lt;50,0.3,0)),0)</f>
        <v>3</v>
      </c>
      <c r="K25" s="62">
        <f>ROUND(MIN(5,IF(Pathogens!K22&gt;=8,5,IF(Pathogens!K22&gt;=5,4,IF(Pathogens!K22&gt;=3,3,IF(Pathogens!K22&gt;=1,2,1))))*0.5+IF(Pathogens!L22&gt;=5,5,IF(Pathogens!L22&gt;=3,4,IF(Pathogens!L22&gt;=2,3,IF(Pathogens!L22&gt;=1.2,2,1))))*0.3+IF(Pathogens!M22=1,2,0)*0.2+IF(VLOOKUP(D$4,Countries!$B$2:$AN$55,12,FALSE)&gt;=2,0.5,0)),0)</f>
        <v>2</v>
      </c>
      <c r="L25" s="62">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c r="M25" s="62">
        <f>ROUND(MAX(1,MIN(5,(6-VLOOKUP(D$4,Countries!$B$2:$AN$55,10,FALSE))*0.5+(6-VLOOKUP(D$4,Countries!$B$2:$AN$55,11,FALSE))*0.4+(IF(AND(Pathogens!N22&gt;=0.5,VLOOKUP(D$4,Countries!$B$2:$AN$55,5,FALSE)&lt;60),5,IF(Pathogens!N22&gt;=0.5,4,IF(Pathogens!N22&gt;=0.3,3,IF(Pathogens!N22&gt;=0.1,2,1)))))*0.1)),0)</f>
        <v>2</v>
      </c>
      <c r="N25" s="62">
        <f>IF(ISNUMBER(SEARCH("Vaccine-preventable",Pathogens!C22)),2,IF(ISNUMBER(SEARCH("AMR",Pathogens!C22)),5,IF(ISNUMBER(SEARCH("VHF",Pathogens!C22)),4,IF(ISNUMBER(SEARCH("Emerging",Pathogens!C22)),5,IF(ISNUMBER(SEARCH("Mycobacterial",Pathogens!C22)),3,IF(ISNUMBER(SEARCH("Helminth",Pathogens!C22)),3,IF(ISNUMBER(SEARCH("Respiratory",Pathogens!C22)),4,3)))))))</f>
        <v>5</v>
      </c>
      <c r="O25" s="62">
        <f>IF(ISNUMBER(SEARCH("AMR",Pathogens!C22)),5,IF(ISNUMBER(SEARCH("Mycobacterial",Pathogens!C22)),4,IF(ISNUMBER(SEARCH("Enteric bacterial",Pathogens!C22)),3,IF(ISNUMBER(SEARCH("Bacterial",Pathogens!C22)),3,1))))</f>
        <v>1</v>
      </c>
      <c r="P2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5" s="62">
        <f>(6-Pathogens!X22)</f>
        <v>5</v>
      </c>
      <c r="R25" s="62">
        <f>ROUND(MIN(5,MAX(1,0.35*IF(Pathogens!R22=1,5,IF(Pathogens!R22=2,3,1))+0.2*IF(Pathogens!S22=1,5,IF(Pathogens!S22=2,3,1))+0.25*IF(Pathogens!W22=1,IF(VLOOKUP(D$4,Countries!$B$2:$AN$55,38,FALSE)&gt;=3,5,IF(VLOOKUP(D$4,Countries!$B$2:$AN$55,38,FALSE)=2,4,IF(VLOOKUP(D$4,Countries!$B$2:$AN$55,38,FALSE)=1,2,1))),5)+0.2*IF(VLOOKUP(D$4,Countries!$B$2:$AN$55,24,FALSE)&gt;=50,5,IF(VLOOKUP(D$4,Countries!$B$2:$AN$55,24,FALSE)&gt;=25,4,IF(VLOOKUP(D$4,Countries!$B$2:$AN$55,24,FALSE)&gt;=10,3,IF(VLOOKUP(D$4,Countries!$B$2:$AN$55,24,FALSE)&gt;=5,2,1)))))),0)</f>
        <v>3</v>
      </c>
      <c r="S25" s="62" t="str">
        <f>IFERROR(INDEX(Endemicity!$C$2:$BN$55,MATCH(D$4,Endemicity!$B$2:$B$55,0),MATCH($A25,Endemicity!$C$1:$BN$1,0)),"Sporadic")</f>
        <v>Not present</v>
      </c>
      <c r="T25" s="62">
        <f>IF(Settings!$B$48="ON",IFERROR(MATCH($S25,Settings!$B$35:$F$35,0),5),5)</f>
        <v>4</v>
      </c>
      <c r="U25" s="62">
        <f>ROUND(MIN(5,IF(Pathogens!I22&gt;=500,5,IF(Pathogens!I22&gt;=200,4,IF(Pathogens!I22&gt;=50,3,IF(Pathogens!I22&gt;=10,2,1))))*0.5+IF(Pathogens!J22&gt;=30,5,IF(Pathogens!J22&gt;=10,4,IF(Pathogens!J22&gt;=3,3,IF(Pathogens!J22&gt;=1,2,1))))*0.4+IF(AND(VLOOKUP(E$4,Countries!$B$2:$AN$55,4,FALSE)&gt;=80,Pathogens!N22&gt;=0.5),1,0)*0.1+IF(VLOOKUP(E$4,Countries!$B$2:$AN$55,7,FALSE)&lt;50,0.3,0)),0)</f>
        <v>3</v>
      </c>
      <c r="V25" s="62">
        <f>ROUND(MIN(5,IF(Pathogens!K22&gt;=8,5,IF(Pathogens!K22&gt;=5,4,IF(Pathogens!K22&gt;=3,3,IF(Pathogens!K22&gt;=1,2,1))))*0.5+IF(Pathogens!L22&gt;=5,5,IF(Pathogens!L22&gt;=3,4,IF(Pathogens!L22&gt;=2,3,IF(Pathogens!L22&gt;=1.2,2,1))))*0.3+IF(Pathogens!M22=1,2,0)*0.2+IF(VLOOKUP(E$4,Countries!$B$2:$AN$55,12,FALSE)&gt;=2,0.5,0)),0)</f>
        <v>2</v>
      </c>
      <c r="W25" s="62">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c r="X25" s="62">
        <f>ROUND(MAX(1,MIN(5,(6-VLOOKUP(E$4,Countries!$B$2:$AN$55,10,FALSE))*0.5+(6-VLOOKUP(E$4,Countries!$B$2:$AN$55,11,FALSE))*0.4+(IF(AND(Pathogens!N22&gt;=0.5,VLOOKUP(E$4,Countries!$B$2:$AN$55,5,FALSE)&lt;60),5,IF(Pathogens!N22&gt;=0.5,4,IF(Pathogens!N22&gt;=0.3,3,IF(Pathogens!N22&gt;=0.1,2,1)))))*0.1)),0)</f>
        <v>3</v>
      </c>
      <c r="Y25" s="62">
        <f>IF(ISNUMBER(SEARCH("Vaccine-preventable",Pathogens!C22)),2,IF(ISNUMBER(SEARCH("AMR",Pathogens!C22)),5,IF(ISNUMBER(SEARCH("VHF",Pathogens!C22)),4,IF(ISNUMBER(SEARCH("Emerging",Pathogens!C22)),5,IF(ISNUMBER(SEARCH("Mycobacterial",Pathogens!C22)),3,IF(ISNUMBER(SEARCH("Helminth",Pathogens!C22)),3,IF(ISNUMBER(SEARCH("Respiratory",Pathogens!C22)),4,3)))))))</f>
        <v>5</v>
      </c>
      <c r="Z25" s="62">
        <f>IF(ISNUMBER(SEARCH("AMR",Pathogens!C22)),5,IF(ISNUMBER(SEARCH("Mycobacterial",Pathogens!C22)),4,IF(ISNUMBER(SEARCH("Enteric bacterial",Pathogens!C22)),3,IF(ISNUMBER(SEARCH("Bacterial",Pathogens!C22)),3,1))))</f>
        <v>1</v>
      </c>
      <c r="AA2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5" s="62">
        <f>(6-Pathogens!X22)</f>
        <v>5</v>
      </c>
      <c r="AC25" s="62">
        <f>ROUND(MIN(5,MAX(1,0.35*IF(Pathogens!R22=1,5,IF(Pathogens!R22=2,3,1))+0.2*IF(Pathogens!S22=1,5,IF(Pathogens!S22=2,3,1))+0.25*IF(Pathogens!W22=1,IF(VLOOKUP(E$4,Countries!$B$2:$AN$55,38,FALSE)&gt;=3,5,IF(VLOOKUP(E$4,Countries!$B$2:$AN$55,38,FALSE)=2,4,IF(VLOOKUP(E$4,Countries!$B$2:$AN$55,38,FALSE)=1,2,1))),5)+0.2*IF(VLOOKUP(E$4,Countries!$B$2:$AN$55,24,FALSE)&gt;=50,5,IF(VLOOKUP(E$4,Countries!$B$2:$AN$55,24,FALSE)&gt;=25,4,IF(VLOOKUP(E$4,Countries!$B$2:$AN$55,24,FALSE)&gt;=10,3,IF(VLOOKUP(E$4,Countries!$B$2:$AN$55,24,FALSE)&gt;=5,2,1)))))),0)</f>
        <v>3</v>
      </c>
      <c r="AD25" s="62" t="str">
        <f>IFERROR(INDEX(Endemicity!$C$2:$BN$55,MATCH(E$4,Endemicity!$B$2:$B$55,0),MATCH($A25,Endemicity!$C$1:$BN$1,0)),"Sporadic")</f>
        <v>Emerging</v>
      </c>
      <c r="AE25" s="62">
        <f>IF(Settings!$B$48="ON",IFERROR(MATCH($AD25,Settings!$B$35:$F$35,0),5),5)</f>
        <v>3</v>
      </c>
      <c r="AF25" s="62">
        <f>ROUND(MIN(5,IF(Pathogens!I22&gt;=500,5,IF(Pathogens!I22&gt;=200,4,IF(Pathogens!I22&gt;=50,3,IF(Pathogens!I22&gt;=10,2,1))))*0.5+IF(Pathogens!J22&gt;=30,5,IF(Pathogens!J22&gt;=10,4,IF(Pathogens!J22&gt;=3,3,IF(Pathogens!J22&gt;=1,2,1))))*0.4+IF(AND(VLOOKUP(F$4,Countries!$B$2:$AN$55,4,FALSE)&gt;=80,Pathogens!N22&gt;=0.5),1,0)*0.1+IF(VLOOKUP(F$4,Countries!$B$2:$AN$55,7,FALSE)&lt;50,0.3,0)),0)</f>
        <v>3</v>
      </c>
      <c r="AG25" s="62">
        <f>ROUND(MIN(5,IF(Pathogens!K22&gt;=8,5,IF(Pathogens!K22&gt;=5,4,IF(Pathogens!K22&gt;=3,3,IF(Pathogens!K22&gt;=1,2,1))))*0.5+IF(Pathogens!L22&gt;=5,5,IF(Pathogens!L22&gt;=3,4,IF(Pathogens!L22&gt;=2,3,IF(Pathogens!L22&gt;=1.2,2,1))))*0.3+IF(Pathogens!M22=1,2,0)*0.2+IF(VLOOKUP(F$4,Countries!$B$2:$AN$55,12,FALSE)&gt;=2,0.5,0)),0)</f>
        <v>2</v>
      </c>
      <c r="AH25" s="62">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c r="AI25" s="62">
        <f>ROUND(MAX(1,MIN(5,(6-VLOOKUP(F$4,Countries!$B$2:$AN$55,10,FALSE))*0.5+(6-VLOOKUP(F$4,Countries!$B$2:$AN$55,11,FALSE))*0.4+(IF(AND(Pathogens!N22&gt;=0.5,VLOOKUP(F$4,Countries!$B$2:$AN$55,5,FALSE)&lt;60),5,IF(Pathogens!N22&gt;=0.5,4,IF(Pathogens!N22&gt;=0.3,3,IF(Pathogens!N22&gt;=0.1,2,1)))))*0.1)),0)</f>
        <v>2</v>
      </c>
      <c r="AJ25" s="62">
        <f>IF(ISNUMBER(SEARCH("Vaccine-preventable",Pathogens!C22)),2,IF(ISNUMBER(SEARCH("AMR",Pathogens!C22)),5,IF(ISNUMBER(SEARCH("VHF",Pathogens!C22)),4,IF(ISNUMBER(SEARCH("Emerging",Pathogens!C22)),5,IF(ISNUMBER(SEARCH("Mycobacterial",Pathogens!C22)),3,IF(ISNUMBER(SEARCH("Helminth",Pathogens!C22)),3,IF(ISNUMBER(SEARCH("Respiratory",Pathogens!C22)),4,3)))))))</f>
        <v>5</v>
      </c>
      <c r="AK25" s="62">
        <f>IF(ISNUMBER(SEARCH("AMR",Pathogens!C22)),5,IF(ISNUMBER(SEARCH("Mycobacterial",Pathogens!C22)),4,IF(ISNUMBER(SEARCH("Enteric bacterial",Pathogens!C22)),3,IF(ISNUMBER(SEARCH("Bacterial",Pathogens!C22)),3,1))))</f>
        <v>1</v>
      </c>
      <c r="AL2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5" s="62">
        <f>(6-Pathogens!X22)</f>
        <v>5</v>
      </c>
      <c r="AN25" s="62">
        <f>ROUND(MIN(5,MAX(1,0.35*IF(Pathogens!R22=1,5,IF(Pathogens!R22=2,3,1))+0.2*IF(Pathogens!S22=1,5,IF(Pathogens!S22=2,3,1))+0.25*IF(Pathogens!W22=1,IF(VLOOKUP(F$4,Countries!$B$2:$AN$55,38,FALSE)&gt;=3,5,IF(VLOOKUP(F$4,Countries!$B$2:$AN$55,38,FALSE)=2,4,IF(VLOOKUP(F$4,Countries!$B$2:$AN$55,38,FALSE)=1,2,1))),5)+0.2*IF(VLOOKUP(F$4,Countries!$B$2:$AN$55,24,FALSE)&gt;=50,5,IF(VLOOKUP(F$4,Countries!$B$2:$AN$55,24,FALSE)&gt;=25,4,IF(VLOOKUP(F$4,Countries!$B$2:$AN$55,24,FALSE)&gt;=10,3,IF(VLOOKUP(F$4,Countries!$B$2:$AN$55,24,FALSE)&gt;=5,2,1)))))),0)</f>
        <v>3</v>
      </c>
      <c r="AO25" s="62" t="str">
        <f>IFERROR(INDEX(Endemicity!$C$2:$BN$55,MATCH(F$4,Endemicity!$B$2:$B$55,0),MATCH($A25,Endemicity!$C$1:$BN$1,0)),"Sporadic")</f>
        <v>Not present</v>
      </c>
      <c r="AP25" s="62">
        <f>IF(Settings!$B$48="ON",IFERROR(MATCH($AO25,Settings!$B$35:$F$35,0),5),5)</f>
        <v>4</v>
      </c>
      <c r="AQ25" s="62">
        <f>ROUND(MIN(5,IF(Pathogens!I22&gt;=500,5,IF(Pathogens!I22&gt;=200,4,IF(Pathogens!I22&gt;=50,3,IF(Pathogens!I22&gt;=10,2,1))))*0.5+IF(Pathogens!J22&gt;=30,5,IF(Pathogens!J22&gt;=10,4,IF(Pathogens!J22&gt;=3,3,IF(Pathogens!J22&gt;=1,2,1))))*0.4+IF(AND(VLOOKUP(G$4,Countries!$B$2:$AN$55,4,FALSE)&gt;=80,Pathogens!N22&gt;=0.5),1,0)*0.1+IF(VLOOKUP(G$4,Countries!$B$2:$AN$55,7,FALSE)&lt;50,0.3,0)),0)</f>
        <v>3</v>
      </c>
      <c r="AR25" s="62">
        <f>ROUND(MIN(5,IF(Pathogens!K22&gt;=8,5,IF(Pathogens!K22&gt;=5,4,IF(Pathogens!K22&gt;=3,3,IF(Pathogens!K22&gt;=1,2,1))))*0.5+IF(Pathogens!L22&gt;=5,5,IF(Pathogens!L22&gt;=3,4,IF(Pathogens!L22&gt;=2,3,IF(Pathogens!L22&gt;=1.2,2,1))))*0.3+IF(Pathogens!M22=1,2,0)*0.2+IF(VLOOKUP(G$4,Countries!$B$2:$AN$55,12,FALSE)&gt;=2,0.5,0)),0)</f>
        <v>2</v>
      </c>
      <c r="AS25" s="62">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c r="AT25" s="62">
        <f>ROUND(MAX(1,MIN(5,(6-VLOOKUP(G$4,Countries!$B$2:$AN$55,10,FALSE))*0.5+(6-VLOOKUP(G$4,Countries!$B$2:$AN$55,11,FALSE))*0.4+(IF(AND(Pathogens!N22&gt;=0.5,VLOOKUP(G$4,Countries!$B$2:$AN$55,5,FALSE)&lt;60),5,IF(Pathogens!N22&gt;=0.5,4,IF(Pathogens!N22&gt;=0.3,3,IF(Pathogens!N22&gt;=0.1,2,1)))))*0.1)),0)</f>
        <v>2</v>
      </c>
      <c r="AU25" s="62">
        <f>IF(ISNUMBER(SEARCH("Vaccine-preventable",Pathogens!C22)),2,IF(ISNUMBER(SEARCH("AMR",Pathogens!C22)),5,IF(ISNUMBER(SEARCH("VHF",Pathogens!C22)),4,IF(ISNUMBER(SEARCH("Emerging",Pathogens!C22)),5,IF(ISNUMBER(SEARCH("Mycobacterial",Pathogens!C22)),3,IF(ISNUMBER(SEARCH("Helminth",Pathogens!C22)),3,IF(ISNUMBER(SEARCH("Respiratory",Pathogens!C22)),4,3)))))))</f>
        <v>5</v>
      </c>
      <c r="AV25" s="62">
        <f>IF(ISNUMBER(SEARCH("AMR",Pathogens!C22)),5,IF(ISNUMBER(SEARCH("Mycobacterial",Pathogens!C22)),4,IF(ISNUMBER(SEARCH("Enteric bacterial",Pathogens!C22)),3,IF(ISNUMBER(SEARCH("Bacterial",Pathogens!C22)),3,1))))</f>
        <v>1</v>
      </c>
      <c r="AW2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5" s="62">
        <f>(6-Pathogens!X22)</f>
        <v>5</v>
      </c>
      <c r="AY25" s="62">
        <f>ROUND(MIN(5,MAX(1,0.35*IF(Pathogens!R22=1,5,IF(Pathogens!R22=2,3,1))+0.2*IF(Pathogens!S22=1,5,IF(Pathogens!S22=2,3,1))+0.25*IF(Pathogens!W22=1,IF(VLOOKUP(G$4,Countries!$B$2:$AN$55,38,FALSE)&gt;=3,5,IF(VLOOKUP(G$4,Countries!$B$2:$AN$55,38,FALSE)=2,4,IF(VLOOKUP(G$4,Countries!$B$2:$AN$55,38,FALSE)=1,2,1))),5)+0.2*IF(VLOOKUP(G$4,Countries!$B$2:$AN$55,24,FALSE)&gt;=50,5,IF(VLOOKUP(G$4,Countries!$B$2:$AN$55,24,FALSE)&gt;=25,4,IF(VLOOKUP(G$4,Countries!$B$2:$AN$55,24,FALSE)&gt;=10,3,IF(VLOOKUP(G$4,Countries!$B$2:$AN$55,24,FALSE)&gt;=5,2,1)))))),0)</f>
        <v>3</v>
      </c>
      <c r="AZ25" s="62" t="str">
        <f>IFERROR(INDEX(Endemicity!$C$2:$BN$55,MATCH(G$4,Endemicity!$B$2:$B$55,0),MATCH($A25,Endemicity!$C$1:$BN$1,0)),"Sporadic")</f>
        <v>Not present</v>
      </c>
      <c r="BA25" s="62">
        <f>IF(Settings!$B$48="ON",IFERROR(MATCH($AZ25,Settings!$B$35:$F$35,0),5),5)</f>
        <v>4</v>
      </c>
    </row>
    <row r="26" customHeight="1" spans="1:53">
      <c r="A26" s="61" t="str">
        <f>Calculator!A55</f>
        <v>HEPA</v>
      </c>
      <c r="B26" s="61" t="str">
        <f>Calculator!B55</f>
        <v>Hepatitis A virus</v>
      </c>
      <c r="C26" s="61" t="str">
        <f>Calculator!C55</f>
        <v>Enteric viral</v>
      </c>
      <c r="D26" s="52">
        <f>IFERROR(ROUND(MIN(100,(($J26)*Settings!$C$23*INDEX(Settings!$B$36:$F$44,1,$T26)+($K26)*Settings!$C$24*INDEX(Settings!$B$36:$F$44,2,$T26)+($L26)*Settings!$C$25*INDEX(Settings!$B$36:$F$44,3,$T26)+($M26)*Settings!$C$26*INDEX(Settings!$B$36:$F$44,4,$T26)+($N26)*Settings!$C$27*INDEX(Settings!$B$36:$F$44,5,$T26)+($O26)*Settings!$C$28*INDEX(Settings!$B$36:$F$44,6,$T26)+($P26)*Settings!$C$29*INDEX(Settings!$B$36:$F$44,7,$T26)+($Q26)*Settings!$C$30*INDEX(Settings!$B$36:$F$44,8,$T26)+($R26)*Settings!$C$31*INDEX(Settings!$B$36:$F$44,9,$T26))/INDEX(Settings!$B$45:$F$45,1,$T26)/5*100*IF($S26="Not present",Settings!$B$51,1)),1),"")</f>
        <v>66.3</v>
      </c>
      <c r="E26" s="52">
        <f>IFERROR(ROUND(MIN(100,(($U26)*Settings!$C$23*INDEX(Settings!$B$36:$F$44,1,$AE26)+($V26)*Settings!$C$24*INDEX(Settings!$B$36:$F$44,2,$AE26)+($W26)*Settings!$C$25*INDEX(Settings!$B$36:$F$44,3,$AE26)+($X26)*Settings!$C$26*INDEX(Settings!$B$36:$F$44,4,$AE26)+($Y26)*Settings!$C$27*INDEX(Settings!$B$36:$F$44,5,$AE26)+($Z26)*Settings!$C$28*INDEX(Settings!$B$36:$F$44,6,$AE26)+($AA26)*Settings!$C$29*INDEX(Settings!$B$36:$F$44,7,$AE26)+($AB26)*Settings!$C$30*INDEX(Settings!$B$36:$F$44,8,$AE26)+($AC26)*Settings!$C$31*INDEX(Settings!$B$36:$F$44,9,$AE26))/INDEX(Settings!$B$45:$F$45,1,$AE26)/5*100*IF($AD26="Not present",Settings!$B$51,1)),1),"")</f>
        <v>69.1</v>
      </c>
      <c r="F26" s="52">
        <f>IFERROR(ROUND(MIN(100,(($AF26)*Settings!$C$23*INDEX(Settings!$B$36:$F$44,1,$AP26)+($AG26)*Settings!$C$24*INDEX(Settings!$B$36:$F$44,2,$AP26)+($AH26)*Settings!$C$25*INDEX(Settings!$B$36:$F$44,3,$AP26)+($AI26)*Settings!$C$26*INDEX(Settings!$B$36:$F$44,4,$AP26)+($AJ26)*Settings!$C$27*INDEX(Settings!$B$36:$F$44,5,$AP26)+($AK26)*Settings!$C$28*INDEX(Settings!$B$36:$F$44,6,$AP26)+($AL26)*Settings!$C$29*INDEX(Settings!$B$36:$F$44,7,$AP26)+($AM26)*Settings!$C$30*INDEX(Settings!$B$36:$F$44,8,$AP26)+($AN26)*Settings!$C$31*INDEX(Settings!$B$36:$F$44,9,$AP26))/INDEX(Settings!$B$45:$F$45,1,$AP26)/5*100*IF($AO26="Not present",Settings!$B$51,1)),1),"")</f>
        <v>63.6</v>
      </c>
      <c r="G26" s="52">
        <f>IFERROR(ROUND(MIN(100,(($AQ26)*Settings!$C$23*INDEX(Settings!$B$36:$F$44,1,$BA26)+($AR26)*Settings!$C$24*INDEX(Settings!$B$36:$F$44,2,$BA26)+($AS26)*Settings!$C$25*INDEX(Settings!$B$36:$F$44,3,$BA26)+($AT26)*Settings!$C$26*INDEX(Settings!$B$36:$F$44,4,$BA26)+($AU26)*Settings!$C$27*INDEX(Settings!$B$36:$F$44,5,$BA26)+($AV26)*Settings!$C$28*INDEX(Settings!$B$36:$F$44,6,$BA26)+($AW26)*Settings!$C$29*INDEX(Settings!$B$36:$F$44,7,$BA26)+($AX26)*Settings!$C$30*INDEX(Settings!$B$36:$F$44,8,$BA26)+($AY26)*Settings!$C$31*INDEX(Settings!$B$36:$F$44,9,$BA26))/INDEX(Settings!$B$45:$F$45,1,$BA26)/5*100*IF($AZ26="Not present",Settings!$B$51,1)),1),"")</f>
        <v>65.3</v>
      </c>
      <c r="J26" s="62">
        <f>ROUND(MIN(5,IF(Pathogens!I23&gt;=500,5,IF(Pathogens!I23&gt;=200,4,IF(Pathogens!I23&gt;=50,3,IF(Pathogens!I23&gt;=10,2,1))))*0.5+IF(Pathogens!J23&gt;=30,5,IF(Pathogens!J23&gt;=10,4,IF(Pathogens!J23&gt;=3,3,IF(Pathogens!J23&gt;=1,2,1))))*0.4+IF(AND(VLOOKUP(D$4,Countries!$B$2:$AN$55,4,FALSE)&gt;=80,Pathogens!N23&gt;=0.5),1,0)*0.1+IF(VLOOKUP(D$4,Countries!$B$2:$AN$55,7,FALSE)&lt;50,0.3,0)),0)</f>
        <v>2</v>
      </c>
      <c r="K26" s="62">
        <f>ROUND(MIN(5,IF(Pathogens!K23&gt;=8,5,IF(Pathogens!K23&gt;=5,4,IF(Pathogens!K23&gt;=3,3,IF(Pathogens!K23&gt;=1,2,1))))*0.5+IF(Pathogens!L23&gt;=5,5,IF(Pathogens!L23&gt;=3,4,IF(Pathogens!L23&gt;=2,3,IF(Pathogens!L23&gt;=1.2,2,1))))*0.3+IF(Pathogens!M23=1,2,0)*0.2+IF(VLOOKUP(D$4,Countries!$B$2:$AN$55,12,FALSE)&gt;=2,0.5,0)),0)</f>
        <v>4</v>
      </c>
      <c r="L26" s="62">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c r="M26" s="62">
        <f>ROUND(MAX(1,MIN(5,(6-VLOOKUP(D$4,Countries!$B$2:$AN$55,10,FALSE))*0.5+(6-VLOOKUP(D$4,Countries!$B$2:$AN$55,11,FALSE))*0.4+(IF(AND(Pathogens!N23&gt;=0.5,VLOOKUP(D$4,Countries!$B$2:$AN$55,5,FALSE)&lt;60),5,IF(Pathogens!N23&gt;=0.5,4,IF(Pathogens!N23&gt;=0.3,3,IF(Pathogens!N23&gt;=0.1,2,1)))))*0.1)),0)</f>
        <v>2</v>
      </c>
      <c r="N26" s="62">
        <f>IF(ISNUMBER(SEARCH("Vaccine-preventable",Pathogens!C23)),2,IF(ISNUMBER(SEARCH("AMR",Pathogens!C23)),5,IF(ISNUMBER(SEARCH("VHF",Pathogens!C23)),4,IF(ISNUMBER(SEARCH("Emerging",Pathogens!C23)),5,IF(ISNUMBER(SEARCH("Mycobacterial",Pathogens!C23)),3,IF(ISNUMBER(SEARCH("Helminth",Pathogens!C23)),3,IF(ISNUMBER(SEARCH("Respiratory",Pathogens!C23)),4,3)))))))</f>
        <v>3</v>
      </c>
      <c r="O26" s="62">
        <f>IF(ISNUMBER(SEARCH("AMR",Pathogens!C23)),5,IF(ISNUMBER(SEARCH("Mycobacterial",Pathogens!C23)),4,IF(ISNUMBER(SEARCH("Enteric bacterial",Pathogens!C23)),3,IF(ISNUMBER(SEARCH("Bacterial",Pathogens!C23)),3,1))))</f>
        <v>1</v>
      </c>
      <c r="P2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6" s="62">
        <f>(6-Pathogens!X23)</f>
        <v>4</v>
      </c>
      <c r="R26" s="62">
        <f>ROUND(MIN(5,MAX(1,0.35*IF(Pathogens!R23=1,5,IF(Pathogens!R23=2,3,1))+0.2*IF(Pathogens!S23=1,5,IF(Pathogens!S23=2,3,1))+0.25*IF(Pathogens!W23=1,IF(VLOOKUP(D$4,Countries!$B$2:$AN$55,38,FALSE)&gt;=3,5,IF(VLOOKUP(D$4,Countries!$B$2:$AN$55,38,FALSE)=2,4,IF(VLOOKUP(D$4,Countries!$B$2:$AN$55,38,FALSE)=1,2,1))),5)+0.2*IF(VLOOKUP(D$4,Countries!$B$2:$AN$55,24,FALSE)&gt;=50,5,IF(VLOOKUP(D$4,Countries!$B$2:$AN$55,24,FALSE)&gt;=25,4,IF(VLOOKUP(D$4,Countries!$B$2:$AN$55,24,FALSE)&gt;=10,3,IF(VLOOKUP(D$4,Countries!$B$2:$AN$55,24,FALSE)&gt;=5,2,1)))))),0)</f>
        <v>5</v>
      </c>
      <c r="S26" s="62" t="str">
        <f>IFERROR(INDEX(Endemicity!$C$2:$BN$55,MATCH(D$4,Endemicity!$B$2:$B$55,0),MATCH($A26,Endemicity!$C$1:$BN$1,0)),"Sporadic")</f>
        <v>Endemic</v>
      </c>
      <c r="T26" s="62">
        <f>IF(Settings!$B$48="ON",IFERROR(MATCH($S26,Settings!$B$35:$F$35,0),5),5)</f>
        <v>1</v>
      </c>
      <c r="U26" s="62">
        <f>ROUND(MIN(5,IF(Pathogens!I23&gt;=500,5,IF(Pathogens!I23&gt;=200,4,IF(Pathogens!I23&gt;=50,3,IF(Pathogens!I23&gt;=10,2,1))))*0.5+IF(Pathogens!J23&gt;=30,5,IF(Pathogens!J23&gt;=10,4,IF(Pathogens!J23&gt;=3,3,IF(Pathogens!J23&gt;=1,2,1))))*0.4+IF(AND(VLOOKUP(E$4,Countries!$B$2:$AN$55,4,FALSE)&gt;=80,Pathogens!N23&gt;=0.5),1,0)*0.1+IF(VLOOKUP(E$4,Countries!$B$2:$AN$55,7,FALSE)&lt;50,0.3,0)),0)</f>
        <v>2</v>
      </c>
      <c r="V26" s="62">
        <f>ROUND(MIN(5,IF(Pathogens!K23&gt;=8,5,IF(Pathogens!K23&gt;=5,4,IF(Pathogens!K23&gt;=3,3,IF(Pathogens!K23&gt;=1,2,1))))*0.5+IF(Pathogens!L23&gt;=5,5,IF(Pathogens!L23&gt;=3,4,IF(Pathogens!L23&gt;=2,3,IF(Pathogens!L23&gt;=1.2,2,1))))*0.3+IF(Pathogens!M23=1,2,0)*0.2+IF(VLOOKUP(E$4,Countries!$B$2:$AN$55,12,FALSE)&gt;=2,0.5,0)),0)</f>
        <v>4</v>
      </c>
      <c r="W26" s="62">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c r="X26" s="62">
        <f>ROUND(MAX(1,MIN(5,(6-VLOOKUP(E$4,Countries!$B$2:$AN$55,10,FALSE))*0.5+(6-VLOOKUP(E$4,Countries!$B$2:$AN$55,11,FALSE))*0.4+(IF(AND(Pathogens!N23&gt;=0.5,VLOOKUP(E$4,Countries!$B$2:$AN$55,5,FALSE)&lt;60),5,IF(Pathogens!N23&gt;=0.5,4,IF(Pathogens!N23&gt;=0.3,3,IF(Pathogens!N23&gt;=0.1,2,1)))))*0.1)),0)</f>
        <v>3</v>
      </c>
      <c r="Y26" s="62">
        <f>IF(ISNUMBER(SEARCH("Vaccine-preventable",Pathogens!C23)),2,IF(ISNUMBER(SEARCH("AMR",Pathogens!C23)),5,IF(ISNUMBER(SEARCH("VHF",Pathogens!C23)),4,IF(ISNUMBER(SEARCH("Emerging",Pathogens!C23)),5,IF(ISNUMBER(SEARCH("Mycobacterial",Pathogens!C23)),3,IF(ISNUMBER(SEARCH("Helminth",Pathogens!C23)),3,IF(ISNUMBER(SEARCH("Respiratory",Pathogens!C23)),4,3)))))))</f>
        <v>3</v>
      </c>
      <c r="Z26" s="62">
        <f>IF(ISNUMBER(SEARCH("AMR",Pathogens!C23)),5,IF(ISNUMBER(SEARCH("Mycobacterial",Pathogens!C23)),4,IF(ISNUMBER(SEARCH("Enteric bacterial",Pathogens!C23)),3,IF(ISNUMBER(SEARCH("Bacterial",Pathogens!C23)),3,1))))</f>
        <v>1</v>
      </c>
      <c r="AA2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6" s="62">
        <f>(6-Pathogens!X23)</f>
        <v>4</v>
      </c>
      <c r="AC26" s="62">
        <f>ROUND(MIN(5,MAX(1,0.35*IF(Pathogens!R23=1,5,IF(Pathogens!R23=2,3,1))+0.2*IF(Pathogens!S23=1,5,IF(Pathogens!S23=2,3,1))+0.25*IF(Pathogens!W23=1,IF(VLOOKUP(E$4,Countries!$B$2:$AN$55,38,FALSE)&gt;=3,5,IF(VLOOKUP(E$4,Countries!$B$2:$AN$55,38,FALSE)=2,4,IF(VLOOKUP(E$4,Countries!$B$2:$AN$55,38,FALSE)=1,2,1))),5)+0.2*IF(VLOOKUP(E$4,Countries!$B$2:$AN$55,24,FALSE)&gt;=50,5,IF(VLOOKUP(E$4,Countries!$B$2:$AN$55,24,FALSE)&gt;=25,4,IF(VLOOKUP(E$4,Countries!$B$2:$AN$55,24,FALSE)&gt;=10,3,IF(VLOOKUP(E$4,Countries!$B$2:$AN$55,24,FALSE)&gt;=5,2,1)))))),0)</f>
        <v>4</v>
      </c>
      <c r="AD26" s="62" t="str">
        <f>IFERROR(INDEX(Endemicity!$C$2:$BN$55,MATCH(E$4,Endemicity!$B$2:$B$55,0),MATCH($A26,Endemicity!$C$1:$BN$1,0)),"Sporadic")</f>
        <v>Endemic</v>
      </c>
      <c r="AE26" s="62">
        <f>IF(Settings!$B$48="ON",IFERROR(MATCH($AD26,Settings!$B$35:$F$35,0),5),5)</f>
        <v>1</v>
      </c>
      <c r="AF26" s="62">
        <f>ROUND(MIN(5,IF(Pathogens!I23&gt;=500,5,IF(Pathogens!I23&gt;=200,4,IF(Pathogens!I23&gt;=50,3,IF(Pathogens!I23&gt;=10,2,1))))*0.5+IF(Pathogens!J23&gt;=30,5,IF(Pathogens!J23&gt;=10,4,IF(Pathogens!J23&gt;=3,3,IF(Pathogens!J23&gt;=1,2,1))))*0.4+IF(AND(VLOOKUP(F$4,Countries!$B$2:$AN$55,4,FALSE)&gt;=80,Pathogens!N23&gt;=0.5),1,0)*0.1+IF(VLOOKUP(F$4,Countries!$B$2:$AN$55,7,FALSE)&lt;50,0.3,0)),0)</f>
        <v>2</v>
      </c>
      <c r="AG26" s="62">
        <f>ROUND(MIN(5,IF(Pathogens!K23&gt;=8,5,IF(Pathogens!K23&gt;=5,4,IF(Pathogens!K23&gt;=3,3,IF(Pathogens!K23&gt;=1,2,1))))*0.5+IF(Pathogens!L23&gt;=5,5,IF(Pathogens!L23&gt;=3,4,IF(Pathogens!L23&gt;=2,3,IF(Pathogens!L23&gt;=1.2,2,1))))*0.3+IF(Pathogens!M23=1,2,0)*0.2+IF(VLOOKUP(F$4,Countries!$B$2:$AN$55,12,FALSE)&gt;=2,0.5,0)),0)</f>
        <v>4</v>
      </c>
      <c r="AH26" s="62">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c r="AI26" s="62">
        <f>ROUND(MAX(1,MIN(5,(6-VLOOKUP(F$4,Countries!$B$2:$AN$55,10,FALSE))*0.5+(6-VLOOKUP(F$4,Countries!$B$2:$AN$55,11,FALSE))*0.4+(IF(AND(Pathogens!N23&gt;=0.5,VLOOKUP(F$4,Countries!$B$2:$AN$55,5,FALSE)&lt;60),5,IF(Pathogens!N23&gt;=0.5,4,IF(Pathogens!N23&gt;=0.3,3,IF(Pathogens!N23&gt;=0.1,2,1)))))*0.1)),0)</f>
        <v>2</v>
      </c>
      <c r="AJ26" s="62">
        <f>IF(ISNUMBER(SEARCH("Vaccine-preventable",Pathogens!C23)),2,IF(ISNUMBER(SEARCH("AMR",Pathogens!C23)),5,IF(ISNUMBER(SEARCH("VHF",Pathogens!C23)),4,IF(ISNUMBER(SEARCH("Emerging",Pathogens!C23)),5,IF(ISNUMBER(SEARCH("Mycobacterial",Pathogens!C23)),3,IF(ISNUMBER(SEARCH("Helminth",Pathogens!C23)),3,IF(ISNUMBER(SEARCH("Respiratory",Pathogens!C23)),4,3)))))))</f>
        <v>3</v>
      </c>
      <c r="AK26" s="62">
        <f>IF(ISNUMBER(SEARCH("AMR",Pathogens!C23)),5,IF(ISNUMBER(SEARCH("Mycobacterial",Pathogens!C23)),4,IF(ISNUMBER(SEARCH("Enteric bacterial",Pathogens!C23)),3,IF(ISNUMBER(SEARCH("Bacterial",Pathogens!C23)),3,1))))</f>
        <v>1</v>
      </c>
      <c r="AL2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6" s="62">
        <f>(6-Pathogens!X23)</f>
        <v>4</v>
      </c>
      <c r="AN26" s="62">
        <f>ROUND(MIN(5,MAX(1,0.35*IF(Pathogens!R23=1,5,IF(Pathogens!R23=2,3,1))+0.2*IF(Pathogens!S23=1,5,IF(Pathogens!S23=2,3,1))+0.25*IF(Pathogens!W23=1,IF(VLOOKUP(F$4,Countries!$B$2:$AN$55,38,FALSE)&gt;=3,5,IF(VLOOKUP(F$4,Countries!$B$2:$AN$55,38,FALSE)=2,4,IF(VLOOKUP(F$4,Countries!$B$2:$AN$55,38,FALSE)=1,2,1))),5)+0.2*IF(VLOOKUP(F$4,Countries!$B$2:$AN$55,24,FALSE)&gt;=50,5,IF(VLOOKUP(F$4,Countries!$B$2:$AN$55,24,FALSE)&gt;=25,4,IF(VLOOKUP(F$4,Countries!$B$2:$AN$55,24,FALSE)&gt;=10,3,IF(VLOOKUP(F$4,Countries!$B$2:$AN$55,24,FALSE)&gt;=5,2,1)))))),0)</f>
        <v>4</v>
      </c>
      <c r="AO26" s="62" t="str">
        <f>IFERROR(INDEX(Endemicity!$C$2:$BN$55,MATCH(F$4,Endemicity!$B$2:$B$55,0),MATCH($A26,Endemicity!$C$1:$BN$1,0)),"Sporadic")</f>
        <v>Endemic</v>
      </c>
      <c r="AP26" s="62">
        <f>IF(Settings!$B$48="ON",IFERROR(MATCH($AO26,Settings!$B$35:$F$35,0),5),5)</f>
        <v>1</v>
      </c>
      <c r="AQ26" s="62">
        <f>ROUND(MIN(5,IF(Pathogens!I23&gt;=500,5,IF(Pathogens!I23&gt;=200,4,IF(Pathogens!I23&gt;=50,3,IF(Pathogens!I23&gt;=10,2,1))))*0.5+IF(Pathogens!J23&gt;=30,5,IF(Pathogens!J23&gt;=10,4,IF(Pathogens!J23&gt;=3,3,IF(Pathogens!J23&gt;=1,2,1))))*0.4+IF(AND(VLOOKUP(G$4,Countries!$B$2:$AN$55,4,FALSE)&gt;=80,Pathogens!N23&gt;=0.5),1,0)*0.1+IF(VLOOKUP(G$4,Countries!$B$2:$AN$55,7,FALSE)&lt;50,0.3,0)),0)</f>
        <v>2</v>
      </c>
      <c r="AR26" s="62">
        <f>ROUND(MIN(5,IF(Pathogens!K23&gt;=8,5,IF(Pathogens!K23&gt;=5,4,IF(Pathogens!K23&gt;=3,3,IF(Pathogens!K23&gt;=1,2,1))))*0.5+IF(Pathogens!L23&gt;=5,5,IF(Pathogens!L23&gt;=3,4,IF(Pathogens!L23&gt;=2,3,IF(Pathogens!L23&gt;=1.2,2,1))))*0.3+IF(Pathogens!M23=1,2,0)*0.2+IF(VLOOKUP(G$4,Countries!$B$2:$AN$55,12,FALSE)&gt;=2,0.5,0)),0)</f>
        <v>4</v>
      </c>
      <c r="AS26" s="62">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c r="AT26" s="62">
        <f>ROUND(MAX(1,MIN(5,(6-VLOOKUP(G$4,Countries!$B$2:$AN$55,10,FALSE))*0.5+(6-VLOOKUP(G$4,Countries!$B$2:$AN$55,11,FALSE))*0.4+(IF(AND(Pathogens!N23&gt;=0.5,VLOOKUP(G$4,Countries!$B$2:$AN$55,5,FALSE)&lt;60),5,IF(Pathogens!N23&gt;=0.5,4,IF(Pathogens!N23&gt;=0.3,3,IF(Pathogens!N23&gt;=0.1,2,1)))))*0.1)),0)</f>
        <v>2</v>
      </c>
      <c r="AU26" s="62">
        <f>IF(ISNUMBER(SEARCH("Vaccine-preventable",Pathogens!C23)),2,IF(ISNUMBER(SEARCH("AMR",Pathogens!C23)),5,IF(ISNUMBER(SEARCH("VHF",Pathogens!C23)),4,IF(ISNUMBER(SEARCH("Emerging",Pathogens!C23)),5,IF(ISNUMBER(SEARCH("Mycobacterial",Pathogens!C23)),3,IF(ISNUMBER(SEARCH("Helminth",Pathogens!C23)),3,IF(ISNUMBER(SEARCH("Respiratory",Pathogens!C23)),4,3)))))))</f>
        <v>3</v>
      </c>
      <c r="AV26" s="62">
        <f>IF(ISNUMBER(SEARCH("AMR",Pathogens!C23)),5,IF(ISNUMBER(SEARCH("Mycobacterial",Pathogens!C23)),4,IF(ISNUMBER(SEARCH("Enteric bacterial",Pathogens!C23)),3,IF(ISNUMBER(SEARCH("Bacterial",Pathogens!C23)),3,1))))</f>
        <v>1</v>
      </c>
      <c r="AW2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6" s="62">
        <f>(6-Pathogens!X23)</f>
        <v>4</v>
      </c>
      <c r="AY26" s="62">
        <f>ROUND(MIN(5,MAX(1,0.35*IF(Pathogens!R23=1,5,IF(Pathogens!R23=2,3,1))+0.2*IF(Pathogens!S23=1,5,IF(Pathogens!S23=2,3,1))+0.25*IF(Pathogens!W23=1,IF(VLOOKUP(G$4,Countries!$B$2:$AN$55,38,FALSE)&gt;=3,5,IF(VLOOKUP(G$4,Countries!$B$2:$AN$55,38,FALSE)=2,4,IF(VLOOKUP(G$4,Countries!$B$2:$AN$55,38,FALSE)=1,2,1))),5)+0.2*IF(VLOOKUP(G$4,Countries!$B$2:$AN$55,24,FALSE)&gt;=50,5,IF(VLOOKUP(G$4,Countries!$B$2:$AN$55,24,FALSE)&gt;=25,4,IF(VLOOKUP(G$4,Countries!$B$2:$AN$55,24,FALSE)&gt;=10,3,IF(VLOOKUP(G$4,Countries!$B$2:$AN$55,24,FALSE)&gt;=5,2,1)))))),0)</f>
        <v>4</v>
      </c>
      <c r="AZ26" s="62" t="str">
        <f>IFERROR(INDEX(Endemicity!$C$2:$BN$55,MATCH(G$4,Endemicity!$B$2:$B$55,0),MATCH($A26,Endemicity!$C$1:$BN$1,0)),"Sporadic")</f>
        <v>Endemic</v>
      </c>
      <c r="BA26" s="62">
        <f>IF(Settings!$B$48="ON",IFERROR(MATCH($AZ26,Settings!$B$35:$F$35,0),5),5)</f>
        <v>1</v>
      </c>
    </row>
    <row r="27" customHeight="1" spans="1:53">
      <c r="A27" s="61" t="str">
        <f>Calculator!A56</f>
        <v>HEPE</v>
      </c>
      <c r="B27" s="61" t="str">
        <f>Calculator!B56</f>
        <v>Hepatitis E virus</v>
      </c>
      <c r="C27" s="61" t="str">
        <f>Calculator!C56</f>
        <v>Enteric viral</v>
      </c>
      <c r="D27" s="52">
        <f>IFERROR(ROUND(MIN(100,(($J27)*Settings!$C$23*INDEX(Settings!$B$36:$F$44,1,$T27)+($K27)*Settings!$C$24*INDEX(Settings!$B$36:$F$44,2,$T27)+($L27)*Settings!$C$25*INDEX(Settings!$B$36:$F$44,3,$T27)+($M27)*Settings!$C$26*INDEX(Settings!$B$36:$F$44,4,$T27)+($N27)*Settings!$C$27*INDEX(Settings!$B$36:$F$44,5,$T27)+($O27)*Settings!$C$28*INDEX(Settings!$B$36:$F$44,6,$T27)+($P27)*Settings!$C$29*INDEX(Settings!$B$36:$F$44,7,$T27)+($Q27)*Settings!$C$30*INDEX(Settings!$B$36:$F$44,8,$T27)+($R27)*Settings!$C$31*INDEX(Settings!$B$36:$F$44,9,$T27))/INDEX(Settings!$B$45:$F$45,1,$T27)/5*100*IF($S27="Not present",Settings!$B$51,1)),1),"")</f>
        <v>66.6</v>
      </c>
      <c r="E27" s="52">
        <f>IFERROR(ROUND(MIN(100,(($U27)*Settings!$C$23*INDEX(Settings!$B$36:$F$44,1,$AE27)+($V27)*Settings!$C$24*INDEX(Settings!$B$36:$F$44,2,$AE27)+($W27)*Settings!$C$25*INDEX(Settings!$B$36:$F$44,3,$AE27)+($X27)*Settings!$C$26*INDEX(Settings!$B$36:$F$44,4,$AE27)+($Y27)*Settings!$C$27*INDEX(Settings!$B$36:$F$44,5,$AE27)+($Z27)*Settings!$C$28*INDEX(Settings!$B$36:$F$44,6,$AE27)+($AA27)*Settings!$C$29*INDEX(Settings!$B$36:$F$44,7,$AE27)+($AB27)*Settings!$C$30*INDEX(Settings!$B$36:$F$44,8,$AE27)+($AC27)*Settings!$C$31*INDEX(Settings!$B$36:$F$44,9,$AE27))/INDEX(Settings!$B$45:$F$45,1,$AE27)/5*100*IF($AD27="Not present",Settings!$B$51,1)),1),"")</f>
        <v>72.2</v>
      </c>
      <c r="F27" s="52">
        <f>IFERROR(ROUND(MIN(100,(($AF27)*Settings!$C$23*INDEX(Settings!$B$36:$F$44,1,$AP27)+($AG27)*Settings!$C$24*INDEX(Settings!$B$36:$F$44,2,$AP27)+($AH27)*Settings!$C$25*INDEX(Settings!$B$36:$F$44,3,$AP27)+($AI27)*Settings!$C$26*INDEX(Settings!$B$36:$F$44,4,$AP27)+($AJ27)*Settings!$C$27*INDEX(Settings!$B$36:$F$44,5,$AP27)+($AK27)*Settings!$C$28*INDEX(Settings!$B$36:$F$44,6,$AP27)+($AL27)*Settings!$C$29*INDEX(Settings!$B$36:$F$44,7,$AP27)+($AM27)*Settings!$C$30*INDEX(Settings!$B$36:$F$44,8,$AP27)+($AN27)*Settings!$C$31*INDEX(Settings!$B$36:$F$44,9,$AP27))/INDEX(Settings!$B$45:$F$45,1,$AP27)/5*100*IF($AO27="Not present",Settings!$B$51,1)),1),"")</f>
        <v>68.9</v>
      </c>
      <c r="G27" s="52">
        <f>IFERROR(ROUND(MIN(100,(($AQ27)*Settings!$C$23*INDEX(Settings!$B$36:$F$44,1,$BA27)+($AR27)*Settings!$C$24*INDEX(Settings!$B$36:$F$44,2,$BA27)+($AS27)*Settings!$C$25*INDEX(Settings!$B$36:$F$44,3,$BA27)+($AT27)*Settings!$C$26*INDEX(Settings!$B$36:$F$44,4,$BA27)+($AU27)*Settings!$C$27*INDEX(Settings!$B$36:$F$44,5,$BA27)+($AV27)*Settings!$C$28*INDEX(Settings!$B$36:$F$44,6,$BA27)+($AW27)*Settings!$C$29*INDEX(Settings!$B$36:$F$44,7,$BA27)+($AX27)*Settings!$C$30*INDEX(Settings!$B$36:$F$44,8,$BA27)+($AY27)*Settings!$C$31*INDEX(Settings!$B$36:$F$44,9,$BA27))/INDEX(Settings!$B$45:$F$45,1,$BA27)/5*100*IF($AZ27="Not present",Settings!$B$51,1)),1),"")</f>
        <v>68.4</v>
      </c>
      <c r="J27" s="62">
        <f>ROUND(MIN(5,IF(Pathogens!I24&gt;=500,5,IF(Pathogens!I24&gt;=200,4,IF(Pathogens!I24&gt;=50,3,IF(Pathogens!I24&gt;=10,2,1))))*0.5+IF(Pathogens!J24&gt;=30,5,IF(Pathogens!J24&gt;=10,4,IF(Pathogens!J24&gt;=3,3,IF(Pathogens!J24&gt;=1,2,1))))*0.4+IF(AND(VLOOKUP(D$4,Countries!$B$2:$AN$55,4,FALSE)&gt;=80,Pathogens!N24&gt;=0.5),1,0)*0.1+IF(VLOOKUP(D$4,Countries!$B$2:$AN$55,7,FALSE)&lt;50,0.3,0)),0)</f>
        <v>3</v>
      </c>
      <c r="K27" s="62">
        <f>ROUND(MIN(5,IF(Pathogens!K24&gt;=8,5,IF(Pathogens!K24&gt;=5,4,IF(Pathogens!K24&gt;=3,3,IF(Pathogens!K24&gt;=1,2,1))))*0.5+IF(Pathogens!L24&gt;=5,5,IF(Pathogens!L24&gt;=3,4,IF(Pathogens!L24&gt;=2,3,IF(Pathogens!L24&gt;=1.2,2,1))))*0.3+IF(Pathogens!M24=1,2,0)*0.2+IF(VLOOKUP(D$4,Countries!$B$2:$AN$55,12,FALSE)&gt;=2,0.5,0)),0)</f>
        <v>3</v>
      </c>
      <c r="L27" s="62">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c r="M27" s="62">
        <f>ROUND(MAX(1,MIN(5,(6-VLOOKUP(D$4,Countries!$B$2:$AN$55,10,FALSE))*0.5+(6-VLOOKUP(D$4,Countries!$B$2:$AN$55,11,FALSE))*0.4+(IF(AND(Pathogens!N24&gt;=0.5,VLOOKUP(D$4,Countries!$B$2:$AN$55,5,FALSE)&lt;60),5,IF(Pathogens!N24&gt;=0.5,4,IF(Pathogens!N24&gt;=0.3,3,IF(Pathogens!N24&gt;=0.1,2,1)))))*0.1)),0)</f>
        <v>2</v>
      </c>
      <c r="N27" s="62">
        <f>IF(ISNUMBER(SEARCH("Vaccine-preventable",Pathogens!C24)),2,IF(ISNUMBER(SEARCH("AMR",Pathogens!C24)),5,IF(ISNUMBER(SEARCH("VHF",Pathogens!C24)),4,IF(ISNUMBER(SEARCH("Emerging",Pathogens!C24)),5,IF(ISNUMBER(SEARCH("Mycobacterial",Pathogens!C24)),3,IF(ISNUMBER(SEARCH("Helminth",Pathogens!C24)),3,IF(ISNUMBER(SEARCH("Respiratory",Pathogens!C24)),4,3)))))))</f>
        <v>3</v>
      </c>
      <c r="O27" s="62">
        <f>IF(ISNUMBER(SEARCH("AMR",Pathogens!C24)),5,IF(ISNUMBER(SEARCH("Mycobacterial",Pathogens!C24)),4,IF(ISNUMBER(SEARCH("Enteric bacterial",Pathogens!C24)),3,IF(ISNUMBER(SEARCH("Bacterial",Pathogens!C24)),3,1))))</f>
        <v>1</v>
      </c>
      <c r="P2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7" s="62">
        <f>(6-Pathogens!X24)</f>
        <v>5</v>
      </c>
      <c r="R27" s="62">
        <f>ROUND(MIN(5,MAX(1,0.35*IF(Pathogens!R24=1,5,IF(Pathogens!R24=2,3,1))+0.2*IF(Pathogens!S24=1,5,IF(Pathogens!S24=2,3,1))+0.25*IF(Pathogens!W24=1,IF(VLOOKUP(D$4,Countries!$B$2:$AN$55,38,FALSE)&gt;=3,5,IF(VLOOKUP(D$4,Countries!$B$2:$AN$55,38,FALSE)=2,4,IF(VLOOKUP(D$4,Countries!$B$2:$AN$55,38,FALSE)=1,2,1))),5)+0.2*IF(VLOOKUP(D$4,Countries!$B$2:$AN$55,24,FALSE)&gt;=50,5,IF(VLOOKUP(D$4,Countries!$B$2:$AN$55,24,FALSE)&gt;=25,4,IF(VLOOKUP(D$4,Countries!$B$2:$AN$55,24,FALSE)&gt;=10,3,IF(VLOOKUP(D$4,Countries!$B$2:$AN$55,24,FALSE)&gt;=5,2,1)))))),0)</f>
        <v>4</v>
      </c>
      <c r="S27" s="62" t="str">
        <f>IFERROR(INDEX(Endemicity!$C$2:$BN$55,MATCH(D$4,Endemicity!$B$2:$B$55,0),MATCH($A27,Endemicity!$C$1:$BN$1,0)),"Sporadic")</f>
        <v>Endemic</v>
      </c>
      <c r="T27" s="62">
        <f>IF(Settings!$B$48="ON",IFERROR(MATCH($S27,Settings!$B$35:$F$35,0),5),5)</f>
        <v>1</v>
      </c>
      <c r="U27" s="62">
        <f>ROUND(MIN(5,IF(Pathogens!I24&gt;=500,5,IF(Pathogens!I24&gt;=200,4,IF(Pathogens!I24&gt;=50,3,IF(Pathogens!I24&gt;=10,2,1))))*0.5+IF(Pathogens!J24&gt;=30,5,IF(Pathogens!J24&gt;=10,4,IF(Pathogens!J24&gt;=3,3,IF(Pathogens!J24&gt;=1,2,1))))*0.4+IF(AND(VLOOKUP(E$4,Countries!$B$2:$AN$55,4,FALSE)&gt;=80,Pathogens!N24&gt;=0.5),1,0)*0.1+IF(VLOOKUP(E$4,Countries!$B$2:$AN$55,7,FALSE)&lt;50,0.3,0)),0)</f>
        <v>3</v>
      </c>
      <c r="V27" s="62">
        <f>ROUND(MIN(5,IF(Pathogens!K24&gt;=8,5,IF(Pathogens!K24&gt;=5,4,IF(Pathogens!K24&gt;=3,3,IF(Pathogens!K24&gt;=1,2,1))))*0.5+IF(Pathogens!L24&gt;=5,5,IF(Pathogens!L24&gt;=3,4,IF(Pathogens!L24&gt;=2,3,IF(Pathogens!L24&gt;=1.2,2,1))))*0.3+IF(Pathogens!M24=1,2,0)*0.2+IF(VLOOKUP(E$4,Countries!$B$2:$AN$55,12,FALSE)&gt;=2,0.5,0)),0)</f>
        <v>3</v>
      </c>
      <c r="W27" s="62">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c r="X27" s="62">
        <f>ROUND(MAX(1,MIN(5,(6-VLOOKUP(E$4,Countries!$B$2:$AN$55,10,FALSE))*0.5+(6-VLOOKUP(E$4,Countries!$B$2:$AN$55,11,FALSE))*0.4+(IF(AND(Pathogens!N24&gt;=0.5,VLOOKUP(E$4,Countries!$B$2:$AN$55,5,FALSE)&lt;60),5,IF(Pathogens!N24&gt;=0.5,4,IF(Pathogens!N24&gt;=0.3,3,IF(Pathogens!N24&gt;=0.1,2,1)))))*0.1)),0)</f>
        <v>3</v>
      </c>
      <c r="Y27" s="62">
        <f>IF(ISNUMBER(SEARCH("Vaccine-preventable",Pathogens!C24)),2,IF(ISNUMBER(SEARCH("AMR",Pathogens!C24)),5,IF(ISNUMBER(SEARCH("VHF",Pathogens!C24)),4,IF(ISNUMBER(SEARCH("Emerging",Pathogens!C24)),5,IF(ISNUMBER(SEARCH("Mycobacterial",Pathogens!C24)),3,IF(ISNUMBER(SEARCH("Helminth",Pathogens!C24)),3,IF(ISNUMBER(SEARCH("Respiratory",Pathogens!C24)),4,3)))))))</f>
        <v>3</v>
      </c>
      <c r="Z27" s="62">
        <f>IF(ISNUMBER(SEARCH("AMR",Pathogens!C24)),5,IF(ISNUMBER(SEARCH("Mycobacterial",Pathogens!C24)),4,IF(ISNUMBER(SEARCH("Enteric bacterial",Pathogens!C24)),3,IF(ISNUMBER(SEARCH("Bacterial",Pathogens!C24)),3,1))))</f>
        <v>1</v>
      </c>
      <c r="AA2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7" s="62">
        <f>(6-Pathogens!X24)</f>
        <v>5</v>
      </c>
      <c r="AC27" s="62">
        <f>ROUND(MIN(5,MAX(1,0.35*IF(Pathogens!R24=1,5,IF(Pathogens!R24=2,3,1))+0.2*IF(Pathogens!S24=1,5,IF(Pathogens!S24=2,3,1))+0.25*IF(Pathogens!W24=1,IF(VLOOKUP(E$4,Countries!$B$2:$AN$55,38,FALSE)&gt;=3,5,IF(VLOOKUP(E$4,Countries!$B$2:$AN$55,38,FALSE)=2,4,IF(VLOOKUP(E$4,Countries!$B$2:$AN$55,38,FALSE)=1,2,1))),5)+0.2*IF(VLOOKUP(E$4,Countries!$B$2:$AN$55,24,FALSE)&gt;=50,5,IF(VLOOKUP(E$4,Countries!$B$2:$AN$55,24,FALSE)&gt;=25,4,IF(VLOOKUP(E$4,Countries!$B$2:$AN$55,24,FALSE)&gt;=10,3,IF(VLOOKUP(E$4,Countries!$B$2:$AN$55,24,FALSE)&gt;=5,2,1)))))),0)</f>
        <v>4</v>
      </c>
      <c r="AD27" s="62" t="str">
        <f>IFERROR(INDEX(Endemicity!$C$2:$BN$55,MATCH(E$4,Endemicity!$B$2:$B$55,0),MATCH($A27,Endemicity!$C$1:$BN$1,0)),"Sporadic")</f>
        <v>Endemic</v>
      </c>
      <c r="AE27" s="62">
        <f>IF(Settings!$B$48="ON",IFERROR(MATCH($AD27,Settings!$B$35:$F$35,0),5),5)</f>
        <v>1</v>
      </c>
      <c r="AF27" s="62">
        <f>ROUND(MIN(5,IF(Pathogens!I24&gt;=500,5,IF(Pathogens!I24&gt;=200,4,IF(Pathogens!I24&gt;=50,3,IF(Pathogens!I24&gt;=10,2,1))))*0.5+IF(Pathogens!J24&gt;=30,5,IF(Pathogens!J24&gt;=10,4,IF(Pathogens!J24&gt;=3,3,IF(Pathogens!J24&gt;=1,2,1))))*0.4+IF(AND(VLOOKUP(F$4,Countries!$B$2:$AN$55,4,FALSE)&gt;=80,Pathogens!N24&gt;=0.5),1,0)*0.1+IF(VLOOKUP(F$4,Countries!$B$2:$AN$55,7,FALSE)&lt;50,0.3,0)),0)</f>
        <v>3</v>
      </c>
      <c r="AG27" s="62">
        <f>ROUND(MIN(5,IF(Pathogens!K24&gt;=8,5,IF(Pathogens!K24&gt;=5,4,IF(Pathogens!K24&gt;=3,3,IF(Pathogens!K24&gt;=1,2,1))))*0.5+IF(Pathogens!L24&gt;=5,5,IF(Pathogens!L24&gt;=3,4,IF(Pathogens!L24&gt;=2,3,IF(Pathogens!L24&gt;=1.2,2,1))))*0.3+IF(Pathogens!M24=1,2,0)*0.2+IF(VLOOKUP(F$4,Countries!$B$2:$AN$55,12,FALSE)&gt;=2,0.5,0)),0)</f>
        <v>3</v>
      </c>
      <c r="AH27" s="62">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c r="AI27" s="62">
        <f>ROUND(MAX(1,MIN(5,(6-VLOOKUP(F$4,Countries!$B$2:$AN$55,10,FALSE))*0.5+(6-VLOOKUP(F$4,Countries!$B$2:$AN$55,11,FALSE))*0.4+(IF(AND(Pathogens!N24&gt;=0.5,VLOOKUP(F$4,Countries!$B$2:$AN$55,5,FALSE)&lt;60),5,IF(Pathogens!N24&gt;=0.5,4,IF(Pathogens!N24&gt;=0.3,3,IF(Pathogens!N24&gt;=0.1,2,1)))))*0.1)),0)</f>
        <v>2</v>
      </c>
      <c r="AJ27" s="62">
        <f>IF(ISNUMBER(SEARCH("Vaccine-preventable",Pathogens!C24)),2,IF(ISNUMBER(SEARCH("AMR",Pathogens!C24)),5,IF(ISNUMBER(SEARCH("VHF",Pathogens!C24)),4,IF(ISNUMBER(SEARCH("Emerging",Pathogens!C24)),5,IF(ISNUMBER(SEARCH("Mycobacterial",Pathogens!C24)),3,IF(ISNUMBER(SEARCH("Helminth",Pathogens!C24)),3,IF(ISNUMBER(SEARCH("Respiratory",Pathogens!C24)),4,3)))))))</f>
        <v>3</v>
      </c>
      <c r="AK27" s="62">
        <f>IF(ISNUMBER(SEARCH("AMR",Pathogens!C24)),5,IF(ISNUMBER(SEARCH("Mycobacterial",Pathogens!C24)),4,IF(ISNUMBER(SEARCH("Enteric bacterial",Pathogens!C24)),3,IF(ISNUMBER(SEARCH("Bacterial",Pathogens!C24)),3,1))))</f>
        <v>1</v>
      </c>
      <c r="AL2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7" s="62">
        <f>(6-Pathogens!X24)</f>
        <v>5</v>
      </c>
      <c r="AN27" s="62">
        <f>ROUND(MIN(5,MAX(1,0.35*IF(Pathogens!R24=1,5,IF(Pathogens!R24=2,3,1))+0.2*IF(Pathogens!S24=1,5,IF(Pathogens!S24=2,3,1))+0.25*IF(Pathogens!W24=1,IF(VLOOKUP(F$4,Countries!$B$2:$AN$55,38,FALSE)&gt;=3,5,IF(VLOOKUP(F$4,Countries!$B$2:$AN$55,38,FALSE)=2,4,IF(VLOOKUP(F$4,Countries!$B$2:$AN$55,38,FALSE)=1,2,1))),5)+0.2*IF(VLOOKUP(F$4,Countries!$B$2:$AN$55,24,FALSE)&gt;=50,5,IF(VLOOKUP(F$4,Countries!$B$2:$AN$55,24,FALSE)&gt;=25,4,IF(VLOOKUP(F$4,Countries!$B$2:$AN$55,24,FALSE)&gt;=10,3,IF(VLOOKUP(F$4,Countries!$B$2:$AN$55,24,FALSE)&gt;=5,2,1)))))),0)</f>
        <v>4</v>
      </c>
      <c r="AO27" s="62" t="str">
        <f>IFERROR(INDEX(Endemicity!$C$2:$BN$55,MATCH(F$4,Endemicity!$B$2:$B$55,0),MATCH($A27,Endemicity!$C$1:$BN$1,0)),"Sporadic")</f>
        <v>Sporadic</v>
      </c>
      <c r="AP27" s="62">
        <f>IF(Settings!$B$48="ON",IFERROR(MATCH($AO27,Settings!$B$35:$F$35,0),5),5)</f>
        <v>2</v>
      </c>
      <c r="AQ27" s="62">
        <f>ROUND(MIN(5,IF(Pathogens!I24&gt;=500,5,IF(Pathogens!I24&gt;=200,4,IF(Pathogens!I24&gt;=50,3,IF(Pathogens!I24&gt;=10,2,1))))*0.5+IF(Pathogens!J24&gt;=30,5,IF(Pathogens!J24&gt;=10,4,IF(Pathogens!J24&gt;=3,3,IF(Pathogens!J24&gt;=1,2,1))))*0.4+IF(AND(VLOOKUP(G$4,Countries!$B$2:$AN$55,4,FALSE)&gt;=80,Pathogens!N24&gt;=0.5),1,0)*0.1+IF(VLOOKUP(G$4,Countries!$B$2:$AN$55,7,FALSE)&lt;50,0.3,0)),0)</f>
        <v>3</v>
      </c>
      <c r="AR27" s="62">
        <f>ROUND(MIN(5,IF(Pathogens!K24&gt;=8,5,IF(Pathogens!K24&gt;=5,4,IF(Pathogens!K24&gt;=3,3,IF(Pathogens!K24&gt;=1,2,1))))*0.5+IF(Pathogens!L24&gt;=5,5,IF(Pathogens!L24&gt;=3,4,IF(Pathogens!L24&gt;=2,3,IF(Pathogens!L24&gt;=1.2,2,1))))*0.3+IF(Pathogens!M24=1,2,0)*0.2+IF(VLOOKUP(G$4,Countries!$B$2:$AN$55,12,FALSE)&gt;=2,0.5,0)),0)</f>
        <v>3</v>
      </c>
      <c r="AS27" s="62">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c r="AT27" s="62">
        <f>ROUND(MAX(1,MIN(5,(6-VLOOKUP(G$4,Countries!$B$2:$AN$55,10,FALSE))*0.5+(6-VLOOKUP(G$4,Countries!$B$2:$AN$55,11,FALSE))*0.4+(IF(AND(Pathogens!N24&gt;=0.5,VLOOKUP(G$4,Countries!$B$2:$AN$55,5,FALSE)&lt;60),5,IF(Pathogens!N24&gt;=0.5,4,IF(Pathogens!N24&gt;=0.3,3,IF(Pathogens!N24&gt;=0.1,2,1)))))*0.1)),0)</f>
        <v>2</v>
      </c>
      <c r="AU27" s="62">
        <f>IF(ISNUMBER(SEARCH("Vaccine-preventable",Pathogens!C24)),2,IF(ISNUMBER(SEARCH("AMR",Pathogens!C24)),5,IF(ISNUMBER(SEARCH("VHF",Pathogens!C24)),4,IF(ISNUMBER(SEARCH("Emerging",Pathogens!C24)),5,IF(ISNUMBER(SEARCH("Mycobacterial",Pathogens!C24)),3,IF(ISNUMBER(SEARCH("Helminth",Pathogens!C24)),3,IF(ISNUMBER(SEARCH("Respiratory",Pathogens!C24)),4,3)))))))</f>
        <v>3</v>
      </c>
      <c r="AV27" s="62">
        <f>IF(ISNUMBER(SEARCH("AMR",Pathogens!C24)),5,IF(ISNUMBER(SEARCH("Mycobacterial",Pathogens!C24)),4,IF(ISNUMBER(SEARCH("Enteric bacterial",Pathogens!C24)),3,IF(ISNUMBER(SEARCH("Bacterial",Pathogens!C24)),3,1))))</f>
        <v>1</v>
      </c>
      <c r="AW2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7" s="62">
        <f>(6-Pathogens!X24)</f>
        <v>5</v>
      </c>
      <c r="AY27" s="62">
        <f>ROUND(MIN(5,MAX(1,0.35*IF(Pathogens!R24=1,5,IF(Pathogens!R24=2,3,1))+0.2*IF(Pathogens!S24=1,5,IF(Pathogens!S24=2,3,1))+0.25*IF(Pathogens!W24=1,IF(VLOOKUP(G$4,Countries!$B$2:$AN$55,38,FALSE)&gt;=3,5,IF(VLOOKUP(G$4,Countries!$B$2:$AN$55,38,FALSE)=2,4,IF(VLOOKUP(G$4,Countries!$B$2:$AN$55,38,FALSE)=1,2,1))),5)+0.2*IF(VLOOKUP(G$4,Countries!$B$2:$AN$55,24,FALSE)&gt;=50,5,IF(VLOOKUP(G$4,Countries!$B$2:$AN$55,24,FALSE)&gt;=25,4,IF(VLOOKUP(G$4,Countries!$B$2:$AN$55,24,FALSE)&gt;=10,3,IF(VLOOKUP(G$4,Countries!$B$2:$AN$55,24,FALSE)&gt;=5,2,1)))))),0)</f>
        <v>4</v>
      </c>
      <c r="AZ27" s="62" t="str">
        <f>IFERROR(INDEX(Endemicity!$C$2:$BN$55,MATCH(G$4,Endemicity!$B$2:$B$55,0),MATCH($A27,Endemicity!$C$1:$BN$1,0)),"Sporadic")</f>
        <v>Endemic</v>
      </c>
      <c r="BA27" s="62">
        <f>IF(Settings!$B$48="ON",IFERROR(MATCH($AZ27,Settings!$B$35:$F$35,0),5),5)</f>
        <v>1</v>
      </c>
    </row>
    <row r="28" customHeight="1" spans="1:53">
      <c r="A28" s="61" t="str">
        <f>Calculator!A57</f>
        <v>NORO</v>
      </c>
      <c r="B28" s="61" t="str">
        <f>Calculator!B57</f>
        <v>Norovirus GI/GII</v>
      </c>
      <c r="C28" s="61" t="str">
        <f>Calculator!C57</f>
        <v>Enteric viral</v>
      </c>
      <c r="D28" s="52">
        <f>IFERROR(ROUND(MIN(100,(($J28)*Settings!$C$23*INDEX(Settings!$B$36:$F$44,1,$T28)+($K28)*Settings!$C$24*INDEX(Settings!$B$36:$F$44,2,$T28)+($L28)*Settings!$C$25*INDEX(Settings!$B$36:$F$44,3,$T28)+($M28)*Settings!$C$26*INDEX(Settings!$B$36:$F$44,4,$T28)+($N28)*Settings!$C$27*INDEX(Settings!$B$36:$F$44,5,$T28)+($O28)*Settings!$C$28*INDEX(Settings!$B$36:$F$44,6,$T28)+($P28)*Settings!$C$29*INDEX(Settings!$B$36:$F$44,7,$T28)+($Q28)*Settings!$C$30*INDEX(Settings!$B$36:$F$44,8,$T28)+($R28)*Settings!$C$31*INDEX(Settings!$B$36:$F$44,9,$T28))/INDEX(Settings!$B$45:$F$45,1,$T28)/5*100*IF($S28="Not present",Settings!$B$51,1)),1),"")</f>
        <v>67.9</v>
      </c>
      <c r="E28" s="52">
        <f>IFERROR(ROUND(MIN(100,(($U28)*Settings!$C$23*INDEX(Settings!$B$36:$F$44,1,$AE28)+($V28)*Settings!$C$24*INDEX(Settings!$B$36:$F$44,2,$AE28)+($W28)*Settings!$C$25*INDEX(Settings!$B$36:$F$44,3,$AE28)+($X28)*Settings!$C$26*INDEX(Settings!$B$36:$F$44,4,$AE28)+($Y28)*Settings!$C$27*INDEX(Settings!$B$36:$F$44,5,$AE28)+($Z28)*Settings!$C$28*INDEX(Settings!$B$36:$F$44,6,$AE28)+($AA28)*Settings!$C$29*INDEX(Settings!$B$36:$F$44,7,$AE28)+($AB28)*Settings!$C$30*INDEX(Settings!$B$36:$F$44,8,$AE28)+($AC28)*Settings!$C$31*INDEX(Settings!$B$36:$F$44,9,$AE28))/INDEX(Settings!$B$45:$F$45,1,$AE28)/5*100*IF($AD28="Not present",Settings!$B$51,1)),1),"")</f>
        <v>70.7</v>
      </c>
      <c r="F28" s="52">
        <f>IFERROR(ROUND(MIN(100,(($AF28)*Settings!$C$23*INDEX(Settings!$B$36:$F$44,1,$AP28)+($AG28)*Settings!$C$24*INDEX(Settings!$B$36:$F$44,2,$AP28)+($AH28)*Settings!$C$25*INDEX(Settings!$B$36:$F$44,3,$AP28)+($AI28)*Settings!$C$26*INDEX(Settings!$B$36:$F$44,4,$AP28)+($AJ28)*Settings!$C$27*INDEX(Settings!$B$36:$F$44,5,$AP28)+($AK28)*Settings!$C$28*INDEX(Settings!$B$36:$F$44,6,$AP28)+($AL28)*Settings!$C$29*INDEX(Settings!$B$36:$F$44,7,$AP28)+($AM28)*Settings!$C$30*INDEX(Settings!$B$36:$F$44,8,$AP28)+($AN28)*Settings!$C$31*INDEX(Settings!$B$36:$F$44,9,$AP28))/INDEX(Settings!$B$45:$F$45,1,$AP28)/5*100*IF($AO28="Not present",Settings!$B$51,1)),1),"")</f>
        <v>65.1</v>
      </c>
      <c r="G28" s="52">
        <f>IFERROR(ROUND(MIN(100,(($AQ28)*Settings!$C$23*INDEX(Settings!$B$36:$F$44,1,$BA28)+($AR28)*Settings!$C$24*INDEX(Settings!$B$36:$F$44,2,$BA28)+($AS28)*Settings!$C$25*INDEX(Settings!$B$36:$F$44,3,$BA28)+($AT28)*Settings!$C$26*INDEX(Settings!$B$36:$F$44,4,$BA28)+($AU28)*Settings!$C$27*INDEX(Settings!$B$36:$F$44,5,$BA28)+($AV28)*Settings!$C$28*INDEX(Settings!$B$36:$F$44,6,$BA28)+($AW28)*Settings!$C$29*INDEX(Settings!$B$36:$F$44,7,$BA28)+($AX28)*Settings!$C$30*INDEX(Settings!$B$36:$F$44,8,$BA28)+($AY28)*Settings!$C$31*INDEX(Settings!$B$36:$F$44,9,$BA28))/INDEX(Settings!$B$45:$F$45,1,$BA28)/5*100*IF($AZ28="Not present",Settings!$B$51,1)),1),"")</f>
        <v>66.9</v>
      </c>
      <c r="J28" s="62">
        <f>ROUND(MIN(5,IF(Pathogens!I25&gt;=500,5,IF(Pathogens!I25&gt;=200,4,IF(Pathogens!I25&gt;=50,3,IF(Pathogens!I25&gt;=10,2,1))))*0.5+IF(Pathogens!J25&gt;=30,5,IF(Pathogens!J25&gt;=10,4,IF(Pathogens!J25&gt;=3,3,IF(Pathogens!J25&gt;=1,2,1))))*0.4+IF(AND(VLOOKUP(D$4,Countries!$B$2:$AN$55,4,FALSE)&gt;=80,Pathogens!N25&gt;=0.5),1,0)*0.1+IF(VLOOKUP(D$4,Countries!$B$2:$AN$55,7,FALSE)&lt;50,0.3,0)),0)</f>
        <v>3</v>
      </c>
      <c r="K28" s="62">
        <f>ROUND(MIN(5,IF(Pathogens!K25&gt;=8,5,IF(Pathogens!K25&gt;=5,4,IF(Pathogens!K25&gt;=3,3,IF(Pathogens!K25&gt;=1,2,1))))*0.5+IF(Pathogens!L25&gt;=5,5,IF(Pathogens!L25&gt;=3,4,IF(Pathogens!L25&gt;=2,3,IF(Pathogens!L25&gt;=1.2,2,1))))*0.3+IF(Pathogens!M25=1,2,0)*0.2+IF(VLOOKUP(D$4,Countries!$B$2:$AN$55,12,FALSE)&gt;=2,0.5,0)),0)</f>
        <v>4</v>
      </c>
      <c r="L28" s="62">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c r="M28" s="62">
        <f>ROUND(MAX(1,MIN(5,(6-VLOOKUP(D$4,Countries!$B$2:$AN$55,10,FALSE))*0.5+(6-VLOOKUP(D$4,Countries!$B$2:$AN$55,11,FALSE))*0.4+(IF(AND(Pathogens!N25&gt;=0.5,VLOOKUP(D$4,Countries!$B$2:$AN$55,5,FALSE)&lt;60),5,IF(Pathogens!N25&gt;=0.5,4,IF(Pathogens!N25&gt;=0.3,3,IF(Pathogens!N25&gt;=0.1,2,1)))))*0.1)),0)</f>
        <v>2</v>
      </c>
      <c r="N28" s="62">
        <f>IF(ISNUMBER(SEARCH("Vaccine-preventable",Pathogens!C25)),2,IF(ISNUMBER(SEARCH("AMR",Pathogens!C25)),5,IF(ISNUMBER(SEARCH("VHF",Pathogens!C25)),4,IF(ISNUMBER(SEARCH("Emerging",Pathogens!C25)),5,IF(ISNUMBER(SEARCH("Mycobacterial",Pathogens!C25)),3,IF(ISNUMBER(SEARCH("Helminth",Pathogens!C25)),3,IF(ISNUMBER(SEARCH("Respiratory",Pathogens!C25)),4,3)))))))</f>
        <v>3</v>
      </c>
      <c r="O28" s="62">
        <f>IF(ISNUMBER(SEARCH("AMR",Pathogens!C25)),5,IF(ISNUMBER(SEARCH("Mycobacterial",Pathogens!C25)),4,IF(ISNUMBER(SEARCH("Enteric bacterial",Pathogens!C25)),3,IF(ISNUMBER(SEARCH("Bacterial",Pathogens!C25)),3,1))))</f>
        <v>1</v>
      </c>
      <c r="P2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8" s="62">
        <f>(6-Pathogens!X25)</f>
        <v>5</v>
      </c>
      <c r="R28" s="62">
        <f>ROUND(MIN(5,MAX(1,0.35*IF(Pathogens!R25=1,5,IF(Pathogens!R25=2,3,1))+0.2*IF(Pathogens!S25=1,5,IF(Pathogens!S25=2,3,1))+0.25*IF(Pathogens!W25=1,IF(VLOOKUP(D$4,Countries!$B$2:$AN$55,38,FALSE)&gt;=3,5,IF(VLOOKUP(D$4,Countries!$B$2:$AN$55,38,FALSE)=2,4,IF(VLOOKUP(D$4,Countries!$B$2:$AN$55,38,FALSE)=1,2,1))),5)+0.2*IF(VLOOKUP(D$4,Countries!$B$2:$AN$55,24,FALSE)&gt;=50,5,IF(VLOOKUP(D$4,Countries!$B$2:$AN$55,24,FALSE)&gt;=25,4,IF(VLOOKUP(D$4,Countries!$B$2:$AN$55,24,FALSE)&gt;=10,3,IF(VLOOKUP(D$4,Countries!$B$2:$AN$55,24,FALSE)&gt;=5,2,1)))))),0)</f>
        <v>5</v>
      </c>
      <c r="S28" s="62" t="str">
        <f>IFERROR(INDEX(Endemicity!$C$2:$BN$55,MATCH(D$4,Endemicity!$B$2:$B$55,0),MATCH($A28,Endemicity!$C$1:$BN$1,0)),"Sporadic")</f>
        <v>Endemic</v>
      </c>
      <c r="T28" s="62">
        <f>IF(Settings!$B$48="ON",IFERROR(MATCH($S28,Settings!$B$35:$F$35,0),5),5)</f>
        <v>1</v>
      </c>
      <c r="U28" s="62">
        <f>ROUND(MIN(5,IF(Pathogens!I25&gt;=500,5,IF(Pathogens!I25&gt;=200,4,IF(Pathogens!I25&gt;=50,3,IF(Pathogens!I25&gt;=10,2,1))))*0.5+IF(Pathogens!J25&gt;=30,5,IF(Pathogens!J25&gt;=10,4,IF(Pathogens!J25&gt;=3,3,IF(Pathogens!J25&gt;=1,2,1))))*0.4+IF(AND(VLOOKUP(E$4,Countries!$B$2:$AN$55,4,FALSE)&gt;=80,Pathogens!N25&gt;=0.5),1,0)*0.1+IF(VLOOKUP(E$4,Countries!$B$2:$AN$55,7,FALSE)&lt;50,0.3,0)),0)</f>
        <v>3</v>
      </c>
      <c r="V28" s="62">
        <f>ROUND(MIN(5,IF(Pathogens!K25&gt;=8,5,IF(Pathogens!K25&gt;=5,4,IF(Pathogens!K25&gt;=3,3,IF(Pathogens!K25&gt;=1,2,1))))*0.5+IF(Pathogens!L25&gt;=5,5,IF(Pathogens!L25&gt;=3,4,IF(Pathogens!L25&gt;=2,3,IF(Pathogens!L25&gt;=1.2,2,1))))*0.3+IF(Pathogens!M25=1,2,0)*0.2+IF(VLOOKUP(E$4,Countries!$B$2:$AN$55,12,FALSE)&gt;=2,0.5,0)),0)</f>
        <v>4</v>
      </c>
      <c r="W28" s="62">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c r="X28" s="62">
        <f>ROUND(MAX(1,MIN(5,(6-VLOOKUP(E$4,Countries!$B$2:$AN$55,10,FALSE))*0.5+(6-VLOOKUP(E$4,Countries!$B$2:$AN$55,11,FALSE))*0.4+(IF(AND(Pathogens!N25&gt;=0.5,VLOOKUP(E$4,Countries!$B$2:$AN$55,5,FALSE)&lt;60),5,IF(Pathogens!N25&gt;=0.5,4,IF(Pathogens!N25&gt;=0.3,3,IF(Pathogens!N25&gt;=0.1,2,1)))))*0.1)),0)</f>
        <v>3</v>
      </c>
      <c r="Y28" s="62">
        <f>IF(ISNUMBER(SEARCH("Vaccine-preventable",Pathogens!C25)),2,IF(ISNUMBER(SEARCH("AMR",Pathogens!C25)),5,IF(ISNUMBER(SEARCH("VHF",Pathogens!C25)),4,IF(ISNUMBER(SEARCH("Emerging",Pathogens!C25)),5,IF(ISNUMBER(SEARCH("Mycobacterial",Pathogens!C25)),3,IF(ISNUMBER(SEARCH("Helminth",Pathogens!C25)),3,IF(ISNUMBER(SEARCH("Respiratory",Pathogens!C25)),4,3)))))))</f>
        <v>3</v>
      </c>
      <c r="Z28" s="62">
        <f>IF(ISNUMBER(SEARCH("AMR",Pathogens!C25)),5,IF(ISNUMBER(SEARCH("Mycobacterial",Pathogens!C25)),4,IF(ISNUMBER(SEARCH("Enteric bacterial",Pathogens!C25)),3,IF(ISNUMBER(SEARCH("Bacterial",Pathogens!C25)),3,1))))</f>
        <v>1</v>
      </c>
      <c r="AA2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8" s="62">
        <f>(6-Pathogens!X25)</f>
        <v>5</v>
      </c>
      <c r="AC28" s="62">
        <f>ROUND(MIN(5,MAX(1,0.35*IF(Pathogens!R25=1,5,IF(Pathogens!R25=2,3,1))+0.2*IF(Pathogens!S25=1,5,IF(Pathogens!S25=2,3,1))+0.25*IF(Pathogens!W25=1,IF(VLOOKUP(E$4,Countries!$B$2:$AN$55,38,FALSE)&gt;=3,5,IF(VLOOKUP(E$4,Countries!$B$2:$AN$55,38,FALSE)=2,4,IF(VLOOKUP(E$4,Countries!$B$2:$AN$55,38,FALSE)=1,2,1))),5)+0.2*IF(VLOOKUP(E$4,Countries!$B$2:$AN$55,24,FALSE)&gt;=50,5,IF(VLOOKUP(E$4,Countries!$B$2:$AN$55,24,FALSE)&gt;=25,4,IF(VLOOKUP(E$4,Countries!$B$2:$AN$55,24,FALSE)&gt;=10,3,IF(VLOOKUP(E$4,Countries!$B$2:$AN$55,24,FALSE)&gt;=5,2,1)))))),0)</f>
        <v>4</v>
      </c>
      <c r="AD28" s="62" t="str">
        <f>IFERROR(INDEX(Endemicity!$C$2:$BN$55,MATCH(E$4,Endemicity!$B$2:$B$55,0),MATCH($A28,Endemicity!$C$1:$BN$1,0)),"Sporadic")</f>
        <v>Endemic</v>
      </c>
      <c r="AE28" s="62">
        <f>IF(Settings!$B$48="ON",IFERROR(MATCH($AD28,Settings!$B$35:$F$35,0),5),5)</f>
        <v>1</v>
      </c>
      <c r="AF28" s="62">
        <f>ROUND(MIN(5,IF(Pathogens!I25&gt;=500,5,IF(Pathogens!I25&gt;=200,4,IF(Pathogens!I25&gt;=50,3,IF(Pathogens!I25&gt;=10,2,1))))*0.5+IF(Pathogens!J25&gt;=30,5,IF(Pathogens!J25&gt;=10,4,IF(Pathogens!J25&gt;=3,3,IF(Pathogens!J25&gt;=1,2,1))))*0.4+IF(AND(VLOOKUP(F$4,Countries!$B$2:$AN$55,4,FALSE)&gt;=80,Pathogens!N25&gt;=0.5),1,0)*0.1+IF(VLOOKUP(F$4,Countries!$B$2:$AN$55,7,FALSE)&lt;50,0.3,0)),0)</f>
        <v>3</v>
      </c>
      <c r="AG28" s="62">
        <f>ROUND(MIN(5,IF(Pathogens!K25&gt;=8,5,IF(Pathogens!K25&gt;=5,4,IF(Pathogens!K25&gt;=3,3,IF(Pathogens!K25&gt;=1,2,1))))*0.5+IF(Pathogens!L25&gt;=5,5,IF(Pathogens!L25&gt;=3,4,IF(Pathogens!L25&gt;=2,3,IF(Pathogens!L25&gt;=1.2,2,1))))*0.3+IF(Pathogens!M25=1,2,0)*0.2+IF(VLOOKUP(F$4,Countries!$B$2:$AN$55,12,FALSE)&gt;=2,0.5,0)),0)</f>
        <v>4</v>
      </c>
      <c r="AH28" s="62">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c r="AI28" s="62">
        <f>ROUND(MAX(1,MIN(5,(6-VLOOKUP(F$4,Countries!$B$2:$AN$55,10,FALSE))*0.5+(6-VLOOKUP(F$4,Countries!$B$2:$AN$55,11,FALSE))*0.4+(IF(AND(Pathogens!N25&gt;=0.5,VLOOKUP(F$4,Countries!$B$2:$AN$55,5,FALSE)&lt;60),5,IF(Pathogens!N25&gt;=0.5,4,IF(Pathogens!N25&gt;=0.3,3,IF(Pathogens!N25&gt;=0.1,2,1)))))*0.1)),0)</f>
        <v>2</v>
      </c>
      <c r="AJ28" s="62">
        <f>IF(ISNUMBER(SEARCH("Vaccine-preventable",Pathogens!C25)),2,IF(ISNUMBER(SEARCH("AMR",Pathogens!C25)),5,IF(ISNUMBER(SEARCH("VHF",Pathogens!C25)),4,IF(ISNUMBER(SEARCH("Emerging",Pathogens!C25)),5,IF(ISNUMBER(SEARCH("Mycobacterial",Pathogens!C25)),3,IF(ISNUMBER(SEARCH("Helminth",Pathogens!C25)),3,IF(ISNUMBER(SEARCH("Respiratory",Pathogens!C25)),4,3)))))))</f>
        <v>3</v>
      </c>
      <c r="AK28" s="62">
        <f>IF(ISNUMBER(SEARCH("AMR",Pathogens!C25)),5,IF(ISNUMBER(SEARCH("Mycobacterial",Pathogens!C25)),4,IF(ISNUMBER(SEARCH("Enteric bacterial",Pathogens!C25)),3,IF(ISNUMBER(SEARCH("Bacterial",Pathogens!C25)),3,1))))</f>
        <v>1</v>
      </c>
      <c r="AL2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8" s="62">
        <f>(6-Pathogens!X25)</f>
        <v>5</v>
      </c>
      <c r="AN28" s="62">
        <f>ROUND(MIN(5,MAX(1,0.35*IF(Pathogens!R25=1,5,IF(Pathogens!R25=2,3,1))+0.2*IF(Pathogens!S25=1,5,IF(Pathogens!S25=2,3,1))+0.25*IF(Pathogens!W25=1,IF(VLOOKUP(F$4,Countries!$B$2:$AN$55,38,FALSE)&gt;=3,5,IF(VLOOKUP(F$4,Countries!$B$2:$AN$55,38,FALSE)=2,4,IF(VLOOKUP(F$4,Countries!$B$2:$AN$55,38,FALSE)=1,2,1))),5)+0.2*IF(VLOOKUP(F$4,Countries!$B$2:$AN$55,24,FALSE)&gt;=50,5,IF(VLOOKUP(F$4,Countries!$B$2:$AN$55,24,FALSE)&gt;=25,4,IF(VLOOKUP(F$4,Countries!$B$2:$AN$55,24,FALSE)&gt;=10,3,IF(VLOOKUP(F$4,Countries!$B$2:$AN$55,24,FALSE)&gt;=5,2,1)))))),0)</f>
        <v>4</v>
      </c>
      <c r="AO28" s="62" t="str">
        <f>IFERROR(INDEX(Endemicity!$C$2:$BN$55,MATCH(F$4,Endemicity!$B$2:$B$55,0),MATCH($A28,Endemicity!$C$1:$BN$1,0)),"Sporadic")</f>
        <v>Endemic</v>
      </c>
      <c r="AP28" s="62">
        <f>IF(Settings!$B$48="ON",IFERROR(MATCH($AO28,Settings!$B$35:$F$35,0),5),5)</f>
        <v>1</v>
      </c>
      <c r="AQ28" s="62">
        <f>ROUND(MIN(5,IF(Pathogens!I25&gt;=500,5,IF(Pathogens!I25&gt;=200,4,IF(Pathogens!I25&gt;=50,3,IF(Pathogens!I25&gt;=10,2,1))))*0.5+IF(Pathogens!J25&gt;=30,5,IF(Pathogens!J25&gt;=10,4,IF(Pathogens!J25&gt;=3,3,IF(Pathogens!J25&gt;=1,2,1))))*0.4+IF(AND(VLOOKUP(G$4,Countries!$B$2:$AN$55,4,FALSE)&gt;=80,Pathogens!N25&gt;=0.5),1,0)*0.1+IF(VLOOKUP(G$4,Countries!$B$2:$AN$55,7,FALSE)&lt;50,0.3,0)),0)</f>
        <v>3</v>
      </c>
      <c r="AR28" s="62">
        <f>ROUND(MIN(5,IF(Pathogens!K25&gt;=8,5,IF(Pathogens!K25&gt;=5,4,IF(Pathogens!K25&gt;=3,3,IF(Pathogens!K25&gt;=1,2,1))))*0.5+IF(Pathogens!L25&gt;=5,5,IF(Pathogens!L25&gt;=3,4,IF(Pathogens!L25&gt;=2,3,IF(Pathogens!L25&gt;=1.2,2,1))))*0.3+IF(Pathogens!M25=1,2,0)*0.2+IF(VLOOKUP(G$4,Countries!$B$2:$AN$55,12,FALSE)&gt;=2,0.5,0)),0)</f>
        <v>4</v>
      </c>
      <c r="AS28" s="62">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c r="AT28" s="62">
        <f>ROUND(MAX(1,MIN(5,(6-VLOOKUP(G$4,Countries!$B$2:$AN$55,10,FALSE))*0.5+(6-VLOOKUP(G$4,Countries!$B$2:$AN$55,11,FALSE))*0.4+(IF(AND(Pathogens!N25&gt;=0.5,VLOOKUP(G$4,Countries!$B$2:$AN$55,5,FALSE)&lt;60),5,IF(Pathogens!N25&gt;=0.5,4,IF(Pathogens!N25&gt;=0.3,3,IF(Pathogens!N25&gt;=0.1,2,1)))))*0.1)),0)</f>
        <v>2</v>
      </c>
      <c r="AU28" s="62">
        <f>IF(ISNUMBER(SEARCH("Vaccine-preventable",Pathogens!C25)),2,IF(ISNUMBER(SEARCH("AMR",Pathogens!C25)),5,IF(ISNUMBER(SEARCH("VHF",Pathogens!C25)),4,IF(ISNUMBER(SEARCH("Emerging",Pathogens!C25)),5,IF(ISNUMBER(SEARCH("Mycobacterial",Pathogens!C25)),3,IF(ISNUMBER(SEARCH("Helminth",Pathogens!C25)),3,IF(ISNUMBER(SEARCH("Respiratory",Pathogens!C25)),4,3)))))))</f>
        <v>3</v>
      </c>
      <c r="AV28" s="62">
        <f>IF(ISNUMBER(SEARCH("AMR",Pathogens!C25)),5,IF(ISNUMBER(SEARCH("Mycobacterial",Pathogens!C25)),4,IF(ISNUMBER(SEARCH("Enteric bacterial",Pathogens!C25)),3,IF(ISNUMBER(SEARCH("Bacterial",Pathogens!C25)),3,1))))</f>
        <v>1</v>
      </c>
      <c r="AW2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8" s="62">
        <f>(6-Pathogens!X25)</f>
        <v>5</v>
      </c>
      <c r="AY28" s="62">
        <f>ROUND(MIN(5,MAX(1,0.35*IF(Pathogens!R25=1,5,IF(Pathogens!R25=2,3,1))+0.2*IF(Pathogens!S25=1,5,IF(Pathogens!S25=2,3,1))+0.25*IF(Pathogens!W25=1,IF(VLOOKUP(G$4,Countries!$B$2:$AN$55,38,FALSE)&gt;=3,5,IF(VLOOKUP(G$4,Countries!$B$2:$AN$55,38,FALSE)=2,4,IF(VLOOKUP(G$4,Countries!$B$2:$AN$55,38,FALSE)=1,2,1))),5)+0.2*IF(VLOOKUP(G$4,Countries!$B$2:$AN$55,24,FALSE)&gt;=50,5,IF(VLOOKUP(G$4,Countries!$B$2:$AN$55,24,FALSE)&gt;=25,4,IF(VLOOKUP(G$4,Countries!$B$2:$AN$55,24,FALSE)&gt;=10,3,IF(VLOOKUP(G$4,Countries!$B$2:$AN$55,24,FALSE)&gt;=5,2,1)))))),0)</f>
        <v>4</v>
      </c>
      <c r="AZ28" s="62" t="str">
        <f>IFERROR(INDEX(Endemicity!$C$2:$BN$55,MATCH(G$4,Endemicity!$B$2:$B$55,0),MATCH($A28,Endemicity!$C$1:$BN$1,0)),"Sporadic")</f>
        <v>Endemic</v>
      </c>
      <c r="BA28" s="62">
        <f>IF(Settings!$B$48="ON",IFERROR(MATCH($AZ28,Settings!$B$35:$F$35,0),5),5)</f>
        <v>1</v>
      </c>
    </row>
    <row r="29" customHeight="1" spans="1:53">
      <c r="A29" s="61" t="str">
        <f>Calculator!A58</f>
        <v>ROTA</v>
      </c>
      <c r="B29" s="61" t="str">
        <f>Calculator!B58</f>
        <v>Rotavirus A</v>
      </c>
      <c r="C29" s="61" t="str">
        <f>Calculator!C58</f>
        <v>Enteric viral</v>
      </c>
      <c r="D29" s="52">
        <f>IFERROR(ROUND(MIN(100,(($J29)*Settings!$C$23*INDEX(Settings!$B$36:$F$44,1,$T29)+($K29)*Settings!$C$24*INDEX(Settings!$B$36:$F$44,2,$T29)+($L29)*Settings!$C$25*INDEX(Settings!$B$36:$F$44,3,$T29)+($M29)*Settings!$C$26*INDEX(Settings!$B$36:$F$44,4,$T29)+($N29)*Settings!$C$27*INDEX(Settings!$B$36:$F$44,5,$T29)+($O29)*Settings!$C$28*INDEX(Settings!$B$36:$F$44,6,$T29)+($P29)*Settings!$C$29*INDEX(Settings!$B$36:$F$44,7,$T29)+($Q29)*Settings!$C$30*INDEX(Settings!$B$36:$F$44,8,$T29)+($R29)*Settings!$C$31*INDEX(Settings!$B$36:$F$44,9,$T29))/INDEX(Settings!$B$45:$F$45,1,$T29)/5*100*IF($S29="Not present",Settings!$B$51,1)),1),"")</f>
        <v>66.4</v>
      </c>
      <c r="E29" s="52">
        <f>IFERROR(ROUND(MIN(100,(($U29)*Settings!$C$23*INDEX(Settings!$B$36:$F$44,1,$AE29)+($V29)*Settings!$C$24*INDEX(Settings!$B$36:$F$44,2,$AE29)+($W29)*Settings!$C$25*INDEX(Settings!$B$36:$F$44,3,$AE29)+($X29)*Settings!$C$26*INDEX(Settings!$B$36:$F$44,4,$AE29)+($Y29)*Settings!$C$27*INDEX(Settings!$B$36:$F$44,5,$AE29)+($Z29)*Settings!$C$28*INDEX(Settings!$B$36:$F$44,6,$AE29)+($AA29)*Settings!$C$29*INDEX(Settings!$B$36:$F$44,7,$AE29)+($AB29)*Settings!$C$30*INDEX(Settings!$B$36:$F$44,8,$AE29)+($AC29)*Settings!$C$31*INDEX(Settings!$B$36:$F$44,9,$AE29))/INDEX(Settings!$B$45:$F$45,1,$AE29)/5*100*IF($AD29="Not present",Settings!$B$51,1)),1),"")</f>
        <v>69.2</v>
      </c>
      <c r="F29" s="52">
        <f>IFERROR(ROUND(MIN(100,(($AF29)*Settings!$C$23*INDEX(Settings!$B$36:$F$44,1,$AP29)+($AG29)*Settings!$C$24*INDEX(Settings!$B$36:$F$44,2,$AP29)+($AH29)*Settings!$C$25*INDEX(Settings!$B$36:$F$44,3,$AP29)+($AI29)*Settings!$C$26*INDEX(Settings!$B$36:$F$44,4,$AP29)+($AJ29)*Settings!$C$27*INDEX(Settings!$B$36:$F$44,5,$AP29)+($AK29)*Settings!$C$28*INDEX(Settings!$B$36:$F$44,6,$AP29)+($AL29)*Settings!$C$29*INDEX(Settings!$B$36:$F$44,7,$AP29)+($AM29)*Settings!$C$30*INDEX(Settings!$B$36:$F$44,8,$AP29)+($AN29)*Settings!$C$31*INDEX(Settings!$B$36:$F$44,9,$AP29))/INDEX(Settings!$B$45:$F$45,1,$AP29)/5*100*IF($AO29="Not present",Settings!$B$51,1)),1),"")</f>
        <v>63.6</v>
      </c>
      <c r="G29" s="52">
        <f>IFERROR(ROUND(MIN(100,(($AQ29)*Settings!$C$23*INDEX(Settings!$B$36:$F$44,1,$BA29)+($AR29)*Settings!$C$24*INDEX(Settings!$B$36:$F$44,2,$BA29)+($AS29)*Settings!$C$25*INDEX(Settings!$B$36:$F$44,3,$BA29)+($AT29)*Settings!$C$26*INDEX(Settings!$B$36:$F$44,4,$BA29)+($AU29)*Settings!$C$27*INDEX(Settings!$B$36:$F$44,5,$BA29)+($AV29)*Settings!$C$28*INDEX(Settings!$B$36:$F$44,6,$BA29)+($AW29)*Settings!$C$29*INDEX(Settings!$B$36:$F$44,7,$BA29)+($AX29)*Settings!$C$30*INDEX(Settings!$B$36:$F$44,8,$BA29)+($AY29)*Settings!$C$31*INDEX(Settings!$B$36:$F$44,9,$BA29))/INDEX(Settings!$B$45:$F$45,1,$BA29)/5*100*IF($AZ29="Not present",Settings!$B$51,1)),1),"")</f>
        <v>65.4</v>
      </c>
      <c r="J29" s="62">
        <f>ROUND(MIN(5,IF(Pathogens!I26&gt;=500,5,IF(Pathogens!I26&gt;=200,4,IF(Pathogens!I26&gt;=50,3,IF(Pathogens!I26&gt;=10,2,1))))*0.5+IF(Pathogens!J26&gt;=30,5,IF(Pathogens!J26&gt;=10,4,IF(Pathogens!J26&gt;=3,3,IF(Pathogens!J26&gt;=1,2,1))))*0.4+IF(AND(VLOOKUP(D$4,Countries!$B$2:$AN$55,4,FALSE)&gt;=80,Pathogens!N26&gt;=0.5),1,0)*0.1+IF(VLOOKUP(D$4,Countries!$B$2:$AN$55,7,FALSE)&lt;50,0.3,0)),0)</f>
        <v>3</v>
      </c>
      <c r="K29" s="62">
        <f>ROUND(MIN(5,IF(Pathogens!K26&gt;=8,5,IF(Pathogens!K26&gt;=5,4,IF(Pathogens!K26&gt;=3,3,IF(Pathogens!K26&gt;=1,2,1))))*0.5+IF(Pathogens!L26&gt;=5,5,IF(Pathogens!L26&gt;=3,4,IF(Pathogens!L26&gt;=2,3,IF(Pathogens!L26&gt;=1.2,2,1))))*0.3+IF(Pathogens!M26=1,2,0)*0.2+IF(VLOOKUP(D$4,Countries!$B$2:$AN$55,12,FALSE)&gt;=2,0.5,0)),0)</f>
        <v>4</v>
      </c>
      <c r="L29" s="62">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c r="M29" s="62">
        <f>ROUND(MAX(1,MIN(5,(6-VLOOKUP(D$4,Countries!$B$2:$AN$55,10,FALSE))*0.5+(6-VLOOKUP(D$4,Countries!$B$2:$AN$55,11,FALSE))*0.4+(IF(AND(Pathogens!N26&gt;=0.5,VLOOKUP(D$4,Countries!$B$2:$AN$55,5,FALSE)&lt;60),5,IF(Pathogens!N26&gt;=0.5,4,IF(Pathogens!N26&gt;=0.3,3,IF(Pathogens!N26&gt;=0.1,2,1)))))*0.1)),0)</f>
        <v>2</v>
      </c>
      <c r="N29" s="62">
        <f>IF(ISNUMBER(SEARCH("Vaccine-preventable",Pathogens!C26)),2,IF(ISNUMBER(SEARCH("AMR",Pathogens!C26)),5,IF(ISNUMBER(SEARCH("VHF",Pathogens!C26)),4,IF(ISNUMBER(SEARCH("Emerging",Pathogens!C26)),5,IF(ISNUMBER(SEARCH("Mycobacterial",Pathogens!C26)),3,IF(ISNUMBER(SEARCH("Helminth",Pathogens!C26)),3,IF(ISNUMBER(SEARCH("Respiratory",Pathogens!C26)),4,3)))))))</f>
        <v>3</v>
      </c>
      <c r="O29" s="62">
        <f>IF(ISNUMBER(SEARCH("AMR",Pathogens!C26)),5,IF(ISNUMBER(SEARCH("Mycobacterial",Pathogens!C26)),4,IF(ISNUMBER(SEARCH("Enteric bacterial",Pathogens!C26)),3,IF(ISNUMBER(SEARCH("Bacterial",Pathogens!C26)),3,1))))</f>
        <v>1</v>
      </c>
      <c r="P2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29" s="62">
        <f>(6-Pathogens!X26)</f>
        <v>3</v>
      </c>
      <c r="R29" s="62">
        <f>ROUND(MIN(5,MAX(1,0.35*IF(Pathogens!R26=1,5,IF(Pathogens!R26=2,3,1))+0.2*IF(Pathogens!S26=1,5,IF(Pathogens!S26=2,3,1))+0.25*IF(Pathogens!W26=1,IF(VLOOKUP(D$4,Countries!$B$2:$AN$55,38,FALSE)&gt;=3,5,IF(VLOOKUP(D$4,Countries!$B$2:$AN$55,38,FALSE)=2,4,IF(VLOOKUP(D$4,Countries!$B$2:$AN$55,38,FALSE)=1,2,1))),5)+0.2*IF(VLOOKUP(D$4,Countries!$B$2:$AN$55,24,FALSE)&gt;=50,5,IF(VLOOKUP(D$4,Countries!$B$2:$AN$55,24,FALSE)&gt;=25,4,IF(VLOOKUP(D$4,Countries!$B$2:$AN$55,24,FALSE)&gt;=10,3,IF(VLOOKUP(D$4,Countries!$B$2:$AN$55,24,FALSE)&gt;=5,2,1)))))),0)</f>
        <v>5</v>
      </c>
      <c r="S29" s="62" t="str">
        <f>IFERROR(INDEX(Endemicity!$C$2:$BN$55,MATCH(D$4,Endemicity!$B$2:$B$55,0),MATCH($A29,Endemicity!$C$1:$BN$1,0)),"Sporadic")</f>
        <v>Endemic</v>
      </c>
      <c r="T29" s="62">
        <f>IF(Settings!$B$48="ON",IFERROR(MATCH($S29,Settings!$B$35:$F$35,0),5),5)</f>
        <v>1</v>
      </c>
      <c r="U29" s="62">
        <f>ROUND(MIN(5,IF(Pathogens!I26&gt;=500,5,IF(Pathogens!I26&gt;=200,4,IF(Pathogens!I26&gt;=50,3,IF(Pathogens!I26&gt;=10,2,1))))*0.5+IF(Pathogens!J26&gt;=30,5,IF(Pathogens!J26&gt;=10,4,IF(Pathogens!J26&gt;=3,3,IF(Pathogens!J26&gt;=1,2,1))))*0.4+IF(AND(VLOOKUP(E$4,Countries!$B$2:$AN$55,4,FALSE)&gt;=80,Pathogens!N26&gt;=0.5),1,0)*0.1+IF(VLOOKUP(E$4,Countries!$B$2:$AN$55,7,FALSE)&lt;50,0.3,0)),0)</f>
        <v>3</v>
      </c>
      <c r="V29" s="62">
        <f>ROUND(MIN(5,IF(Pathogens!K26&gt;=8,5,IF(Pathogens!K26&gt;=5,4,IF(Pathogens!K26&gt;=3,3,IF(Pathogens!K26&gt;=1,2,1))))*0.5+IF(Pathogens!L26&gt;=5,5,IF(Pathogens!L26&gt;=3,4,IF(Pathogens!L26&gt;=2,3,IF(Pathogens!L26&gt;=1.2,2,1))))*0.3+IF(Pathogens!M26=1,2,0)*0.2+IF(VLOOKUP(E$4,Countries!$B$2:$AN$55,12,FALSE)&gt;=2,0.5,0)),0)</f>
        <v>4</v>
      </c>
      <c r="W29" s="62">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c r="X29" s="62">
        <f>ROUND(MAX(1,MIN(5,(6-VLOOKUP(E$4,Countries!$B$2:$AN$55,10,FALSE))*0.5+(6-VLOOKUP(E$4,Countries!$B$2:$AN$55,11,FALSE))*0.4+(IF(AND(Pathogens!N26&gt;=0.5,VLOOKUP(E$4,Countries!$B$2:$AN$55,5,FALSE)&lt;60),5,IF(Pathogens!N26&gt;=0.5,4,IF(Pathogens!N26&gt;=0.3,3,IF(Pathogens!N26&gt;=0.1,2,1)))))*0.1)),0)</f>
        <v>3</v>
      </c>
      <c r="Y29" s="62">
        <f>IF(ISNUMBER(SEARCH("Vaccine-preventable",Pathogens!C26)),2,IF(ISNUMBER(SEARCH("AMR",Pathogens!C26)),5,IF(ISNUMBER(SEARCH("VHF",Pathogens!C26)),4,IF(ISNUMBER(SEARCH("Emerging",Pathogens!C26)),5,IF(ISNUMBER(SEARCH("Mycobacterial",Pathogens!C26)),3,IF(ISNUMBER(SEARCH("Helminth",Pathogens!C26)),3,IF(ISNUMBER(SEARCH("Respiratory",Pathogens!C26)),4,3)))))))</f>
        <v>3</v>
      </c>
      <c r="Z29" s="62">
        <f>IF(ISNUMBER(SEARCH("AMR",Pathogens!C26)),5,IF(ISNUMBER(SEARCH("Mycobacterial",Pathogens!C26)),4,IF(ISNUMBER(SEARCH("Enteric bacterial",Pathogens!C26)),3,IF(ISNUMBER(SEARCH("Bacterial",Pathogens!C26)),3,1))))</f>
        <v>1</v>
      </c>
      <c r="AA2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29" s="62">
        <f>(6-Pathogens!X26)</f>
        <v>3</v>
      </c>
      <c r="AC29" s="62">
        <f>ROUND(MIN(5,MAX(1,0.35*IF(Pathogens!R26=1,5,IF(Pathogens!R26=2,3,1))+0.2*IF(Pathogens!S26=1,5,IF(Pathogens!S26=2,3,1))+0.25*IF(Pathogens!W26=1,IF(VLOOKUP(E$4,Countries!$B$2:$AN$55,38,FALSE)&gt;=3,5,IF(VLOOKUP(E$4,Countries!$B$2:$AN$55,38,FALSE)=2,4,IF(VLOOKUP(E$4,Countries!$B$2:$AN$55,38,FALSE)=1,2,1))),5)+0.2*IF(VLOOKUP(E$4,Countries!$B$2:$AN$55,24,FALSE)&gt;=50,5,IF(VLOOKUP(E$4,Countries!$B$2:$AN$55,24,FALSE)&gt;=25,4,IF(VLOOKUP(E$4,Countries!$B$2:$AN$55,24,FALSE)&gt;=10,3,IF(VLOOKUP(E$4,Countries!$B$2:$AN$55,24,FALSE)&gt;=5,2,1)))))),0)</f>
        <v>4</v>
      </c>
      <c r="AD29" s="62" t="str">
        <f>IFERROR(INDEX(Endemicity!$C$2:$BN$55,MATCH(E$4,Endemicity!$B$2:$B$55,0),MATCH($A29,Endemicity!$C$1:$BN$1,0)),"Sporadic")</f>
        <v>Endemic</v>
      </c>
      <c r="AE29" s="62">
        <f>IF(Settings!$B$48="ON",IFERROR(MATCH($AD29,Settings!$B$35:$F$35,0),5),5)</f>
        <v>1</v>
      </c>
      <c r="AF29" s="62">
        <f>ROUND(MIN(5,IF(Pathogens!I26&gt;=500,5,IF(Pathogens!I26&gt;=200,4,IF(Pathogens!I26&gt;=50,3,IF(Pathogens!I26&gt;=10,2,1))))*0.5+IF(Pathogens!J26&gt;=30,5,IF(Pathogens!J26&gt;=10,4,IF(Pathogens!J26&gt;=3,3,IF(Pathogens!J26&gt;=1,2,1))))*0.4+IF(AND(VLOOKUP(F$4,Countries!$B$2:$AN$55,4,FALSE)&gt;=80,Pathogens!N26&gt;=0.5),1,0)*0.1+IF(VLOOKUP(F$4,Countries!$B$2:$AN$55,7,FALSE)&lt;50,0.3,0)),0)</f>
        <v>3</v>
      </c>
      <c r="AG29" s="62">
        <f>ROUND(MIN(5,IF(Pathogens!K26&gt;=8,5,IF(Pathogens!K26&gt;=5,4,IF(Pathogens!K26&gt;=3,3,IF(Pathogens!K26&gt;=1,2,1))))*0.5+IF(Pathogens!L26&gt;=5,5,IF(Pathogens!L26&gt;=3,4,IF(Pathogens!L26&gt;=2,3,IF(Pathogens!L26&gt;=1.2,2,1))))*0.3+IF(Pathogens!M26=1,2,0)*0.2+IF(VLOOKUP(F$4,Countries!$B$2:$AN$55,12,FALSE)&gt;=2,0.5,0)),0)</f>
        <v>4</v>
      </c>
      <c r="AH29" s="62">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c r="AI29" s="62">
        <f>ROUND(MAX(1,MIN(5,(6-VLOOKUP(F$4,Countries!$B$2:$AN$55,10,FALSE))*0.5+(6-VLOOKUP(F$4,Countries!$B$2:$AN$55,11,FALSE))*0.4+(IF(AND(Pathogens!N26&gt;=0.5,VLOOKUP(F$4,Countries!$B$2:$AN$55,5,FALSE)&lt;60),5,IF(Pathogens!N26&gt;=0.5,4,IF(Pathogens!N26&gt;=0.3,3,IF(Pathogens!N26&gt;=0.1,2,1)))))*0.1)),0)</f>
        <v>2</v>
      </c>
      <c r="AJ29" s="62">
        <f>IF(ISNUMBER(SEARCH("Vaccine-preventable",Pathogens!C26)),2,IF(ISNUMBER(SEARCH("AMR",Pathogens!C26)),5,IF(ISNUMBER(SEARCH("VHF",Pathogens!C26)),4,IF(ISNUMBER(SEARCH("Emerging",Pathogens!C26)),5,IF(ISNUMBER(SEARCH("Mycobacterial",Pathogens!C26)),3,IF(ISNUMBER(SEARCH("Helminth",Pathogens!C26)),3,IF(ISNUMBER(SEARCH("Respiratory",Pathogens!C26)),4,3)))))))</f>
        <v>3</v>
      </c>
      <c r="AK29" s="62">
        <f>IF(ISNUMBER(SEARCH("AMR",Pathogens!C26)),5,IF(ISNUMBER(SEARCH("Mycobacterial",Pathogens!C26)),4,IF(ISNUMBER(SEARCH("Enteric bacterial",Pathogens!C26)),3,IF(ISNUMBER(SEARCH("Bacterial",Pathogens!C26)),3,1))))</f>
        <v>1</v>
      </c>
      <c r="AL2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29" s="62">
        <f>(6-Pathogens!X26)</f>
        <v>3</v>
      </c>
      <c r="AN29" s="62">
        <f>ROUND(MIN(5,MAX(1,0.35*IF(Pathogens!R26=1,5,IF(Pathogens!R26=2,3,1))+0.2*IF(Pathogens!S26=1,5,IF(Pathogens!S26=2,3,1))+0.25*IF(Pathogens!W26=1,IF(VLOOKUP(F$4,Countries!$B$2:$AN$55,38,FALSE)&gt;=3,5,IF(VLOOKUP(F$4,Countries!$B$2:$AN$55,38,FALSE)=2,4,IF(VLOOKUP(F$4,Countries!$B$2:$AN$55,38,FALSE)=1,2,1))),5)+0.2*IF(VLOOKUP(F$4,Countries!$B$2:$AN$55,24,FALSE)&gt;=50,5,IF(VLOOKUP(F$4,Countries!$B$2:$AN$55,24,FALSE)&gt;=25,4,IF(VLOOKUP(F$4,Countries!$B$2:$AN$55,24,FALSE)&gt;=10,3,IF(VLOOKUP(F$4,Countries!$B$2:$AN$55,24,FALSE)&gt;=5,2,1)))))),0)</f>
        <v>4</v>
      </c>
      <c r="AO29" s="62" t="str">
        <f>IFERROR(INDEX(Endemicity!$C$2:$BN$55,MATCH(F$4,Endemicity!$B$2:$B$55,0),MATCH($A29,Endemicity!$C$1:$BN$1,0)),"Sporadic")</f>
        <v>Endemic</v>
      </c>
      <c r="AP29" s="62">
        <f>IF(Settings!$B$48="ON",IFERROR(MATCH($AO29,Settings!$B$35:$F$35,0),5),5)</f>
        <v>1</v>
      </c>
      <c r="AQ29" s="62">
        <f>ROUND(MIN(5,IF(Pathogens!I26&gt;=500,5,IF(Pathogens!I26&gt;=200,4,IF(Pathogens!I26&gt;=50,3,IF(Pathogens!I26&gt;=10,2,1))))*0.5+IF(Pathogens!J26&gt;=30,5,IF(Pathogens!J26&gt;=10,4,IF(Pathogens!J26&gt;=3,3,IF(Pathogens!J26&gt;=1,2,1))))*0.4+IF(AND(VLOOKUP(G$4,Countries!$B$2:$AN$55,4,FALSE)&gt;=80,Pathogens!N26&gt;=0.5),1,0)*0.1+IF(VLOOKUP(G$4,Countries!$B$2:$AN$55,7,FALSE)&lt;50,0.3,0)),0)</f>
        <v>3</v>
      </c>
      <c r="AR29" s="62">
        <f>ROUND(MIN(5,IF(Pathogens!K26&gt;=8,5,IF(Pathogens!K26&gt;=5,4,IF(Pathogens!K26&gt;=3,3,IF(Pathogens!K26&gt;=1,2,1))))*0.5+IF(Pathogens!L26&gt;=5,5,IF(Pathogens!L26&gt;=3,4,IF(Pathogens!L26&gt;=2,3,IF(Pathogens!L26&gt;=1.2,2,1))))*0.3+IF(Pathogens!M26=1,2,0)*0.2+IF(VLOOKUP(G$4,Countries!$B$2:$AN$55,12,FALSE)&gt;=2,0.5,0)),0)</f>
        <v>4</v>
      </c>
      <c r="AS29" s="62">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c r="AT29" s="62">
        <f>ROUND(MAX(1,MIN(5,(6-VLOOKUP(G$4,Countries!$B$2:$AN$55,10,FALSE))*0.5+(6-VLOOKUP(G$4,Countries!$B$2:$AN$55,11,FALSE))*0.4+(IF(AND(Pathogens!N26&gt;=0.5,VLOOKUP(G$4,Countries!$B$2:$AN$55,5,FALSE)&lt;60),5,IF(Pathogens!N26&gt;=0.5,4,IF(Pathogens!N26&gt;=0.3,3,IF(Pathogens!N26&gt;=0.1,2,1)))))*0.1)),0)</f>
        <v>2</v>
      </c>
      <c r="AU29" s="62">
        <f>IF(ISNUMBER(SEARCH("Vaccine-preventable",Pathogens!C26)),2,IF(ISNUMBER(SEARCH("AMR",Pathogens!C26)),5,IF(ISNUMBER(SEARCH("VHF",Pathogens!C26)),4,IF(ISNUMBER(SEARCH("Emerging",Pathogens!C26)),5,IF(ISNUMBER(SEARCH("Mycobacterial",Pathogens!C26)),3,IF(ISNUMBER(SEARCH("Helminth",Pathogens!C26)),3,IF(ISNUMBER(SEARCH("Respiratory",Pathogens!C26)),4,3)))))))</f>
        <v>3</v>
      </c>
      <c r="AV29" s="62">
        <f>IF(ISNUMBER(SEARCH("AMR",Pathogens!C26)),5,IF(ISNUMBER(SEARCH("Mycobacterial",Pathogens!C26)),4,IF(ISNUMBER(SEARCH("Enteric bacterial",Pathogens!C26)),3,IF(ISNUMBER(SEARCH("Bacterial",Pathogens!C26)),3,1))))</f>
        <v>1</v>
      </c>
      <c r="AW2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29" s="62">
        <f>(6-Pathogens!X26)</f>
        <v>3</v>
      </c>
      <c r="AY29" s="62">
        <f>ROUND(MIN(5,MAX(1,0.35*IF(Pathogens!R26=1,5,IF(Pathogens!R26=2,3,1))+0.2*IF(Pathogens!S26=1,5,IF(Pathogens!S26=2,3,1))+0.25*IF(Pathogens!W26=1,IF(VLOOKUP(G$4,Countries!$B$2:$AN$55,38,FALSE)&gt;=3,5,IF(VLOOKUP(G$4,Countries!$B$2:$AN$55,38,FALSE)=2,4,IF(VLOOKUP(G$4,Countries!$B$2:$AN$55,38,FALSE)=1,2,1))),5)+0.2*IF(VLOOKUP(G$4,Countries!$B$2:$AN$55,24,FALSE)&gt;=50,5,IF(VLOOKUP(G$4,Countries!$B$2:$AN$55,24,FALSE)&gt;=25,4,IF(VLOOKUP(G$4,Countries!$B$2:$AN$55,24,FALSE)&gt;=10,3,IF(VLOOKUP(G$4,Countries!$B$2:$AN$55,24,FALSE)&gt;=5,2,1)))))),0)</f>
        <v>4</v>
      </c>
      <c r="AZ29" s="62" t="str">
        <f>IFERROR(INDEX(Endemicity!$C$2:$BN$55,MATCH(G$4,Endemicity!$B$2:$B$55,0),MATCH($A29,Endemicity!$C$1:$BN$1,0)),"Sporadic")</f>
        <v>Endemic</v>
      </c>
      <c r="BA29" s="62">
        <f>IF(Settings!$B$48="ON",IFERROR(MATCH($AZ29,Settings!$B$35:$F$35,0),5),5)</f>
        <v>1</v>
      </c>
    </row>
    <row r="30" customHeight="1" spans="1:53">
      <c r="A30" s="61" t="str">
        <f>Calculator!A59</f>
        <v>SAPO</v>
      </c>
      <c r="B30" s="61" t="str">
        <f>Calculator!B59</f>
        <v>Sapovirus</v>
      </c>
      <c r="C30" s="61" t="str">
        <f>Calculator!C59</f>
        <v>Enteric viral</v>
      </c>
      <c r="D30" s="52">
        <f>IFERROR(ROUND(MIN(100,(($J30)*Settings!$C$23*INDEX(Settings!$B$36:$F$44,1,$T30)+($K30)*Settings!$C$24*INDEX(Settings!$B$36:$F$44,2,$T30)+($L30)*Settings!$C$25*INDEX(Settings!$B$36:$F$44,3,$T30)+($M30)*Settings!$C$26*INDEX(Settings!$B$36:$F$44,4,$T30)+($N30)*Settings!$C$27*INDEX(Settings!$B$36:$F$44,5,$T30)+($O30)*Settings!$C$28*INDEX(Settings!$B$36:$F$44,6,$T30)+($P30)*Settings!$C$29*INDEX(Settings!$B$36:$F$44,7,$T30)+($Q30)*Settings!$C$30*INDEX(Settings!$B$36:$F$44,8,$T30)+($R30)*Settings!$C$31*INDEX(Settings!$B$36:$F$44,9,$T30))/INDEX(Settings!$B$45:$F$45,1,$T30)/5*100*IF($S30="Not present",Settings!$B$51,1)),1),"")</f>
        <v>59.2</v>
      </c>
      <c r="E30" s="52">
        <f>IFERROR(ROUND(MIN(100,(($U30)*Settings!$C$23*INDEX(Settings!$B$36:$F$44,1,$AE30)+($V30)*Settings!$C$24*INDEX(Settings!$B$36:$F$44,2,$AE30)+($W30)*Settings!$C$25*INDEX(Settings!$B$36:$F$44,3,$AE30)+($X30)*Settings!$C$26*INDEX(Settings!$B$36:$F$44,4,$AE30)+($Y30)*Settings!$C$27*INDEX(Settings!$B$36:$F$44,5,$AE30)+($Z30)*Settings!$C$28*INDEX(Settings!$B$36:$F$44,6,$AE30)+($AA30)*Settings!$C$29*INDEX(Settings!$B$36:$F$44,7,$AE30)+($AB30)*Settings!$C$30*INDEX(Settings!$B$36:$F$44,8,$AE30)+($AC30)*Settings!$C$31*INDEX(Settings!$B$36:$F$44,9,$AE30))/INDEX(Settings!$B$45:$F$45,1,$AE30)/5*100*IF($AD30="Not present",Settings!$B$51,1)),1),"")</f>
        <v>64.7</v>
      </c>
      <c r="F30" s="52">
        <f>IFERROR(ROUND(MIN(100,(($AF30)*Settings!$C$23*INDEX(Settings!$B$36:$F$44,1,$AP30)+($AG30)*Settings!$C$24*INDEX(Settings!$B$36:$F$44,2,$AP30)+($AH30)*Settings!$C$25*INDEX(Settings!$B$36:$F$44,3,$AP30)+($AI30)*Settings!$C$26*INDEX(Settings!$B$36:$F$44,4,$AP30)+($AJ30)*Settings!$C$27*INDEX(Settings!$B$36:$F$44,5,$AP30)+($AK30)*Settings!$C$28*INDEX(Settings!$B$36:$F$44,6,$AP30)+($AL30)*Settings!$C$29*INDEX(Settings!$B$36:$F$44,7,$AP30)+($AM30)*Settings!$C$30*INDEX(Settings!$B$36:$F$44,8,$AP30)+($AN30)*Settings!$C$31*INDEX(Settings!$B$36:$F$44,9,$AP30))/INDEX(Settings!$B$45:$F$45,1,$AP30)/5*100*IF($AO30="Not present",Settings!$B$51,1)),1),"")</f>
        <v>59.2</v>
      </c>
      <c r="G30" s="52">
        <f>IFERROR(ROUND(MIN(100,(($AQ30)*Settings!$C$23*INDEX(Settings!$B$36:$F$44,1,$BA30)+($AR30)*Settings!$C$24*INDEX(Settings!$B$36:$F$44,2,$BA30)+($AS30)*Settings!$C$25*INDEX(Settings!$B$36:$F$44,3,$BA30)+($AT30)*Settings!$C$26*INDEX(Settings!$B$36:$F$44,4,$BA30)+($AU30)*Settings!$C$27*INDEX(Settings!$B$36:$F$44,5,$BA30)+($AV30)*Settings!$C$28*INDEX(Settings!$B$36:$F$44,6,$BA30)+($AW30)*Settings!$C$29*INDEX(Settings!$B$36:$F$44,7,$BA30)+($AX30)*Settings!$C$30*INDEX(Settings!$B$36:$F$44,8,$BA30)+($AY30)*Settings!$C$31*INDEX(Settings!$B$36:$F$44,9,$BA30))/INDEX(Settings!$B$45:$F$45,1,$BA30)/5*100*IF($AZ30="Not present",Settings!$B$51,1)),1),"")</f>
        <v>61</v>
      </c>
      <c r="J30" s="62">
        <f>ROUND(MIN(5,IF(Pathogens!I27&gt;=500,5,IF(Pathogens!I27&gt;=200,4,IF(Pathogens!I27&gt;=50,3,IF(Pathogens!I27&gt;=10,2,1))))*0.5+IF(Pathogens!J27&gt;=30,5,IF(Pathogens!J27&gt;=10,4,IF(Pathogens!J27&gt;=3,3,IF(Pathogens!J27&gt;=1,2,1))))*0.4+IF(AND(VLOOKUP(D$4,Countries!$B$2:$AN$55,4,FALSE)&gt;=80,Pathogens!N27&gt;=0.5),1,0)*0.1+IF(VLOOKUP(D$4,Countries!$B$2:$AN$55,7,FALSE)&lt;50,0.3,0)),0)</f>
        <v>2</v>
      </c>
      <c r="K30" s="62">
        <f>ROUND(MIN(5,IF(Pathogens!K27&gt;=8,5,IF(Pathogens!K27&gt;=5,4,IF(Pathogens!K27&gt;=3,3,IF(Pathogens!K27&gt;=1,2,1))))*0.5+IF(Pathogens!L27&gt;=5,5,IF(Pathogens!L27&gt;=3,4,IF(Pathogens!L27&gt;=2,3,IF(Pathogens!L27&gt;=1.2,2,1))))*0.3+IF(Pathogens!M27=1,2,0)*0.2+IF(VLOOKUP(D$4,Countries!$B$2:$AN$55,12,FALSE)&gt;=2,0.5,0)),0)</f>
        <v>3</v>
      </c>
      <c r="L30" s="62">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c r="M30" s="62">
        <f>ROUND(MAX(1,MIN(5,(6-VLOOKUP(D$4,Countries!$B$2:$AN$55,10,FALSE))*0.5+(6-VLOOKUP(D$4,Countries!$B$2:$AN$55,11,FALSE))*0.4+(IF(AND(Pathogens!N27&gt;=0.5,VLOOKUP(D$4,Countries!$B$2:$AN$55,5,FALSE)&lt;60),5,IF(Pathogens!N27&gt;=0.5,4,IF(Pathogens!N27&gt;=0.3,3,IF(Pathogens!N27&gt;=0.1,2,1)))))*0.1)),0)</f>
        <v>2</v>
      </c>
      <c r="N30" s="62">
        <f>IF(ISNUMBER(SEARCH("Vaccine-preventable",Pathogens!C27)),2,IF(ISNUMBER(SEARCH("AMR",Pathogens!C27)),5,IF(ISNUMBER(SEARCH("VHF",Pathogens!C27)),4,IF(ISNUMBER(SEARCH("Emerging",Pathogens!C27)),5,IF(ISNUMBER(SEARCH("Mycobacterial",Pathogens!C27)),3,IF(ISNUMBER(SEARCH("Helminth",Pathogens!C27)),3,IF(ISNUMBER(SEARCH("Respiratory",Pathogens!C27)),4,3)))))))</f>
        <v>3</v>
      </c>
      <c r="O30" s="62">
        <f>IF(ISNUMBER(SEARCH("AMR",Pathogens!C27)),5,IF(ISNUMBER(SEARCH("Mycobacterial",Pathogens!C27)),4,IF(ISNUMBER(SEARCH("Enteric bacterial",Pathogens!C27)),3,IF(ISNUMBER(SEARCH("Bacterial",Pathogens!C27)),3,1))))</f>
        <v>1</v>
      </c>
      <c r="P3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0" s="62">
        <f>(6-Pathogens!X27)</f>
        <v>5</v>
      </c>
      <c r="R30" s="62">
        <f>ROUND(MIN(5,MAX(1,0.35*IF(Pathogens!R27=1,5,IF(Pathogens!R27=2,3,1))+0.2*IF(Pathogens!S27=1,5,IF(Pathogens!S27=2,3,1))+0.25*IF(Pathogens!W27=1,IF(VLOOKUP(D$4,Countries!$B$2:$AN$55,38,FALSE)&gt;=3,5,IF(VLOOKUP(D$4,Countries!$B$2:$AN$55,38,FALSE)=2,4,IF(VLOOKUP(D$4,Countries!$B$2:$AN$55,38,FALSE)=1,2,1))),5)+0.2*IF(VLOOKUP(D$4,Countries!$B$2:$AN$55,24,FALSE)&gt;=50,5,IF(VLOOKUP(D$4,Countries!$B$2:$AN$55,24,FALSE)&gt;=25,4,IF(VLOOKUP(D$4,Countries!$B$2:$AN$55,24,FALSE)&gt;=10,3,IF(VLOOKUP(D$4,Countries!$B$2:$AN$55,24,FALSE)&gt;=5,2,1)))))),0)</f>
        <v>4</v>
      </c>
      <c r="S30" s="62" t="str">
        <f>IFERROR(INDEX(Endemicity!$C$2:$BN$55,MATCH(D$4,Endemicity!$B$2:$B$55,0),MATCH($A30,Endemicity!$C$1:$BN$1,0)),"Sporadic")</f>
        <v>Endemic</v>
      </c>
      <c r="T30" s="62">
        <f>IF(Settings!$B$48="ON",IFERROR(MATCH($S30,Settings!$B$35:$F$35,0),5),5)</f>
        <v>1</v>
      </c>
      <c r="U30" s="62">
        <f>ROUND(MIN(5,IF(Pathogens!I27&gt;=500,5,IF(Pathogens!I27&gt;=200,4,IF(Pathogens!I27&gt;=50,3,IF(Pathogens!I27&gt;=10,2,1))))*0.5+IF(Pathogens!J27&gt;=30,5,IF(Pathogens!J27&gt;=10,4,IF(Pathogens!J27&gt;=3,3,IF(Pathogens!J27&gt;=1,2,1))))*0.4+IF(AND(VLOOKUP(E$4,Countries!$B$2:$AN$55,4,FALSE)&gt;=80,Pathogens!N27&gt;=0.5),1,0)*0.1+IF(VLOOKUP(E$4,Countries!$B$2:$AN$55,7,FALSE)&lt;50,0.3,0)),0)</f>
        <v>2</v>
      </c>
      <c r="V30" s="62">
        <f>ROUND(MIN(5,IF(Pathogens!K27&gt;=8,5,IF(Pathogens!K27&gt;=5,4,IF(Pathogens!K27&gt;=3,3,IF(Pathogens!K27&gt;=1,2,1))))*0.5+IF(Pathogens!L27&gt;=5,5,IF(Pathogens!L27&gt;=3,4,IF(Pathogens!L27&gt;=2,3,IF(Pathogens!L27&gt;=1.2,2,1))))*0.3+IF(Pathogens!M27=1,2,0)*0.2+IF(VLOOKUP(E$4,Countries!$B$2:$AN$55,12,FALSE)&gt;=2,0.5,0)),0)</f>
        <v>3</v>
      </c>
      <c r="W30" s="62">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c r="X30" s="62">
        <f>ROUND(MAX(1,MIN(5,(6-VLOOKUP(E$4,Countries!$B$2:$AN$55,10,FALSE))*0.5+(6-VLOOKUP(E$4,Countries!$B$2:$AN$55,11,FALSE))*0.4+(IF(AND(Pathogens!N27&gt;=0.5,VLOOKUP(E$4,Countries!$B$2:$AN$55,5,FALSE)&lt;60),5,IF(Pathogens!N27&gt;=0.5,4,IF(Pathogens!N27&gt;=0.3,3,IF(Pathogens!N27&gt;=0.1,2,1)))))*0.1)),0)</f>
        <v>3</v>
      </c>
      <c r="Y30" s="62">
        <f>IF(ISNUMBER(SEARCH("Vaccine-preventable",Pathogens!C27)),2,IF(ISNUMBER(SEARCH("AMR",Pathogens!C27)),5,IF(ISNUMBER(SEARCH("VHF",Pathogens!C27)),4,IF(ISNUMBER(SEARCH("Emerging",Pathogens!C27)),5,IF(ISNUMBER(SEARCH("Mycobacterial",Pathogens!C27)),3,IF(ISNUMBER(SEARCH("Helminth",Pathogens!C27)),3,IF(ISNUMBER(SEARCH("Respiratory",Pathogens!C27)),4,3)))))))</f>
        <v>3</v>
      </c>
      <c r="Z30" s="62">
        <f>IF(ISNUMBER(SEARCH("AMR",Pathogens!C27)),5,IF(ISNUMBER(SEARCH("Mycobacterial",Pathogens!C27)),4,IF(ISNUMBER(SEARCH("Enteric bacterial",Pathogens!C27)),3,IF(ISNUMBER(SEARCH("Bacterial",Pathogens!C27)),3,1))))</f>
        <v>1</v>
      </c>
      <c r="AA3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0" s="62">
        <f>(6-Pathogens!X27)</f>
        <v>5</v>
      </c>
      <c r="AC30" s="62">
        <f>ROUND(MIN(5,MAX(1,0.35*IF(Pathogens!R27=1,5,IF(Pathogens!R27=2,3,1))+0.2*IF(Pathogens!S27=1,5,IF(Pathogens!S27=2,3,1))+0.25*IF(Pathogens!W27=1,IF(VLOOKUP(E$4,Countries!$B$2:$AN$55,38,FALSE)&gt;=3,5,IF(VLOOKUP(E$4,Countries!$B$2:$AN$55,38,FALSE)=2,4,IF(VLOOKUP(E$4,Countries!$B$2:$AN$55,38,FALSE)=1,2,1))),5)+0.2*IF(VLOOKUP(E$4,Countries!$B$2:$AN$55,24,FALSE)&gt;=50,5,IF(VLOOKUP(E$4,Countries!$B$2:$AN$55,24,FALSE)&gt;=25,4,IF(VLOOKUP(E$4,Countries!$B$2:$AN$55,24,FALSE)&gt;=10,3,IF(VLOOKUP(E$4,Countries!$B$2:$AN$55,24,FALSE)&gt;=5,2,1)))))),0)</f>
        <v>4</v>
      </c>
      <c r="AD30" s="62" t="str">
        <f>IFERROR(INDEX(Endemicity!$C$2:$BN$55,MATCH(E$4,Endemicity!$B$2:$B$55,0),MATCH($A30,Endemicity!$C$1:$BN$1,0)),"Sporadic")</f>
        <v>Endemic</v>
      </c>
      <c r="AE30" s="62">
        <f>IF(Settings!$B$48="ON",IFERROR(MATCH($AD30,Settings!$B$35:$F$35,0),5),5)</f>
        <v>1</v>
      </c>
      <c r="AF30" s="62">
        <f>ROUND(MIN(5,IF(Pathogens!I27&gt;=500,5,IF(Pathogens!I27&gt;=200,4,IF(Pathogens!I27&gt;=50,3,IF(Pathogens!I27&gt;=10,2,1))))*0.5+IF(Pathogens!J27&gt;=30,5,IF(Pathogens!J27&gt;=10,4,IF(Pathogens!J27&gt;=3,3,IF(Pathogens!J27&gt;=1,2,1))))*0.4+IF(AND(VLOOKUP(F$4,Countries!$B$2:$AN$55,4,FALSE)&gt;=80,Pathogens!N27&gt;=0.5),1,0)*0.1+IF(VLOOKUP(F$4,Countries!$B$2:$AN$55,7,FALSE)&lt;50,0.3,0)),0)</f>
        <v>2</v>
      </c>
      <c r="AG30" s="62">
        <f>ROUND(MIN(5,IF(Pathogens!K27&gt;=8,5,IF(Pathogens!K27&gt;=5,4,IF(Pathogens!K27&gt;=3,3,IF(Pathogens!K27&gt;=1,2,1))))*0.5+IF(Pathogens!L27&gt;=5,5,IF(Pathogens!L27&gt;=3,4,IF(Pathogens!L27&gt;=2,3,IF(Pathogens!L27&gt;=1.2,2,1))))*0.3+IF(Pathogens!M27=1,2,0)*0.2+IF(VLOOKUP(F$4,Countries!$B$2:$AN$55,12,FALSE)&gt;=2,0.5,0)),0)</f>
        <v>3</v>
      </c>
      <c r="AH30" s="62">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c r="AI30" s="62">
        <f>ROUND(MAX(1,MIN(5,(6-VLOOKUP(F$4,Countries!$B$2:$AN$55,10,FALSE))*0.5+(6-VLOOKUP(F$4,Countries!$B$2:$AN$55,11,FALSE))*0.4+(IF(AND(Pathogens!N27&gt;=0.5,VLOOKUP(F$4,Countries!$B$2:$AN$55,5,FALSE)&lt;60),5,IF(Pathogens!N27&gt;=0.5,4,IF(Pathogens!N27&gt;=0.3,3,IF(Pathogens!N27&gt;=0.1,2,1)))))*0.1)),0)</f>
        <v>2</v>
      </c>
      <c r="AJ30" s="62">
        <f>IF(ISNUMBER(SEARCH("Vaccine-preventable",Pathogens!C27)),2,IF(ISNUMBER(SEARCH("AMR",Pathogens!C27)),5,IF(ISNUMBER(SEARCH("VHF",Pathogens!C27)),4,IF(ISNUMBER(SEARCH("Emerging",Pathogens!C27)),5,IF(ISNUMBER(SEARCH("Mycobacterial",Pathogens!C27)),3,IF(ISNUMBER(SEARCH("Helminth",Pathogens!C27)),3,IF(ISNUMBER(SEARCH("Respiratory",Pathogens!C27)),4,3)))))))</f>
        <v>3</v>
      </c>
      <c r="AK30" s="62">
        <f>IF(ISNUMBER(SEARCH("AMR",Pathogens!C27)),5,IF(ISNUMBER(SEARCH("Mycobacterial",Pathogens!C27)),4,IF(ISNUMBER(SEARCH("Enteric bacterial",Pathogens!C27)),3,IF(ISNUMBER(SEARCH("Bacterial",Pathogens!C27)),3,1))))</f>
        <v>1</v>
      </c>
      <c r="AL3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0" s="62">
        <f>(6-Pathogens!X27)</f>
        <v>5</v>
      </c>
      <c r="AN30" s="62">
        <f>ROUND(MIN(5,MAX(1,0.35*IF(Pathogens!R27=1,5,IF(Pathogens!R27=2,3,1))+0.2*IF(Pathogens!S27=1,5,IF(Pathogens!S27=2,3,1))+0.25*IF(Pathogens!W27=1,IF(VLOOKUP(F$4,Countries!$B$2:$AN$55,38,FALSE)&gt;=3,5,IF(VLOOKUP(F$4,Countries!$B$2:$AN$55,38,FALSE)=2,4,IF(VLOOKUP(F$4,Countries!$B$2:$AN$55,38,FALSE)=1,2,1))),5)+0.2*IF(VLOOKUP(F$4,Countries!$B$2:$AN$55,24,FALSE)&gt;=50,5,IF(VLOOKUP(F$4,Countries!$B$2:$AN$55,24,FALSE)&gt;=25,4,IF(VLOOKUP(F$4,Countries!$B$2:$AN$55,24,FALSE)&gt;=10,3,IF(VLOOKUP(F$4,Countries!$B$2:$AN$55,24,FALSE)&gt;=5,2,1)))))),0)</f>
        <v>4</v>
      </c>
      <c r="AO30" s="62" t="str">
        <f>IFERROR(INDEX(Endemicity!$C$2:$BN$55,MATCH(F$4,Endemicity!$B$2:$B$55,0),MATCH($A30,Endemicity!$C$1:$BN$1,0)),"Sporadic")</f>
        <v>Endemic</v>
      </c>
      <c r="AP30" s="62">
        <f>IF(Settings!$B$48="ON",IFERROR(MATCH($AO30,Settings!$B$35:$F$35,0),5),5)</f>
        <v>1</v>
      </c>
      <c r="AQ30" s="62">
        <f>ROUND(MIN(5,IF(Pathogens!I27&gt;=500,5,IF(Pathogens!I27&gt;=200,4,IF(Pathogens!I27&gt;=50,3,IF(Pathogens!I27&gt;=10,2,1))))*0.5+IF(Pathogens!J27&gt;=30,5,IF(Pathogens!J27&gt;=10,4,IF(Pathogens!J27&gt;=3,3,IF(Pathogens!J27&gt;=1,2,1))))*0.4+IF(AND(VLOOKUP(G$4,Countries!$B$2:$AN$55,4,FALSE)&gt;=80,Pathogens!N27&gt;=0.5),1,0)*0.1+IF(VLOOKUP(G$4,Countries!$B$2:$AN$55,7,FALSE)&lt;50,0.3,0)),0)</f>
        <v>2</v>
      </c>
      <c r="AR30" s="62">
        <f>ROUND(MIN(5,IF(Pathogens!K27&gt;=8,5,IF(Pathogens!K27&gt;=5,4,IF(Pathogens!K27&gt;=3,3,IF(Pathogens!K27&gt;=1,2,1))))*0.5+IF(Pathogens!L27&gt;=5,5,IF(Pathogens!L27&gt;=3,4,IF(Pathogens!L27&gt;=2,3,IF(Pathogens!L27&gt;=1.2,2,1))))*0.3+IF(Pathogens!M27=1,2,0)*0.2+IF(VLOOKUP(G$4,Countries!$B$2:$AN$55,12,FALSE)&gt;=2,0.5,0)),0)</f>
        <v>3</v>
      </c>
      <c r="AS30" s="62">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c r="AT30" s="62">
        <f>ROUND(MAX(1,MIN(5,(6-VLOOKUP(G$4,Countries!$B$2:$AN$55,10,FALSE))*0.5+(6-VLOOKUP(G$4,Countries!$B$2:$AN$55,11,FALSE))*0.4+(IF(AND(Pathogens!N27&gt;=0.5,VLOOKUP(G$4,Countries!$B$2:$AN$55,5,FALSE)&lt;60),5,IF(Pathogens!N27&gt;=0.5,4,IF(Pathogens!N27&gt;=0.3,3,IF(Pathogens!N27&gt;=0.1,2,1)))))*0.1)),0)</f>
        <v>2</v>
      </c>
      <c r="AU30" s="62">
        <f>IF(ISNUMBER(SEARCH("Vaccine-preventable",Pathogens!C27)),2,IF(ISNUMBER(SEARCH("AMR",Pathogens!C27)),5,IF(ISNUMBER(SEARCH("VHF",Pathogens!C27)),4,IF(ISNUMBER(SEARCH("Emerging",Pathogens!C27)),5,IF(ISNUMBER(SEARCH("Mycobacterial",Pathogens!C27)),3,IF(ISNUMBER(SEARCH("Helminth",Pathogens!C27)),3,IF(ISNUMBER(SEARCH("Respiratory",Pathogens!C27)),4,3)))))))</f>
        <v>3</v>
      </c>
      <c r="AV30" s="62">
        <f>IF(ISNUMBER(SEARCH("AMR",Pathogens!C27)),5,IF(ISNUMBER(SEARCH("Mycobacterial",Pathogens!C27)),4,IF(ISNUMBER(SEARCH("Enteric bacterial",Pathogens!C27)),3,IF(ISNUMBER(SEARCH("Bacterial",Pathogens!C27)),3,1))))</f>
        <v>1</v>
      </c>
      <c r="AW3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0" s="62">
        <f>(6-Pathogens!X27)</f>
        <v>5</v>
      </c>
      <c r="AY30" s="62">
        <f>ROUND(MIN(5,MAX(1,0.35*IF(Pathogens!R27=1,5,IF(Pathogens!R27=2,3,1))+0.2*IF(Pathogens!S27=1,5,IF(Pathogens!S27=2,3,1))+0.25*IF(Pathogens!W27=1,IF(VLOOKUP(G$4,Countries!$B$2:$AN$55,38,FALSE)&gt;=3,5,IF(VLOOKUP(G$4,Countries!$B$2:$AN$55,38,FALSE)=2,4,IF(VLOOKUP(G$4,Countries!$B$2:$AN$55,38,FALSE)=1,2,1))),5)+0.2*IF(VLOOKUP(G$4,Countries!$B$2:$AN$55,24,FALSE)&gt;=50,5,IF(VLOOKUP(G$4,Countries!$B$2:$AN$55,24,FALSE)&gt;=25,4,IF(VLOOKUP(G$4,Countries!$B$2:$AN$55,24,FALSE)&gt;=10,3,IF(VLOOKUP(G$4,Countries!$B$2:$AN$55,24,FALSE)&gt;=5,2,1)))))),0)</f>
        <v>4</v>
      </c>
      <c r="AZ30" s="62" t="str">
        <f>IFERROR(INDEX(Endemicity!$C$2:$BN$55,MATCH(G$4,Endemicity!$B$2:$B$55,0),MATCH($A30,Endemicity!$C$1:$BN$1,0)),"Sporadic")</f>
        <v>Endemic</v>
      </c>
      <c r="BA30" s="62">
        <f>IF(Settings!$B$48="ON",IFERROR(MATCH($AZ30,Settings!$B$35:$F$35,0),5),5)</f>
        <v>1</v>
      </c>
    </row>
    <row r="31" customHeight="1" spans="1:53">
      <c r="A31" s="61" t="str">
        <f>Calculator!A60</f>
        <v>ASTRO</v>
      </c>
      <c r="B31" s="61" t="str">
        <f>Calculator!B60</f>
        <v>Astrovirus</v>
      </c>
      <c r="C31" s="61" t="str">
        <f>Calculator!C60</f>
        <v>Enteric viral</v>
      </c>
      <c r="D31" s="52">
        <f>IFERROR(ROUND(MIN(100,(($J31)*Settings!$C$23*INDEX(Settings!$B$36:$F$44,1,$T31)+($K31)*Settings!$C$24*INDEX(Settings!$B$36:$F$44,2,$T31)+($L31)*Settings!$C$25*INDEX(Settings!$B$36:$F$44,3,$T31)+($M31)*Settings!$C$26*INDEX(Settings!$B$36:$F$44,4,$T31)+($N31)*Settings!$C$27*INDEX(Settings!$B$36:$F$44,5,$T31)+($O31)*Settings!$C$28*INDEX(Settings!$B$36:$F$44,6,$T31)+($P31)*Settings!$C$29*INDEX(Settings!$B$36:$F$44,7,$T31)+($Q31)*Settings!$C$30*INDEX(Settings!$B$36:$F$44,8,$T31)+($R31)*Settings!$C$31*INDEX(Settings!$B$36:$F$44,9,$T31))/INDEX(Settings!$B$45:$F$45,1,$T31)/5*100*IF($S31="Not present",Settings!$B$51,1)),1),"")</f>
        <v>59.2</v>
      </c>
      <c r="E31" s="52">
        <f>IFERROR(ROUND(MIN(100,(($U31)*Settings!$C$23*INDEX(Settings!$B$36:$F$44,1,$AE31)+($V31)*Settings!$C$24*INDEX(Settings!$B$36:$F$44,2,$AE31)+($W31)*Settings!$C$25*INDEX(Settings!$B$36:$F$44,3,$AE31)+($X31)*Settings!$C$26*INDEX(Settings!$B$36:$F$44,4,$AE31)+($Y31)*Settings!$C$27*INDEX(Settings!$B$36:$F$44,5,$AE31)+($Z31)*Settings!$C$28*INDEX(Settings!$B$36:$F$44,6,$AE31)+($AA31)*Settings!$C$29*INDEX(Settings!$B$36:$F$44,7,$AE31)+($AB31)*Settings!$C$30*INDEX(Settings!$B$36:$F$44,8,$AE31)+($AC31)*Settings!$C$31*INDEX(Settings!$B$36:$F$44,9,$AE31))/INDEX(Settings!$B$45:$F$45,1,$AE31)/5*100*IF($AD31="Not present",Settings!$B$51,1)),1),"")</f>
        <v>64.7</v>
      </c>
      <c r="F31" s="52">
        <f>IFERROR(ROUND(MIN(100,(($AF31)*Settings!$C$23*INDEX(Settings!$B$36:$F$44,1,$AP31)+($AG31)*Settings!$C$24*INDEX(Settings!$B$36:$F$44,2,$AP31)+($AH31)*Settings!$C$25*INDEX(Settings!$B$36:$F$44,3,$AP31)+($AI31)*Settings!$C$26*INDEX(Settings!$B$36:$F$44,4,$AP31)+($AJ31)*Settings!$C$27*INDEX(Settings!$B$36:$F$44,5,$AP31)+($AK31)*Settings!$C$28*INDEX(Settings!$B$36:$F$44,6,$AP31)+($AL31)*Settings!$C$29*INDEX(Settings!$B$36:$F$44,7,$AP31)+($AM31)*Settings!$C$30*INDEX(Settings!$B$36:$F$44,8,$AP31)+($AN31)*Settings!$C$31*INDEX(Settings!$B$36:$F$44,9,$AP31))/INDEX(Settings!$B$45:$F$45,1,$AP31)/5*100*IF($AO31="Not present",Settings!$B$51,1)),1),"")</f>
        <v>59.2</v>
      </c>
      <c r="G31" s="52">
        <f>IFERROR(ROUND(MIN(100,(($AQ31)*Settings!$C$23*INDEX(Settings!$B$36:$F$44,1,$BA31)+($AR31)*Settings!$C$24*INDEX(Settings!$B$36:$F$44,2,$BA31)+($AS31)*Settings!$C$25*INDEX(Settings!$B$36:$F$44,3,$BA31)+($AT31)*Settings!$C$26*INDEX(Settings!$B$36:$F$44,4,$BA31)+($AU31)*Settings!$C$27*INDEX(Settings!$B$36:$F$44,5,$BA31)+($AV31)*Settings!$C$28*INDEX(Settings!$B$36:$F$44,6,$BA31)+($AW31)*Settings!$C$29*INDEX(Settings!$B$36:$F$44,7,$BA31)+($AX31)*Settings!$C$30*INDEX(Settings!$B$36:$F$44,8,$BA31)+($AY31)*Settings!$C$31*INDEX(Settings!$B$36:$F$44,9,$BA31))/INDEX(Settings!$B$45:$F$45,1,$BA31)/5*100*IF($AZ31="Not present",Settings!$B$51,1)),1),"")</f>
        <v>61</v>
      </c>
      <c r="J31" s="62">
        <f>ROUND(MIN(5,IF(Pathogens!I28&gt;=500,5,IF(Pathogens!I28&gt;=200,4,IF(Pathogens!I28&gt;=50,3,IF(Pathogens!I28&gt;=10,2,1))))*0.5+IF(Pathogens!J28&gt;=30,5,IF(Pathogens!J28&gt;=10,4,IF(Pathogens!J28&gt;=3,3,IF(Pathogens!J28&gt;=1,2,1))))*0.4+IF(AND(VLOOKUP(D$4,Countries!$B$2:$AN$55,4,FALSE)&gt;=80,Pathogens!N28&gt;=0.5),1,0)*0.1+IF(VLOOKUP(D$4,Countries!$B$2:$AN$55,7,FALSE)&lt;50,0.3,0)),0)</f>
        <v>2</v>
      </c>
      <c r="K31" s="62">
        <f>ROUND(MIN(5,IF(Pathogens!K28&gt;=8,5,IF(Pathogens!K28&gt;=5,4,IF(Pathogens!K28&gt;=3,3,IF(Pathogens!K28&gt;=1,2,1))))*0.5+IF(Pathogens!L28&gt;=5,5,IF(Pathogens!L28&gt;=3,4,IF(Pathogens!L28&gt;=2,3,IF(Pathogens!L28&gt;=1.2,2,1))))*0.3+IF(Pathogens!M28=1,2,0)*0.2+IF(VLOOKUP(D$4,Countries!$B$2:$AN$55,12,FALSE)&gt;=2,0.5,0)),0)</f>
        <v>3</v>
      </c>
      <c r="L31" s="62">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c r="M31" s="62">
        <f>ROUND(MAX(1,MIN(5,(6-VLOOKUP(D$4,Countries!$B$2:$AN$55,10,FALSE))*0.5+(6-VLOOKUP(D$4,Countries!$B$2:$AN$55,11,FALSE))*0.4+(IF(AND(Pathogens!N28&gt;=0.5,VLOOKUP(D$4,Countries!$B$2:$AN$55,5,FALSE)&lt;60),5,IF(Pathogens!N28&gt;=0.5,4,IF(Pathogens!N28&gt;=0.3,3,IF(Pathogens!N28&gt;=0.1,2,1)))))*0.1)),0)</f>
        <v>2</v>
      </c>
      <c r="N31" s="62">
        <f>IF(ISNUMBER(SEARCH("Vaccine-preventable",Pathogens!C28)),2,IF(ISNUMBER(SEARCH("AMR",Pathogens!C28)),5,IF(ISNUMBER(SEARCH("VHF",Pathogens!C28)),4,IF(ISNUMBER(SEARCH("Emerging",Pathogens!C28)),5,IF(ISNUMBER(SEARCH("Mycobacterial",Pathogens!C28)),3,IF(ISNUMBER(SEARCH("Helminth",Pathogens!C28)),3,IF(ISNUMBER(SEARCH("Respiratory",Pathogens!C28)),4,3)))))))</f>
        <v>3</v>
      </c>
      <c r="O31" s="62">
        <f>IF(ISNUMBER(SEARCH("AMR",Pathogens!C28)),5,IF(ISNUMBER(SEARCH("Mycobacterial",Pathogens!C28)),4,IF(ISNUMBER(SEARCH("Enteric bacterial",Pathogens!C28)),3,IF(ISNUMBER(SEARCH("Bacterial",Pathogens!C28)),3,1))))</f>
        <v>1</v>
      </c>
      <c r="P3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1" s="62">
        <f>(6-Pathogens!X28)</f>
        <v>5</v>
      </c>
      <c r="R31" s="62">
        <f>ROUND(MIN(5,MAX(1,0.35*IF(Pathogens!R28=1,5,IF(Pathogens!R28=2,3,1))+0.2*IF(Pathogens!S28=1,5,IF(Pathogens!S28=2,3,1))+0.25*IF(Pathogens!W28=1,IF(VLOOKUP(D$4,Countries!$B$2:$AN$55,38,FALSE)&gt;=3,5,IF(VLOOKUP(D$4,Countries!$B$2:$AN$55,38,FALSE)=2,4,IF(VLOOKUP(D$4,Countries!$B$2:$AN$55,38,FALSE)=1,2,1))),5)+0.2*IF(VLOOKUP(D$4,Countries!$B$2:$AN$55,24,FALSE)&gt;=50,5,IF(VLOOKUP(D$4,Countries!$B$2:$AN$55,24,FALSE)&gt;=25,4,IF(VLOOKUP(D$4,Countries!$B$2:$AN$55,24,FALSE)&gt;=10,3,IF(VLOOKUP(D$4,Countries!$B$2:$AN$55,24,FALSE)&gt;=5,2,1)))))),0)</f>
        <v>4</v>
      </c>
      <c r="S31" s="62" t="str">
        <f>IFERROR(INDEX(Endemicity!$C$2:$BN$55,MATCH(D$4,Endemicity!$B$2:$B$55,0),MATCH($A31,Endemicity!$C$1:$BN$1,0)),"Sporadic")</f>
        <v>Endemic</v>
      </c>
      <c r="T31" s="62">
        <f>IF(Settings!$B$48="ON",IFERROR(MATCH($S31,Settings!$B$35:$F$35,0),5),5)</f>
        <v>1</v>
      </c>
      <c r="U31" s="62">
        <f>ROUND(MIN(5,IF(Pathogens!I28&gt;=500,5,IF(Pathogens!I28&gt;=200,4,IF(Pathogens!I28&gt;=50,3,IF(Pathogens!I28&gt;=10,2,1))))*0.5+IF(Pathogens!J28&gt;=30,5,IF(Pathogens!J28&gt;=10,4,IF(Pathogens!J28&gt;=3,3,IF(Pathogens!J28&gt;=1,2,1))))*0.4+IF(AND(VLOOKUP(E$4,Countries!$B$2:$AN$55,4,FALSE)&gt;=80,Pathogens!N28&gt;=0.5),1,0)*0.1+IF(VLOOKUP(E$4,Countries!$B$2:$AN$55,7,FALSE)&lt;50,0.3,0)),0)</f>
        <v>2</v>
      </c>
      <c r="V31" s="62">
        <f>ROUND(MIN(5,IF(Pathogens!K28&gt;=8,5,IF(Pathogens!K28&gt;=5,4,IF(Pathogens!K28&gt;=3,3,IF(Pathogens!K28&gt;=1,2,1))))*0.5+IF(Pathogens!L28&gt;=5,5,IF(Pathogens!L28&gt;=3,4,IF(Pathogens!L28&gt;=2,3,IF(Pathogens!L28&gt;=1.2,2,1))))*0.3+IF(Pathogens!M28=1,2,0)*0.2+IF(VLOOKUP(E$4,Countries!$B$2:$AN$55,12,FALSE)&gt;=2,0.5,0)),0)</f>
        <v>3</v>
      </c>
      <c r="W31" s="62">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c r="X31" s="62">
        <f>ROUND(MAX(1,MIN(5,(6-VLOOKUP(E$4,Countries!$B$2:$AN$55,10,FALSE))*0.5+(6-VLOOKUP(E$4,Countries!$B$2:$AN$55,11,FALSE))*0.4+(IF(AND(Pathogens!N28&gt;=0.5,VLOOKUP(E$4,Countries!$B$2:$AN$55,5,FALSE)&lt;60),5,IF(Pathogens!N28&gt;=0.5,4,IF(Pathogens!N28&gt;=0.3,3,IF(Pathogens!N28&gt;=0.1,2,1)))))*0.1)),0)</f>
        <v>3</v>
      </c>
      <c r="Y31" s="62">
        <f>IF(ISNUMBER(SEARCH("Vaccine-preventable",Pathogens!C28)),2,IF(ISNUMBER(SEARCH("AMR",Pathogens!C28)),5,IF(ISNUMBER(SEARCH("VHF",Pathogens!C28)),4,IF(ISNUMBER(SEARCH("Emerging",Pathogens!C28)),5,IF(ISNUMBER(SEARCH("Mycobacterial",Pathogens!C28)),3,IF(ISNUMBER(SEARCH("Helminth",Pathogens!C28)),3,IF(ISNUMBER(SEARCH("Respiratory",Pathogens!C28)),4,3)))))))</f>
        <v>3</v>
      </c>
      <c r="Z31" s="62">
        <f>IF(ISNUMBER(SEARCH("AMR",Pathogens!C28)),5,IF(ISNUMBER(SEARCH("Mycobacterial",Pathogens!C28)),4,IF(ISNUMBER(SEARCH("Enteric bacterial",Pathogens!C28)),3,IF(ISNUMBER(SEARCH("Bacterial",Pathogens!C28)),3,1))))</f>
        <v>1</v>
      </c>
      <c r="AA3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1" s="62">
        <f>(6-Pathogens!X28)</f>
        <v>5</v>
      </c>
      <c r="AC31" s="62">
        <f>ROUND(MIN(5,MAX(1,0.35*IF(Pathogens!R28=1,5,IF(Pathogens!R28=2,3,1))+0.2*IF(Pathogens!S28=1,5,IF(Pathogens!S28=2,3,1))+0.25*IF(Pathogens!W28=1,IF(VLOOKUP(E$4,Countries!$B$2:$AN$55,38,FALSE)&gt;=3,5,IF(VLOOKUP(E$4,Countries!$B$2:$AN$55,38,FALSE)=2,4,IF(VLOOKUP(E$4,Countries!$B$2:$AN$55,38,FALSE)=1,2,1))),5)+0.2*IF(VLOOKUP(E$4,Countries!$B$2:$AN$55,24,FALSE)&gt;=50,5,IF(VLOOKUP(E$4,Countries!$B$2:$AN$55,24,FALSE)&gt;=25,4,IF(VLOOKUP(E$4,Countries!$B$2:$AN$55,24,FALSE)&gt;=10,3,IF(VLOOKUP(E$4,Countries!$B$2:$AN$55,24,FALSE)&gt;=5,2,1)))))),0)</f>
        <v>4</v>
      </c>
      <c r="AD31" s="62" t="str">
        <f>IFERROR(INDEX(Endemicity!$C$2:$BN$55,MATCH(E$4,Endemicity!$B$2:$B$55,0),MATCH($A31,Endemicity!$C$1:$BN$1,0)),"Sporadic")</f>
        <v>Endemic</v>
      </c>
      <c r="AE31" s="62">
        <f>IF(Settings!$B$48="ON",IFERROR(MATCH($AD31,Settings!$B$35:$F$35,0),5),5)</f>
        <v>1</v>
      </c>
      <c r="AF31" s="62">
        <f>ROUND(MIN(5,IF(Pathogens!I28&gt;=500,5,IF(Pathogens!I28&gt;=200,4,IF(Pathogens!I28&gt;=50,3,IF(Pathogens!I28&gt;=10,2,1))))*0.5+IF(Pathogens!J28&gt;=30,5,IF(Pathogens!J28&gt;=10,4,IF(Pathogens!J28&gt;=3,3,IF(Pathogens!J28&gt;=1,2,1))))*0.4+IF(AND(VLOOKUP(F$4,Countries!$B$2:$AN$55,4,FALSE)&gt;=80,Pathogens!N28&gt;=0.5),1,0)*0.1+IF(VLOOKUP(F$4,Countries!$B$2:$AN$55,7,FALSE)&lt;50,0.3,0)),0)</f>
        <v>2</v>
      </c>
      <c r="AG31" s="62">
        <f>ROUND(MIN(5,IF(Pathogens!K28&gt;=8,5,IF(Pathogens!K28&gt;=5,4,IF(Pathogens!K28&gt;=3,3,IF(Pathogens!K28&gt;=1,2,1))))*0.5+IF(Pathogens!L28&gt;=5,5,IF(Pathogens!L28&gt;=3,4,IF(Pathogens!L28&gt;=2,3,IF(Pathogens!L28&gt;=1.2,2,1))))*0.3+IF(Pathogens!M28=1,2,0)*0.2+IF(VLOOKUP(F$4,Countries!$B$2:$AN$55,12,FALSE)&gt;=2,0.5,0)),0)</f>
        <v>3</v>
      </c>
      <c r="AH31" s="62">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c r="AI31" s="62">
        <f>ROUND(MAX(1,MIN(5,(6-VLOOKUP(F$4,Countries!$B$2:$AN$55,10,FALSE))*0.5+(6-VLOOKUP(F$4,Countries!$B$2:$AN$55,11,FALSE))*0.4+(IF(AND(Pathogens!N28&gt;=0.5,VLOOKUP(F$4,Countries!$B$2:$AN$55,5,FALSE)&lt;60),5,IF(Pathogens!N28&gt;=0.5,4,IF(Pathogens!N28&gt;=0.3,3,IF(Pathogens!N28&gt;=0.1,2,1)))))*0.1)),0)</f>
        <v>2</v>
      </c>
      <c r="AJ31" s="62">
        <f>IF(ISNUMBER(SEARCH("Vaccine-preventable",Pathogens!C28)),2,IF(ISNUMBER(SEARCH("AMR",Pathogens!C28)),5,IF(ISNUMBER(SEARCH("VHF",Pathogens!C28)),4,IF(ISNUMBER(SEARCH("Emerging",Pathogens!C28)),5,IF(ISNUMBER(SEARCH("Mycobacterial",Pathogens!C28)),3,IF(ISNUMBER(SEARCH("Helminth",Pathogens!C28)),3,IF(ISNUMBER(SEARCH("Respiratory",Pathogens!C28)),4,3)))))))</f>
        <v>3</v>
      </c>
      <c r="AK31" s="62">
        <f>IF(ISNUMBER(SEARCH("AMR",Pathogens!C28)),5,IF(ISNUMBER(SEARCH("Mycobacterial",Pathogens!C28)),4,IF(ISNUMBER(SEARCH("Enteric bacterial",Pathogens!C28)),3,IF(ISNUMBER(SEARCH("Bacterial",Pathogens!C28)),3,1))))</f>
        <v>1</v>
      </c>
      <c r="AL3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1" s="62">
        <f>(6-Pathogens!X28)</f>
        <v>5</v>
      </c>
      <c r="AN31" s="62">
        <f>ROUND(MIN(5,MAX(1,0.35*IF(Pathogens!R28=1,5,IF(Pathogens!R28=2,3,1))+0.2*IF(Pathogens!S28=1,5,IF(Pathogens!S28=2,3,1))+0.25*IF(Pathogens!W28=1,IF(VLOOKUP(F$4,Countries!$B$2:$AN$55,38,FALSE)&gt;=3,5,IF(VLOOKUP(F$4,Countries!$B$2:$AN$55,38,FALSE)=2,4,IF(VLOOKUP(F$4,Countries!$B$2:$AN$55,38,FALSE)=1,2,1))),5)+0.2*IF(VLOOKUP(F$4,Countries!$B$2:$AN$55,24,FALSE)&gt;=50,5,IF(VLOOKUP(F$4,Countries!$B$2:$AN$55,24,FALSE)&gt;=25,4,IF(VLOOKUP(F$4,Countries!$B$2:$AN$55,24,FALSE)&gt;=10,3,IF(VLOOKUP(F$4,Countries!$B$2:$AN$55,24,FALSE)&gt;=5,2,1)))))),0)</f>
        <v>4</v>
      </c>
      <c r="AO31" s="62" t="str">
        <f>IFERROR(INDEX(Endemicity!$C$2:$BN$55,MATCH(F$4,Endemicity!$B$2:$B$55,0),MATCH($A31,Endemicity!$C$1:$BN$1,0)),"Sporadic")</f>
        <v>Endemic</v>
      </c>
      <c r="AP31" s="62">
        <f>IF(Settings!$B$48="ON",IFERROR(MATCH($AO31,Settings!$B$35:$F$35,0),5),5)</f>
        <v>1</v>
      </c>
      <c r="AQ31" s="62">
        <f>ROUND(MIN(5,IF(Pathogens!I28&gt;=500,5,IF(Pathogens!I28&gt;=200,4,IF(Pathogens!I28&gt;=50,3,IF(Pathogens!I28&gt;=10,2,1))))*0.5+IF(Pathogens!J28&gt;=30,5,IF(Pathogens!J28&gt;=10,4,IF(Pathogens!J28&gt;=3,3,IF(Pathogens!J28&gt;=1,2,1))))*0.4+IF(AND(VLOOKUP(G$4,Countries!$B$2:$AN$55,4,FALSE)&gt;=80,Pathogens!N28&gt;=0.5),1,0)*0.1+IF(VLOOKUP(G$4,Countries!$B$2:$AN$55,7,FALSE)&lt;50,0.3,0)),0)</f>
        <v>2</v>
      </c>
      <c r="AR31" s="62">
        <f>ROUND(MIN(5,IF(Pathogens!K28&gt;=8,5,IF(Pathogens!K28&gt;=5,4,IF(Pathogens!K28&gt;=3,3,IF(Pathogens!K28&gt;=1,2,1))))*0.5+IF(Pathogens!L28&gt;=5,5,IF(Pathogens!L28&gt;=3,4,IF(Pathogens!L28&gt;=2,3,IF(Pathogens!L28&gt;=1.2,2,1))))*0.3+IF(Pathogens!M28=1,2,0)*0.2+IF(VLOOKUP(G$4,Countries!$B$2:$AN$55,12,FALSE)&gt;=2,0.5,0)),0)</f>
        <v>3</v>
      </c>
      <c r="AS31" s="62">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c r="AT31" s="62">
        <f>ROUND(MAX(1,MIN(5,(6-VLOOKUP(G$4,Countries!$B$2:$AN$55,10,FALSE))*0.5+(6-VLOOKUP(G$4,Countries!$B$2:$AN$55,11,FALSE))*0.4+(IF(AND(Pathogens!N28&gt;=0.5,VLOOKUP(G$4,Countries!$B$2:$AN$55,5,FALSE)&lt;60),5,IF(Pathogens!N28&gt;=0.5,4,IF(Pathogens!N28&gt;=0.3,3,IF(Pathogens!N28&gt;=0.1,2,1)))))*0.1)),0)</f>
        <v>2</v>
      </c>
      <c r="AU31" s="62">
        <f>IF(ISNUMBER(SEARCH("Vaccine-preventable",Pathogens!C28)),2,IF(ISNUMBER(SEARCH("AMR",Pathogens!C28)),5,IF(ISNUMBER(SEARCH("VHF",Pathogens!C28)),4,IF(ISNUMBER(SEARCH("Emerging",Pathogens!C28)),5,IF(ISNUMBER(SEARCH("Mycobacterial",Pathogens!C28)),3,IF(ISNUMBER(SEARCH("Helminth",Pathogens!C28)),3,IF(ISNUMBER(SEARCH("Respiratory",Pathogens!C28)),4,3)))))))</f>
        <v>3</v>
      </c>
      <c r="AV31" s="62">
        <f>IF(ISNUMBER(SEARCH("AMR",Pathogens!C28)),5,IF(ISNUMBER(SEARCH("Mycobacterial",Pathogens!C28)),4,IF(ISNUMBER(SEARCH("Enteric bacterial",Pathogens!C28)),3,IF(ISNUMBER(SEARCH("Bacterial",Pathogens!C28)),3,1))))</f>
        <v>1</v>
      </c>
      <c r="AW3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1" s="62">
        <f>(6-Pathogens!X28)</f>
        <v>5</v>
      </c>
      <c r="AY31" s="62">
        <f>ROUND(MIN(5,MAX(1,0.35*IF(Pathogens!R28=1,5,IF(Pathogens!R28=2,3,1))+0.2*IF(Pathogens!S28=1,5,IF(Pathogens!S28=2,3,1))+0.25*IF(Pathogens!W28=1,IF(VLOOKUP(G$4,Countries!$B$2:$AN$55,38,FALSE)&gt;=3,5,IF(VLOOKUP(G$4,Countries!$B$2:$AN$55,38,FALSE)=2,4,IF(VLOOKUP(G$4,Countries!$B$2:$AN$55,38,FALSE)=1,2,1))),5)+0.2*IF(VLOOKUP(G$4,Countries!$B$2:$AN$55,24,FALSE)&gt;=50,5,IF(VLOOKUP(G$4,Countries!$B$2:$AN$55,24,FALSE)&gt;=25,4,IF(VLOOKUP(G$4,Countries!$B$2:$AN$55,24,FALSE)&gt;=10,3,IF(VLOOKUP(G$4,Countries!$B$2:$AN$55,24,FALSE)&gt;=5,2,1)))))),0)</f>
        <v>4</v>
      </c>
      <c r="AZ31" s="62" t="str">
        <f>IFERROR(INDEX(Endemicity!$C$2:$BN$55,MATCH(G$4,Endemicity!$B$2:$B$55,0),MATCH($A31,Endemicity!$C$1:$BN$1,0)),"Sporadic")</f>
        <v>Endemic</v>
      </c>
      <c r="BA31" s="62">
        <f>IF(Settings!$B$48="ON",IFERROR(MATCH($AZ31,Settings!$B$35:$F$35,0),5),5)</f>
        <v>1</v>
      </c>
    </row>
    <row r="32" customHeight="1" spans="1:53">
      <c r="A32" s="61" t="str">
        <f>Calculator!A61</f>
        <v>ENTV</v>
      </c>
      <c r="B32" s="61" t="str">
        <f>Calculator!B61</f>
        <v>Enteroviruses (non-polio)</v>
      </c>
      <c r="C32" s="61" t="str">
        <f>Calculator!C61</f>
        <v>Enteric viral</v>
      </c>
      <c r="D32" s="52">
        <f>IFERROR(ROUND(MIN(100,(($J32)*Settings!$C$23*INDEX(Settings!$B$36:$F$44,1,$T32)+($K32)*Settings!$C$24*INDEX(Settings!$B$36:$F$44,2,$T32)+($L32)*Settings!$C$25*INDEX(Settings!$B$36:$F$44,3,$T32)+($M32)*Settings!$C$26*INDEX(Settings!$B$36:$F$44,4,$T32)+($N32)*Settings!$C$27*INDEX(Settings!$B$36:$F$44,5,$T32)+($O32)*Settings!$C$28*INDEX(Settings!$B$36:$F$44,6,$T32)+($P32)*Settings!$C$29*INDEX(Settings!$B$36:$F$44,7,$T32)+($Q32)*Settings!$C$30*INDEX(Settings!$B$36:$F$44,8,$T32)+($R32)*Settings!$C$31*INDEX(Settings!$B$36:$F$44,9,$T32))/INDEX(Settings!$B$45:$F$45,1,$T32)/5*100*IF($S32="Not present",Settings!$B$51,1)),1),"")</f>
        <v>67.1</v>
      </c>
      <c r="E32" s="52">
        <f>IFERROR(ROUND(MIN(100,(($U32)*Settings!$C$23*INDEX(Settings!$B$36:$F$44,1,$AE32)+($V32)*Settings!$C$24*INDEX(Settings!$B$36:$F$44,2,$AE32)+($W32)*Settings!$C$25*INDEX(Settings!$B$36:$F$44,3,$AE32)+($X32)*Settings!$C$26*INDEX(Settings!$B$36:$F$44,4,$AE32)+($Y32)*Settings!$C$27*INDEX(Settings!$B$36:$F$44,5,$AE32)+($Z32)*Settings!$C$28*INDEX(Settings!$B$36:$F$44,6,$AE32)+($AA32)*Settings!$C$29*INDEX(Settings!$B$36:$F$44,7,$AE32)+($AB32)*Settings!$C$30*INDEX(Settings!$B$36:$F$44,8,$AE32)+($AC32)*Settings!$C$31*INDEX(Settings!$B$36:$F$44,9,$AE32))/INDEX(Settings!$B$45:$F$45,1,$AE32)/5*100*IF($AD32="Not present",Settings!$B$51,1)),1),"")</f>
        <v>69.9</v>
      </c>
      <c r="F32" s="52">
        <f>IFERROR(ROUND(MIN(100,(($AF32)*Settings!$C$23*INDEX(Settings!$B$36:$F$44,1,$AP32)+($AG32)*Settings!$C$24*INDEX(Settings!$B$36:$F$44,2,$AP32)+($AH32)*Settings!$C$25*INDEX(Settings!$B$36:$F$44,3,$AP32)+($AI32)*Settings!$C$26*INDEX(Settings!$B$36:$F$44,4,$AP32)+($AJ32)*Settings!$C$27*INDEX(Settings!$B$36:$F$44,5,$AP32)+($AK32)*Settings!$C$28*INDEX(Settings!$B$36:$F$44,6,$AP32)+($AL32)*Settings!$C$29*INDEX(Settings!$B$36:$F$44,7,$AP32)+($AM32)*Settings!$C$30*INDEX(Settings!$B$36:$F$44,8,$AP32)+($AN32)*Settings!$C$31*INDEX(Settings!$B$36:$F$44,9,$AP32))/INDEX(Settings!$B$45:$F$45,1,$AP32)/5*100*IF($AO32="Not present",Settings!$B$51,1)),1),"")</f>
        <v>64.4</v>
      </c>
      <c r="G32" s="52">
        <f>IFERROR(ROUND(MIN(100,(($AQ32)*Settings!$C$23*INDEX(Settings!$B$36:$F$44,1,$BA32)+($AR32)*Settings!$C$24*INDEX(Settings!$B$36:$F$44,2,$BA32)+($AS32)*Settings!$C$25*INDEX(Settings!$B$36:$F$44,3,$BA32)+($AT32)*Settings!$C$26*INDEX(Settings!$B$36:$F$44,4,$BA32)+($AU32)*Settings!$C$27*INDEX(Settings!$B$36:$F$44,5,$BA32)+($AV32)*Settings!$C$28*INDEX(Settings!$B$36:$F$44,6,$BA32)+($AW32)*Settings!$C$29*INDEX(Settings!$B$36:$F$44,7,$BA32)+($AX32)*Settings!$C$30*INDEX(Settings!$B$36:$F$44,8,$BA32)+($AY32)*Settings!$C$31*INDEX(Settings!$B$36:$F$44,9,$BA32))/INDEX(Settings!$B$45:$F$45,1,$BA32)/5*100*IF($AZ32="Not present",Settings!$B$51,1)),1),"")</f>
        <v>66.1</v>
      </c>
      <c r="J32" s="62">
        <f>ROUND(MIN(5,IF(Pathogens!I29&gt;=500,5,IF(Pathogens!I29&gt;=200,4,IF(Pathogens!I29&gt;=50,3,IF(Pathogens!I29&gt;=10,2,1))))*0.5+IF(Pathogens!J29&gt;=30,5,IF(Pathogens!J29&gt;=10,4,IF(Pathogens!J29&gt;=3,3,IF(Pathogens!J29&gt;=1,2,1))))*0.4+IF(AND(VLOOKUP(D$4,Countries!$B$2:$AN$55,4,FALSE)&gt;=80,Pathogens!N29&gt;=0.5),1,0)*0.1+IF(VLOOKUP(D$4,Countries!$B$2:$AN$55,7,FALSE)&lt;50,0.3,0)),0)</f>
        <v>3</v>
      </c>
      <c r="K32" s="62">
        <f>ROUND(MIN(5,IF(Pathogens!K29&gt;=8,5,IF(Pathogens!K29&gt;=5,4,IF(Pathogens!K29&gt;=3,3,IF(Pathogens!K29&gt;=1,2,1))))*0.5+IF(Pathogens!L29&gt;=5,5,IF(Pathogens!L29&gt;=3,4,IF(Pathogens!L29&gt;=2,3,IF(Pathogens!L29&gt;=1.2,2,1))))*0.3+IF(Pathogens!M29=1,2,0)*0.2+IF(VLOOKUP(D$4,Countries!$B$2:$AN$55,12,FALSE)&gt;=2,0.5,0)),0)</f>
        <v>4</v>
      </c>
      <c r="L32" s="62">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c r="M32" s="62">
        <f>ROUND(MAX(1,MIN(5,(6-VLOOKUP(D$4,Countries!$B$2:$AN$55,10,FALSE))*0.5+(6-VLOOKUP(D$4,Countries!$B$2:$AN$55,11,FALSE))*0.4+(IF(AND(Pathogens!N29&gt;=0.5,VLOOKUP(D$4,Countries!$B$2:$AN$55,5,FALSE)&lt;60),5,IF(Pathogens!N29&gt;=0.5,4,IF(Pathogens!N29&gt;=0.3,3,IF(Pathogens!N29&gt;=0.1,2,1)))))*0.1)),0)</f>
        <v>2</v>
      </c>
      <c r="N32" s="62">
        <f>IF(ISNUMBER(SEARCH("Vaccine-preventable",Pathogens!C29)),2,IF(ISNUMBER(SEARCH("AMR",Pathogens!C29)),5,IF(ISNUMBER(SEARCH("VHF",Pathogens!C29)),4,IF(ISNUMBER(SEARCH("Emerging",Pathogens!C29)),5,IF(ISNUMBER(SEARCH("Mycobacterial",Pathogens!C29)),3,IF(ISNUMBER(SEARCH("Helminth",Pathogens!C29)),3,IF(ISNUMBER(SEARCH("Respiratory",Pathogens!C29)),4,3)))))))</f>
        <v>3</v>
      </c>
      <c r="O32" s="62">
        <f>IF(ISNUMBER(SEARCH("AMR",Pathogens!C29)),5,IF(ISNUMBER(SEARCH("Mycobacterial",Pathogens!C29)),4,IF(ISNUMBER(SEARCH("Enteric bacterial",Pathogens!C29)),3,IF(ISNUMBER(SEARCH("Bacterial",Pathogens!C29)),3,1))))</f>
        <v>1</v>
      </c>
      <c r="P3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2" s="62">
        <f>(6-Pathogens!X29)</f>
        <v>4</v>
      </c>
      <c r="R32" s="62">
        <f>ROUND(MIN(5,MAX(1,0.35*IF(Pathogens!R29=1,5,IF(Pathogens!R29=2,3,1))+0.2*IF(Pathogens!S29=1,5,IF(Pathogens!S29=2,3,1))+0.25*IF(Pathogens!W29=1,IF(VLOOKUP(D$4,Countries!$B$2:$AN$55,38,FALSE)&gt;=3,5,IF(VLOOKUP(D$4,Countries!$B$2:$AN$55,38,FALSE)=2,4,IF(VLOOKUP(D$4,Countries!$B$2:$AN$55,38,FALSE)=1,2,1))),5)+0.2*IF(VLOOKUP(D$4,Countries!$B$2:$AN$55,24,FALSE)&gt;=50,5,IF(VLOOKUP(D$4,Countries!$B$2:$AN$55,24,FALSE)&gt;=25,4,IF(VLOOKUP(D$4,Countries!$B$2:$AN$55,24,FALSE)&gt;=10,3,IF(VLOOKUP(D$4,Countries!$B$2:$AN$55,24,FALSE)&gt;=5,2,1)))))),0)</f>
        <v>5</v>
      </c>
      <c r="S32" s="62" t="str">
        <f>IFERROR(INDEX(Endemicity!$C$2:$BN$55,MATCH(D$4,Endemicity!$B$2:$B$55,0),MATCH($A32,Endemicity!$C$1:$BN$1,0)),"Sporadic")</f>
        <v>Endemic</v>
      </c>
      <c r="T32" s="62">
        <f>IF(Settings!$B$48="ON",IFERROR(MATCH($S32,Settings!$B$35:$F$35,0),5),5)</f>
        <v>1</v>
      </c>
      <c r="U32" s="62">
        <f>ROUND(MIN(5,IF(Pathogens!I29&gt;=500,5,IF(Pathogens!I29&gt;=200,4,IF(Pathogens!I29&gt;=50,3,IF(Pathogens!I29&gt;=10,2,1))))*0.5+IF(Pathogens!J29&gt;=30,5,IF(Pathogens!J29&gt;=10,4,IF(Pathogens!J29&gt;=3,3,IF(Pathogens!J29&gt;=1,2,1))))*0.4+IF(AND(VLOOKUP(E$4,Countries!$B$2:$AN$55,4,FALSE)&gt;=80,Pathogens!N29&gt;=0.5),1,0)*0.1+IF(VLOOKUP(E$4,Countries!$B$2:$AN$55,7,FALSE)&lt;50,0.3,0)),0)</f>
        <v>3</v>
      </c>
      <c r="V32" s="62">
        <f>ROUND(MIN(5,IF(Pathogens!K29&gt;=8,5,IF(Pathogens!K29&gt;=5,4,IF(Pathogens!K29&gt;=3,3,IF(Pathogens!K29&gt;=1,2,1))))*0.5+IF(Pathogens!L29&gt;=5,5,IF(Pathogens!L29&gt;=3,4,IF(Pathogens!L29&gt;=2,3,IF(Pathogens!L29&gt;=1.2,2,1))))*0.3+IF(Pathogens!M29=1,2,0)*0.2+IF(VLOOKUP(E$4,Countries!$B$2:$AN$55,12,FALSE)&gt;=2,0.5,0)),0)</f>
        <v>4</v>
      </c>
      <c r="W32" s="62">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c r="X32" s="62">
        <f>ROUND(MAX(1,MIN(5,(6-VLOOKUP(E$4,Countries!$B$2:$AN$55,10,FALSE))*0.5+(6-VLOOKUP(E$4,Countries!$B$2:$AN$55,11,FALSE))*0.4+(IF(AND(Pathogens!N29&gt;=0.5,VLOOKUP(E$4,Countries!$B$2:$AN$55,5,FALSE)&lt;60),5,IF(Pathogens!N29&gt;=0.5,4,IF(Pathogens!N29&gt;=0.3,3,IF(Pathogens!N29&gt;=0.1,2,1)))))*0.1)),0)</f>
        <v>3</v>
      </c>
      <c r="Y32" s="62">
        <f>IF(ISNUMBER(SEARCH("Vaccine-preventable",Pathogens!C29)),2,IF(ISNUMBER(SEARCH("AMR",Pathogens!C29)),5,IF(ISNUMBER(SEARCH("VHF",Pathogens!C29)),4,IF(ISNUMBER(SEARCH("Emerging",Pathogens!C29)),5,IF(ISNUMBER(SEARCH("Mycobacterial",Pathogens!C29)),3,IF(ISNUMBER(SEARCH("Helminth",Pathogens!C29)),3,IF(ISNUMBER(SEARCH("Respiratory",Pathogens!C29)),4,3)))))))</f>
        <v>3</v>
      </c>
      <c r="Z32" s="62">
        <f>IF(ISNUMBER(SEARCH("AMR",Pathogens!C29)),5,IF(ISNUMBER(SEARCH("Mycobacterial",Pathogens!C29)),4,IF(ISNUMBER(SEARCH("Enteric bacterial",Pathogens!C29)),3,IF(ISNUMBER(SEARCH("Bacterial",Pathogens!C29)),3,1))))</f>
        <v>1</v>
      </c>
      <c r="AA3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2" s="62">
        <f>(6-Pathogens!X29)</f>
        <v>4</v>
      </c>
      <c r="AC32" s="62">
        <f>ROUND(MIN(5,MAX(1,0.35*IF(Pathogens!R29=1,5,IF(Pathogens!R29=2,3,1))+0.2*IF(Pathogens!S29=1,5,IF(Pathogens!S29=2,3,1))+0.25*IF(Pathogens!W29=1,IF(VLOOKUP(E$4,Countries!$B$2:$AN$55,38,FALSE)&gt;=3,5,IF(VLOOKUP(E$4,Countries!$B$2:$AN$55,38,FALSE)=2,4,IF(VLOOKUP(E$4,Countries!$B$2:$AN$55,38,FALSE)=1,2,1))),5)+0.2*IF(VLOOKUP(E$4,Countries!$B$2:$AN$55,24,FALSE)&gt;=50,5,IF(VLOOKUP(E$4,Countries!$B$2:$AN$55,24,FALSE)&gt;=25,4,IF(VLOOKUP(E$4,Countries!$B$2:$AN$55,24,FALSE)&gt;=10,3,IF(VLOOKUP(E$4,Countries!$B$2:$AN$55,24,FALSE)&gt;=5,2,1)))))),0)</f>
        <v>4</v>
      </c>
      <c r="AD32" s="62" t="str">
        <f>IFERROR(INDEX(Endemicity!$C$2:$BN$55,MATCH(E$4,Endemicity!$B$2:$B$55,0),MATCH($A32,Endemicity!$C$1:$BN$1,0)),"Sporadic")</f>
        <v>Endemic</v>
      </c>
      <c r="AE32" s="62">
        <f>IF(Settings!$B$48="ON",IFERROR(MATCH($AD32,Settings!$B$35:$F$35,0),5),5)</f>
        <v>1</v>
      </c>
      <c r="AF32" s="62">
        <f>ROUND(MIN(5,IF(Pathogens!I29&gt;=500,5,IF(Pathogens!I29&gt;=200,4,IF(Pathogens!I29&gt;=50,3,IF(Pathogens!I29&gt;=10,2,1))))*0.5+IF(Pathogens!J29&gt;=30,5,IF(Pathogens!J29&gt;=10,4,IF(Pathogens!J29&gt;=3,3,IF(Pathogens!J29&gt;=1,2,1))))*0.4+IF(AND(VLOOKUP(F$4,Countries!$B$2:$AN$55,4,FALSE)&gt;=80,Pathogens!N29&gt;=0.5),1,0)*0.1+IF(VLOOKUP(F$4,Countries!$B$2:$AN$55,7,FALSE)&lt;50,0.3,0)),0)</f>
        <v>3</v>
      </c>
      <c r="AG32" s="62">
        <f>ROUND(MIN(5,IF(Pathogens!K29&gt;=8,5,IF(Pathogens!K29&gt;=5,4,IF(Pathogens!K29&gt;=3,3,IF(Pathogens!K29&gt;=1,2,1))))*0.5+IF(Pathogens!L29&gt;=5,5,IF(Pathogens!L29&gt;=3,4,IF(Pathogens!L29&gt;=2,3,IF(Pathogens!L29&gt;=1.2,2,1))))*0.3+IF(Pathogens!M29=1,2,0)*0.2+IF(VLOOKUP(F$4,Countries!$B$2:$AN$55,12,FALSE)&gt;=2,0.5,0)),0)</f>
        <v>4</v>
      </c>
      <c r="AH32" s="62">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c r="AI32" s="62">
        <f>ROUND(MAX(1,MIN(5,(6-VLOOKUP(F$4,Countries!$B$2:$AN$55,10,FALSE))*0.5+(6-VLOOKUP(F$4,Countries!$B$2:$AN$55,11,FALSE))*0.4+(IF(AND(Pathogens!N29&gt;=0.5,VLOOKUP(F$4,Countries!$B$2:$AN$55,5,FALSE)&lt;60),5,IF(Pathogens!N29&gt;=0.5,4,IF(Pathogens!N29&gt;=0.3,3,IF(Pathogens!N29&gt;=0.1,2,1)))))*0.1)),0)</f>
        <v>2</v>
      </c>
      <c r="AJ32" s="62">
        <f>IF(ISNUMBER(SEARCH("Vaccine-preventable",Pathogens!C29)),2,IF(ISNUMBER(SEARCH("AMR",Pathogens!C29)),5,IF(ISNUMBER(SEARCH("VHF",Pathogens!C29)),4,IF(ISNUMBER(SEARCH("Emerging",Pathogens!C29)),5,IF(ISNUMBER(SEARCH("Mycobacterial",Pathogens!C29)),3,IF(ISNUMBER(SEARCH("Helminth",Pathogens!C29)),3,IF(ISNUMBER(SEARCH("Respiratory",Pathogens!C29)),4,3)))))))</f>
        <v>3</v>
      </c>
      <c r="AK32" s="62">
        <f>IF(ISNUMBER(SEARCH("AMR",Pathogens!C29)),5,IF(ISNUMBER(SEARCH("Mycobacterial",Pathogens!C29)),4,IF(ISNUMBER(SEARCH("Enteric bacterial",Pathogens!C29)),3,IF(ISNUMBER(SEARCH("Bacterial",Pathogens!C29)),3,1))))</f>
        <v>1</v>
      </c>
      <c r="AL3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2" s="62">
        <f>(6-Pathogens!X29)</f>
        <v>4</v>
      </c>
      <c r="AN32" s="62">
        <f>ROUND(MIN(5,MAX(1,0.35*IF(Pathogens!R29=1,5,IF(Pathogens!R29=2,3,1))+0.2*IF(Pathogens!S29=1,5,IF(Pathogens!S29=2,3,1))+0.25*IF(Pathogens!W29=1,IF(VLOOKUP(F$4,Countries!$B$2:$AN$55,38,FALSE)&gt;=3,5,IF(VLOOKUP(F$4,Countries!$B$2:$AN$55,38,FALSE)=2,4,IF(VLOOKUP(F$4,Countries!$B$2:$AN$55,38,FALSE)=1,2,1))),5)+0.2*IF(VLOOKUP(F$4,Countries!$B$2:$AN$55,24,FALSE)&gt;=50,5,IF(VLOOKUP(F$4,Countries!$B$2:$AN$55,24,FALSE)&gt;=25,4,IF(VLOOKUP(F$4,Countries!$B$2:$AN$55,24,FALSE)&gt;=10,3,IF(VLOOKUP(F$4,Countries!$B$2:$AN$55,24,FALSE)&gt;=5,2,1)))))),0)</f>
        <v>4</v>
      </c>
      <c r="AO32" s="62" t="str">
        <f>IFERROR(INDEX(Endemicity!$C$2:$BN$55,MATCH(F$4,Endemicity!$B$2:$B$55,0),MATCH($A32,Endemicity!$C$1:$BN$1,0)),"Sporadic")</f>
        <v>Endemic</v>
      </c>
      <c r="AP32" s="62">
        <f>IF(Settings!$B$48="ON",IFERROR(MATCH($AO32,Settings!$B$35:$F$35,0),5),5)</f>
        <v>1</v>
      </c>
      <c r="AQ32" s="62">
        <f>ROUND(MIN(5,IF(Pathogens!I29&gt;=500,5,IF(Pathogens!I29&gt;=200,4,IF(Pathogens!I29&gt;=50,3,IF(Pathogens!I29&gt;=10,2,1))))*0.5+IF(Pathogens!J29&gt;=30,5,IF(Pathogens!J29&gt;=10,4,IF(Pathogens!J29&gt;=3,3,IF(Pathogens!J29&gt;=1,2,1))))*0.4+IF(AND(VLOOKUP(G$4,Countries!$B$2:$AN$55,4,FALSE)&gt;=80,Pathogens!N29&gt;=0.5),1,0)*0.1+IF(VLOOKUP(G$4,Countries!$B$2:$AN$55,7,FALSE)&lt;50,0.3,0)),0)</f>
        <v>3</v>
      </c>
      <c r="AR32" s="62">
        <f>ROUND(MIN(5,IF(Pathogens!K29&gt;=8,5,IF(Pathogens!K29&gt;=5,4,IF(Pathogens!K29&gt;=3,3,IF(Pathogens!K29&gt;=1,2,1))))*0.5+IF(Pathogens!L29&gt;=5,5,IF(Pathogens!L29&gt;=3,4,IF(Pathogens!L29&gt;=2,3,IF(Pathogens!L29&gt;=1.2,2,1))))*0.3+IF(Pathogens!M29=1,2,0)*0.2+IF(VLOOKUP(G$4,Countries!$B$2:$AN$55,12,FALSE)&gt;=2,0.5,0)),0)</f>
        <v>4</v>
      </c>
      <c r="AS32" s="62">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c r="AT32" s="62">
        <f>ROUND(MAX(1,MIN(5,(6-VLOOKUP(G$4,Countries!$B$2:$AN$55,10,FALSE))*0.5+(6-VLOOKUP(G$4,Countries!$B$2:$AN$55,11,FALSE))*0.4+(IF(AND(Pathogens!N29&gt;=0.5,VLOOKUP(G$4,Countries!$B$2:$AN$55,5,FALSE)&lt;60),5,IF(Pathogens!N29&gt;=0.5,4,IF(Pathogens!N29&gt;=0.3,3,IF(Pathogens!N29&gt;=0.1,2,1)))))*0.1)),0)</f>
        <v>2</v>
      </c>
      <c r="AU32" s="62">
        <f>IF(ISNUMBER(SEARCH("Vaccine-preventable",Pathogens!C29)),2,IF(ISNUMBER(SEARCH("AMR",Pathogens!C29)),5,IF(ISNUMBER(SEARCH("VHF",Pathogens!C29)),4,IF(ISNUMBER(SEARCH("Emerging",Pathogens!C29)),5,IF(ISNUMBER(SEARCH("Mycobacterial",Pathogens!C29)),3,IF(ISNUMBER(SEARCH("Helminth",Pathogens!C29)),3,IF(ISNUMBER(SEARCH("Respiratory",Pathogens!C29)),4,3)))))))</f>
        <v>3</v>
      </c>
      <c r="AV32" s="62">
        <f>IF(ISNUMBER(SEARCH("AMR",Pathogens!C29)),5,IF(ISNUMBER(SEARCH("Mycobacterial",Pathogens!C29)),4,IF(ISNUMBER(SEARCH("Enteric bacterial",Pathogens!C29)),3,IF(ISNUMBER(SEARCH("Bacterial",Pathogens!C29)),3,1))))</f>
        <v>1</v>
      </c>
      <c r="AW3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2" s="62">
        <f>(6-Pathogens!X29)</f>
        <v>4</v>
      </c>
      <c r="AY32" s="62">
        <f>ROUND(MIN(5,MAX(1,0.35*IF(Pathogens!R29=1,5,IF(Pathogens!R29=2,3,1))+0.2*IF(Pathogens!S29=1,5,IF(Pathogens!S29=2,3,1))+0.25*IF(Pathogens!W29=1,IF(VLOOKUP(G$4,Countries!$B$2:$AN$55,38,FALSE)&gt;=3,5,IF(VLOOKUP(G$4,Countries!$B$2:$AN$55,38,FALSE)=2,4,IF(VLOOKUP(G$4,Countries!$B$2:$AN$55,38,FALSE)=1,2,1))),5)+0.2*IF(VLOOKUP(G$4,Countries!$B$2:$AN$55,24,FALSE)&gt;=50,5,IF(VLOOKUP(G$4,Countries!$B$2:$AN$55,24,FALSE)&gt;=25,4,IF(VLOOKUP(G$4,Countries!$B$2:$AN$55,24,FALSE)&gt;=10,3,IF(VLOOKUP(G$4,Countries!$B$2:$AN$55,24,FALSE)&gt;=5,2,1)))))),0)</f>
        <v>4</v>
      </c>
      <c r="AZ32" s="62" t="str">
        <f>IFERROR(INDEX(Endemicity!$C$2:$BN$55,MATCH(G$4,Endemicity!$B$2:$B$55,0),MATCH($A32,Endemicity!$C$1:$BN$1,0)),"Sporadic")</f>
        <v>Endemic</v>
      </c>
      <c r="BA32" s="62">
        <f>IF(Settings!$B$48="ON",IFERROR(MATCH($AZ32,Settings!$B$35:$F$35,0),5),5)</f>
        <v>1</v>
      </c>
    </row>
    <row r="33" customHeight="1" spans="1:53">
      <c r="A33" s="61" t="str">
        <f>Calculator!A62</f>
        <v>PARECH</v>
      </c>
      <c r="B33" s="61" t="str">
        <f>Calculator!B62</f>
        <v>Parechovirus</v>
      </c>
      <c r="C33" s="61" t="str">
        <f>Calculator!C62</f>
        <v>Enteric viral</v>
      </c>
      <c r="D33" s="52">
        <f>IFERROR(ROUND(MIN(100,(($J33)*Settings!$C$23*INDEX(Settings!$B$36:$F$44,1,$T33)+($K33)*Settings!$C$24*INDEX(Settings!$B$36:$F$44,2,$T33)+($L33)*Settings!$C$25*INDEX(Settings!$B$36:$F$44,3,$T33)+($M33)*Settings!$C$26*INDEX(Settings!$B$36:$F$44,4,$T33)+($N33)*Settings!$C$27*INDEX(Settings!$B$36:$F$44,5,$T33)+($O33)*Settings!$C$28*INDEX(Settings!$B$36:$F$44,6,$T33)+($P33)*Settings!$C$29*INDEX(Settings!$B$36:$F$44,7,$T33)+($Q33)*Settings!$C$30*INDEX(Settings!$B$36:$F$44,8,$T33)+($R33)*Settings!$C$31*INDEX(Settings!$B$36:$F$44,9,$T33))/INDEX(Settings!$B$45:$F$45,1,$T33)/5*100*IF($S33="Not present",Settings!$B$51,1)),1),"")</f>
        <v>59.2</v>
      </c>
      <c r="E33" s="52">
        <f>IFERROR(ROUND(MIN(100,(($U33)*Settings!$C$23*INDEX(Settings!$B$36:$F$44,1,$AE33)+($V33)*Settings!$C$24*INDEX(Settings!$B$36:$F$44,2,$AE33)+($W33)*Settings!$C$25*INDEX(Settings!$B$36:$F$44,3,$AE33)+($X33)*Settings!$C$26*INDEX(Settings!$B$36:$F$44,4,$AE33)+($Y33)*Settings!$C$27*INDEX(Settings!$B$36:$F$44,5,$AE33)+($Z33)*Settings!$C$28*INDEX(Settings!$B$36:$F$44,6,$AE33)+($AA33)*Settings!$C$29*INDEX(Settings!$B$36:$F$44,7,$AE33)+($AB33)*Settings!$C$30*INDEX(Settings!$B$36:$F$44,8,$AE33)+($AC33)*Settings!$C$31*INDEX(Settings!$B$36:$F$44,9,$AE33))/INDEX(Settings!$B$45:$F$45,1,$AE33)/5*100*IF($AD33="Not present",Settings!$B$51,1)),1),"")</f>
        <v>64.7</v>
      </c>
      <c r="F33" s="52">
        <f>IFERROR(ROUND(MIN(100,(($AF33)*Settings!$C$23*INDEX(Settings!$B$36:$F$44,1,$AP33)+($AG33)*Settings!$C$24*INDEX(Settings!$B$36:$F$44,2,$AP33)+($AH33)*Settings!$C$25*INDEX(Settings!$B$36:$F$44,3,$AP33)+($AI33)*Settings!$C$26*INDEX(Settings!$B$36:$F$44,4,$AP33)+($AJ33)*Settings!$C$27*INDEX(Settings!$B$36:$F$44,5,$AP33)+($AK33)*Settings!$C$28*INDEX(Settings!$B$36:$F$44,6,$AP33)+($AL33)*Settings!$C$29*INDEX(Settings!$B$36:$F$44,7,$AP33)+($AM33)*Settings!$C$30*INDEX(Settings!$B$36:$F$44,8,$AP33)+($AN33)*Settings!$C$31*INDEX(Settings!$B$36:$F$44,9,$AP33))/INDEX(Settings!$B$45:$F$45,1,$AP33)/5*100*IF($AO33="Not present",Settings!$B$51,1)),1),"")</f>
        <v>59.2</v>
      </c>
      <c r="G33" s="52">
        <f>IFERROR(ROUND(MIN(100,(($AQ33)*Settings!$C$23*INDEX(Settings!$B$36:$F$44,1,$BA33)+($AR33)*Settings!$C$24*INDEX(Settings!$B$36:$F$44,2,$BA33)+($AS33)*Settings!$C$25*INDEX(Settings!$B$36:$F$44,3,$BA33)+($AT33)*Settings!$C$26*INDEX(Settings!$B$36:$F$44,4,$BA33)+($AU33)*Settings!$C$27*INDEX(Settings!$B$36:$F$44,5,$BA33)+($AV33)*Settings!$C$28*INDEX(Settings!$B$36:$F$44,6,$BA33)+($AW33)*Settings!$C$29*INDEX(Settings!$B$36:$F$44,7,$BA33)+($AX33)*Settings!$C$30*INDEX(Settings!$B$36:$F$44,8,$BA33)+($AY33)*Settings!$C$31*INDEX(Settings!$B$36:$F$44,9,$BA33))/INDEX(Settings!$B$45:$F$45,1,$BA33)/5*100*IF($AZ33="Not present",Settings!$B$51,1)),1),"")</f>
        <v>61</v>
      </c>
      <c r="J33" s="62">
        <f>ROUND(MIN(5,IF(Pathogens!I30&gt;=500,5,IF(Pathogens!I30&gt;=200,4,IF(Pathogens!I30&gt;=50,3,IF(Pathogens!I30&gt;=10,2,1))))*0.5+IF(Pathogens!J30&gt;=30,5,IF(Pathogens!J30&gt;=10,4,IF(Pathogens!J30&gt;=3,3,IF(Pathogens!J30&gt;=1,2,1))))*0.4+IF(AND(VLOOKUP(D$4,Countries!$B$2:$AN$55,4,FALSE)&gt;=80,Pathogens!N30&gt;=0.5),1,0)*0.1+IF(VLOOKUP(D$4,Countries!$B$2:$AN$55,7,FALSE)&lt;50,0.3,0)),0)</f>
        <v>2</v>
      </c>
      <c r="K33" s="62">
        <f>ROUND(MIN(5,IF(Pathogens!K30&gt;=8,5,IF(Pathogens!K30&gt;=5,4,IF(Pathogens!K30&gt;=3,3,IF(Pathogens!K30&gt;=1,2,1))))*0.5+IF(Pathogens!L30&gt;=5,5,IF(Pathogens!L30&gt;=3,4,IF(Pathogens!L30&gt;=2,3,IF(Pathogens!L30&gt;=1.2,2,1))))*0.3+IF(Pathogens!M30=1,2,0)*0.2+IF(VLOOKUP(D$4,Countries!$B$2:$AN$55,12,FALSE)&gt;=2,0.5,0)),0)</f>
        <v>3</v>
      </c>
      <c r="L33" s="62">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c r="M33" s="62">
        <f>ROUND(MAX(1,MIN(5,(6-VLOOKUP(D$4,Countries!$B$2:$AN$55,10,FALSE))*0.5+(6-VLOOKUP(D$4,Countries!$B$2:$AN$55,11,FALSE))*0.4+(IF(AND(Pathogens!N30&gt;=0.5,VLOOKUP(D$4,Countries!$B$2:$AN$55,5,FALSE)&lt;60),5,IF(Pathogens!N30&gt;=0.5,4,IF(Pathogens!N30&gt;=0.3,3,IF(Pathogens!N30&gt;=0.1,2,1)))))*0.1)),0)</f>
        <v>2</v>
      </c>
      <c r="N33" s="62">
        <f>IF(ISNUMBER(SEARCH("Vaccine-preventable",Pathogens!C30)),2,IF(ISNUMBER(SEARCH("AMR",Pathogens!C30)),5,IF(ISNUMBER(SEARCH("VHF",Pathogens!C30)),4,IF(ISNUMBER(SEARCH("Emerging",Pathogens!C30)),5,IF(ISNUMBER(SEARCH("Mycobacterial",Pathogens!C30)),3,IF(ISNUMBER(SEARCH("Helminth",Pathogens!C30)),3,IF(ISNUMBER(SEARCH("Respiratory",Pathogens!C30)),4,3)))))))</f>
        <v>3</v>
      </c>
      <c r="O33" s="62">
        <f>IF(ISNUMBER(SEARCH("AMR",Pathogens!C30)),5,IF(ISNUMBER(SEARCH("Mycobacterial",Pathogens!C30)),4,IF(ISNUMBER(SEARCH("Enteric bacterial",Pathogens!C30)),3,IF(ISNUMBER(SEARCH("Bacterial",Pathogens!C30)),3,1))))</f>
        <v>1</v>
      </c>
      <c r="P3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3" s="62">
        <f>(6-Pathogens!X30)</f>
        <v>5</v>
      </c>
      <c r="R33" s="62">
        <f>ROUND(MIN(5,MAX(1,0.35*IF(Pathogens!R30=1,5,IF(Pathogens!R30=2,3,1))+0.2*IF(Pathogens!S30=1,5,IF(Pathogens!S30=2,3,1))+0.25*IF(Pathogens!W30=1,IF(VLOOKUP(D$4,Countries!$B$2:$AN$55,38,FALSE)&gt;=3,5,IF(VLOOKUP(D$4,Countries!$B$2:$AN$55,38,FALSE)=2,4,IF(VLOOKUP(D$4,Countries!$B$2:$AN$55,38,FALSE)=1,2,1))),5)+0.2*IF(VLOOKUP(D$4,Countries!$B$2:$AN$55,24,FALSE)&gt;=50,5,IF(VLOOKUP(D$4,Countries!$B$2:$AN$55,24,FALSE)&gt;=25,4,IF(VLOOKUP(D$4,Countries!$B$2:$AN$55,24,FALSE)&gt;=10,3,IF(VLOOKUP(D$4,Countries!$B$2:$AN$55,24,FALSE)&gt;=5,2,1)))))),0)</f>
        <v>4</v>
      </c>
      <c r="S33" s="62" t="str">
        <f>IFERROR(INDEX(Endemicity!$C$2:$BN$55,MATCH(D$4,Endemicity!$B$2:$B$55,0),MATCH($A33,Endemicity!$C$1:$BN$1,0)),"Sporadic")</f>
        <v>Endemic</v>
      </c>
      <c r="T33" s="62">
        <f>IF(Settings!$B$48="ON",IFERROR(MATCH($S33,Settings!$B$35:$F$35,0),5),5)</f>
        <v>1</v>
      </c>
      <c r="U33" s="62">
        <f>ROUND(MIN(5,IF(Pathogens!I30&gt;=500,5,IF(Pathogens!I30&gt;=200,4,IF(Pathogens!I30&gt;=50,3,IF(Pathogens!I30&gt;=10,2,1))))*0.5+IF(Pathogens!J30&gt;=30,5,IF(Pathogens!J30&gt;=10,4,IF(Pathogens!J30&gt;=3,3,IF(Pathogens!J30&gt;=1,2,1))))*0.4+IF(AND(VLOOKUP(E$4,Countries!$B$2:$AN$55,4,FALSE)&gt;=80,Pathogens!N30&gt;=0.5),1,0)*0.1+IF(VLOOKUP(E$4,Countries!$B$2:$AN$55,7,FALSE)&lt;50,0.3,0)),0)</f>
        <v>2</v>
      </c>
      <c r="V33" s="62">
        <f>ROUND(MIN(5,IF(Pathogens!K30&gt;=8,5,IF(Pathogens!K30&gt;=5,4,IF(Pathogens!K30&gt;=3,3,IF(Pathogens!K30&gt;=1,2,1))))*0.5+IF(Pathogens!L30&gt;=5,5,IF(Pathogens!L30&gt;=3,4,IF(Pathogens!L30&gt;=2,3,IF(Pathogens!L30&gt;=1.2,2,1))))*0.3+IF(Pathogens!M30=1,2,0)*0.2+IF(VLOOKUP(E$4,Countries!$B$2:$AN$55,12,FALSE)&gt;=2,0.5,0)),0)</f>
        <v>3</v>
      </c>
      <c r="W33" s="62">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c r="X33" s="62">
        <f>ROUND(MAX(1,MIN(5,(6-VLOOKUP(E$4,Countries!$B$2:$AN$55,10,FALSE))*0.5+(6-VLOOKUP(E$4,Countries!$B$2:$AN$55,11,FALSE))*0.4+(IF(AND(Pathogens!N30&gt;=0.5,VLOOKUP(E$4,Countries!$B$2:$AN$55,5,FALSE)&lt;60),5,IF(Pathogens!N30&gt;=0.5,4,IF(Pathogens!N30&gt;=0.3,3,IF(Pathogens!N30&gt;=0.1,2,1)))))*0.1)),0)</f>
        <v>3</v>
      </c>
      <c r="Y33" s="62">
        <f>IF(ISNUMBER(SEARCH("Vaccine-preventable",Pathogens!C30)),2,IF(ISNUMBER(SEARCH("AMR",Pathogens!C30)),5,IF(ISNUMBER(SEARCH("VHF",Pathogens!C30)),4,IF(ISNUMBER(SEARCH("Emerging",Pathogens!C30)),5,IF(ISNUMBER(SEARCH("Mycobacterial",Pathogens!C30)),3,IF(ISNUMBER(SEARCH("Helminth",Pathogens!C30)),3,IF(ISNUMBER(SEARCH("Respiratory",Pathogens!C30)),4,3)))))))</f>
        <v>3</v>
      </c>
      <c r="Z33" s="62">
        <f>IF(ISNUMBER(SEARCH("AMR",Pathogens!C30)),5,IF(ISNUMBER(SEARCH("Mycobacterial",Pathogens!C30)),4,IF(ISNUMBER(SEARCH("Enteric bacterial",Pathogens!C30)),3,IF(ISNUMBER(SEARCH("Bacterial",Pathogens!C30)),3,1))))</f>
        <v>1</v>
      </c>
      <c r="AA3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3" s="62">
        <f>(6-Pathogens!X30)</f>
        <v>5</v>
      </c>
      <c r="AC33" s="62">
        <f>ROUND(MIN(5,MAX(1,0.35*IF(Pathogens!R30=1,5,IF(Pathogens!R30=2,3,1))+0.2*IF(Pathogens!S30=1,5,IF(Pathogens!S30=2,3,1))+0.25*IF(Pathogens!W30=1,IF(VLOOKUP(E$4,Countries!$B$2:$AN$55,38,FALSE)&gt;=3,5,IF(VLOOKUP(E$4,Countries!$B$2:$AN$55,38,FALSE)=2,4,IF(VLOOKUP(E$4,Countries!$B$2:$AN$55,38,FALSE)=1,2,1))),5)+0.2*IF(VLOOKUP(E$4,Countries!$B$2:$AN$55,24,FALSE)&gt;=50,5,IF(VLOOKUP(E$4,Countries!$B$2:$AN$55,24,FALSE)&gt;=25,4,IF(VLOOKUP(E$4,Countries!$B$2:$AN$55,24,FALSE)&gt;=10,3,IF(VLOOKUP(E$4,Countries!$B$2:$AN$55,24,FALSE)&gt;=5,2,1)))))),0)</f>
        <v>4</v>
      </c>
      <c r="AD33" s="62" t="str">
        <f>IFERROR(INDEX(Endemicity!$C$2:$BN$55,MATCH(E$4,Endemicity!$B$2:$B$55,0),MATCH($A33,Endemicity!$C$1:$BN$1,0)),"Sporadic")</f>
        <v>Endemic</v>
      </c>
      <c r="AE33" s="62">
        <f>IF(Settings!$B$48="ON",IFERROR(MATCH($AD33,Settings!$B$35:$F$35,0),5),5)</f>
        <v>1</v>
      </c>
      <c r="AF33" s="62">
        <f>ROUND(MIN(5,IF(Pathogens!I30&gt;=500,5,IF(Pathogens!I30&gt;=200,4,IF(Pathogens!I30&gt;=50,3,IF(Pathogens!I30&gt;=10,2,1))))*0.5+IF(Pathogens!J30&gt;=30,5,IF(Pathogens!J30&gt;=10,4,IF(Pathogens!J30&gt;=3,3,IF(Pathogens!J30&gt;=1,2,1))))*0.4+IF(AND(VLOOKUP(F$4,Countries!$B$2:$AN$55,4,FALSE)&gt;=80,Pathogens!N30&gt;=0.5),1,0)*0.1+IF(VLOOKUP(F$4,Countries!$B$2:$AN$55,7,FALSE)&lt;50,0.3,0)),0)</f>
        <v>2</v>
      </c>
      <c r="AG33" s="62">
        <f>ROUND(MIN(5,IF(Pathogens!K30&gt;=8,5,IF(Pathogens!K30&gt;=5,4,IF(Pathogens!K30&gt;=3,3,IF(Pathogens!K30&gt;=1,2,1))))*0.5+IF(Pathogens!L30&gt;=5,5,IF(Pathogens!L30&gt;=3,4,IF(Pathogens!L30&gt;=2,3,IF(Pathogens!L30&gt;=1.2,2,1))))*0.3+IF(Pathogens!M30=1,2,0)*0.2+IF(VLOOKUP(F$4,Countries!$B$2:$AN$55,12,FALSE)&gt;=2,0.5,0)),0)</f>
        <v>3</v>
      </c>
      <c r="AH33" s="62">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c r="AI33" s="62">
        <f>ROUND(MAX(1,MIN(5,(6-VLOOKUP(F$4,Countries!$B$2:$AN$55,10,FALSE))*0.5+(6-VLOOKUP(F$4,Countries!$B$2:$AN$55,11,FALSE))*0.4+(IF(AND(Pathogens!N30&gt;=0.5,VLOOKUP(F$4,Countries!$B$2:$AN$55,5,FALSE)&lt;60),5,IF(Pathogens!N30&gt;=0.5,4,IF(Pathogens!N30&gt;=0.3,3,IF(Pathogens!N30&gt;=0.1,2,1)))))*0.1)),0)</f>
        <v>2</v>
      </c>
      <c r="AJ33" s="62">
        <f>IF(ISNUMBER(SEARCH("Vaccine-preventable",Pathogens!C30)),2,IF(ISNUMBER(SEARCH("AMR",Pathogens!C30)),5,IF(ISNUMBER(SEARCH("VHF",Pathogens!C30)),4,IF(ISNUMBER(SEARCH("Emerging",Pathogens!C30)),5,IF(ISNUMBER(SEARCH("Mycobacterial",Pathogens!C30)),3,IF(ISNUMBER(SEARCH("Helminth",Pathogens!C30)),3,IF(ISNUMBER(SEARCH("Respiratory",Pathogens!C30)),4,3)))))))</f>
        <v>3</v>
      </c>
      <c r="AK33" s="62">
        <f>IF(ISNUMBER(SEARCH("AMR",Pathogens!C30)),5,IF(ISNUMBER(SEARCH("Mycobacterial",Pathogens!C30)),4,IF(ISNUMBER(SEARCH("Enteric bacterial",Pathogens!C30)),3,IF(ISNUMBER(SEARCH("Bacterial",Pathogens!C30)),3,1))))</f>
        <v>1</v>
      </c>
      <c r="AL3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3" s="62">
        <f>(6-Pathogens!X30)</f>
        <v>5</v>
      </c>
      <c r="AN33" s="62">
        <f>ROUND(MIN(5,MAX(1,0.35*IF(Pathogens!R30=1,5,IF(Pathogens!R30=2,3,1))+0.2*IF(Pathogens!S30=1,5,IF(Pathogens!S30=2,3,1))+0.25*IF(Pathogens!W30=1,IF(VLOOKUP(F$4,Countries!$B$2:$AN$55,38,FALSE)&gt;=3,5,IF(VLOOKUP(F$4,Countries!$B$2:$AN$55,38,FALSE)=2,4,IF(VLOOKUP(F$4,Countries!$B$2:$AN$55,38,FALSE)=1,2,1))),5)+0.2*IF(VLOOKUP(F$4,Countries!$B$2:$AN$55,24,FALSE)&gt;=50,5,IF(VLOOKUP(F$4,Countries!$B$2:$AN$55,24,FALSE)&gt;=25,4,IF(VLOOKUP(F$4,Countries!$B$2:$AN$55,24,FALSE)&gt;=10,3,IF(VLOOKUP(F$4,Countries!$B$2:$AN$55,24,FALSE)&gt;=5,2,1)))))),0)</f>
        <v>4</v>
      </c>
      <c r="AO33" s="62" t="str">
        <f>IFERROR(INDEX(Endemicity!$C$2:$BN$55,MATCH(F$4,Endemicity!$B$2:$B$55,0),MATCH($A33,Endemicity!$C$1:$BN$1,0)),"Sporadic")</f>
        <v>Endemic</v>
      </c>
      <c r="AP33" s="62">
        <f>IF(Settings!$B$48="ON",IFERROR(MATCH($AO33,Settings!$B$35:$F$35,0),5),5)</f>
        <v>1</v>
      </c>
      <c r="AQ33" s="62">
        <f>ROUND(MIN(5,IF(Pathogens!I30&gt;=500,5,IF(Pathogens!I30&gt;=200,4,IF(Pathogens!I30&gt;=50,3,IF(Pathogens!I30&gt;=10,2,1))))*0.5+IF(Pathogens!J30&gt;=30,5,IF(Pathogens!J30&gt;=10,4,IF(Pathogens!J30&gt;=3,3,IF(Pathogens!J30&gt;=1,2,1))))*0.4+IF(AND(VLOOKUP(G$4,Countries!$B$2:$AN$55,4,FALSE)&gt;=80,Pathogens!N30&gt;=0.5),1,0)*0.1+IF(VLOOKUP(G$4,Countries!$B$2:$AN$55,7,FALSE)&lt;50,0.3,0)),0)</f>
        <v>2</v>
      </c>
      <c r="AR33" s="62">
        <f>ROUND(MIN(5,IF(Pathogens!K30&gt;=8,5,IF(Pathogens!K30&gt;=5,4,IF(Pathogens!K30&gt;=3,3,IF(Pathogens!K30&gt;=1,2,1))))*0.5+IF(Pathogens!L30&gt;=5,5,IF(Pathogens!L30&gt;=3,4,IF(Pathogens!L30&gt;=2,3,IF(Pathogens!L30&gt;=1.2,2,1))))*0.3+IF(Pathogens!M30=1,2,0)*0.2+IF(VLOOKUP(G$4,Countries!$B$2:$AN$55,12,FALSE)&gt;=2,0.5,0)),0)</f>
        <v>3</v>
      </c>
      <c r="AS33" s="62">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c r="AT33" s="62">
        <f>ROUND(MAX(1,MIN(5,(6-VLOOKUP(G$4,Countries!$B$2:$AN$55,10,FALSE))*0.5+(6-VLOOKUP(G$4,Countries!$B$2:$AN$55,11,FALSE))*0.4+(IF(AND(Pathogens!N30&gt;=0.5,VLOOKUP(G$4,Countries!$B$2:$AN$55,5,FALSE)&lt;60),5,IF(Pathogens!N30&gt;=0.5,4,IF(Pathogens!N30&gt;=0.3,3,IF(Pathogens!N30&gt;=0.1,2,1)))))*0.1)),0)</f>
        <v>2</v>
      </c>
      <c r="AU33" s="62">
        <f>IF(ISNUMBER(SEARCH("Vaccine-preventable",Pathogens!C30)),2,IF(ISNUMBER(SEARCH("AMR",Pathogens!C30)),5,IF(ISNUMBER(SEARCH("VHF",Pathogens!C30)),4,IF(ISNUMBER(SEARCH("Emerging",Pathogens!C30)),5,IF(ISNUMBER(SEARCH("Mycobacterial",Pathogens!C30)),3,IF(ISNUMBER(SEARCH("Helminth",Pathogens!C30)),3,IF(ISNUMBER(SEARCH("Respiratory",Pathogens!C30)),4,3)))))))</f>
        <v>3</v>
      </c>
      <c r="AV33" s="62">
        <f>IF(ISNUMBER(SEARCH("AMR",Pathogens!C30)),5,IF(ISNUMBER(SEARCH("Mycobacterial",Pathogens!C30)),4,IF(ISNUMBER(SEARCH("Enteric bacterial",Pathogens!C30)),3,IF(ISNUMBER(SEARCH("Bacterial",Pathogens!C30)),3,1))))</f>
        <v>1</v>
      </c>
      <c r="AW3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3" s="62">
        <f>(6-Pathogens!X30)</f>
        <v>5</v>
      </c>
      <c r="AY33" s="62">
        <f>ROUND(MIN(5,MAX(1,0.35*IF(Pathogens!R30=1,5,IF(Pathogens!R30=2,3,1))+0.2*IF(Pathogens!S30=1,5,IF(Pathogens!S30=2,3,1))+0.25*IF(Pathogens!W30=1,IF(VLOOKUP(G$4,Countries!$B$2:$AN$55,38,FALSE)&gt;=3,5,IF(VLOOKUP(G$4,Countries!$B$2:$AN$55,38,FALSE)=2,4,IF(VLOOKUP(G$4,Countries!$B$2:$AN$55,38,FALSE)=1,2,1))),5)+0.2*IF(VLOOKUP(G$4,Countries!$B$2:$AN$55,24,FALSE)&gt;=50,5,IF(VLOOKUP(G$4,Countries!$B$2:$AN$55,24,FALSE)&gt;=25,4,IF(VLOOKUP(G$4,Countries!$B$2:$AN$55,24,FALSE)&gt;=10,3,IF(VLOOKUP(G$4,Countries!$B$2:$AN$55,24,FALSE)&gt;=5,2,1)))))),0)</f>
        <v>4</v>
      </c>
      <c r="AZ33" s="62" t="str">
        <f>IFERROR(INDEX(Endemicity!$C$2:$BN$55,MATCH(G$4,Endemicity!$B$2:$B$55,0),MATCH($A33,Endemicity!$C$1:$BN$1,0)),"Sporadic")</f>
        <v>Endemic</v>
      </c>
      <c r="BA33" s="62">
        <f>IF(Settings!$B$48="ON",IFERROR(MATCH($AZ33,Settings!$B$35:$F$35,0),5),5)</f>
        <v>1</v>
      </c>
    </row>
    <row r="34" customHeight="1" spans="1:53">
      <c r="A34" s="61" t="str">
        <f>Calculator!A63</f>
        <v>VCHOL</v>
      </c>
      <c r="B34" s="61" t="str">
        <f>Calculator!B63</f>
        <v>Vibrio cholerae O1/O139</v>
      </c>
      <c r="C34" s="61" t="str">
        <f>Calculator!C63</f>
        <v>Enteric bacterial</v>
      </c>
      <c r="D34" s="52">
        <f>IFERROR(ROUND(MIN(100,(($J34)*Settings!$C$23*INDEX(Settings!$B$36:$F$44,1,$T34)+($K34)*Settings!$C$24*INDEX(Settings!$B$36:$F$44,2,$T34)+($L34)*Settings!$C$25*INDEX(Settings!$B$36:$F$44,3,$T34)+($M34)*Settings!$C$26*INDEX(Settings!$B$36:$F$44,4,$T34)+($N34)*Settings!$C$27*INDEX(Settings!$B$36:$F$44,5,$T34)+($O34)*Settings!$C$28*INDEX(Settings!$B$36:$F$44,6,$T34)+($P34)*Settings!$C$29*INDEX(Settings!$B$36:$F$44,7,$T34)+($Q34)*Settings!$C$30*INDEX(Settings!$B$36:$F$44,8,$T34)+($R34)*Settings!$C$31*INDEX(Settings!$B$36:$F$44,9,$T34))/INDEX(Settings!$B$45:$F$45,1,$T34)/5*100*IF($S34="Not present",Settings!$B$51,1)),1),"")</f>
        <v>63.8</v>
      </c>
      <c r="E34" s="52">
        <f>IFERROR(ROUND(MIN(100,(($U34)*Settings!$C$23*INDEX(Settings!$B$36:$F$44,1,$AE34)+($V34)*Settings!$C$24*INDEX(Settings!$B$36:$F$44,2,$AE34)+($W34)*Settings!$C$25*INDEX(Settings!$B$36:$F$44,3,$AE34)+($X34)*Settings!$C$26*INDEX(Settings!$B$36:$F$44,4,$AE34)+($Y34)*Settings!$C$27*INDEX(Settings!$B$36:$F$44,5,$AE34)+($Z34)*Settings!$C$28*INDEX(Settings!$B$36:$F$44,6,$AE34)+($AA34)*Settings!$C$29*INDEX(Settings!$B$36:$F$44,7,$AE34)+($AB34)*Settings!$C$30*INDEX(Settings!$B$36:$F$44,8,$AE34)+($AC34)*Settings!$C$31*INDEX(Settings!$B$36:$F$44,9,$AE34))/INDEX(Settings!$B$45:$F$45,1,$AE34)/5*100*IF($AD34="Not present",Settings!$B$51,1)),1),"")</f>
        <v>66.5</v>
      </c>
      <c r="F34" s="52">
        <f>IFERROR(ROUND(MIN(100,(($AF34)*Settings!$C$23*INDEX(Settings!$B$36:$F$44,1,$AP34)+($AG34)*Settings!$C$24*INDEX(Settings!$B$36:$F$44,2,$AP34)+($AH34)*Settings!$C$25*INDEX(Settings!$B$36:$F$44,3,$AP34)+($AI34)*Settings!$C$26*INDEX(Settings!$B$36:$F$44,4,$AP34)+($AJ34)*Settings!$C$27*INDEX(Settings!$B$36:$F$44,5,$AP34)+($AK34)*Settings!$C$28*INDEX(Settings!$B$36:$F$44,6,$AP34)+($AL34)*Settings!$C$29*INDEX(Settings!$B$36:$F$44,7,$AP34)+($AM34)*Settings!$C$30*INDEX(Settings!$B$36:$F$44,8,$AP34)+($AN34)*Settings!$C$31*INDEX(Settings!$B$36:$F$44,9,$AP34))/INDEX(Settings!$B$45:$F$45,1,$AP34)/5*100*IF($AO34="Not present",Settings!$B$51,1)),1),"")</f>
        <v>61</v>
      </c>
      <c r="G34" s="52">
        <f>IFERROR(ROUND(MIN(100,(($AQ34)*Settings!$C$23*INDEX(Settings!$B$36:$F$44,1,$BA34)+($AR34)*Settings!$C$24*INDEX(Settings!$B$36:$F$44,2,$BA34)+($AS34)*Settings!$C$25*INDEX(Settings!$B$36:$F$44,3,$BA34)+($AT34)*Settings!$C$26*INDEX(Settings!$B$36:$F$44,4,$BA34)+($AU34)*Settings!$C$27*INDEX(Settings!$B$36:$F$44,5,$BA34)+($AV34)*Settings!$C$28*INDEX(Settings!$B$36:$F$44,6,$BA34)+($AW34)*Settings!$C$29*INDEX(Settings!$B$36:$F$44,7,$BA34)+($AX34)*Settings!$C$30*INDEX(Settings!$B$36:$F$44,8,$BA34)+($AY34)*Settings!$C$31*INDEX(Settings!$B$36:$F$44,9,$BA34))/INDEX(Settings!$B$45:$F$45,1,$BA34)/5*100*IF($AZ34="Not present",Settings!$B$51,1)),1),"")</f>
        <v>62.8</v>
      </c>
      <c r="J34" s="62">
        <f>ROUND(MIN(5,IF(Pathogens!I31&gt;=500,5,IF(Pathogens!I31&gt;=200,4,IF(Pathogens!I31&gt;=50,3,IF(Pathogens!I31&gt;=10,2,1))))*0.5+IF(Pathogens!J31&gt;=30,5,IF(Pathogens!J31&gt;=10,4,IF(Pathogens!J31&gt;=3,3,IF(Pathogens!J31&gt;=1,2,1))))*0.4+IF(AND(VLOOKUP(D$4,Countries!$B$2:$AN$55,4,FALSE)&gt;=80,Pathogens!N31&gt;=0.5),1,0)*0.1+IF(VLOOKUP(D$4,Countries!$B$2:$AN$55,7,FALSE)&lt;50,0.3,0)),0)</f>
        <v>2</v>
      </c>
      <c r="K34" s="62">
        <f>ROUND(MIN(5,IF(Pathogens!K31&gt;=8,5,IF(Pathogens!K31&gt;=5,4,IF(Pathogens!K31&gt;=3,3,IF(Pathogens!K31&gt;=1,2,1))))*0.5+IF(Pathogens!L31&gt;=5,5,IF(Pathogens!L31&gt;=3,4,IF(Pathogens!L31&gt;=2,3,IF(Pathogens!L31&gt;=1.2,2,1))))*0.3+IF(Pathogens!M31=1,2,0)*0.2+IF(VLOOKUP(D$4,Countries!$B$2:$AN$55,12,FALSE)&gt;=2,0.5,0)),0)</f>
        <v>4</v>
      </c>
      <c r="L34" s="62">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c r="M34" s="62">
        <f>ROUND(MAX(1,MIN(5,(6-VLOOKUP(D$4,Countries!$B$2:$AN$55,10,FALSE))*0.5+(6-VLOOKUP(D$4,Countries!$B$2:$AN$55,11,FALSE))*0.4+(IF(AND(Pathogens!N31&gt;=0.5,VLOOKUP(D$4,Countries!$B$2:$AN$55,5,FALSE)&lt;60),5,IF(Pathogens!N31&gt;=0.5,4,IF(Pathogens!N31&gt;=0.3,3,IF(Pathogens!N31&gt;=0.1,2,1)))))*0.1)),0)</f>
        <v>2</v>
      </c>
      <c r="N34" s="62">
        <f>IF(ISNUMBER(SEARCH("Vaccine-preventable",Pathogens!C31)),2,IF(ISNUMBER(SEARCH("AMR",Pathogens!C31)),5,IF(ISNUMBER(SEARCH("VHF",Pathogens!C31)),4,IF(ISNUMBER(SEARCH("Emerging",Pathogens!C31)),5,IF(ISNUMBER(SEARCH("Mycobacterial",Pathogens!C31)),3,IF(ISNUMBER(SEARCH("Helminth",Pathogens!C31)),3,IF(ISNUMBER(SEARCH("Respiratory",Pathogens!C31)),4,3)))))))</f>
        <v>3</v>
      </c>
      <c r="O34" s="62">
        <f>IF(ISNUMBER(SEARCH("AMR",Pathogens!C31)),5,IF(ISNUMBER(SEARCH("Mycobacterial",Pathogens!C31)),4,IF(ISNUMBER(SEARCH("Enteric bacterial",Pathogens!C31)),3,IF(ISNUMBER(SEARCH("Bacterial",Pathogens!C31)),3,1))))</f>
        <v>3</v>
      </c>
      <c r="P3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4" s="62">
        <f>(6-Pathogens!X31)</f>
        <v>2</v>
      </c>
      <c r="R34" s="62">
        <f>ROUND(MIN(5,MAX(1,0.35*IF(Pathogens!R31=1,5,IF(Pathogens!R31=2,3,1))+0.2*IF(Pathogens!S31=1,5,IF(Pathogens!S31=2,3,1))+0.25*IF(Pathogens!W31=1,IF(VLOOKUP(D$4,Countries!$B$2:$AN$55,38,FALSE)&gt;=3,5,IF(VLOOKUP(D$4,Countries!$B$2:$AN$55,38,FALSE)=2,4,IF(VLOOKUP(D$4,Countries!$B$2:$AN$55,38,FALSE)=1,2,1))),5)+0.2*IF(VLOOKUP(D$4,Countries!$B$2:$AN$55,24,FALSE)&gt;=50,5,IF(VLOOKUP(D$4,Countries!$B$2:$AN$55,24,FALSE)&gt;=25,4,IF(VLOOKUP(D$4,Countries!$B$2:$AN$55,24,FALSE)&gt;=10,3,IF(VLOOKUP(D$4,Countries!$B$2:$AN$55,24,FALSE)&gt;=5,2,1)))))),0)</f>
        <v>5</v>
      </c>
      <c r="S34" s="62" t="str">
        <f>IFERROR(INDEX(Endemicity!$C$2:$BN$55,MATCH(D$4,Endemicity!$B$2:$B$55,0),MATCH($A34,Endemicity!$C$1:$BN$1,0)),"Sporadic")</f>
        <v>Endemic</v>
      </c>
      <c r="T34" s="62">
        <f>IF(Settings!$B$48="ON",IFERROR(MATCH($S34,Settings!$B$35:$F$35,0),5),5)</f>
        <v>1</v>
      </c>
      <c r="U34" s="62">
        <f>ROUND(MIN(5,IF(Pathogens!I31&gt;=500,5,IF(Pathogens!I31&gt;=200,4,IF(Pathogens!I31&gt;=50,3,IF(Pathogens!I31&gt;=10,2,1))))*0.5+IF(Pathogens!J31&gt;=30,5,IF(Pathogens!J31&gt;=10,4,IF(Pathogens!J31&gt;=3,3,IF(Pathogens!J31&gt;=1,2,1))))*0.4+IF(AND(VLOOKUP(E$4,Countries!$B$2:$AN$55,4,FALSE)&gt;=80,Pathogens!N31&gt;=0.5),1,0)*0.1+IF(VLOOKUP(E$4,Countries!$B$2:$AN$55,7,FALSE)&lt;50,0.3,0)),0)</f>
        <v>2</v>
      </c>
      <c r="V34" s="62">
        <f>ROUND(MIN(5,IF(Pathogens!K31&gt;=8,5,IF(Pathogens!K31&gt;=5,4,IF(Pathogens!K31&gt;=3,3,IF(Pathogens!K31&gt;=1,2,1))))*0.5+IF(Pathogens!L31&gt;=5,5,IF(Pathogens!L31&gt;=3,4,IF(Pathogens!L31&gt;=2,3,IF(Pathogens!L31&gt;=1.2,2,1))))*0.3+IF(Pathogens!M31=1,2,0)*0.2+IF(VLOOKUP(E$4,Countries!$B$2:$AN$55,12,FALSE)&gt;=2,0.5,0)),0)</f>
        <v>4</v>
      </c>
      <c r="W34" s="62">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c r="X34" s="62">
        <f>ROUND(MAX(1,MIN(5,(6-VLOOKUP(E$4,Countries!$B$2:$AN$55,10,FALSE))*0.5+(6-VLOOKUP(E$4,Countries!$B$2:$AN$55,11,FALSE))*0.4+(IF(AND(Pathogens!N31&gt;=0.5,VLOOKUP(E$4,Countries!$B$2:$AN$55,5,FALSE)&lt;60),5,IF(Pathogens!N31&gt;=0.5,4,IF(Pathogens!N31&gt;=0.3,3,IF(Pathogens!N31&gt;=0.1,2,1)))))*0.1)),0)</f>
        <v>3</v>
      </c>
      <c r="Y34" s="62">
        <f>IF(ISNUMBER(SEARCH("Vaccine-preventable",Pathogens!C31)),2,IF(ISNUMBER(SEARCH("AMR",Pathogens!C31)),5,IF(ISNUMBER(SEARCH("VHF",Pathogens!C31)),4,IF(ISNUMBER(SEARCH("Emerging",Pathogens!C31)),5,IF(ISNUMBER(SEARCH("Mycobacterial",Pathogens!C31)),3,IF(ISNUMBER(SEARCH("Helminth",Pathogens!C31)),3,IF(ISNUMBER(SEARCH("Respiratory",Pathogens!C31)),4,3)))))))</f>
        <v>3</v>
      </c>
      <c r="Z34" s="62">
        <f>IF(ISNUMBER(SEARCH("AMR",Pathogens!C31)),5,IF(ISNUMBER(SEARCH("Mycobacterial",Pathogens!C31)),4,IF(ISNUMBER(SEARCH("Enteric bacterial",Pathogens!C31)),3,IF(ISNUMBER(SEARCH("Bacterial",Pathogens!C31)),3,1))))</f>
        <v>3</v>
      </c>
      <c r="AA3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4" s="62">
        <f>(6-Pathogens!X31)</f>
        <v>2</v>
      </c>
      <c r="AC34" s="62">
        <f>ROUND(MIN(5,MAX(1,0.35*IF(Pathogens!R31=1,5,IF(Pathogens!R31=2,3,1))+0.2*IF(Pathogens!S31=1,5,IF(Pathogens!S31=2,3,1))+0.25*IF(Pathogens!W31=1,IF(VLOOKUP(E$4,Countries!$B$2:$AN$55,38,FALSE)&gt;=3,5,IF(VLOOKUP(E$4,Countries!$B$2:$AN$55,38,FALSE)=2,4,IF(VLOOKUP(E$4,Countries!$B$2:$AN$55,38,FALSE)=1,2,1))),5)+0.2*IF(VLOOKUP(E$4,Countries!$B$2:$AN$55,24,FALSE)&gt;=50,5,IF(VLOOKUP(E$4,Countries!$B$2:$AN$55,24,FALSE)&gt;=25,4,IF(VLOOKUP(E$4,Countries!$B$2:$AN$55,24,FALSE)&gt;=10,3,IF(VLOOKUP(E$4,Countries!$B$2:$AN$55,24,FALSE)&gt;=5,2,1)))))),0)</f>
        <v>4</v>
      </c>
      <c r="AD34" s="62" t="str">
        <f>IFERROR(INDEX(Endemicity!$C$2:$BN$55,MATCH(E$4,Endemicity!$B$2:$B$55,0),MATCH($A34,Endemicity!$C$1:$BN$1,0)),"Sporadic")</f>
        <v>Endemic</v>
      </c>
      <c r="AE34" s="62">
        <f>IF(Settings!$B$48="ON",IFERROR(MATCH($AD34,Settings!$B$35:$F$35,0),5),5)</f>
        <v>1</v>
      </c>
      <c r="AF34" s="62">
        <f>ROUND(MIN(5,IF(Pathogens!I31&gt;=500,5,IF(Pathogens!I31&gt;=200,4,IF(Pathogens!I31&gt;=50,3,IF(Pathogens!I31&gt;=10,2,1))))*0.5+IF(Pathogens!J31&gt;=30,5,IF(Pathogens!J31&gt;=10,4,IF(Pathogens!J31&gt;=3,3,IF(Pathogens!J31&gt;=1,2,1))))*0.4+IF(AND(VLOOKUP(F$4,Countries!$B$2:$AN$55,4,FALSE)&gt;=80,Pathogens!N31&gt;=0.5),1,0)*0.1+IF(VLOOKUP(F$4,Countries!$B$2:$AN$55,7,FALSE)&lt;50,0.3,0)),0)</f>
        <v>2</v>
      </c>
      <c r="AG34" s="62">
        <f>ROUND(MIN(5,IF(Pathogens!K31&gt;=8,5,IF(Pathogens!K31&gt;=5,4,IF(Pathogens!K31&gt;=3,3,IF(Pathogens!K31&gt;=1,2,1))))*0.5+IF(Pathogens!L31&gt;=5,5,IF(Pathogens!L31&gt;=3,4,IF(Pathogens!L31&gt;=2,3,IF(Pathogens!L31&gt;=1.2,2,1))))*0.3+IF(Pathogens!M31=1,2,0)*0.2+IF(VLOOKUP(F$4,Countries!$B$2:$AN$55,12,FALSE)&gt;=2,0.5,0)),0)</f>
        <v>4</v>
      </c>
      <c r="AH34" s="62">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c r="AI34" s="62">
        <f>ROUND(MAX(1,MIN(5,(6-VLOOKUP(F$4,Countries!$B$2:$AN$55,10,FALSE))*0.5+(6-VLOOKUP(F$4,Countries!$B$2:$AN$55,11,FALSE))*0.4+(IF(AND(Pathogens!N31&gt;=0.5,VLOOKUP(F$4,Countries!$B$2:$AN$55,5,FALSE)&lt;60),5,IF(Pathogens!N31&gt;=0.5,4,IF(Pathogens!N31&gt;=0.3,3,IF(Pathogens!N31&gt;=0.1,2,1)))))*0.1)),0)</f>
        <v>2</v>
      </c>
      <c r="AJ34" s="62">
        <f>IF(ISNUMBER(SEARCH("Vaccine-preventable",Pathogens!C31)),2,IF(ISNUMBER(SEARCH("AMR",Pathogens!C31)),5,IF(ISNUMBER(SEARCH("VHF",Pathogens!C31)),4,IF(ISNUMBER(SEARCH("Emerging",Pathogens!C31)),5,IF(ISNUMBER(SEARCH("Mycobacterial",Pathogens!C31)),3,IF(ISNUMBER(SEARCH("Helminth",Pathogens!C31)),3,IF(ISNUMBER(SEARCH("Respiratory",Pathogens!C31)),4,3)))))))</f>
        <v>3</v>
      </c>
      <c r="AK34" s="62">
        <f>IF(ISNUMBER(SEARCH("AMR",Pathogens!C31)),5,IF(ISNUMBER(SEARCH("Mycobacterial",Pathogens!C31)),4,IF(ISNUMBER(SEARCH("Enteric bacterial",Pathogens!C31)),3,IF(ISNUMBER(SEARCH("Bacterial",Pathogens!C31)),3,1))))</f>
        <v>3</v>
      </c>
      <c r="AL3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4" s="62">
        <f>(6-Pathogens!X31)</f>
        <v>2</v>
      </c>
      <c r="AN34" s="62">
        <f>ROUND(MIN(5,MAX(1,0.35*IF(Pathogens!R31=1,5,IF(Pathogens!R31=2,3,1))+0.2*IF(Pathogens!S31=1,5,IF(Pathogens!S31=2,3,1))+0.25*IF(Pathogens!W31=1,IF(VLOOKUP(F$4,Countries!$B$2:$AN$55,38,FALSE)&gt;=3,5,IF(VLOOKUP(F$4,Countries!$B$2:$AN$55,38,FALSE)=2,4,IF(VLOOKUP(F$4,Countries!$B$2:$AN$55,38,FALSE)=1,2,1))),5)+0.2*IF(VLOOKUP(F$4,Countries!$B$2:$AN$55,24,FALSE)&gt;=50,5,IF(VLOOKUP(F$4,Countries!$B$2:$AN$55,24,FALSE)&gt;=25,4,IF(VLOOKUP(F$4,Countries!$B$2:$AN$55,24,FALSE)&gt;=10,3,IF(VLOOKUP(F$4,Countries!$B$2:$AN$55,24,FALSE)&gt;=5,2,1)))))),0)</f>
        <v>4</v>
      </c>
      <c r="AO34" s="62" t="str">
        <f>IFERROR(INDEX(Endemicity!$C$2:$BN$55,MATCH(F$4,Endemicity!$B$2:$B$55,0),MATCH($A34,Endemicity!$C$1:$BN$1,0)),"Sporadic")</f>
        <v>Endemic</v>
      </c>
      <c r="AP34" s="62">
        <f>IF(Settings!$B$48="ON",IFERROR(MATCH($AO34,Settings!$B$35:$F$35,0),5),5)</f>
        <v>1</v>
      </c>
      <c r="AQ34" s="62">
        <f>ROUND(MIN(5,IF(Pathogens!I31&gt;=500,5,IF(Pathogens!I31&gt;=200,4,IF(Pathogens!I31&gt;=50,3,IF(Pathogens!I31&gt;=10,2,1))))*0.5+IF(Pathogens!J31&gt;=30,5,IF(Pathogens!J31&gt;=10,4,IF(Pathogens!J31&gt;=3,3,IF(Pathogens!J31&gt;=1,2,1))))*0.4+IF(AND(VLOOKUP(G$4,Countries!$B$2:$AN$55,4,FALSE)&gt;=80,Pathogens!N31&gt;=0.5),1,0)*0.1+IF(VLOOKUP(G$4,Countries!$B$2:$AN$55,7,FALSE)&lt;50,0.3,0)),0)</f>
        <v>2</v>
      </c>
      <c r="AR34" s="62">
        <f>ROUND(MIN(5,IF(Pathogens!K31&gt;=8,5,IF(Pathogens!K31&gt;=5,4,IF(Pathogens!K31&gt;=3,3,IF(Pathogens!K31&gt;=1,2,1))))*0.5+IF(Pathogens!L31&gt;=5,5,IF(Pathogens!L31&gt;=3,4,IF(Pathogens!L31&gt;=2,3,IF(Pathogens!L31&gt;=1.2,2,1))))*0.3+IF(Pathogens!M31=1,2,0)*0.2+IF(VLOOKUP(G$4,Countries!$B$2:$AN$55,12,FALSE)&gt;=2,0.5,0)),0)</f>
        <v>4</v>
      </c>
      <c r="AS34" s="62">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c r="AT34" s="62">
        <f>ROUND(MAX(1,MIN(5,(6-VLOOKUP(G$4,Countries!$B$2:$AN$55,10,FALSE))*0.5+(6-VLOOKUP(G$4,Countries!$B$2:$AN$55,11,FALSE))*0.4+(IF(AND(Pathogens!N31&gt;=0.5,VLOOKUP(G$4,Countries!$B$2:$AN$55,5,FALSE)&lt;60),5,IF(Pathogens!N31&gt;=0.5,4,IF(Pathogens!N31&gt;=0.3,3,IF(Pathogens!N31&gt;=0.1,2,1)))))*0.1)),0)</f>
        <v>2</v>
      </c>
      <c r="AU34" s="62">
        <f>IF(ISNUMBER(SEARCH("Vaccine-preventable",Pathogens!C31)),2,IF(ISNUMBER(SEARCH("AMR",Pathogens!C31)),5,IF(ISNUMBER(SEARCH("VHF",Pathogens!C31)),4,IF(ISNUMBER(SEARCH("Emerging",Pathogens!C31)),5,IF(ISNUMBER(SEARCH("Mycobacterial",Pathogens!C31)),3,IF(ISNUMBER(SEARCH("Helminth",Pathogens!C31)),3,IF(ISNUMBER(SEARCH("Respiratory",Pathogens!C31)),4,3)))))))</f>
        <v>3</v>
      </c>
      <c r="AV34" s="62">
        <f>IF(ISNUMBER(SEARCH("AMR",Pathogens!C31)),5,IF(ISNUMBER(SEARCH("Mycobacterial",Pathogens!C31)),4,IF(ISNUMBER(SEARCH("Enteric bacterial",Pathogens!C31)),3,IF(ISNUMBER(SEARCH("Bacterial",Pathogens!C31)),3,1))))</f>
        <v>3</v>
      </c>
      <c r="AW3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4" s="62">
        <f>(6-Pathogens!X31)</f>
        <v>2</v>
      </c>
      <c r="AY34" s="62">
        <f>ROUND(MIN(5,MAX(1,0.35*IF(Pathogens!R31=1,5,IF(Pathogens!R31=2,3,1))+0.2*IF(Pathogens!S31=1,5,IF(Pathogens!S31=2,3,1))+0.25*IF(Pathogens!W31=1,IF(VLOOKUP(G$4,Countries!$B$2:$AN$55,38,FALSE)&gt;=3,5,IF(VLOOKUP(G$4,Countries!$B$2:$AN$55,38,FALSE)=2,4,IF(VLOOKUP(G$4,Countries!$B$2:$AN$55,38,FALSE)=1,2,1))),5)+0.2*IF(VLOOKUP(G$4,Countries!$B$2:$AN$55,24,FALSE)&gt;=50,5,IF(VLOOKUP(G$4,Countries!$B$2:$AN$55,24,FALSE)&gt;=25,4,IF(VLOOKUP(G$4,Countries!$B$2:$AN$55,24,FALSE)&gt;=10,3,IF(VLOOKUP(G$4,Countries!$B$2:$AN$55,24,FALSE)&gt;=5,2,1)))))),0)</f>
        <v>4</v>
      </c>
      <c r="AZ34" s="62" t="str">
        <f>IFERROR(INDEX(Endemicity!$C$2:$BN$55,MATCH(G$4,Endemicity!$B$2:$B$55,0),MATCH($A34,Endemicity!$C$1:$BN$1,0)),"Sporadic")</f>
        <v>Endemic</v>
      </c>
      <c r="BA34" s="62">
        <f>IF(Settings!$B$48="ON",IFERROR(MATCH($AZ34,Settings!$B$35:$F$35,0),5),5)</f>
        <v>1</v>
      </c>
    </row>
    <row r="35" customHeight="1" spans="1:53">
      <c r="A35" s="61" t="str">
        <f>Calculator!A64</f>
        <v>VPAR</v>
      </c>
      <c r="B35" s="61" t="str">
        <f>Calculator!B64</f>
        <v>Vibrio parahaemolyticus</v>
      </c>
      <c r="C35" s="61" t="str">
        <f>Calculator!C64</f>
        <v>Enteric bacterial</v>
      </c>
      <c r="D35" s="52">
        <f>IFERROR(ROUND(MIN(100,(($J35)*Settings!$C$23*INDEX(Settings!$B$36:$F$44,1,$T35)+($K35)*Settings!$C$24*INDEX(Settings!$B$36:$F$44,2,$T35)+($L35)*Settings!$C$25*INDEX(Settings!$B$36:$F$44,3,$T35)+($M35)*Settings!$C$26*INDEX(Settings!$B$36:$F$44,4,$T35)+($N35)*Settings!$C$27*INDEX(Settings!$B$36:$F$44,5,$T35)+($O35)*Settings!$C$28*INDEX(Settings!$B$36:$F$44,6,$T35)+($P35)*Settings!$C$29*INDEX(Settings!$B$36:$F$44,7,$T35)+($Q35)*Settings!$C$30*INDEX(Settings!$B$36:$F$44,8,$T35)+($R35)*Settings!$C$31*INDEX(Settings!$B$36:$F$44,9,$T35))/INDEX(Settings!$B$45:$F$45,1,$T35)/5*100*IF($S35="Not present",Settings!$B$51,1)),1),"")</f>
        <v>64.7</v>
      </c>
      <c r="E35" s="52">
        <f>IFERROR(ROUND(MIN(100,(($U35)*Settings!$C$23*INDEX(Settings!$B$36:$F$44,1,$AE35)+($V35)*Settings!$C$24*INDEX(Settings!$B$36:$F$44,2,$AE35)+($W35)*Settings!$C$25*INDEX(Settings!$B$36:$F$44,3,$AE35)+($X35)*Settings!$C$26*INDEX(Settings!$B$36:$F$44,4,$AE35)+($Y35)*Settings!$C$27*INDEX(Settings!$B$36:$F$44,5,$AE35)+($Z35)*Settings!$C$28*INDEX(Settings!$B$36:$F$44,6,$AE35)+($AA35)*Settings!$C$29*INDEX(Settings!$B$36:$F$44,7,$AE35)+($AB35)*Settings!$C$30*INDEX(Settings!$B$36:$F$44,8,$AE35)+($AC35)*Settings!$C$31*INDEX(Settings!$B$36:$F$44,9,$AE35))/INDEX(Settings!$B$45:$F$45,1,$AE35)/5*100*IF($AD35="Not present",Settings!$B$51,1)),1),"")</f>
        <v>69.6</v>
      </c>
      <c r="F35" s="52">
        <f>IFERROR(ROUND(MIN(100,(($AF35)*Settings!$C$23*INDEX(Settings!$B$36:$F$44,1,$AP35)+($AG35)*Settings!$C$24*INDEX(Settings!$B$36:$F$44,2,$AP35)+($AH35)*Settings!$C$25*INDEX(Settings!$B$36:$F$44,3,$AP35)+($AI35)*Settings!$C$26*INDEX(Settings!$B$36:$F$44,4,$AP35)+($AJ35)*Settings!$C$27*INDEX(Settings!$B$36:$F$44,5,$AP35)+($AK35)*Settings!$C$28*INDEX(Settings!$B$36:$F$44,6,$AP35)+($AL35)*Settings!$C$29*INDEX(Settings!$B$36:$F$44,7,$AP35)+($AM35)*Settings!$C$30*INDEX(Settings!$B$36:$F$44,8,$AP35)+($AN35)*Settings!$C$31*INDEX(Settings!$B$36:$F$44,9,$AP35))/INDEX(Settings!$B$45:$F$45,1,$AP35)/5*100*IF($AO35="Not present",Settings!$B$51,1)),1),"")</f>
        <v>64.7</v>
      </c>
      <c r="G35" s="52">
        <f>IFERROR(ROUND(MIN(100,(($AQ35)*Settings!$C$23*INDEX(Settings!$B$36:$F$44,1,$BA35)+($AR35)*Settings!$C$24*INDEX(Settings!$B$36:$F$44,2,$BA35)+($AS35)*Settings!$C$25*INDEX(Settings!$B$36:$F$44,3,$BA35)+($AT35)*Settings!$C$26*INDEX(Settings!$B$36:$F$44,4,$BA35)+($AU35)*Settings!$C$27*INDEX(Settings!$B$36:$F$44,5,$BA35)+($AV35)*Settings!$C$28*INDEX(Settings!$B$36:$F$44,6,$BA35)+($AW35)*Settings!$C$29*INDEX(Settings!$B$36:$F$44,7,$BA35)+($AX35)*Settings!$C$30*INDEX(Settings!$B$36:$F$44,8,$BA35)+($AY35)*Settings!$C$31*INDEX(Settings!$B$36:$F$44,9,$BA35))/INDEX(Settings!$B$45:$F$45,1,$BA35)/5*100*IF($AZ35="Not present",Settings!$B$51,1)),1),"")</f>
        <v>24.7</v>
      </c>
      <c r="J35" s="62">
        <f>ROUND(MIN(5,IF(Pathogens!I32&gt;=500,5,IF(Pathogens!I32&gt;=200,4,IF(Pathogens!I32&gt;=50,3,IF(Pathogens!I32&gt;=10,2,1))))*0.5+IF(Pathogens!J32&gt;=30,5,IF(Pathogens!J32&gt;=10,4,IF(Pathogens!J32&gt;=3,3,IF(Pathogens!J32&gt;=1,2,1))))*0.4+IF(AND(VLOOKUP(D$4,Countries!$B$2:$AN$55,4,FALSE)&gt;=80,Pathogens!N32&gt;=0.5),1,0)*0.1+IF(VLOOKUP(D$4,Countries!$B$2:$AN$55,7,FALSE)&lt;50,0.3,0)),0)</f>
        <v>2</v>
      </c>
      <c r="K35" s="62">
        <f>ROUND(MIN(5,IF(Pathogens!K32&gt;=8,5,IF(Pathogens!K32&gt;=5,4,IF(Pathogens!K32&gt;=3,3,IF(Pathogens!K32&gt;=1,2,1))))*0.5+IF(Pathogens!L32&gt;=5,5,IF(Pathogens!L32&gt;=3,4,IF(Pathogens!L32&gt;=2,3,IF(Pathogens!L32&gt;=1.2,2,1))))*0.3+IF(Pathogens!M32=1,2,0)*0.2+IF(VLOOKUP(D$4,Countries!$B$2:$AN$55,12,FALSE)&gt;=2,0.5,0)),0)</f>
        <v>3</v>
      </c>
      <c r="L35" s="62">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c r="M35" s="62">
        <f>ROUND(MAX(1,MIN(5,(6-VLOOKUP(D$4,Countries!$B$2:$AN$55,10,FALSE))*0.5+(6-VLOOKUP(D$4,Countries!$B$2:$AN$55,11,FALSE))*0.4+(IF(AND(Pathogens!N32&gt;=0.5,VLOOKUP(D$4,Countries!$B$2:$AN$55,5,FALSE)&lt;60),5,IF(Pathogens!N32&gt;=0.5,4,IF(Pathogens!N32&gt;=0.3,3,IF(Pathogens!N32&gt;=0.1,2,1)))))*0.1)),0)</f>
        <v>2</v>
      </c>
      <c r="N35" s="62">
        <f>IF(ISNUMBER(SEARCH("Vaccine-preventable",Pathogens!C32)),2,IF(ISNUMBER(SEARCH("AMR",Pathogens!C32)),5,IF(ISNUMBER(SEARCH("VHF",Pathogens!C32)),4,IF(ISNUMBER(SEARCH("Emerging",Pathogens!C32)),5,IF(ISNUMBER(SEARCH("Mycobacterial",Pathogens!C32)),3,IF(ISNUMBER(SEARCH("Helminth",Pathogens!C32)),3,IF(ISNUMBER(SEARCH("Respiratory",Pathogens!C32)),4,3)))))))</f>
        <v>3</v>
      </c>
      <c r="O35" s="62">
        <f>IF(ISNUMBER(SEARCH("AMR",Pathogens!C32)),5,IF(ISNUMBER(SEARCH("Mycobacterial",Pathogens!C32)),4,IF(ISNUMBER(SEARCH("Enteric bacterial",Pathogens!C32)),3,IF(ISNUMBER(SEARCH("Bacterial",Pathogens!C32)),3,1))))</f>
        <v>3</v>
      </c>
      <c r="P3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5" s="62">
        <f>(6-Pathogens!X32)</f>
        <v>5</v>
      </c>
      <c r="R35" s="62">
        <f>ROUND(MIN(5,MAX(1,0.35*IF(Pathogens!R32=1,5,IF(Pathogens!R32=2,3,1))+0.2*IF(Pathogens!S32=1,5,IF(Pathogens!S32=2,3,1))+0.25*IF(Pathogens!W32=1,IF(VLOOKUP(D$4,Countries!$B$2:$AN$55,38,FALSE)&gt;=3,5,IF(VLOOKUP(D$4,Countries!$B$2:$AN$55,38,FALSE)=2,4,IF(VLOOKUP(D$4,Countries!$B$2:$AN$55,38,FALSE)=1,2,1))),5)+0.2*IF(VLOOKUP(D$4,Countries!$B$2:$AN$55,24,FALSE)&gt;=50,5,IF(VLOOKUP(D$4,Countries!$B$2:$AN$55,24,FALSE)&gt;=25,4,IF(VLOOKUP(D$4,Countries!$B$2:$AN$55,24,FALSE)&gt;=10,3,IF(VLOOKUP(D$4,Countries!$B$2:$AN$55,24,FALSE)&gt;=5,2,1)))))),0)</f>
        <v>4</v>
      </c>
      <c r="S35" s="62" t="str">
        <f>IFERROR(INDEX(Endemicity!$C$2:$BN$55,MATCH(D$4,Endemicity!$B$2:$B$55,0),MATCH($A35,Endemicity!$C$1:$BN$1,0)),"Sporadic")</f>
        <v>Sporadic</v>
      </c>
      <c r="T35" s="62">
        <f>IF(Settings!$B$48="ON",IFERROR(MATCH($S35,Settings!$B$35:$F$35,0),5),5)</f>
        <v>2</v>
      </c>
      <c r="U35" s="62">
        <f>ROUND(MIN(5,IF(Pathogens!I32&gt;=500,5,IF(Pathogens!I32&gt;=200,4,IF(Pathogens!I32&gt;=50,3,IF(Pathogens!I32&gt;=10,2,1))))*0.5+IF(Pathogens!J32&gt;=30,5,IF(Pathogens!J32&gt;=10,4,IF(Pathogens!J32&gt;=3,3,IF(Pathogens!J32&gt;=1,2,1))))*0.4+IF(AND(VLOOKUP(E$4,Countries!$B$2:$AN$55,4,FALSE)&gt;=80,Pathogens!N32&gt;=0.5),1,0)*0.1+IF(VLOOKUP(E$4,Countries!$B$2:$AN$55,7,FALSE)&lt;50,0.3,0)),0)</f>
        <v>2</v>
      </c>
      <c r="V35" s="62">
        <f>ROUND(MIN(5,IF(Pathogens!K32&gt;=8,5,IF(Pathogens!K32&gt;=5,4,IF(Pathogens!K32&gt;=3,3,IF(Pathogens!K32&gt;=1,2,1))))*0.5+IF(Pathogens!L32&gt;=5,5,IF(Pathogens!L32&gt;=3,4,IF(Pathogens!L32&gt;=2,3,IF(Pathogens!L32&gt;=1.2,2,1))))*0.3+IF(Pathogens!M32=1,2,0)*0.2+IF(VLOOKUP(E$4,Countries!$B$2:$AN$55,12,FALSE)&gt;=2,0.5,0)),0)</f>
        <v>3</v>
      </c>
      <c r="W35" s="62">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c r="X35" s="62">
        <f>ROUND(MAX(1,MIN(5,(6-VLOOKUP(E$4,Countries!$B$2:$AN$55,10,FALSE))*0.5+(6-VLOOKUP(E$4,Countries!$B$2:$AN$55,11,FALSE))*0.4+(IF(AND(Pathogens!N32&gt;=0.5,VLOOKUP(E$4,Countries!$B$2:$AN$55,5,FALSE)&lt;60),5,IF(Pathogens!N32&gt;=0.5,4,IF(Pathogens!N32&gt;=0.3,3,IF(Pathogens!N32&gt;=0.1,2,1)))))*0.1)),0)</f>
        <v>3</v>
      </c>
      <c r="Y35" s="62">
        <f>IF(ISNUMBER(SEARCH("Vaccine-preventable",Pathogens!C32)),2,IF(ISNUMBER(SEARCH("AMR",Pathogens!C32)),5,IF(ISNUMBER(SEARCH("VHF",Pathogens!C32)),4,IF(ISNUMBER(SEARCH("Emerging",Pathogens!C32)),5,IF(ISNUMBER(SEARCH("Mycobacterial",Pathogens!C32)),3,IF(ISNUMBER(SEARCH("Helminth",Pathogens!C32)),3,IF(ISNUMBER(SEARCH("Respiratory",Pathogens!C32)),4,3)))))))</f>
        <v>3</v>
      </c>
      <c r="Z35" s="62">
        <f>IF(ISNUMBER(SEARCH("AMR",Pathogens!C32)),5,IF(ISNUMBER(SEARCH("Mycobacterial",Pathogens!C32)),4,IF(ISNUMBER(SEARCH("Enteric bacterial",Pathogens!C32)),3,IF(ISNUMBER(SEARCH("Bacterial",Pathogens!C32)),3,1))))</f>
        <v>3</v>
      </c>
      <c r="AA3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5" s="62">
        <f>(6-Pathogens!X32)</f>
        <v>5</v>
      </c>
      <c r="AC35" s="62">
        <f>ROUND(MIN(5,MAX(1,0.35*IF(Pathogens!R32=1,5,IF(Pathogens!R32=2,3,1))+0.2*IF(Pathogens!S32=1,5,IF(Pathogens!S32=2,3,1))+0.25*IF(Pathogens!W32=1,IF(VLOOKUP(E$4,Countries!$B$2:$AN$55,38,FALSE)&gt;=3,5,IF(VLOOKUP(E$4,Countries!$B$2:$AN$55,38,FALSE)=2,4,IF(VLOOKUP(E$4,Countries!$B$2:$AN$55,38,FALSE)=1,2,1))),5)+0.2*IF(VLOOKUP(E$4,Countries!$B$2:$AN$55,24,FALSE)&gt;=50,5,IF(VLOOKUP(E$4,Countries!$B$2:$AN$55,24,FALSE)&gt;=25,4,IF(VLOOKUP(E$4,Countries!$B$2:$AN$55,24,FALSE)&gt;=10,3,IF(VLOOKUP(E$4,Countries!$B$2:$AN$55,24,FALSE)&gt;=5,2,1)))))),0)</f>
        <v>4</v>
      </c>
      <c r="AD35" s="62" t="str">
        <f>IFERROR(INDEX(Endemicity!$C$2:$BN$55,MATCH(E$4,Endemicity!$B$2:$B$55,0),MATCH($A35,Endemicity!$C$1:$BN$1,0)),"Sporadic")</f>
        <v>Sporadic</v>
      </c>
      <c r="AE35" s="62">
        <f>IF(Settings!$B$48="ON",IFERROR(MATCH($AD35,Settings!$B$35:$F$35,0),5),5)</f>
        <v>2</v>
      </c>
      <c r="AF35" s="62">
        <f>ROUND(MIN(5,IF(Pathogens!I32&gt;=500,5,IF(Pathogens!I32&gt;=200,4,IF(Pathogens!I32&gt;=50,3,IF(Pathogens!I32&gt;=10,2,1))))*0.5+IF(Pathogens!J32&gt;=30,5,IF(Pathogens!J32&gt;=10,4,IF(Pathogens!J32&gt;=3,3,IF(Pathogens!J32&gt;=1,2,1))))*0.4+IF(AND(VLOOKUP(F$4,Countries!$B$2:$AN$55,4,FALSE)&gt;=80,Pathogens!N32&gt;=0.5),1,0)*0.1+IF(VLOOKUP(F$4,Countries!$B$2:$AN$55,7,FALSE)&lt;50,0.3,0)),0)</f>
        <v>2</v>
      </c>
      <c r="AG35" s="62">
        <f>ROUND(MIN(5,IF(Pathogens!K32&gt;=8,5,IF(Pathogens!K32&gt;=5,4,IF(Pathogens!K32&gt;=3,3,IF(Pathogens!K32&gt;=1,2,1))))*0.5+IF(Pathogens!L32&gt;=5,5,IF(Pathogens!L32&gt;=3,4,IF(Pathogens!L32&gt;=2,3,IF(Pathogens!L32&gt;=1.2,2,1))))*0.3+IF(Pathogens!M32=1,2,0)*0.2+IF(VLOOKUP(F$4,Countries!$B$2:$AN$55,12,FALSE)&gt;=2,0.5,0)),0)</f>
        <v>3</v>
      </c>
      <c r="AH35" s="62">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c r="AI35" s="62">
        <f>ROUND(MAX(1,MIN(5,(6-VLOOKUP(F$4,Countries!$B$2:$AN$55,10,FALSE))*0.5+(6-VLOOKUP(F$4,Countries!$B$2:$AN$55,11,FALSE))*0.4+(IF(AND(Pathogens!N32&gt;=0.5,VLOOKUP(F$4,Countries!$B$2:$AN$55,5,FALSE)&lt;60),5,IF(Pathogens!N32&gt;=0.5,4,IF(Pathogens!N32&gt;=0.3,3,IF(Pathogens!N32&gt;=0.1,2,1)))))*0.1)),0)</f>
        <v>2</v>
      </c>
      <c r="AJ35" s="62">
        <f>IF(ISNUMBER(SEARCH("Vaccine-preventable",Pathogens!C32)),2,IF(ISNUMBER(SEARCH("AMR",Pathogens!C32)),5,IF(ISNUMBER(SEARCH("VHF",Pathogens!C32)),4,IF(ISNUMBER(SEARCH("Emerging",Pathogens!C32)),5,IF(ISNUMBER(SEARCH("Mycobacterial",Pathogens!C32)),3,IF(ISNUMBER(SEARCH("Helminth",Pathogens!C32)),3,IF(ISNUMBER(SEARCH("Respiratory",Pathogens!C32)),4,3)))))))</f>
        <v>3</v>
      </c>
      <c r="AK35" s="62">
        <f>IF(ISNUMBER(SEARCH("AMR",Pathogens!C32)),5,IF(ISNUMBER(SEARCH("Mycobacterial",Pathogens!C32)),4,IF(ISNUMBER(SEARCH("Enteric bacterial",Pathogens!C32)),3,IF(ISNUMBER(SEARCH("Bacterial",Pathogens!C32)),3,1))))</f>
        <v>3</v>
      </c>
      <c r="AL3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5" s="62">
        <f>(6-Pathogens!X32)</f>
        <v>5</v>
      </c>
      <c r="AN35" s="62">
        <f>ROUND(MIN(5,MAX(1,0.35*IF(Pathogens!R32=1,5,IF(Pathogens!R32=2,3,1))+0.2*IF(Pathogens!S32=1,5,IF(Pathogens!S32=2,3,1))+0.25*IF(Pathogens!W32=1,IF(VLOOKUP(F$4,Countries!$B$2:$AN$55,38,FALSE)&gt;=3,5,IF(VLOOKUP(F$4,Countries!$B$2:$AN$55,38,FALSE)=2,4,IF(VLOOKUP(F$4,Countries!$B$2:$AN$55,38,FALSE)=1,2,1))),5)+0.2*IF(VLOOKUP(F$4,Countries!$B$2:$AN$55,24,FALSE)&gt;=50,5,IF(VLOOKUP(F$4,Countries!$B$2:$AN$55,24,FALSE)&gt;=25,4,IF(VLOOKUP(F$4,Countries!$B$2:$AN$55,24,FALSE)&gt;=10,3,IF(VLOOKUP(F$4,Countries!$B$2:$AN$55,24,FALSE)&gt;=5,2,1)))))),0)</f>
        <v>4</v>
      </c>
      <c r="AO35" s="62" t="str">
        <f>IFERROR(INDEX(Endemicity!$C$2:$BN$55,MATCH(F$4,Endemicity!$B$2:$B$55,0),MATCH($A35,Endemicity!$C$1:$BN$1,0)),"Sporadic")</f>
        <v>Sporadic</v>
      </c>
      <c r="AP35" s="62">
        <f>IF(Settings!$B$48="ON",IFERROR(MATCH($AO35,Settings!$B$35:$F$35,0),5),5)</f>
        <v>2</v>
      </c>
      <c r="AQ35" s="62">
        <f>ROUND(MIN(5,IF(Pathogens!I32&gt;=500,5,IF(Pathogens!I32&gt;=200,4,IF(Pathogens!I32&gt;=50,3,IF(Pathogens!I32&gt;=10,2,1))))*0.5+IF(Pathogens!J32&gt;=30,5,IF(Pathogens!J32&gt;=10,4,IF(Pathogens!J32&gt;=3,3,IF(Pathogens!J32&gt;=1,2,1))))*0.4+IF(AND(VLOOKUP(G$4,Countries!$B$2:$AN$55,4,FALSE)&gt;=80,Pathogens!N32&gt;=0.5),1,0)*0.1+IF(VLOOKUP(G$4,Countries!$B$2:$AN$55,7,FALSE)&lt;50,0.3,0)),0)</f>
        <v>2</v>
      </c>
      <c r="AR35" s="62">
        <f>ROUND(MIN(5,IF(Pathogens!K32&gt;=8,5,IF(Pathogens!K32&gt;=5,4,IF(Pathogens!K32&gt;=3,3,IF(Pathogens!K32&gt;=1,2,1))))*0.5+IF(Pathogens!L32&gt;=5,5,IF(Pathogens!L32&gt;=3,4,IF(Pathogens!L32&gt;=2,3,IF(Pathogens!L32&gt;=1.2,2,1))))*0.3+IF(Pathogens!M32=1,2,0)*0.2+IF(VLOOKUP(G$4,Countries!$B$2:$AN$55,12,FALSE)&gt;=2,0.5,0)),0)</f>
        <v>3</v>
      </c>
      <c r="AS35" s="62">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c r="AT35" s="62">
        <f>ROUND(MAX(1,MIN(5,(6-VLOOKUP(G$4,Countries!$B$2:$AN$55,10,FALSE))*0.5+(6-VLOOKUP(G$4,Countries!$B$2:$AN$55,11,FALSE))*0.4+(IF(AND(Pathogens!N32&gt;=0.5,VLOOKUP(G$4,Countries!$B$2:$AN$55,5,FALSE)&lt;60),5,IF(Pathogens!N32&gt;=0.5,4,IF(Pathogens!N32&gt;=0.3,3,IF(Pathogens!N32&gt;=0.1,2,1)))))*0.1)),0)</f>
        <v>2</v>
      </c>
      <c r="AU35" s="62">
        <f>IF(ISNUMBER(SEARCH("Vaccine-preventable",Pathogens!C32)),2,IF(ISNUMBER(SEARCH("AMR",Pathogens!C32)),5,IF(ISNUMBER(SEARCH("VHF",Pathogens!C32)),4,IF(ISNUMBER(SEARCH("Emerging",Pathogens!C32)),5,IF(ISNUMBER(SEARCH("Mycobacterial",Pathogens!C32)),3,IF(ISNUMBER(SEARCH("Helminth",Pathogens!C32)),3,IF(ISNUMBER(SEARCH("Respiratory",Pathogens!C32)),4,3)))))))</f>
        <v>3</v>
      </c>
      <c r="AV35" s="62">
        <f>IF(ISNUMBER(SEARCH("AMR",Pathogens!C32)),5,IF(ISNUMBER(SEARCH("Mycobacterial",Pathogens!C32)),4,IF(ISNUMBER(SEARCH("Enteric bacterial",Pathogens!C32)),3,IF(ISNUMBER(SEARCH("Bacterial",Pathogens!C32)),3,1))))</f>
        <v>3</v>
      </c>
      <c r="AW3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5" s="62">
        <f>(6-Pathogens!X32)</f>
        <v>5</v>
      </c>
      <c r="AY35" s="62">
        <f>ROUND(MIN(5,MAX(1,0.35*IF(Pathogens!R32=1,5,IF(Pathogens!R32=2,3,1))+0.2*IF(Pathogens!S32=1,5,IF(Pathogens!S32=2,3,1))+0.25*IF(Pathogens!W32=1,IF(VLOOKUP(G$4,Countries!$B$2:$AN$55,38,FALSE)&gt;=3,5,IF(VLOOKUP(G$4,Countries!$B$2:$AN$55,38,FALSE)=2,4,IF(VLOOKUP(G$4,Countries!$B$2:$AN$55,38,FALSE)=1,2,1))),5)+0.2*IF(VLOOKUP(G$4,Countries!$B$2:$AN$55,24,FALSE)&gt;=50,5,IF(VLOOKUP(G$4,Countries!$B$2:$AN$55,24,FALSE)&gt;=25,4,IF(VLOOKUP(G$4,Countries!$B$2:$AN$55,24,FALSE)&gt;=10,3,IF(VLOOKUP(G$4,Countries!$B$2:$AN$55,24,FALSE)&gt;=5,2,1)))))),0)</f>
        <v>4</v>
      </c>
      <c r="AZ35" s="62" t="str">
        <f>IFERROR(INDEX(Endemicity!$C$2:$BN$55,MATCH(G$4,Endemicity!$B$2:$B$55,0),MATCH($A35,Endemicity!$C$1:$BN$1,0)),"Sporadic")</f>
        <v>Not present</v>
      </c>
      <c r="BA35" s="62">
        <f>IF(Settings!$B$48="ON",IFERROR(MATCH($AZ35,Settings!$B$35:$F$35,0),5),5)</f>
        <v>4</v>
      </c>
    </row>
    <row r="36" customHeight="1" spans="1:53">
      <c r="A36" s="61" t="str">
        <f>Calculator!A65</f>
        <v>STYPHI</v>
      </c>
      <c r="B36" s="61" t="str">
        <f>Calculator!B65</f>
        <v>Salmonella Typhi</v>
      </c>
      <c r="C36" s="61" t="str">
        <f>Calculator!C65</f>
        <v>Enteric bacterial</v>
      </c>
      <c r="D36" s="52">
        <f>IFERROR(ROUND(MIN(100,(($J36)*Settings!$C$23*INDEX(Settings!$B$36:$F$44,1,$T36)+($K36)*Settings!$C$24*INDEX(Settings!$B$36:$F$44,2,$T36)+($L36)*Settings!$C$25*INDEX(Settings!$B$36:$F$44,3,$T36)+($M36)*Settings!$C$26*INDEX(Settings!$B$36:$F$44,4,$T36)+($N36)*Settings!$C$27*INDEX(Settings!$B$36:$F$44,5,$T36)+($O36)*Settings!$C$28*INDEX(Settings!$B$36:$F$44,6,$T36)+($P36)*Settings!$C$29*INDEX(Settings!$B$36:$F$44,7,$T36)+($Q36)*Settings!$C$30*INDEX(Settings!$B$36:$F$44,8,$T36)+($R36)*Settings!$C$31*INDEX(Settings!$B$36:$F$44,9,$T36))/INDEX(Settings!$B$45:$F$45,1,$T36)/5*100*IF($S36="Not present",Settings!$B$51,1)),1),"")</f>
        <v>68.6</v>
      </c>
      <c r="E36" s="52">
        <f>IFERROR(ROUND(MIN(100,(($U36)*Settings!$C$23*INDEX(Settings!$B$36:$F$44,1,$AE36)+($V36)*Settings!$C$24*INDEX(Settings!$B$36:$F$44,2,$AE36)+($W36)*Settings!$C$25*INDEX(Settings!$B$36:$F$44,3,$AE36)+($X36)*Settings!$C$26*INDEX(Settings!$B$36:$F$44,4,$AE36)+($Y36)*Settings!$C$27*INDEX(Settings!$B$36:$F$44,5,$AE36)+($Z36)*Settings!$C$28*INDEX(Settings!$B$36:$F$44,6,$AE36)+($AA36)*Settings!$C$29*INDEX(Settings!$B$36:$F$44,7,$AE36)+($AB36)*Settings!$C$30*INDEX(Settings!$B$36:$F$44,8,$AE36)+($AC36)*Settings!$C$31*INDEX(Settings!$B$36:$F$44,9,$AE36))/INDEX(Settings!$B$45:$F$45,1,$AE36)/5*100*IF($AD36="Not present",Settings!$B$51,1)),1),"")</f>
        <v>71.4</v>
      </c>
      <c r="F36" s="52">
        <f>IFERROR(ROUND(MIN(100,(($AF36)*Settings!$C$23*INDEX(Settings!$B$36:$F$44,1,$AP36)+($AG36)*Settings!$C$24*INDEX(Settings!$B$36:$F$44,2,$AP36)+($AH36)*Settings!$C$25*INDEX(Settings!$B$36:$F$44,3,$AP36)+($AI36)*Settings!$C$26*INDEX(Settings!$B$36:$F$44,4,$AP36)+($AJ36)*Settings!$C$27*INDEX(Settings!$B$36:$F$44,5,$AP36)+($AK36)*Settings!$C$28*INDEX(Settings!$B$36:$F$44,6,$AP36)+($AL36)*Settings!$C$29*INDEX(Settings!$B$36:$F$44,7,$AP36)+($AM36)*Settings!$C$30*INDEX(Settings!$B$36:$F$44,8,$AP36)+($AN36)*Settings!$C$31*INDEX(Settings!$B$36:$F$44,9,$AP36))/INDEX(Settings!$B$45:$F$45,1,$AP36)/5*100*IF($AO36="Not present",Settings!$B$51,1)),1),"")</f>
        <v>65.8</v>
      </c>
      <c r="G36" s="52">
        <f>IFERROR(ROUND(MIN(100,(($AQ36)*Settings!$C$23*INDEX(Settings!$B$36:$F$44,1,$BA36)+($AR36)*Settings!$C$24*INDEX(Settings!$B$36:$F$44,2,$BA36)+($AS36)*Settings!$C$25*INDEX(Settings!$B$36:$F$44,3,$BA36)+($AT36)*Settings!$C$26*INDEX(Settings!$B$36:$F$44,4,$BA36)+($AU36)*Settings!$C$27*INDEX(Settings!$B$36:$F$44,5,$BA36)+($AV36)*Settings!$C$28*INDEX(Settings!$B$36:$F$44,6,$BA36)+($AW36)*Settings!$C$29*INDEX(Settings!$B$36:$F$44,7,$BA36)+($AX36)*Settings!$C$30*INDEX(Settings!$B$36:$F$44,8,$BA36)+($AY36)*Settings!$C$31*INDEX(Settings!$B$36:$F$44,9,$BA36))/INDEX(Settings!$B$45:$F$45,1,$BA36)/5*100*IF($AZ36="Not present",Settings!$B$51,1)),1),"")</f>
        <v>67.6</v>
      </c>
      <c r="J36" s="62">
        <f>ROUND(MIN(5,IF(Pathogens!I33&gt;=500,5,IF(Pathogens!I33&gt;=200,4,IF(Pathogens!I33&gt;=50,3,IF(Pathogens!I33&gt;=10,2,1))))*0.5+IF(Pathogens!J33&gt;=30,5,IF(Pathogens!J33&gt;=10,4,IF(Pathogens!J33&gt;=3,3,IF(Pathogens!J33&gt;=1,2,1))))*0.4+IF(AND(VLOOKUP(D$4,Countries!$B$2:$AN$55,4,FALSE)&gt;=80,Pathogens!N33&gt;=0.5),1,0)*0.1+IF(VLOOKUP(D$4,Countries!$B$2:$AN$55,7,FALSE)&lt;50,0.3,0)),0)</f>
        <v>3</v>
      </c>
      <c r="K36" s="62">
        <f>ROUND(MIN(5,IF(Pathogens!K33&gt;=8,5,IF(Pathogens!K33&gt;=5,4,IF(Pathogens!K33&gt;=3,3,IF(Pathogens!K33&gt;=1,2,1))))*0.5+IF(Pathogens!L33&gt;=5,5,IF(Pathogens!L33&gt;=3,4,IF(Pathogens!L33&gt;=2,3,IF(Pathogens!L33&gt;=1.2,2,1))))*0.3+IF(Pathogens!M33=1,2,0)*0.2+IF(VLOOKUP(D$4,Countries!$B$2:$AN$55,12,FALSE)&gt;=2,0.5,0)),0)</f>
        <v>4</v>
      </c>
      <c r="L36" s="62">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c r="M36" s="62">
        <f>ROUND(MAX(1,MIN(5,(6-VLOOKUP(D$4,Countries!$B$2:$AN$55,10,FALSE))*0.5+(6-VLOOKUP(D$4,Countries!$B$2:$AN$55,11,FALSE))*0.4+(IF(AND(Pathogens!N33&gt;=0.5,VLOOKUP(D$4,Countries!$B$2:$AN$55,5,FALSE)&lt;60),5,IF(Pathogens!N33&gt;=0.5,4,IF(Pathogens!N33&gt;=0.3,3,IF(Pathogens!N33&gt;=0.1,2,1)))))*0.1)),0)</f>
        <v>2</v>
      </c>
      <c r="N36" s="62">
        <f>IF(ISNUMBER(SEARCH("Vaccine-preventable",Pathogens!C33)),2,IF(ISNUMBER(SEARCH("AMR",Pathogens!C33)),5,IF(ISNUMBER(SEARCH("VHF",Pathogens!C33)),4,IF(ISNUMBER(SEARCH("Emerging",Pathogens!C33)),5,IF(ISNUMBER(SEARCH("Mycobacterial",Pathogens!C33)),3,IF(ISNUMBER(SEARCH("Helminth",Pathogens!C33)),3,IF(ISNUMBER(SEARCH("Respiratory",Pathogens!C33)),4,3)))))))</f>
        <v>3</v>
      </c>
      <c r="O36" s="62">
        <f>IF(ISNUMBER(SEARCH("AMR",Pathogens!C33)),5,IF(ISNUMBER(SEARCH("Mycobacterial",Pathogens!C33)),4,IF(ISNUMBER(SEARCH("Enteric bacterial",Pathogens!C33)),3,IF(ISNUMBER(SEARCH("Bacterial",Pathogens!C33)),3,1))))</f>
        <v>3</v>
      </c>
      <c r="P3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6" s="62">
        <f>(6-Pathogens!X33)</f>
        <v>3</v>
      </c>
      <c r="R36" s="62">
        <f>ROUND(MIN(5,MAX(1,0.35*IF(Pathogens!R33=1,5,IF(Pathogens!R33=2,3,1))+0.2*IF(Pathogens!S33=1,5,IF(Pathogens!S33=2,3,1))+0.25*IF(Pathogens!W33=1,IF(VLOOKUP(D$4,Countries!$B$2:$AN$55,38,FALSE)&gt;=3,5,IF(VLOOKUP(D$4,Countries!$B$2:$AN$55,38,FALSE)=2,4,IF(VLOOKUP(D$4,Countries!$B$2:$AN$55,38,FALSE)=1,2,1))),5)+0.2*IF(VLOOKUP(D$4,Countries!$B$2:$AN$55,24,FALSE)&gt;=50,5,IF(VLOOKUP(D$4,Countries!$B$2:$AN$55,24,FALSE)&gt;=25,4,IF(VLOOKUP(D$4,Countries!$B$2:$AN$55,24,FALSE)&gt;=10,3,IF(VLOOKUP(D$4,Countries!$B$2:$AN$55,24,FALSE)&gt;=5,2,1)))))),0)</f>
        <v>5</v>
      </c>
      <c r="S36" s="62" t="str">
        <f>IFERROR(INDEX(Endemicity!$C$2:$BN$55,MATCH(D$4,Endemicity!$B$2:$B$55,0),MATCH($A36,Endemicity!$C$1:$BN$1,0)),"Sporadic")</f>
        <v>Endemic</v>
      </c>
      <c r="T36" s="62">
        <f>IF(Settings!$B$48="ON",IFERROR(MATCH($S36,Settings!$B$35:$F$35,0),5),5)</f>
        <v>1</v>
      </c>
      <c r="U36" s="62">
        <f>ROUND(MIN(5,IF(Pathogens!I33&gt;=500,5,IF(Pathogens!I33&gt;=200,4,IF(Pathogens!I33&gt;=50,3,IF(Pathogens!I33&gt;=10,2,1))))*0.5+IF(Pathogens!J33&gt;=30,5,IF(Pathogens!J33&gt;=10,4,IF(Pathogens!J33&gt;=3,3,IF(Pathogens!J33&gt;=1,2,1))))*0.4+IF(AND(VLOOKUP(E$4,Countries!$B$2:$AN$55,4,FALSE)&gt;=80,Pathogens!N33&gt;=0.5),1,0)*0.1+IF(VLOOKUP(E$4,Countries!$B$2:$AN$55,7,FALSE)&lt;50,0.3,0)),0)</f>
        <v>3</v>
      </c>
      <c r="V36" s="62">
        <f>ROUND(MIN(5,IF(Pathogens!K33&gt;=8,5,IF(Pathogens!K33&gt;=5,4,IF(Pathogens!K33&gt;=3,3,IF(Pathogens!K33&gt;=1,2,1))))*0.5+IF(Pathogens!L33&gt;=5,5,IF(Pathogens!L33&gt;=3,4,IF(Pathogens!L33&gt;=2,3,IF(Pathogens!L33&gt;=1.2,2,1))))*0.3+IF(Pathogens!M33=1,2,0)*0.2+IF(VLOOKUP(E$4,Countries!$B$2:$AN$55,12,FALSE)&gt;=2,0.5,0)),0)</f>
        <v>4</v>
      </c>
      <c r="W36" s="62">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c r="X36" s="62">
        <f>ROUND(MAX(1,MIN(5,(6-VLOOKUP(E$4,Countries!$B$2:$AN$55,10,FALSE))*0.5+(6-VLOOKUP(E$4,Countries!$B$2:$AN$55,11,FALSE))*0.4+(IF(AND(Pathogens!N33&gt;=0.5,VLOOKUP(E$4,Countries!$B$2:$AN$55,5,FALSE)&lt;60),5,IF(Pathogens!N33&gt;=0.5,4,IF(Pathogens!N33&gt;=0.3,3,IF(Pathogens!N33&gt;=0.1,2,1)))))*0.1)),0)</f>
        <v>3</v>
      </c>
      <c r="Y36" s="62">
        <f>IF(ISNUMBER(SEARCH("Vaccine-preventable",Pathogens!C33)),2,IF(ISNUMBER(SEARCH("AMR",Pathogens!C33)),5,IF(ISNUMBER(SEARCH("VHF",Pathogens!C33)),4,IF(ISNUMBER(SEARCH("Emerging",Pathogens!C33)),5,IF(ISNUMBER(SEARCH("Mycobacterial",Pathogens!C33)),3,IF(ISNUMBER(SEARCH("Helminth",Pathogens!C33)),3,IF(ISNUMBER(SEARCH("Respiratory",Pathogens!C33)),4,3)))))))</f>
        <v>3</v>
      </c>
      <c r="Z36" s="62">
        <f>IF(ISNUMBER(SEARCH("AMR",Pathogens!C33)),5,IF(ISNUMBER(SEARCH("Mycobacterial",Pathogens!C33)),4,IF(ISNUMBER(SEARCH("Enteric bacterial",Pathogens!C33)),3,IF(ISNUMBER(SEARCH("Bacterial",Pathogens!C33)),3,1))))</f>
        <v>3</v>
      </c>
      <c r="AA3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6" s="62">
        <f>(6-Pathogens!X33)</f>
        <v>3</v>
      </c>
      <c r="AC36" s="62">
        <f>ROUND(MIN(5,MAX(1,0.35*IF(Pathogens!R33=1,5,IF(Pathogens!R33=2,3,1))+0.2*IF(Pathogens!S33=1,5,IF(Pathogens!S33=2,3,1))+0.25*IF(Pathogens!W33=1,IF(VLOOKUP(E$4,Countries!$B$2:$AN$55,38,FALSE)&gt;=3,5,IF(VLOOKUP(E$4,Countries!$B$2:$AN$55,38,FALSE)=2,4,IF(VLOOKUP(E$4,Countries!$B$2:$AN$55,38,FALSE)=1,2,1))),5)+0.2*IF(VLOOKUP(E$4,Countries!$B$2:$AN$55,24,FALSE)&gt;=50,5,IF(VLOOKUP(E$4,Countries!$B$2:$AN$55,24,FALSE)&gt;=25,4,IF(VLOOKUP(E$4,Countries!$B$2:$AN$55,24,FALSE)&gt;=10,3,IF(VLOOKUP(E$4,Countries!$B$2:$AN$55,24,FALSE)&gt;=5,2,1)))))),0)</f>
        <v>4</v>
      </c>
      <c r="AD36" s="62" t="str">
        <f>IFERROR(INDEX(Endemicity!$C$2:$BN$55,MATCH(E$4,Endemicity!$B$2:$B$55,0),MATCH($A36,Endemicity!$C$1:$BN$1,0)),"Sporadic")</f>
        <v>Endemic</v>
      </c>
      <c r="AE36" s="62">
        <f>IF(Settings!$B$48="ON",IFERROR(MATCH($AD36,Settings!$B$35:$F$35,0),5),5)</f>
        <v>1</v>
      </c>
      <c r="AF36" s="62">
        <f>ROUND(MIN(5,IF(Pathogens!I33&gt;=500,5,IF(Pathogens!I33&gt;=200,4,IF(Pathogens!I33&gt;=50,3,IF(Pathogens!I33&gt;=10,2,1))))*0.5+IF(Pathogens!J33&gt;=30,5,IF(Pathogens!J33&gt;=10,4,IF(Pathogens!J33&gt;=3,3,IF(Pathogens!J33&gt;=1,2,1))))*0.4+IF(AND(VLOOKUP(F$4,Countries!$B$2:$AN$55,4,FALSE)&gt;=80,Pathogens!N33&gt;=0.5),1,0)*0.1+IF(VLOOKUP(F$4,Countries!$B$2:$AN$55,7,FALSE)&lt;50,0.3,0)),0)</f>
        <v>3</v>
      </c>
      <c r="AG36" s="62">
        <f>ROUND(MIN(5,IF(Pathogens!K33&gt;=8,5,IF(Pathogens!K33&gt;=5,4,IF(Pathogens!K33&gt;=3,3,IF(Pathogens!K33&gt;=1,2,1))))*0.5+IF(Pathogens!L33&gt;=5,5,IF(Pathogens!L33&gt;=3,4,IF(Pathogens!L33&gt;=2,3,IF(Pathogens!L33&gt;=1.2,2,1))))*0.3+IF(Pathogens!M33=1,2,0)*0.2+IF(VLOOKUP(F$4,Countries!$B$2:$AN$55,12,FALSE)&gt;=2,0.5,0)),0)</f>
        <v>4</v>
      </c>
      <c r="AH36" s="62">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c r="AI36" s="62">
        <f>ROUND(MAX(1,MIN(5,(6-VLOOKUP(F$4,Countries!$B$2:$AN$55,10,FALSE))*0.5+(6-VLOOKUP(F$4,Countries!$B$2:$AN$55,11,FALSE))*0.4+(IF(AND(Pathogens!N33&gt;=0.5,VLOOKUP(F$4,Countries!$B$2:$AN$55,5,FALSE)&lt;60),5,IF(Pathogens!N33&gt;=0.5,4,IF(Pathogens!N33&gt;=0.3,3,IF(Pathogens!N33&gt;=0.1,2,1)))))*0.1)),0)</f>
        <v>2</v>
      </c>
      <c r="AJ36" s="62">
        <f>IF(ISNUMBER(SEARCH("Vaccine-preventable",Pathogens!C33)),2,IF(ISNUMBER(SEARCH("AMR",Pathogens!C33)),5,IF(ISNUMBER(SEARCH("VHF",Pathogens!C33)),4,IF(ISNUMBER(SEARCH("Emerging",Pathogens!C33)),5,IF(ISNUMBER(SEARCH("Mycobacterial",Pathogens!C33)),3,IF(ISNUMBER(SEARCH("Helminth",Pathogens!C33)),3,IF(ISNUMBER(SEARCH("Respiratory",Pathogens!C33)),4,3)))))))</f>
        <v>3</v>
      </c>
      <c r="AK36" s="62">
        <f>IF(ISNUMBER(SEARCH("AMR",Pathogens!C33)),5,IF(ISNUMBER(SEARCH("Mycobacterial",Pathogens!C33)),4,IF(ISNUMBER(SEARCH("Enteric bacterial",Pathogens!C33)),3,IF(ISNUMBER(SEARCH("Bacterial",Pathogens!C33)),3,1))))</f>
        <v>3</v>
      </c>
      <c r="AL3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6" s="62">
        <f>(6-Pathogens!X33)</f>
        <v>3</v>
      </c>
      <c r="AN36" s="62">
        <f>ROUND(MIN(5,MAX(1,0.35*IF(Pathogens!R33=1,5,IF(Pathogens!R33=2,3,1))+0.2*IF(Pathogens!S33=1,5,IF(Pathogens!S33=2,3,1))+0.25*IF(Pathogens!W33=1,IF(VLOOKUP(F$4,Countries!$B$2:$AN$55,38,FALSE)&gt;=3,5,IF(VLOOKUP(F$4,Countries!$B$2:$AN$55,38,FALSE)=2,4,IF(VLOOKUP(F$4,Countries!$B$2:$AN$55,38,FALSE)=1,2,1))),5)+0.2*IF(VLOOKUP(F$4,Countries!$B$2:$AN$55,24,FALSE)&gt;=50,5,IF(VLOOKUP(F$4,Countries!$B$2:$AN$55,24,FALSE)&gt;=25,4,IF(VLOOKUP(F$4,Countries!$B$2:$AN$55,24,FALSE)&gt;=10,3,IF(VLOOKUP(F$4,Countries!$B$2:$AN$55,24,FALSE)&gt;=5,2,1)))))),0)</f>
        <v>4</v>
      </c>
      <c r="AO36" s="62" t="str">
        <f>IFERROR(INDEX(Endemicity!$C$2:$BN$55,MATCH(F$4,Endemicity!$B$2:$B$55,0),MATCH($A36,Endemicity!$C$1:$BN$1,0)),"Sporadic")</f>
        <v>Endemic</v>
      </c>
      <c r="AP36" s="62">
        <f>IF(Settings!$B$48="ON",IFERROR(MATCH($AO36,Settings!$B$35:$F$35,0),5),5)</f>
        <v>1</v>
      </c>
      <c r="AQ36" s="62">
        <f>ROUND(MIN(5,IF(Pathogens!I33&gt;=500,5,IF(Pathogens!I33&gt;=200,4,IF(Pathogens!I33&gt;=50,3,IF(Pathogens!I33&gt;=10,2,1))))*0.5+IF(Pathogens!J33&gt;=30,5,IF(Pathogens!J33&gt;=10,4,IF(Pathogens!J33&gt;=3,3,IF(Pathogens!J33&gt;=1,2,1))))*0.4+IF(AND(VLOOKUP(G$4,Countries!$B$2:$AN$55,4,FALSE)&gt;=80,Pathogens!N33&gt;=0.5),1,0)*0.1+IF(VLOOKUP(G$4,Countries!$B$2:$AN$55,7,FALSE)&lt;50,0.3,0)),0)</f>
        <v>3</v>
      </c>
      <c r="AR36" s="62">
        <f>ROUND(MIN(5,IF(Pathogens!K33&gt;=8,5,IF(Pathogens!K33&gt;=5,4,IF(Pathogens!K33&gt;=3,3,IF(Pathogens!K33&gt;=1,2,1))))*0.5+IF(Pathogens!L33&gt;=5,5,IF(Pathogens!L33&gt;=3,4,IF(Pathogens!L33&gt;=2,3,IF(Pathogens!L33&gt;=1.2,2,1))))*0.3+IF(Pathogens!M33=1,2,0)*0.2+IF(VLOOKUP(G$4,Countries!$B$2:$AN$55,12,FALSE)&gt;=2,0.5,0)),0)</f>
        <v>4</v>
      </c>
      <c r="AS36" s="62">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c r="AT36" s="62">
        <f>ROUND(MAX(1,MIN(5,(6-VLOOKUP(G$4,Countries!$B$2:$AN$55,10,FALSE))*0.5+(6-VLOOKUP(G$4,Countries!$B$2:$AN$55,11,FALSE))*0.4+(IF(AND(Pathogens!N33&gt;=0.5,VLOOKUP(G$4,Countries!$B$2:$AN$55,5,FALSE)&lt;60),5,IF(Pathogens!N33&gt;=0.5,4,IF(Pathogens!N33&gt;=0.3,3,IF(Pathogens!N33&gt;=0.1,2,1)))))*0.1)),0)</f>
        <v>2</v>
      </c>
      <c r="AU36" s="62">
        <f>IF(ISNUMBER(SEARCH("Vaccine-preventable",Pathogens!C33)),2,IF(ISNUMBER(SEARCH("AMR",Pathogens!C33)),5,IF(ISNUMBER(SEARCH("VHF",Pathogens!C33)),4,IF(ISNUMBER(SEARCH("Emerging",Pathogens!C33)),5,IF(ISNUMBER(SEARCH("Mycobacterial",Pathogens!C33)),3,IF(ISNUMBER(SEARCH("Helminth",Pathogens!C33)),3,IF(ISNUMBER(SEARCH("Respiratory",Pathogens!C33)),4,3)))))))</f>
        <v>3</v>
      </c>
      <c r="AV36" s="62">
        <f>IF(ISNUMBER(SEARCH("AMR",Pathogens!C33)),5,IF(ISNUMBER(SEARCH("Mycobacterial",Pathogens!C33)),4,IF(ISNUMBER(SEARCH("Enteric bacterial",Pathogens!C33)),3,IF(ISNUMBER(SEARCH("Bacterial",Pathogens!C33)),3,1))))</f>
        <v>3</v>
      </c>
      <c r="AW3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6" s="62">
        <f>(6-Pathogens!X33)</f>
        <v>3</v>
      </c>
      <c r="AY36" s="62">
        <f>ROUND(MIN(5,MAX(1,0.35*IF(Pathogens!R33=1,5,IF(Pathogens!R33=2,3,1))+0.2*IF(Pathogens!S33=1,5,IF(Pathogens!S33=2,3,1))+0.25*IF(Pathogens!W33=1,IF(VLOOKUP(G$4,Countries!$B$2:$AN$55,38,FALSE)&gt;=3,5,IF(VLOOKUP(G$4,Countries!$B$2:$AN$55,38,FALSE)=2,4,IF(VLOOKUP(G$4,Countries!$B$2:$AN$55,38,FALSE)=1,2,1))),5)+0.2*IF(VLOOKUP(G$4,Countries!$B$2:$AN$55,24,FALSE)&gt;=50,5,IF(VLOOKUP(G$4,Countries!$B$2:$AN$55,24,FALSE)&gt;=25,4,IF(VLOOKUP(G$4,Countries!$B$2:$AN$55,24,FALSE)&gt;=10,3,IF(VLOOKUP(G$4,Countries!$B$2:$AN$55,24,FALSE)&gt;=5,2,1)))))),0)</f>
        <v>4</v>
      </c>
      <c r="AZ36" s="62" t="str">
        <f>IFERROR(INDEX(Endemicity!$C$2:$BN$55,MATCH(G$4,Endemicity!$B$2:$B$55,0),MATCH($A36,Endemicity!$C$1:$BN$1,0)),"Sporadic")</f>
        <v>Endemic</v>
      </c>
      <c r="BA36" s="62">
        <f>IF(Settings!$B$48="ON",IFERROR(MATCH($AZ36,Settings!$B$35:$F$35,0),5),5)</f>
        <v>1</v>
      </c>
    </row>
    <row r="37" customHeight="1" spans="1:53">
      <c r="A37" s="61" t="str">
        <f>Calculator!A66</f>
        <v>STYPM</v>
      </c>
      <c r="B37" s="61" t="str">
        <f>Calculator!B66</f>
        <v>Salmonella Paratyphi A/B</v>
      </c>
      <c r="C37" s="61" t="str">
        <f>Calculator!C66</f>
        <v>Enteric bacterial</v>
      </c>
      <c r="D37" s="52">
        <f>IFERROR(ROUND(MIN(100,(($J37)*Settings!$C$23*INDEX(Settings!$B$36:$F$44,1,$T37)+($K37)*Settings!$C$24*INDEX(Settings!$B$36:$F$44,2,$T37)+($L37)*Settings!$C$25*INDEX(Settings!$B$36:$F$44,3,$T37)+($M37)*Settings!$C$26*INDEX(Settings!$B$36:$F$44,4,$T37)+($N37)*Settings!$C$27*INDEX(Settings!$B$36:$F$44,5,$T37)+($O37)*Settings!$C$28*INDEX(Settings!$B$36:$F$44,6,$T37)+($P37)*Settings!$C$29*INDEX(Settings!$B$36:$F$44,7,$T37)+($Q37)*Settings!$C$30*INDEX(Settings!$B$36:$F$44,8,$T37)+($R37)*Settings!$C$31*INDEX(Settings!$B$36:$F$44,9,$T37))/INDEX(Settings!$B$45:$F$45,1,$T37)/5*100*IF($S37="Not present",Settings!$B$51,1)),1),"")</f>
        <v>60.7</v>
      </c>
      <c r="E37" s="52">
        <f>IFERROR(ROUND(MIN(100,(($U37)*Settings!$C$23*INDEX(Settings!$B$36:$F$44,1,$AE37)+($V37)*Settings!$C$24*INDEX(Settings!$B$36:$F$44,2,$AE37)+($W37)*Settings!$C$25*INDEX(Settings!$B$36:$F$44,3,$AE37)+($X37)*Settings!$C$26*INDEX(Settings!$B$36:$F$44,4,$AE37)+($Y37)*Settings!$C$27*INDEX(Settings!$B$36:$F$44,5,$AE37)+($Z37)*Settings!$C$28*INDEX(Settings!$B$36:$F$44,6,$AE37)+($AA37)*Settings!$C$29*INDEX(Settings!$B$36:$F$44,7,$AE37)+($AB37)*Settings!$C$30*INDEX(Settings!$B$36:$F$44,8,$AE37)+($AC37)*Settings!$C$31*INDEX(Settings!$B$36:$F$44,9,$AE37))/INDEX(Settings!$B$45:$F$45,1,$AE37)/5*100*IF($AD37="Not present",Settings!$B$51,1)),1),"")</f>
        <v>66.2</v>
      </c>
      <c r="F37" s="52">
        <f>IFERROR(ROUND(MIN(100,(($AF37)*Settings!$C$23*INDEX(Settings!$B$36:$F$44,1,$AP37)+($AG37)*Settings!$C$24*INDEX(Settings!$B$36:$F$44,2,$AP37)+($AH37)*Settings!$C$25*INDEX(Settings!$B$36:$F$44,3,$AP37)+($AI37)*Settings!$C$26*INDEX(Settings!$B$36:$F$44,4,$AP37)+($AJ37)*Settings!$C$27*INDEX(Settings!$B$36:$F$44,5,$AP37)+($AK37)*Settings!$C$28*INDEX(Settings!$B$36:$F$44,6,$AP37)+($AL37)*Settings!$C$29*INDEX(Settings!$B$36:$F$44,7,$AP37)+($AM37)*Settings!$C$30*INDEX(Settings!$B$36:$F$44,8,$AP37)+($AN37)*Settings!$C$31*INDEX(Settings!$B$36:$F$44,9,$AP37))/INDEX(Settings!$B$45:$F$45,1,$AP37)/5*100*IF($AO37="Not present",Settings!$B$51,1)),1),"")</f>
        <v>63.7</v>
      </c>
      <c r="G37" s="52">
        <f>IFERROR(ROUND(MIN(100,(($AQ37)*Settings!$C$23*INDEX(Settings!$B$36:$F$44,1,$BA37)+($AR37)*Settings!$C$24*INDEX(Settings!$B$36:$F$44,2,$BA37)+($AS37)*Settings!$C$25*INDEX(Settings!$B$36:$F$44,3,$BA37)+($AT37)*Settings!$C$26*INDEX(Settings!$B$36:$F$44,4,$BA37)+($AU37)*Settings!$C$27*INDEX(Settings!$B$36:$F$44,5,$BA37)+($AV37)*Settings!$C$28*INDEX(Settings!$B$36:$F$44,6,$BA37)+($AW37)*Settings!$C$29*INDEX(Settings!$B$36:$F$44,7,$BA37)+($AX37)*Settings!$C$30*INDEX(Settings!$B$36:$F$44,8,$BA37)+($AY37)*Settings!$C$31*INDEX(Settings!$B$36:$F$44,9,$BA37))/INDEX(Settings!$B$45:$F$45,1,$BA37)/5*100*IF($AZ37="Not present",Settings!$B$51,1)),1),"")</f>
        <v>65.1</v>
      </c>
      <c r="J37" s="62">
        <f>ROUND(MIN(5,IF(Pathogens!I34&gt;=500,5,IF(Pathogens!I34&gt;=200,4,IF(Pathogens!I34&gt;=50,3,IF(Pathogens!I34&gt;=10,2,1))))*0.5+IF(Pathogens!J34&gt;=30,5,IF(Pathogens!J34&gt;=10,4,IF(Pathogens!J34&gt;=3,3,IF(Pathogens!J34&gt;=1,2,1))))*0.4+IF(AND(VLOOKUP(D$4,Countries!$B$2:$AN$55,4,FALSE)&gt;=80,Pathogens!N34&gt;=0.5),1,0)*0.1+IF(VLOOKUP(D$4,Countries!$B$2:$AN$55,7,FALSE)&lt;50,0.3,0)),0)</f>
        <v>2</v>
      </c>
      <c r="K37" s="62">
        <f>ROUND(MIN(5,IF(Pathogens!K34&gt;=8,5,IF(Pathogens!K34&gt;=5,4,IF(Pathogens!K34&gt;=3,3,IF(Pathogens!K34&gt;=1,2,1))))*0.5+IF(Pathogens!L34&gt;=5,5,IF(Pathogens!L34&gt;=3,4,IF(Pathogens!L34&gt;=2,3,IF(Pathogens!L34&gt;=1.2,2,1))))*0.3+IF(Pathogens!M34=1,2,0)*0.2+IF(VLOOKUP(D$4,Countries!$B$2:$AN$55,12,FALSE)&gt;=2,0.5,0)),0)</f>
        <v>3</v>
      </c>
      <c r="L37" s="62">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c r="M37" s="62">
        <f>ROUND(MAX(1,MIN(5,(6-VLOOKUP(D$4,Countries!$B$2:$AN$55,10,FALSE))*0.5+(6-VLOOKUP(D$4,Countries!$B$2:$AN$55,11,FALSE))*0.4+(IF(AND(Pathogens!N34&gt;=0.5,VLOOKUP(D$4,Countries!$B$2:$AN$55,5,FALSE)&lt;60),5,IF(Pathogens!N34&gt;=0.5,4,IF(Pathogens!N34&gt;=0.3,3,IF(Pathogens!N34&gt;=0.1,2,1)))))*0.1)),0)</f>
        <v>2</v>
      </c>
      <c r="N37" s="62">
        <f>IF(ISNUMBER(SEARCH("Vaccine-preventable",Pathogens!C34)),2,IF(ISNUMBER(SEARCH("AMR",Pathogens!C34)),5,IF(ISNUMBER(SEARCH("VHF",Pathogens!C34)),4,IF(ISNUMBER(SEARCH("Emerging",Pathogens!C34)),5,IF(ISNUMBER(SEARCH("Mycobacterial",Pathogens!C34)),3,IF(ISNUMBER(SEARCH("Helminth",Pathogens!C34)),3,IF(ISNUMBER(SEARCH("Respiratory",Pathogens!C34)),4,3)))))))</f>
        <v>3</v>
      </c>
      <c r="O37" s="62">
        <f>IF(ISNUMBER(SEARCH("AMR",Pathogens!C34)),5,IF(ISNUMBER(SEARCH("Mycobacterial",Pathogens!C34)),4,IF(ISNUMBER(SEARCH("Enteric bacterial",Pathogens!C34)),3,IF(ISNUMBER(SEARCH("Bacterial",Pathogens!C34)),3,1))))</f>
        <v>3</v>
      </c>
      <c r="P3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7" s="62">
        <f>(6-Pathogens!X34)</f>
        <v>4</v>
      </c>
      <c r="R37" s="62">
        <f>ROUND(MIN(5,MAX(1,0.35*IF(Pathogens!R34=1,5,IF(Pathogens!R34=2,3,1))+0.2*IF(Pathogens!S34=1,5,IF(Pathogens!S34=2,3,1))+0.25*IF(Pathogens!W34=1,IF(VLOOKUP(D$4,Countries!$B$2:$AN$55,38,FALSE)&gt;=3,5,IF(VLOOKUP(D$4,Countries!$B$2:$AN$55,38,FALSE)=2,4,IF(VLOOKUP(D$4,Countries!$B$2:$AN$55,38,FALSE)=1,2,1))),5)+0.2*IF(VLOOKUP(D$4,Countries!$B$2:$AN$55,24,FALSE)&gt;=50,5,IF(VLOOKUP(D$4,Countries!$B$2:$AN$55,24,FALSE)&gt;=25,4,IF(VLOOKUP(D$4,Countries!$B$2:$AN$55,24,FALSE)&gt;=10,3,IF(VLOOKUP(D$4,Countries!$B$2:$AN$55,24,FALSE)&gt;=5,2,1)))))),0)</f>
        <v>4</v>
      </c>
      <c r="S37" s="62" t="str">
        <f>IFERROR(INDEX(Endemicity!$C$2:$BN$55,MATCH(D$4,Endemicity!$B$2:$B$55,0),MATCH($A37,Endemicity!$C$1:$BN$1,0)),"Sporadic")</f>
        <v>Endemic</v>
      </c>
      <c r="T37" s="62">
        <f>IF(Settings!$B$48="ON",IFERROR(MATCH($S37,Settings!$B$35:$F$35,0),5),5)</f>
        <v>1</v>
      </c>
      <c r="U37" s="62">
        <f>ROUND(MIN(5,IF(Pathogens!I34&gt;=500,5,IF(Pathogens!I34&gt;=200,4,IF(Pathogens!I34&gt;=50,3,IF(Pathogens!I34&gt;=10,2,1))))*0.5+IF(Pathogens!J34&gt;=30,5,IF(Pathogens!J34&gt;=10,4,IF(Pathogens!J34&gt;=3,3,IF(Pathogens!J34&gt;=1,2,1))))*0.4+IF(AND(VLOOKUP(E$4,Countries!$B$2:$AN$55,4,FALSE)&gt;=80,Pathogens!N34&gt;=0.5),1,0)*0.1+IF(VLOOKUP(E$4,Countries!$B$2:$AN$55,7,FALSE)&lt;50,0.3,0)),0)</f>
        <v>2</v>
      </c>
      <c r="V37" s="62">
        <f>ROUND(MIN(5,IF(Pathogens!K34&gt;=8,5,IF(Pathogens!K34&gt;=5,4,IF(Pathogens!K34&gt;=3,3,IF(Pathogens!K34&gt;=1,2,1))))*0.5+IF(Pathogens!L34&gt;=5,5,IF(Pathogens!L34&gt;=3,4,IF(Pathogens!L34&gt;=2,3,IF(Pathogens!L34&gt;=1.2,2,1))))*0.3+IF(Pathogens!M34=1,2,0)*0.2+IF(VLOOKUP(E$4,Countries!$B$2:$AN$55,12,FALSE)&gt;=2,0.5,0)),0)</f>
        <v>3</v>
      </c>
      <c r="W37" s="62">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c r="X37" s="62">
        <f>ROUND(MAX(1,MIN(5,(6-VLOOKUP(E$4,Countries!$B$2:$AN$55,10,FALSE))*0.5+(6-VLOOKUP(E$4,Countries!$B$2:$AN$55,11,FALSE))*0.4+(IF(AND(Pathogens!N34&gt;=0.5,VLOOKUP(E$4,Countries!$B$2:$AN$55,5,FALSE)&lt;60),5,IF(Pathogens!N34&gt;=0.5,4,IF(Pathogens!N34&gt;=0.3,3,IF(Pathogens!N34&gt;=0.1,2,1)))))*0.1)),0)</f>
        <v>3</v>
      </c>
      <c r="Y37" s="62">
        <f>IF(ISNUMBER(SEARCH("Vaccine-preventable",Pathogens!C34)),2,IF(ISNUMBER(SEARCH("AMR",Pathogens!C34)),5,IF(ISNUMBER(SEARCH("VHF",Pathogens!C34)),4,IF(ISNUMBER(SEARCH("Emerging",Pathogens!C34)),5,IF(ISNUMBER(SEARCH("Mycobacterial",Pathogens!C34)),3,IF(ISNUMBER(SEARCH("Helminth",Pathogens!C34)),3,IF(ISNUMBER(SEARCH("Respiratory",Pathogens!C34)),4,3)))))))</f>
        <v>3</v>
      </c>
      <c r="Z37" s="62">
        <f>IF(ISNUMBER(SEARCH("AMR",Pathogens!C34)),5,IF(ISNUMBER(SEARCH("Mycobacterial",Pathogens!C34)),4,IF(ISNUMBER(SEARCH("Enteric bacterial",Pathogens!C34)),3,IF(ISNUMBER(SEARCH("Bacterial",Pathogens!C34)),3,1))))</f>
        <v>3</v>
      </c>
      <c r="AA3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7" s="62">
        <f>(6-Pathogens!X34)</f>
        <v>4</v>
      </c>
      <c r="AC37" s="62">
        <f>ROUND(MIN(5,MAX(1,0.35*IF(Pathogens!R34=1,5,IF(Pathogens!R34=2,3,1))+0.2*IF(Pathogens!S34=1,5,IF(Pathogens!S34=2,3,1))+0.25*IF(Pathogens!W34=1,IF(VLOOKUP(E$4,Countries!$B$2:$AN$55,38,FALSE)&gt;=3,5,IF(VLOOKUP(E$4,Countries!$B$2:$AN$55,38,FALSE)=2,4,IF(VLOOKUP(E$4,Countries!$B$2:$AN$55,38,FALSE)=1,2,1))),5)+0.2*IF(VLOOKUP(E$4,Countries!$B$2:$AN$55,24,FALSE)&gt;=50,5,IF(VLOOKUP(E$4,Countries!$B$2:$AN$55,24,FALSE)&gt;=25,4,IF(VLOOKUP(E$4,Countries!$B$2:$AN$55,24,FALSE)&gt;=10,3,IF(VLOOKUP(E$4,Countries!$B$2:$AN$55,24,FALSE)&gt;=5,2,1)))))),0)</f>
        <v>4</v>
      </c>
      <c r="AD37" s="62" t="str">
        <f>IFERROR(INDEX(Endemicity!$C$2:$BN$55,MATCH(E$4,Endemicity!$B$2:$B$55,0),MATCH($A37,Endemicity!$C$1:$BN$1,0)),"Sporadic")</f>
        <v>Endemic</v>
      </c>
      <c r="AE37" s="62">
        <f>IF(Settings!$B$48="ON",IFERROR(MATCH($AD37,Settings!$B$35:$F$35,0),5),5)</f>
        <v>1</v>
      </c>
      <c r="AF37" s="62">
        <f>ROUND(MIN(5,IF(Pathogens!I34&gt;=500,5,IF(Pathogens!I34&gt;=200,4,IF(Pathogens!I34&gt;=50,3,IF(Pathogens!I34&gt;=10,2,1))))*0.5+IF(Pathogens!J34&gt;=30,5,IF(Pathogens!J34&gt;=10,4,IF(Pathogens!J34&gt;=3,3,IF(Pathogens!J34&gt;=1,2,1))))*0.4+IF(AND(VLOOKUP(F$4,Countries!$B$2:$AN$55,4,FALSE)&gt;=80,Pathogens!N34&gt;=0.5),1,0)*0.1+IF(VLOOKUP(F$4,Countries!$B$2:$AN$55,7,FALSE)&lt;50,0.3,0)),0)</f>
        <v>2</v>
      </c>
      <c r="AG37" s="62">
        <f>ROUND(MIN(5,IF(Pathogens!K34&gt;=8,5,IF(Pathogens!K34&gt;=5,4,IF(Pathogens!K34&gt;=3,3,IF(Pathogens!K34&gt;=1,2,1))))*0.5+IF(Pathogens!L34&gt;=5,5,IF(Pathogens!L34&gt;=3,4,IF(Pathogens!L34&gt;=2,3,IF(Pathogens!L34&gt;=1.2,2,1))))*0.3+IF(Pathogens!M34=1,2,0)*0.2+IF(VLOOKUP(F$4,Countries!$B$2:$AN$55,12,FALSE)&gt;=2,0.5,0)),0)</f>
        <v>3</v>
      </c>
      <c r="AH37" s="62">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c r="AI37" s="62">
        <f>ROUND(MAX(1,MIN(5,(6-VLOOKUP(F$4,Countries!$B$2:$AN$55,10,FALSE))*0.5+(6-VLOOKUP(F$4,Countries!$B$2:$AN$55,11,FALSE))*0.4+(IF(AND(Pathogens!N34&gt;=0.5,VLOOKUP(F$4,Countries!$B$2:$AN$55,5,FALSE)&lt;60),5,IF(Pathogens!N34&gt;=0.5,4,IF(Pathogens!N34&gt;=0.3,3,IF(Pathogens!N34&gt;=0.1,2,1)))))*0.1)),0)</f>
        <v>2</v>
      </c>
      <c r="AJ37" s="62">
        <f>IF(ISNUMBER(SEARCH("Vaccine-preventable",Pathogens!C34)),2,IF(ISNUMBER(SEARCH("AMR",Pathogens!C34)),5,IF(ISNUMBER(SEARCH("VHF",Pathogens!C34)),4,IF(ISNUMBER(SEARCH("Emerging",Pathogens!C34)),5,IF(ISNUMBER(SEARCH("Mycobacterial",Pathogens!C34)),3,IF(ISNUMBER(SEARCH("Helminth",Pathogens!C34)),3,IF(ISNUMBER(SEARCH("Respiratory",Pathogens!C34)),4,3)))))))</f>
        <v>3</v>
      </c>
      <c r="AK37" s="62">
        <f>IF(ISNUMBER(SEARCH("AMR",Pathogens!C34)),5,IF(ISNUMBER(SEARCH("Mycobacterial",Pathogens!C34)),4,IF(ISNUMBER(SEARCH("Enteric bacterial",Pathogens!C34)),3,IF(ISNUMBER(SEARCH("Bacterial",Pathogens!C34)),3,1))))</f>
        <v>3</v>
      </c>
      <c r="AL3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7" s="62">
        <f>(6-Pathogens!X34)</f>
        <v>4</v>
      </c>
      <c r="AN37" s="62">
        <f>ROUND(MIN(5,MAX(1,0.35*IF(Pathogens!R34=1,5,IF(Pathogens!R34=2,3,1))+0.2*IF(Pathogens!S34=1,5,IF(Pathogens!S34=2,3,1))+0.25*IF(Pathogens!W34=1,IF(VLOOKUP(F$4,Countries!$B$2:$AN$55,38,FALSE)&gt;=3,5,IF(VLOOKUP(F$4,Countries!$B$2:$AN$55,38,FALSE)=2,4,IF(VLOOKUP(F$4,Countries!$B$2:$AN$55,38,FALSE)=1,2,1))),5)+0.2*IF(VLOOKUP(F$4,Countries!$B$2:$AN$55,24,FALSE)&gt;=50,5,IF(VLOOKUP(F$4,Countries!$B$2:$AN$55,24,FALSE)&gt;=25,4,IF(VLOOKUP(F$4,Countries!$B$2:$AN$55,24,FALSE)&gt;=10,3,IF(VLOOKUP(F$4,Countries!$B$2:$AN$55,24,FALSE)&gt;=5,2,1)))))),0)</f>
        <v>4</v>
      </c>
      <c r="AO37" s="62" t="str">
        <f>IFERROR(INDEX(Endemicity!$C$2:$BN$55,MATCH(F$4,Endemicity!$B$2:$B$55,0),MATCH($A37,Endemicity!$C$1:$BN$1,0)),"Sporadic")</f>
        <v>Sporadic</v>
      </c>
      <c r="AP37" s="62">
        <f>IF(Settings!$B$48="ON",IFERROR(MATCH($AO37,Settings!$B$35:$F$35,0),5),5)</f>
        <v>2</v>
      </c>
      <c r="AQ37" s="62">
        <f>ROUND(MIN(5,IF(Pathogens!I34&gt;=500,5,IF(Pathogens!I34&gt;=200,4,IF(Pathogens!I34&gt;=50,3,IF(Pathogens!I34&gt;=10,2,1))))*0.5+IF(Pathogens!J34&gt;=30,5,IF(Pathogens!J34&gt;=10,4,IF(Pathogens!J34&gt;=3,3,IF(Pathogens!J34&gt;=1,2,1))))*0.4+IF(AND(VLOOKUP(G$4,Countries!$B$2:$AN$55,4,FALSE)&gt;=80,Pathogens!N34&gt;=0.5),1,0)*0.1+IF(VLOOKUP(G$4,Countries!$B$2:$AN$55,7,FALSE)&lt;50,0.3,0)),0)</f>
        <v>2</v>
      </c>
      <c r="AR37" s="62">
        <f>ROUND(MIN(5,IF(Pathogens!K34&gt;=8,5,IF(Pathogens!K34&gt;=5,4,IF(Pathogens!K34&gt;=3,3,IF(Pathogens!K34&gt;=1,2,1))))*0.5+IF(Pathogens!L34&gt;=5,5,IF(Pathogens!L34&gt;=3,4,IF(Pathogens!L34&gt;=2,3,IF(Pathogens!L34&gt;=1.2,2,1))))*0.3+IF(Pathogens!M34=1,2,0)*0.2+IF(VLOOKUP(G$4,Countries!$B$2:$AN$55,12,FALSE)&gt;=2,0.5,0)),0)</f>
        <v>3</v>
      </c>
      <c r="AS37" s="62">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c r="AT37" s="62">
        <f>ROUND(MAX(1,MIN(5,(6-VLOOKUP(G$4,Countries!$B$2:$AN$55,10,FALSE))*0.5+(6-VLOOKUP(G$4,Countries!$B$2:$AN$55,11,FALSE))*0.4+(IF(AND(Pathogens!N34&gt;=0.5,VLOOKUP(G$4,Countries!$B$2:$AN$55,5,FALSE)&lt;60),5,IF(Pathogens!N34&gt;=0.5,4,IF(Pathogens!N34&gt;=0.3,3,IF(Pathogens!N34&gt;=0.1,2,1)))))*0.1)),0)</f>
        <v>2</v>
      </c>
      <c r="AU37" s="62">
        <f>IF(ISNUMBER(SEARCH("Vaccine-preventable",Pathogens!C34)),2,IF(ISNUMBER(SEARCH("AMR",Pathogens!C34)),5,IF(ISNUMBER(SEARCH("VHF",Pathogens!C34)),4,IF(ISNUMBER(SEARCH("Emerging",Pathogens!C34)),5,IF(ISNUMBER(SEARCH("Mycobacterial",Pathogens!C34)),3,IF(ISNUMBER(SEARCH("Helminth",Pathogens!C34)),3,IF(ISNUMBER(SEARCH("Respiratory",Pathogens!C34)),4,3)))))))</f>
        <v>3</v>
      </c>
      <c r="AV37" s="62">
        <f>IF(ISNUMBER(SEARCH("AMR",Pathogens!C34)),5,IF(ISNUMBER(SEARCH("Mycobacterial",Pathogens!C34)),4,IF(ISNUMBER(SEARCH("Enteric bacterial",Pathogens!C34)),3,IF(ISNUMBER(SEARCH("Bacterial",Pathogens!C34)),3,1))))</f>
        <v>3</v>
      </c>
      <c r="AW3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7" s="62">
        <f>(6-Pathogens!X34)</f>
        <v>4</v>
      </c>
      <c r="AY37" s="62">
        <f>ROUND(MIN(5,MAX(1,0.35*IF(Pathogens!R34=1,5,IF(Pathogens!R34=2,3,1))+0.2*IF(Pathogens!S34=1,5,IF(Pathogens!S34=2,3,1))+0.25*IF(Pathogens!W34=1,IF(VLOOKUP(G$4,Countries!$B$2:$AN$55,38,FALSE)&gt;=3,5,IF(VLOOKUP(G$4,Countries!$B$2:$AN$55,38,FALSE)=2,4,IF(VLOOKUP(G$4,Countries!$B$2:$AN$55,38,FALSE)=1,2,1))),5)+0.2*IF(VLOOKUP(G$4,Countries!$B$2:$AN$55,24,FALSE)&gt;=50,5,IF(VLOOKUP(G$4,Countries!$B$2:$AN$55,24,FALSE)&gt;=25,4,IF(VLOOKUP(G$4,Countries!$B$2:$AN$55,24,FALSE)&gt;=10,3,IF(VLOOKUP(G$4,Countries!$B$2:$AN$55,24,FALSE)&gt;=5,2,1)))))),0)</f>
        <v>4</v>
      </c>
      <c r="AZ37" s="62" t="str">
        <f>IFERROR(INDEX(Endemicity!$C$2:$BN$55,MATCH(G$4,Endemicity!$B$2:$B$55,0),MATCH($A37,Endemicity!$C$1:$BN$1,0)),"Sporadic")</f>
        <v>Sporadic</v>
      </c>
      <c r="BA37" s="62">
        <f>IF(Settings!$B$48="ON",IFERROR(MATCH($AZ37,Settings!$B$35:$F$35,0),5),5)</f>
        <v>2</v>
      </c>
    </row>
    <row r="38" customHeight="1" spans="1:53">
      <c r="A38" s="61" t="str">
        <f>Calculator!A67</f>
        <v>INTS</v>
      </c>
      <c r="B38" s="61" t="str">
        <f>Calculator!B67</f>
        <v>Invasive non-typhoidal Salmonella</v>
      </c>
      <c r="C38" s="61" t="str">
        <f>Calculator!C67</f>
        <v>Enteric bacterial</v>
      </c>
      <c r="D38" s="52">
        <f>IFERROR(ROUND(MIN(100,(($J38)*Settings!$C$23*INDEX(Settings!$B$36:$F$44,1,$T38)+($K38)*Settings!$C$24*INDEX(Settings!$B$36:$F$44,2,$T38)+($L38)*Settings!$C$25*INDEX(Settings!$B$36:$F$44,3,$T38)+($M38)*Settings!$C$26*INDEX(Settings!$B$36:$F$44,4,$T38)+($N38)*Settings!$C$27*INDEX(Settings!$B$36:$F$44,5,$T38)+($O38)*Settings!$C$28*INDEX(Settings!$B$36:$F$44,6,$T38)+($P38)*Settings!$C$29*INDEX(Settings!$B$36:$F$44,7,$T38)+($Q38)*Settings!$C$30*INDEX(Settings!$B$36:$F$44,8,$T38)+($R38)*Settings!$C$31*INDEX(Settings!$B$36:$F$44,9,$T38))/INDEX(Settings!$B$45:$F$45,1,$T38)/5*100*IF($S38="Not present",Settings!$B$51,1)),1),"")</f>
        <v>66.6</v>
      </c>
      <c r="E38" s="52">
        <f>IFERROR(ROUND(MIN(100,(($U38)*Settings!$C$23*INDEX(Settings!$B$36:$F$44,1,$AE38)+($V38)*Settings!$C$24*INDEX(Settings!$B$36:$F$44,2,$AE38)+($W38)*Settings!$C$25*INDEX(Settings!$B$36:$F$44,3,$AE38)+($X38)*Settings!$C$26*INDEX(Settings!$B$36:$F$44,4,$AE38)+($Y38)*Settings!$C$27*INDEX(Settings!$B$36:$F$44,5,$AE38)+($Z38)*Settings!$C$28*INDEX(Settings!$B$36:$F$44,6,$AE38)+($AA38)*Settings!$C$29*INDEX(Settings!$B$36:$F$44,7,$AE38)+($AB38)*Settings!$C$30*INDEX(Settings!$B$36:$F$44,8,$AE38)+($AC38)*Settings!$C$31*INDEX(Settings!$B$36:$F$44,9,$AE38))/INDEX(Settings!$B$45:$F$45,1,$AE38)/5*100*IF($AD38="Not present",Settings!$B$51,1)),1),"")</f>
        <v>76.3</v>
      </c>
      <c r="F38" s="52">
        <f>IFERROR(ROUND(MIN(100,(($AF38)*Settings!$C$23*INDEX(Settings!$B$36:$F$44,1,$AP38)+($AG38)*Settings!$C$24*INDEX(Settings!$B$36:$F$44,2,$AP38)+($AH38)*Settings!$C$25*INDEX(Settings!$B$36:$F$44,3,$AP38)+($AI38)*Settings!$C$26*INDEX(Settings!$B$36:$F$44,4,$AP38)+($AJ38)*Settings!$C$27*INDEX(Settings!$B$36:$F$44,5,$AP38)+($AK38)*Settings!$C$28*INDEX(Settings!$B$36:$F$44,6,$AP38)+($AL38)*Settings!$C$29*INDEX(Settings!$B$36:$F$44,7,$AP38)+($AM38)*Settings!$C$30*INDEX(Settings!$B$36:$F$44,8,$AP38)+($AN38)*Settings!$C$31*INDEX(Settings!$B$36:$F$44,9,$AP38))/INDEX(Settings!$B$45:$F$45,1,$AP38)/5*100*IF($AO38="Not present",Settings!$B$51,1)),1),"")</f>
        <v>66.6</v>
      </c>
      <c r="G38" s="52">
        <f>IFERROR(ROUND(MIN(100,(($AQ38)*Settings!$C$23*INDEX(Settings!$B$36:$F$44,1,$BA38)+($AR38)*Settings!$C$24*INDEX(Settings!$B$36:$F$44,2,$BA38)+($AS38)*Settings!$C$25*INDEX(Settings!$B$36:$F$44,3,$BA38)+($AT38)*Settings!$C$26*INDEX(Settings!$B$36:$F$44,4,$BA38)+($AU38)*Settings!$C$27*INDEX(Settings!$B$36:$F$44,5,$BA38)+($AV38)*Settings!$C$28*INDEX(Settings!$B$36:$F$44,6,$BA38)+($AW38)*Settings!$C$29*INDEX(Settings!$B$36:$F$44,7,$BA38)+($AX38)*Settings!$C$30*INDEX(Settings!$B$36:$F$44,8,$BA38)+($AY38)*Settings!$C$31*INDEX(Settings!$B$36:$F$44,9,$BA38))/INDEX(Settings!$B$45:$F$45,1,$BA38)/5*100*IF($AZ38="Not present",Settings!$B$51,1)),1),"")</f>
        <v>68.3</v>
      </c>
      <c r="J38" s="62">
        <f>ROUND(MIN(5,IF(Pathogens!I35&gt;=500,5,IF(Pathogens!I35&gt;=200,4,IF(Pathogens!I35&gt;=50,3,IF(Pathogens!I35&gt;=10,2,1))))*0.5+IF(Pathogens!J35&gt;=30,5,IF(Pathogens!J35&gt;=10,4,IF(Pathogens!J35&gt;=3,3,IF(Pathogens!J35&gt;=1,2,1))))*0.4+IF(AND(VLOOKUP(D$4,Countries!$B$2:$AN$55,4,FALSE)&gt;=80,Pathogens!N35&gt;=0.5),1,0)*0.1+IF(VLOOKUP(D$4,Countries!$B$2:$AN$55,7,FALSE)&lt;50,0.3,0)),0)</f>
        <v>3</v>
      </c>
      <c r="K38" s="62">
        <f>ROUND(MIN(5,IF(Pathogens!K35&gt;=8,5,IF(Pathogens!K35&gt;=5,4,IF(Pathogens!K35&gt;=3,3,IF(Pathogens!K35&gt;=1,2,1))))*0.5+IF(Pathogens!L35&gt;=5,5,IF(Pathogens!L35&gt;=3,4,IF(Pathogens!L35&gt;=2,3,IF(Pathogens!L35&gt;=1.2,2,1))))*0.3+IF(Pathogens!M35=1,2,0)*0.2+IF(VLOOKUP(D$4,Countries!$B$2:$AN$55,12,FALSE)&gt;=2,0.5,0)),0)</f>
        <v>4</v>
      </c>
      <c r="L38" s="62">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c r="M38" s="62">
        <f>ROUND(MAX(1,MIN(5,(6-VLOOKUP(D$4,Countries!$B$2:$AN$55,10,FALSE))*0.5+(6-VLOOKUP(D$4,Countries!$B$2:$AN$55,11,FALSE))*0.4+(IF(AND(Pathogens!N35&gt;=0.5,VLOOKUP(D$4,Countries!$B$2:$AN$55,5,FALSE)&lt;60),5,IF(Pathogens!N35&gt;=0.5,4,IF(Pathogens!N35&gt;=0.3,3,IF(Pathogens!N35&gt;=0.1,2,1)))))*0.1)),0)</f>
        <v>2</v>
      </c>
      <c r="N38" s="62">
        <f>IF(ISNUMBER(SEARCH("Vaccine-preventable",Pathogens!C35)),2,IF(ISNUMBER(SEARCH("AMR",Pathogens!C35)),5,IF(ISNUMBER(SEARCH("VHF",Pathogens!C35)),4,IF(ISNUMBER(SEARCH("Emerging",Pathogens!C35)),5,IF(ISNUMBER(SEARCH("Mycobacterial",Pathogens!C35)),3,IF(ISNUMBER(SEARCH("Helminth",Pathogens!C35)),3,IF(ISNUMBER(SEARCH("Respiratory",Pathogens!C35)),4,3)))))))</f>
        <v>3</v>
      </c>
      <c r="O38" s="62">
        <f>IF(ISNUMBER(SEARCH("AMR",Pathogens!C35)),5,IF(ISNUMBER(SEARCH("Mycobacterial",Pathogens!C35)),4,IF(ISNUMBER(SEARCH("Enteric bacterial",Pathogens!C35)),3,IF(ISNUMBER(SEARCH("Bacterial",Pathogens!C35)),3,1))))</f>
        <v>3</v>
      </c>
      <c r="P3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8" s="62">
        <f>(6-Pathogens!X35)</f>
        <v>4</v>
      </c>
      <c r="R38" s="62">
        <f>ROUND(MIN(5,MAX(1,0.35*IF(Pathogens!R35=1,5,IF(Pathogens!R35=2,3,1))+0.2*IF(Pathogens!S35=1,5,IF(Pathogens!S35=2,3,1))+0.25*IF(Pathogens!W35=1,IF(VLOOKUP(D$4,Countries!$B$2:$AN$55,38,FALSE)&gt;=3,5,IF(VLOOKUP(D$4,Countries!$B$2:$AN$55,38,FALSE)=2,4,IF(VLOOKUP(D$4,Countries!$B$2:$AN$55,38,FALSE)=1,2,1))),5)+0.2*IF(VLOOKUP(D$4,Countries!$B$2:$AN$55,24,FALSE)&gt;=50,5,IF(VLOOKUP(D$4,Countries!$B$2:$AN$55,24,FALSE)&gt;=25,4,IF(VLOOKUP(D$4,Countries!$B$2:$AN$55,24,FALSE)&gt;=10,3,IF(VLOOKUP(D$4,Countries!$B$2:$AN$55,24,FALSE)&gt;=5,2,1)))))),0)</f>
        <v>4</v>
      </c>
      <c r="S38" s="62" t="str">
        <f>IFERROR(INDEX(Endemicity!$C$2:$BN$55,MATCH(D$4,Endemicity!$B$2:$B$55,0),MATCH($A38,Endemicity!$C$1:$BN$1,0)),"Sporadic")</f>
        <v>Endemic</v>
      </c>
      <c r="T38" s="62">
        <f>IF(Settings!$B$48="ON",IFERROR(MATCH($S38,Settings!$B$35:$F$35,0),5),5)</f>
        <v>1</v>
      </c>
      <c r="U38" s="62">
        <f>ROUND(MIN(5,IF(Pathogens!I35&gt;=500,5,IF(Pathogens!I35&gt;=200,4,IF(Pathogens!I35&gt;=50,3,IF(Pathogens!I35&gt;=10,2,1))))*0.5+IF(Pathogens!J35&gt;=30,5,IF(Pathogens!J35&gt;=10,4,IF(Pathogens!J35&gt;=3,3,IF(Pathogens!J35&gt;=1,2,1))))*0.4+IF(AND(VLOOKUP(E$4,Countries!$B$2:$AN$55,4,FALSE)&gt;=80,Pathogens!N35&gt;=0.5),1,0)*0.1+IF(VLOOKUP(E$4,Countries!$B$2:$AN$55,7,FALSE)&lt;50,0.3,0)),0)</f>
        <v>4</v>
      </c>
      <c r="V38" s="62">
        <f>ROUND(MIN(5,IF(Pathogens!K35&gt;=8,5,IF(Pathogens!K35&gt;=5,4,IF(Pathogens!K35&gt;=3,3,IF(Pathogens!K35&gt;=1,2,1))))*0.5+IF(Pathogens!L35&gt;=5,5,IF(Pathogens!L35&gt;=3,4,IF(Pathogens!L35&gt;=2,3,IF(Pathogens!L35&gt;=1.2,2,1))))*0.3+IF(Pathogens!M35=1,2,0)*0.2+IF(VLOOKUP(E$4,Countries!$B$2:$AN$55,12,FALSE)&gt;=2,0.5,0)),0)</f>
        <v>4</v>
      </c>
      <c r="W38" s="62">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c r="X38" s="62">
        <f>ROUND(MAX(1,MIN(5,(6-VLOOKUP(E$4,Countries!$B$2:$AN$55,10,FALSE))*0.5+(6-VLOOKUP(E$4,Countries!$B$2:$AN$55,11,FALSE))*0.4+(IF(AND(Pathogens!N35&gt;=0.5,VLOOKUP(E$4,Countries!$B$2:$AN$55,5,FALSE)&lt;60),5,IF(Pathogens!N35&gt;=0.5,4,IF(Pathogens!N35&gt;=0.3,3,IF(Pathogens!N35&gt;=0.1,2,1)))))*0.1)),0)</f>
        <v>3</v>
      </c>
      <c r="Y38" s="62">
        <f>IF(ISNUMBER(SEARCH("Vaccine-preventable",Pathogens!C35)),2,IF(ISNUMBER(SEARCH("AMR",Pathogens!C35)),5,IF(ISNUMBER(SEARCH("VHF",Pathogens!C35)),4,IF(ISNUMBER(SEARCH("Emerging",Pathogens!C35)),5,IF(ISNUMBER(SEARCH("Mycobacterial",Pathogens!C35)),3,IF(ISNUMBER(SEARCH("Helminth",Pathogens!C35)),3,IF(ISNUMBER(SEARCH("Respiratory",Pathogens!C35)),4,3)))))))</f>
        <v>3</v>
      </c>
      <c r="Z38" s="62">
        <f>IF(ISNUMBER(SEARCH("AMR",Pathogens!C35)),5,IF(ISNUMBER(SEARCH("Mycobacterial",Pathogens!C35)),4,IF(ISNUMBER(SEARCH("Enteric bacterial",Pathogens!C35)),3,IF(ISNUMBER(SEARCH("Bacterial",Pathogens!C35)),3,1))))</f>
        <v>3</v>
      </c>
      <c r="AA3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8" s="62">
        <f>(6-Pathogens!X35)</f>
        <v>4</v>
      </c>
      <c r="AC38" s="62">
        <f>ROUND(MIN(5,MAX(1,0.35*IF(Pathogens!R35=1,5,IF(Pathogens!R35=2,3,1))+0.2*IF(Pathogens!S35=1,5,IF(Pathogens!S35=2,3,1))+0.25*IF(Pathogens!W35=1,IF(VLOOKUP(E$4,Countries!$B$2:$AN$55,38,FALSE)&gt;=3,5,IF(VLOOKUP(E$4,Countries!$B$2:$AN$55,38,FALSE)=2,4,IF(VLOOKUP(E$4,Countries!$B$2:$AN$55,38,FALSE)=1,2,1))),5)+0.2*IF(VLOOKUP(E$4,Countries!$B$2:$AN$55,24,FALSE)&gt;=50,5,IF(VLOOKUP(E$4,Countries!$B$2:$AN$55,24,FALSE)&gt;=25,4,IF(VLOOKUP(E$4,Countries!$B$2:$AN$55,24,FALSE)&gt;=10,3,IF(VLOOKUP(E$4,Countries!$B$2:$AN$55,24,FALSE)&gt;=5,2,1)))))),0)</f>
        <v>4</v>
      </c>
      <c r="AD38" s="62" t="str">
        <f>IFERROR(INDEX(Endemicity!$C$2:$BN$55,MATCH(E$4,Endemicity!$B$2:$B$55,0),MATCH($A38,Endemicity!$C$1:$BN$1,0)),"Sporadic")</f>
        <v>Endemic</v>
      </c>
      <c r="AE38" s="62">
        <f>IF(Settings!$B$48="ON",IFERROR(MATCH($AD38,Settings!$B$35:$F$35,0),5),5)</f>
        <v>1</v>
      </c>
      <c r="AF38" s="62">
        <f>ROUND(MIN(5,IF(Pathogens!I35&gt;=500,5,IF(Pathogens!I35&gt;=200,4,IF(Pathogens!I35&gt;=50,3,IF(Pathogens!I35&gt;=10,2,1))))*0.5+IF(Pathogens!J35&gt;=30,5,IF(Pathogens!J35&gt;=10,4,IF(Pathogens!J35&gt;=3,3,IF(Pathogens!J35&gt;=1,2,1))))*0.4+IF(AND(VLOOKUP(F$4,Countries!$B$2:$AN$55,4,FALSE)&gt;=80,Pathogens!N35&gt;=0.5),1,0)*0.1+IF(VLOOKUP(F$4,Countries!$B$2:$AN$55,7,FALSE)&lt;50,0.3,0)),0)</f>
        <v>3</v>
      </c>
      <c r="AG38" s="62">
        <f>ROUND(MIN(5,IF(Pathogens!K35&gt;=8,5,IF(Pathogens!K35&gt;=5,4,IF(Pathogens!K35&gt;=3,3,IF(Pathogens!K35&gt;=1,2,1))))*0.5+IF(Pathogens!L35&gt;=5,5,IF(Pathogens!L35&gt;=3,4,IF(Pathogens!L35&gt;=2,3,IF(Pathogens!L35&gt;=1.2,2,1))))*0.3+IF(Pathogens!M35=1,2,0)*0.2+IF(VLOOKUP(F$4,Countries!$B$2:$AN$55,12,FALSE)&gt;=2,0.5,0)),0)</f>
        <v>4</v>
      </c>
      <c r="AH38" s="62">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c r="AI38" s="62">
        <f>ROUND(MAX(1,MIN(5,(6-VLOOKUP(F$4,Countries!$B$2:$AN$55,10,FALSE))*0.5+(6-VLOOKUP(F$4,Countries!$B$2:$AN$55,11,FALSE))*0.4+(IF(AND(Pathogens!N35&gt;=0.5,VLOOKUP(F$4,Countries!$B$2:$AN$55,5,FALSE)&lt;60),5,IF(Pathogens!N35&gt;=0.5,4,IF(Pathogens!N35&gt;=0.3,3,IF(Pathogens!N35&gt;=0.1,2,1)))))*0.1)),0)</f>
        <v>2</v>
      </c>
      <c r="AJ38" s="62">
        <f>IF(ISNUMBER(SEARCH("Vaccine-preventable",Pathogens!C35)),2,IF(ISNUMBER(SEARCH("AMR",Pathogens!C35)),5,IF(ISNUMBER(SEARCH("VHF",Pathogens!C35)),4,IF(ISNUMBER(SEARCH("Emerging",Pathogens!C35)),5,IF(ISNUMBER(SEARCH("Mycobacterial",Pathogens!C35)),3,IF(ISNUMBER(SEARCH("Helminth",Pathogens!C35)),3,IF(ISNUMBER(SEARCH("Respiratory",Pathogens!C35)),4,3)))))))</f>
        <v>3</v>
      </c>
      <c r="AK38" s="62">
        <f>IF(ISNUMBER(SEARCH("AMR",Pathogens!C35)),5,IF(ISNUMBER(SEARCH("Mycobacterial",Pathogens!C35)),4,IF(ISNUMBER(SEARCH("Enteric bacterial",Pathogens!C35)),3,IF(ISNUMBER(SEARCH("Bacterial",Pathogens!C35)),3,1))))</f>
        <v>3</v>
      </c>
      <c r="AL3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8" s="62">
        <f>(6-Pathogens!X35)</f>
        <v>4</v>
      </c>
      <c r="AN38" s="62">
        <f>ROUND(MIN(5,MAX(1,0.35*IF(Pathogens!R35=1,5,IF(Pathogens!R35=2,3,1))+0.2*IF(Pathogens!S35=1,5,IF(Pathogens!S35=2,3,1))+0.25*IF(Pathogens!W35=1,IF(VLOOKUP(F$4,Countries!$B$2:$AN$55,38,FALSE)&gt;=3,5,IF(VLOOKUP(F$4,Countries!$B$2:$AN$55,38,FALSE)=2,4,IF(VLOOKUP(F$4,Countries!$B$2:$AN$55,38,FALSE)=1,2,1))),5)+0.2*IF(VLOOKUP(F$4,Countries!$B$2:$AN$55,24,FALSE)&gt;=50,5,IF(VLOOKUP(F$4,Countries!$B$2:$AN$55,24,FALSE)&gt;=25,4,IF(VLOOKUP(F$4,Countries!$B$2:$AN$55,24,FALSE)&gt;=10,3,IF(VLOOKUP(F$4,Countries!$B$2:$AN$55,24,FALSE)&gt;=5,2,1)))))),0)</f>
        <v>4</v>
      </c>
      <c r="AO38" s="62" t="str">
        <f>IFERROR(INDEX(Endemicity!$C$2:$BN$55,MATCH(F$4,Endemicity!$B$2:$B$55,0),MATCH($A38,Endemicity!$C$1:$BN$1,0)),"Sporadic")</f>
        <v>Endemic</v>
      </c>
      <c r="AP38" s="62">
        <f>IF(Settings!$B$48="ON",IFERROR(MATCH($AO38,Settings!$B$35:$F$35,0),5),5)</f>
        <v>1</v>
      </c>
      <c r="AQ38" s="62">
        <f>ROUND(MIN(5,IF(Pathogens!I35&gt;=500,5,IF(Pathogens!I35&gt;=200,4,IF(Pathogens!I35&gt;=50,3,IF(Pathogens!I35&gt;=10,2,1))))*0.5+IF(Pathogens!J35&gt;=30,5,IF(Pathogens!J35&gt;=10,4,IF(Pathogens!J35&gt;=3,3,IF(Pathogens!J35&gt;=1,2,1))))*0.4+IF(AND(VLOOKUP(G$4,Countries!$B$2:$AN$55,4,FALSE)&gt;=80,Pathogens!N35&gt;=0.5),1,0)*0.1+IF(VLOOKUP(G$4,Countries!$B$2:$AN$55,7,FALSE)&lt;50,0.3,0)),0)</f>
        <v>3</v>
      </c>
      <c r="AR38" s="62">
        <f>ROUND(MIN(5,IF(Pathogens!K35&gt;=8,5,IF(Pathogens!K35&gt;=5,4,IF(Pathogens!K35&gt;=3,3,IF(Pathogens!K35&gt;=1,2,1))))*0.5+IF(Pathogens!L35&gt;=5,5,IF(Pathogens!L35&gt;=3,4,IF(Pathogens!L35&gt;=2,3,IF(Pathogens!L35&gt;=1.2,2,1))))*0.3+IF(Pathogens!M35=1,2,0)*0.2+IF(VLOOKUP(G$4,Countries!$B$2:$AN$55,12,FALSE)&gt;=2,0.5,0)),0)</f>
        <v>4</v>
      </c>
      <c r="AS38" s="62">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c r="AT38" s="62">
        <f>ROUND(MAX(1,MIN(5,(6-VLOOKUP(G$4,Countries!$B$2:$AN$55,10,FALSE))*0.5+(6-VLOOKUP(G$4,Countries!$B$2:$AN$55,11,FALSE))*0.4+(IF(AND(Pathogens!N35&gt;=0.5,VLOOKUP(G$4,Countries!$B$2:$AN$55,5,FALSE)&lt;60),5,IF(Pathogens!N35&gt;=0.5,4,IF(Pathogens!N35&gt;=0.3,3,IF(Pathogens!N35&gt;=0.1,2,1)))))*0.1)),0)</f>
        <v>2</v>
      </c>
      <c r="AU38" s="62">
        <f>IF(ISNUMBER(SEARCH("Vaccine-preventable",Pathogens!C35)),2,IF(ISNUMBER(SEARCH("AMR",Pathogens!C35)),5,IF(ISNUMBER(SEARCH("VHF",Pathogens!C35)),4,IF(ISNUMBER(SEARCH("Emerging",Pathogens!C35)),5,IF(ISNUMBER(SEARCH("Mycobacterial",Pathogens!C35)),3,IF(ISNUMBER(SEARCH("Helminth",Pathogens!C35)),3,IF(ISNUMBER(SEARCH("Respiratory",Pathogens!C35)),4,3)))))))</f>
        <v>3</v>
      </c>
      <c r="AV38" s="62">
        <f>IF(ISNUMBER(SEARCH("AMR",Pathogens!C35)),5,IF(ISNUMBER(SEARCH("Mycobacterial",Pathogens!C35)),4,IF(ISNUMBER(SEARCH("Enteric bacterial",Pathogens!C35)),3,IF(ISNUMBER(SEARCH("Bacterial",Pathogens!C35)),3,1))))</f>
        <v>3</v>
      </c>
      <c r="AW3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8" s="62">
        <f>(6-Pathogens!X35)</f>
        <v>4</v>
      </c>
      <c r="AY38" s="62">
        <f>ROUND(MIN(5,MAX(1,0.35*IF(Pathogens!R35=1,5,IF(Pathogens!R35=2,3,1))+0.2*IF(Pathogens!S35=1,5,IF(Pathogens!S35=2,3,1))+0.25*IF(Pathogens!W35=1,IF(VLOOKUP(G$4,Countries!$B$2:$AN$55,38,FALSE)&gt;=3,5,IF(VLOOKUP(G$4,Countries!$B$2:$AN$55,38,FALSE)=2,4,IF(VLOOKUP(G$4,Countries!$B$2:$AN$55,38,FALSE)=1,2,1))),5)+0.2*IF(VLOOKUP(G$4,Countries!$B$2:$AN$55,24,FALSE)&gt;=50,5,IF(VLOOKUP(G$4,Countries!$B$2:$AN$55,24,FALSE)&gt;=25,4,IF(VLOOKUP(G$4,Countries!$B$2:$AN$55,24,FALSE)&gt;=10,3,IF(VLOOKUP(G$4,Countries!$B$2:$AN$55,24,FALSE)&gt;=5,2,1)))))),0)</f>
        <v>4</v>
      </c>
      <c r="AZ38" s="62" t="str">
        <f>IFERROR(INDEX(Endemicity!$C$2:$BN$55,MATCH(G$4,Endemicity!$B$2:$B$55,0),MATCH($A38,Endemicity!$C$1:$BN$1,0)),"Sporadic")</f>
        <v>Endemic</v>
      </c>
      <c r="BA38" s="62">
        <f>IF(Settings!$B$48="ON",IFERROR(MATCH($AZ38,Settings!$B$35:$F$35,0),5),5)</f>
        <v>1</v>
      </c>
    </row>
    <row r="39" customHeight="1" spans="1:53">
      <c r="A39" s="61" t="str">
        <f>Calculator!A68</f>
        <v>SHIG</v>
      </c>
      <c r="B39" s="61" t="str">
        <f>Calculator!B68</f>
        <v>Shigella spp.</v>
      </c>
      <c r="C39" s="61" t="str">
        <f>Calculator!C68</f>
        <v>Enteric bacterial</v>
      </c>
      <c r="D39" s="52">
        <f>IFERROR(ROUND(MIN(100,(($J39)*Settings!$C$23*INDEX(Settings!$B$36:$F$44,1,$T39)+($K39)*Settings!$C$24*INDEX(Settings!$B$36:$F$44,2,$T39)+($L39)*Settings!$C$25*INDEX(Settings!$B$36:$F$44,3,$T39)+($M39)*Settings!$C$26*INDEX(Settings!$B$36:$F$44,4,$T39)+($N39)*Settings!$C$27*INDEX(Settings!$B$36:$F$44,5,$T39)+($O39)*Settings!$C$28*INDEX(Settings!$B$36:$F$44,6,$T39)+($P39)*Settings!$C$29*INDEX(Settings!$B$36:$F$44,7,$T39)+($Q39)*Settings!$C$30*INDEX(Settings!$B$36:$F$44,8,$T39)+($R39)*Settings!$C$31*INDEX(Settings!$B$36:$F$44,9,$T39))/INDEX(Settings!$B$45:$F$45,1,$T39)/5*100*IF($S39="Not present",Settings!$B$51,1)),1),"")</f>
        <v>68.6</v>
      </c>
      <c r="E39" s="52">
        <f>IFERROR(ROUND(MIN(100,(($U39)*Settings!$C$23*INDEX(Settings!$B$36:$F$44,1,$AE39)+($V39)*Settings!$C$24*INDEX(Settings!$B$36:$F$44,2,$AE39)+($W39)*Settings!$C$25*INDEX(Settings!$B$36:$F$44,3,$AE39)+($X39)*Settings!$C$26*INDEX(Settings!$B$36:$F$44,4,$AE39)+($Y39)*Settings!$C$27*INDEX(Settings!$B$36:$F$44,5,$AE39)+($Z39)*Settings!$C$28*INDEX(Settings!$B$36:$F$44,6,$AE39)+($AA39)*Settings!$C$29*INDEX(Settings!$B$36:$F$44,7,$AE39)+($AB39)*Settings!$C$30*INDEX(Settings!$B$36:$F$44,8,$AE39)+($AC39)*Settings!$C$31*INDEX(Settings!$B$36:$F$44,9,$AE39))/INDEX(Settings!$B$45:$F$45,1,$AE39)/5*100*IF($AD39="Not present",Settings!$B$51,1)),1),"")</f>
        <v>71.4</v>
      </c>
      <c r="F39" s="52">
        <f>IFERROR(ROUND(MIN(100,(($AF39)*Settings!$C$23*INDEX(Settings!$B$36:$F$44,1,$AP39)+($AG39)*Settings!$C$24*INDEX(Settings!$B$36:$F$44,2,$AP39)+($AH39)*Settings!$C$25*INDEX(Settings!$B$36:$F$44,3,$AP39)+($AI39)*Settings!$C$26*INDEX(Settings!$B$36:$F$44,4,$AP39)+($AJ39)*Settings!$C$27*INDEX(Settings!$B$36:$F$44,5,$AP39)+($AK39)*Settings!$C$28*INDEX(Settings!$B$36:$F$44,6,$AP39)+($AL39)*Settings!$C$29*INDEX(Settings!$B$36:$F$44,7,$AP39)+($AM39)*Settings!$C$30*INDEX(Settings!$B$36:$F$44,8,$AP39)+($AN39)*Settings!$C$31*INDEX(Settings!$B$36:$F$44,9,$AP39))/INDEX(Settings!$B$45:$F$45,1,$AP39)/5*100*IF($AO39="Not present",Settings!$B$51,1)),1),"")</f>
        <v>65.8</v>
      </c>
      <c r="G39" s="52">
        <f>IFERROR(ROUND(MIN(100,(($AQ39)*Settings!$C$23*INDEX(Settings!$B$36:$F$44,1,$BA39)+($AR39)*Settings!$C$24*INDEX(Settings!$B$36:$F$44,2,$BA39)+($AS39)*Settings!$C$25*INDEX(Settings!$B$36:$F$44,3,$BA39)+($AT39)*Settings!$C$26*INDEX(Settings!$B$36:$F$44,4,$BA39)+($AU39)*Settings!$C$27*INDEX(Settings!$B$36:$F$44,5,$BA39)+($AV39)*Settings!$C$28*INDEX(Settings!$B$36:$F$44,6,$BA39)+($AW39)*Settings!$C$29*INDEX(Settings!$B$36:$F$44,7,$BA39)+($AX39)*Settings!$C$30*INDEX(Settings!$B$36:$F$44,8,$BA39)+($AY39)*Settings!$C$31*INDEX(Settings!$B$36:$F$44,9,$BA39))/INDEX(Settings!$B$45:$F$45,1,$BA39)/5*100*IF($AZ39="Not present",Settings!$B$51,1)),1),"")</f>
        <v>67.6</v>
      </c>
      <c r="J39" s="62">
        <f>ROUND(MIN(5,IF(Pathogens!I36&gt;=500,5,IF(Pathogens!I36&gt;=200,4,IF(Pathogens!I36&gt;=50,3,IF(Pathogens!I36&gt;=10,2,1))))*0.5+IF(Pathogens!J36&gt;=30,5,IF(Pathogens!J36&gt;=10,4,IF(Pathogens!J36&gt;=3,3,IF(Pathogens!J36&gt;=1,2,1))))*0.4+IF(AND(VLOOKUP(D$4,Countries!$B$2:$AN$55,4,FALSE)&gt;=80,Pathogens!N36&gt;=0.5),1,0)*0.1+IF(VLOOKUP(D$4,Countries!$B$2:$AN$55,7,FALSE)&lt;50,0.3,0)),0)</f>
        <v>3</v>
      </c>
      <c r="K39" s="62">
        <f>ROUND(MIN(5,IF(Pathogens!K36&gt;=8,5,IF(Pathogens!K36&gt;=5,4,IF(Pathogens!K36&gt;=3,3,IF(Pathogens!K36&gt;=1,2,1))))*0.5+IF(Pathogens!L36&gt;=5,5,IF(Pathogens!L36&gt;=3,4,IF(Pathogens!L36&gt;=2,3,IF(Pathogens!L36&gt;=1.2,2,1))))*0.3+IF(Pathogens!M36=1,2,0)*0.2+IF(VLOOKUP(D$4,Countries!$B$2:$AN$55,12,FALSE)&gt;=2,0.5,0)),0)</f>
        <v>4</v>
      </c>
      <c r="L39" s="62">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c r="M39" s="62">
        <f>ROUND(MAX(1,MIN(5,(6-VLOOKUP(D$4,Countries!$B$2:$AN$55,10,FALSE))*0.5+(6-VLOOKUP(D$4,Countries!$B$2:$AN$55,11,FALSE))*0.4+(IF(AND(Pathogens!N36&gt;=0.5,VLOOKUP(D$4,Countries!$B$2:$AN$55,5,FALSE)&lt;60),5,IF(Pathogens!N36&gt;=0.5,4,IF(Pathogens!N36&gt;=0.3,3,IF(Pathogens!N36&gt;=0.1,2,1)))))*0.1)),0)</f>
        <v>2</v>
      </c>
      <c r="N39" s="62">
        <f>IF(ISNUMBER(SEARCH("Vaccine-preventable",Pathogens!C36)),2,IF(ISNUMBER(SEARCH("AMR",Pathogens!C36)),5,IF(ISNUMBER(SEARCH("VHF",Pathogens!C36)),4,IF(ISNUMBER(SEARCH("Emerging",Pathogens!C36)),5,IF(ISNUMBER(SEARCH("Mycobacterial",Pathogens!C36)),3,IF(ISNUMBER(SEARCH("Helminth",Pathogens!C36)),3,IF(ISNUMBER(SEARCH("Respiratory",Pathogens!C36)),4,3)))))))</f>
        <v>3</v>
      </c>
      <c r="O39" s="62">
        <f>IF(ISNUMBER(SEARCH("AMR",Pathogens!C36)),5,IF(ISNUMBER(SEARCH("Mycobacterial",Pathogens!C36)),4,IF(ISNUMBER(SEARCH("Enteric bacterial",Pathogens!C36)),3,IF(ISNUMBER(SEARCH("Bacterial",Pathogens!C36)),3,1))))</f>
        <v>3</v>
      </c>
      <c r="P3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39" s="62">
        <f>(6-Pathogens!X36)</f>
        <v>3</v>
      </c>
      <c r="R39" s="62">
        <f>ROUND(MIN(5,MAX(1,0.35*IF(Pathogens!R36=1,5,IF(Pathogens!R36=2,3,1))+0.2*IF(Pathogens!S36=1,5,IF(Pathogens!S36=2,3,1))+0.25*IF(Pathogens!W36=1,IF(VLOOKUP(D$4,Countries!$B$2:$AN$55,38,FALSE)&gt;=3,5,IF(VLOOKUP(D$4,Countries!$B$2:$AN$55,38,FALSE)=2,4,IF(VLOOKUP(D$4,Countries!$B$2:$AN$55,38,FALSE)=1,2,1))),5)+0.2*IF(VLOOKUP(D$4,Countries!$B$2:$AN$55,24,FALSE)&gt;=50,5,IF(VLOOKUP(D$4,Countries!$B$2:$AN$55,24,FALSE)&gt;=25,4,IF(VLOOKUP(D$4,Countries!$B$2:$AN$55,24,FALSE)&gt;=10,3,IF(VLOOKUP(D$4,Countries!$B$2:$AN$55,24,FALSE)&gt;=5,2,1)))))),0)</f>
        <v>5</v>
      </c>
      <c r="S39" s="62" t="str">
        <f>IFERROR(INDEX(Endemicity!$C$2:$BN$55,MATCH(D$4,Endemicity!$B$2:$B$55,0),MATCH($A39,Endemicity!$C$1:$BN$1,0)),"Sporadic")</f>
        <v>Endemic</v>
      </c>
      <c r="T39" s="62">
        <f>IF(Settings!$B$48="ON",IFERROR(MATCH($S39,Settings!$B$35:$F$35,0),5),5)</f>
        <v>1</v>
      </c>
      <c r="U39" s="62">
        <f>ROUND(MIN(5,IF(Pathogens!I36&gt;=500,5,IF(Pathogens!I36&gt;=200,4,IF(Pathogens!I36&gt;=50,3,IF(Pathogens!I36&gt;=10,2,1))))*0.5+IF(Pathogens!J36&gt;=30,5,IF(Pathogens!J36&gt;=10,4,IF(Pathogens!J36&gt;=3,3,IF(Pathogens!J36&gt;=1,2,1))))*0.4+IF(AND(VLOOKUP(E$4,Countries!$B$2:$AN$55,4,FALSE)&gt;=80,Pathogens!N36&gt;=0.5),1,0)*0.1+IF(VLOOKUP(E$4,Countries!$B$2:$AN$55,7,FALSE)&lt;50,0.3,0)),0)</f>
        <v>3</v>
      </c>
      <c r="V39" s="62">
        <f>ROUND(MIN(5,IF(Pathogens!K36&gt;=8,5,IF(Pathogens!K36&gt;=5,4,IF(Pathogens!K36&gt;=3,3,IF(Pathogens!K36&gt;=1,2,1))))*0.5+IF(Pathogens!L36&gt;=5,5,IF(Pathogens!L36&gt;=3,4,IF(Pathogens!L36&gt;=2,3,IF(Pathogens!L36&gt;=1.2,2,1))))*0.3+IF(Pathogens!M36=1,2,0)*0.2+IF(VLOOKUP(E$4,Countries!$B$2:$AN$55,12,FALSE)&gt;=2,0.5,0)),0)</f>
        <v>4</v>
      </c>
      <c r="W39" s="62">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c r="X39" s="62">
        <f>ROUND(MAX(1,MIN(5,(6-VLOOKUP(E$4,Countries!$B$2:$AN$55,10,FALSE))*0.5+(6-VLOOKUP(E$4,Countries!$B$2:$AN$55,11,FALSE))*0.4+(IF(AND(Pathogens!N36&gt;=0.5,VLOOKUP(E$4,Countries!$B$2:$AN$55,5,FALSE)&lt;60),5,IF(Pathogens!N36&gt;=0.5,4,IF(Pathogens!N36&gt;=0.3,3,IF(Pathogens!N36&gt;=0.1,2,1)))))*0.1)),0)</f>
        <v>3</v>
      </c>
      <c r="Y39" s="62">
        <f>IF(ISNUMBER(SEARCH("Vaccine-preventable",Pathogens!C36)),2,IF(ISNUMBER(SEARCH("AMR",Pathogens!C36)),5,IF(ISNUMBER(SEARCH("VHF",Pathogens!C36)),4,IF(ISNUMBER(SEARCH("Emerging",Pathogens!C36)),5,IF(ISNUMBER(SEARCH("Mycobacterial",Pathogens!C36)),3,IF(ISNUMBER(SEARCH("Helminth",Pathogens!C36)),3,IF(ISNUMBER(SEARCH("Respiratory",Pathogens!C36)),4,3)))))))</f>
        <v>3</v>
      </c>
      <c r="Z39" s="62">
        <f>IF(ISNUMBER(SEARCH("AMR",Pathogens!C36)),5,IF(ISNUMBER(SEARCH("Mycobacterial",Pathogens!C36)),4,IF(ISNUMBER(SEARCH("Enteric bacterial",Pathogens!C36)),3,IF(ISNUMBER(SEARCH("Bacterial",Pathogens!C36)),3,1))))</f>
        <v>3</v>
      </c>
      <c r="AA3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39" s="62">
        <f>(6-Pathogens!X36)</f>
        <v>3</v>
      </c>
      <c r="AC39" s="62">
        <f>ROUND(MIN(5,MAX(1,0.35*IF(Pathogens!R36=1,5,IF(Pathogens!R36=2,3,1))+0.2*IF(Pathogens!S36=1,5,IF(Pathogens!S36=2,3,1))+0.25*IF(Pathogens!W36=1,IF(VLOOKUP(E$4,Countries!$B$2:$AN$55,38,FALSE)&gt;=3,5,IF(VLOOKUP(E$4,Countries!$B$2:$AN$55,38,FALSE)=2,4,IF(VLOOKUP(E$4,Countries!$B$2:$AN$55,38,FALSE)=1,2,1))),5)+0.2*IF(VLOOKUP(E$4,Countries!$B$2:$AN$55,24,FALSE)&gt;=50,5,IF(VLOOKUP(E$4,Countries!$B$2:$AN$55,24,FALSE)&gt;=25,4,IF(VLOOKUP(E$4,Countries!$B$2:$AN$55,24,FALSE)&gt;=10,3,IF(VLOOKUP(E$4,Countries!$B$2:$AN$55,24,FALSE)&gt;=5,2,1)))))),0)</f>
        <v>4</v>
      </c>
      <c r="AD39" s="62" t="str">
        <f>IFERROR(INDEX(Endemicity!$C$2:$BN$55,MATCH(E$4,Endemicity!$B$2:$B$55,0),MATCH($A39,Endemicity!$C$1:$BN$1,0)),"Sporadic")</f>
        <v>Endemic</v>
      </c>
      <c r="AE39" s="62">
        <f>IF(Settings!$B$48="ON",IFERROR(MATCH($AD39,Settings!$B$35:$F$35,0),5),5)</f>
        <v>1</v>
      </c>
      <c r="AF39" s="62">
        <f>ROUND(MIN(5,IF(Pathogens!I36&gt;=500,5,IF(Pathogens!I36&gt;=200,4,IF(Pathogens!I36&gt;=50,3,IF(Pathogens!I36&gt;=10,2,1))))*0.5+IF(Pathogens!J36&gt;=30,5,IF(Pathogens!J36&gt;=10,4,IF(Pathogens!J36&gt;=3,3,IF(Pathogens!J36&gt;=1,2,1))))*0.4+IF(AND(VLOOKUP(F$4,Countries!$B$2:$AN$55,4,FALSE)&gt;=80,Pathogens!N36&gt;=0.5),1,0)*0.1+IF(VLOOKUP(F$4,Countries!$B$2:$AN$55,7,FALSE)&lt;50,0.3,0)),0)</f>
        <v>3</v>
      </c>
      <c r="AG39" s="62">
        <f>ROUND(MIN(5,IF(Pathogens!K36&gt;=8,5,IF(Pathogens!K36&gt;=5,4,IF(Pathogens!K36&gt;=3,3,IF(Pathogens!K36&gt;=1,2,1))))*0.5+IF(Pathogens!L36&gt;=5,5,IF(Pathogens!L36&gt;=3,4,IF(Pathogens!L36&gt;=2,3,IF(Pathogens!L36&gt;=1.2,2,1))))*0.3+IF(Pathogens!M36=1,2,0)*0.2+IF(VLOOKUP(F$4,Countries!$B$2:$AN$55,12,FALSE)&gt;=2,0.5,0)),0)</f>
        <v>4</v>
      </c>
      <c r="AH39" s="62">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c r="AI39" s="62">
        <f>ROUND(MAX(1,MIN(5,(6-VLOOKUP(F$4,Countries!$B$2:$AN$55,10,FALSE))*0.5+(6-VLOOKUP(F$4,Countries!$B$2:$AN$55,11,FALSE))*0.4+(IF(AND(Pathogens!N36&gt;=0.5,VLOOKUP(F$4,Countries!$B$2:$AN$55,5,FALSE)&lt;60),5,IF(Pathogens!N36&gt;=0.5,4,IF(Pathogens!N36&gt;=0.3,3,IF(Pathogens!N36&gt;=0.1,2,1)))))*0.1)),0)</f>
        <v>2</v>
      </c>
      <c r="AJ39" s="62">
        <f>IF(ISNUMBER(SEARCH("Vaccine-preventable",Pathogens!C36)),2,IF(ISNUMBER(SEARCH("AMR",Pathogens!C36)),5,IF(ISNUMBER(SEARCH("VHF",Pathogens!C36)),4,IF(ISNUMBER(SEARCH("Emerging",Pathogens!C36)),5,IF(ISNUMBER(SEARCH("Mycobacterial",Pathogens!C36)),3,IF(ISNUMBER(SEARCH("Helminth",Pathogens!C36)),3,IF(ISNUMBER(SEARCH("Respiratory",Pathogens!C36)),4,3)))))))</f>
        <v>3</v>
      </c>
      <c r="AK39" s="62">
        <f>IF(ISNUMBER(SEARCH("AMR",Pathogens!C36)),5,IF(ISNUMBER(SEARCH("Mycobacterial",Pathogens!C36)),4,IF(ISNUMBER(SEARCH("Enteric bacterial",Pathogens!C36)),3,IF(ISNUMBER(SEARCH("Bacterial",Pathogens!C36)),3,1))))</f>
        <v>3</v>
      </c>
      <c r="AL3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39" s="62">
        <f>(6-Pathogens!X36)</f>
        <v>3</v>
      </c>
      <c r="AN39" s="62">
        <f>ROUND(MIN(5,MAX(1,0.35*IF(Pathogens!R36=1,5,IF(Pathogens!R36=2,3,1))+0.2*IF(Pathogens!S36=1,5,IF(Pathogens!S36=2,3,1))+0.25*IF(Pathogens!W36=1,IF(VLOOKUP(F$4,Countries!$B$2:$AN$55,38,FALSE)&gt;=3,5,IF(VLOOKUP(F$4,Countries!$B$2:$AN$55,38,FALSE)=2,4,IF(VLOOKUP(F$4,Countries!$B$2:$AN$55,38,FALSE)=1,2,1))),5)+0.2*IF(VLOOKUP(F$4,Countries!$B$2:$AN$55,24,FALSE)&gt;=50,5,IF(VLOOKUP(F$4,Countries!$B$2:$AN$55,24,FALSE)&gt;=25,4,IF(VLOOKUP(F$4,Countries!$B$2:$AN$55,24,FALSE)&gt;=10,3,IF(VLOOKUP(F$4,Countries!$B$2:$AN$55,24,FALSE)&gt;=5,2,1)))))),0)</f>
        <v>4</v>
      </c>
      <c r="AO39" s="62" t="str">
        <f>IFERROR(INDEX(Endemicity!$C$2:$BN$55,MATCH(F$4,Endemicity!$B$2:$B$55,0),MATCH($A39,Endemicity!$C$1:$BN$1,0)),"Sporadic")</f>
        <v>Endemic</v>
      </c>
      <c r="AP39" s="62">
        <f>IF(Settings!$B$48="ON",IFERROR(MATCH($AO39,Settings!$B$35:$F$35,0),5),5)</f>
        <v>1</v>
      </c>
      <c r="AQ39" s="62">
        <f>ROUND(MIN(5,IF(Pathogens!I36&gt;=500,5,IF(Pathogens!I36&gt;=200,4,IF(Pathogens!I36&gt;=50,3,IF(Pathogens!I36&gt;=10,2,1))))*0.5+IF(Pathogens!J36&gt;=30,5,IF(Pathogens!J36&gt;=10,4,IF(Pathogens!J36&gt;=3,3,IF(Pathogens!J36&gt;=1,2,1))))*0.4+IF(AND(VLOOKUP(G$4,Countries!$B$2:$AN$55,4,FALSE)&gt;=80,Pathogens!N36&gt;=0.5),1,0)*0.1+IF(VLOOKUP(G$4,Countries!$B$2:$AN$55,7,FALSE)&lt;50,0.3,0)),0)</f>
        <v>3</v>
      </c>
      <c r="AR39" s="62">
        <f>ROUND(MIN(5,IF(Pathogens!K36&gt;=8,5,IF(Pathogens!K36&gt;=5,4,IF(Pathogens!K36&gt;=3,3,IF(Pathogens!K36&gt;=1,2,1))))*0.5+IF(Pathogens!L36&gt;=5,5,IF(Pathogens!L36&gt;=3,4,IF(Pathogens!L36&gt;=2,3,IF(Pathogens!L36&gt;=1.2,2,1))))*0.3+IF(Pathogens!M36=1,2,0)*0.2+IF(VLOOKUP(G$4,Countries!$B$2:$AN$55,12,FALSE)&gt;=2,0.5,0)),0)</f>
        <v>4</v>
      </c>
      <c r="AS39" s="62">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c r="AT39" s="62">
        <f>ROUND(MAX(1,MIN(5,(6-VLOOKUP(G$4,Countries!$B$2:$AN$55,10,FALSE))*0.5+(6-VLOOKUP(G$4,Countries!$B$2:$AN$55,11,FALSE))*0.4+(IF(AND(Pathogens!N36&gt;=0.5,VLOOKUP(G$4,Countries!$B$2:$AN$55,5,FALSE)&lt;60),5,IF(Pathogens!N36&gt;=0.5,4,IF(Pathogens!N36&gt;=0.3,3,IF(Pathogens!N36&gt;=0.1,2,1)))))*0.1)),0)</f>
        <v>2</v>
      </c>
      <c r="AU39" s="62">
        <f>IF(ISNUMBER(SEARCH("Vaccine-preventable",Pathogens!C36)),2,IF(ISNUMBER(SEARCH("AMR",Pathogens!C36)),5,IF(ISNUMBER(SEARCH("VHF",Pathogens!C36)),4,IF(ISNUMBER(SEARCH("Emerging",Pathogens!C36)),5,IF(ISNUMBER(SEARCH("Mycobacterial",Pathogens!C36)),3,IF(ISNUMBER(SEARCH("Helminth",Pathogens!C36)),3,IF(ISNUMBER(SEARCH("Respiratory",Pathogens!C36)),4,3)))))))</f>
        <v>3</v>
      </c>
      <c r="AV39" s="62">
        <f>IF(ISNUMBER(SEARCH("AMR",Pathogens!C36)),5,IF(ISNUMBER(SEARCH("Mycobacterial",Pathogens!C36)),4,IF(ISNUMBER(SEARCH("Enteric bacterial",Pathogens!C36)),3,IF(ISNUMBER(SEARCH("Bacterial",Pathogens!C36)),3,1))))</f>
        <v>3</v>
      </c>
      <c r="AW3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39" s="62">
        <f>(6-Pathogens!X36)</f>
        <v>3</v>
      </c>
      <c r="AY39" s="62">
        <f>ROUND(MIN(5,MAX(1,0.35*IF(Pathogens!R36=1,5,IF(Pathogens!R36=2,3,1))+0.2*IF(Pathogens!S36=1,5,IF(Pathogens!S36=2,3,1))+0.25*IF(Pathogens!W36=1,IF(VLOOKUP(G$4,Countries!$B$2:$AN$55,38,FALSE)&gt;=3,5,IF(VLOOKUP(G$4,Countries!$B$2:$AN$55,38,FALSE)=2,4,IF(VLOOKUP(G$4,Countries!$B$2:$AN$55,38,FALSE)=1,2,1))),5)+0.2*IF(VLOOKUP(G$4,Countries!$B$2:$AN$55,24,FALSE)&gt;=50,5,IF(VLOOKUP(G$4,Countries!$B$2:$AN$55,24,FALSE)&gt;=25,4,IF(VLOOKUP(G$4,Countries!$B$2:$AN$55,24,FALSE)&gt;=10,3,IF(VLOOKUP(G$4,Countries!$B$2:$AN$55,24,FALSE)&gt;=5,2,1)))))),0)</f>
        <v>4</v>
      </c>
      <c r="AZ39" s="62" t="str">
        <f>IFERROR(INDEX(Endemicity!$C$2:$BN$55,MATCH(G$4,Endemicity!$B$2:$B$55,0),MATCH($A39,Endemicity!$C$1:$BN$1,0)),"Sporadic")</f>
        <v>Endemic</v>
      </c>
      <c r="BA39" s="62">
        <f>IF(Settings!$B$48="ON",IFERROR(MATCH($AZ39,Settings!$B$35:$F$35,0),5),5)</f>
        <v>1</v>
      </c>
    </row>
    <row r="40" customHeight="1" spans="1:53">
      <c r="A40" s="61" t="str">
        <f>Calculator!A69</f>
        <v>ECOLI</v>
      </c>
      <c r="B40" s="61" t="str">
        <f>Calculator!B69</f>
        <v>Pathogenic E. coli (ETEC/EPEC/EHEC)</v>
      </c>
      <c r="C40" s="61" t="str">
        <f>Calculator!C69</f>
        <v>Enteric bacterial</v>
      </c>
      <c r="D40" s="52">
        <f>IFERROR(ROUND(MIN(100,(($J40)*Settings!$C$23*INDEX(Settings!$B$36:$F$44,1,$T40)+($K40)*Settings!$C$24*INDEX(Settings!$B$36:$F$44,2,$T40)+($L40)*Settings!$C$25*INDEX(Settings!$B$36:$F$44,3,$T40)+($M40)*Settings!$C$26*INDEX(Settings!$B$36:$F$44,4,$T40)+($N40)*Settings!$C$27*INDEX(Settings!$B$36:$F$44,5,$T40)+($O40)*Settings!$C$28*INDEX(Settings!$B$36:$F$44,6,$T40)+($P40)*Settings!$C$29*INDEX(Settings!$B$36:$F$44,7,$T40)+($Q40)*Settings!$C$30*INDEX(Settings!$B$36:$F$44,8,$T40)+($R40)*Settings!$C$31*INDEX(Settings!$B$36:$F$44,9,$T40))/INDEX(Settings!$B$45:$F$45,1,$T40)/5*100*IF($S40="Not present",Settings!$B$51,1)),1),"")</f>
        <v>69.3</v>
      </c>
      <c r="E40" s="52">
        <f>IFERROR(ROUND(MIN(100,(($U40)*Settings!$C$23*INDEX(Settings!$B$36:$F$44,1,$AE40)+($V40)*Settings!$C$24*INDEX(Settings!$B$36:$F$44,2,$AE40)+($W40)*Settings!$C$25*INDEX(Settings!$B$36:$F$44,3,$AE40)+($X40)*Settings!$C$26*INDEX(Settings!$B$36:$F$44,4,$AE40)+($Y40)*Settings!$C$27*INDEX(Settings!$B$36:$F$44,5,$AE40)+($Z40)*Settings!$C$28*INDEX(Settings!$B$36:$F$44,6,$AE40)+($AA40)*Settings!$C$29*INDEX(Settings!$B$36:$F$44,7,$AE40)+($AB40)*Settings!$C$30*INDEX(Settings!$B$36:$F$44,8,$AE40)+($AC40)*Settings!$C$31*INDEX(Settings!$B$36:$F$44,9,$AE40))/INDEX(Settings!$B$45:$F$45,1,$AE40)/5*100*IF($AD40="Not present",Settings!$B$51,1)),1),"")</f>
        <v>72.1</v>
      </c>
      <c r="F40" s="52">
        <f>IFERROR(ROUND(MIN(100,(($AF40)*Settings!$C$23*INDEX(Settings!$B$36:$F$44,1,$AP40)+($AG40)*Settings!$C$24*INDEX(Settings!$B$36:$F$44,2,$AP40)+($AH40)*Settings!$C$25*INDEX(Settings!$B$36:$F$44,3,$AP40)+($AI40)*Settings!$C$26*INDEX(Settings!$B$36:$F$44,4,$AP40)+($AJ40)*Settings!$C$27*INDEX(Settings!$B$36:$F$44,5,$AP40)+($AK40)*Settings!$C$28*INDEX(Settings!$B$36:$F$44,6,$AP40)+($AL40)*Settings!$C$29*INDEX(Settings!$B$36:$F$44,7,$AP40)+($AM40)*Settings!$C$30*INDEX(Settings!$B$36:$F$44,8,$AP40)+($AN40)*Settings!$C$31*INDEX(Settings!$B$36:$F$44,9,$AP40))/INDEX(Settings!$B$45:$F$45,1,$AP40)/5*100*IF($AO40="Not present",Settings!$B$51,1)),1),"")</f>
        <v>66.6</v>
      </c>
      <c r="G40" s="52">
        <f>IFERROR(ROUND(MIN(100,(($AQ40)*Settings!$C$23*INDEX(Settings!$B$36:$F$44,1,$BA40)+($AR40)*Settings!$C$24*INDEX(Settings!$B$36:$F$44,2,$BA40)+($AS40)*Settings!$C$25*INDEX(Settings!$B$36:$F$44,3,$BA40)+($AT40)*Settings!$C$26*INDEX(Settings!$B$36:$F$44,4,$BA40)+($AU40)*Settings!$C$27*INDEX(Settings!$B$36:$F$44,5,$BA40)+($AV40)*Settings!$C$28*INDEX(Settings!$B$36:$F$44,6,$BA40)+($AW40)*Settings!$C$29*INDEX(Settings!$B$36:$F$44,7,$BA40)+($AX40)*Settings!$C$30*INDEX(Settings!$B$36:$F$44,8,$BA40)+($AY40)*Settings!$C$31*INDEX(Settings!$B$36:$F$44,9,$BA40))/INDEX(Settings!$B$45:$F$45,1,$BA40)/5*100*IF($AZ40="Not present",Settings!$B$51,1)),1),"")</f>
        <v>68.3</v>
      </c>
      <c r="J40" s="62">
        <f>ROUND(MIN(5,IF(Pathogens!I37&gt;=500,5,IF(Pathogens!I37&gt;=200,4,IF(Pathogens!I37&gt;=50,3,IF(Pathogens!I37&gt;=10,2,1))))*0.5+IF(Pathogens!J37&gt;=30,5,IF(Pathogens!J37&gt;=10,4,IF(Pathogens!J37&gt;=3,3,IF(Pathogens!J37&gt;=1,2,1))))*0.4+IF(AND(VLOOKUP(D$4,Countries!$B$2:$AN$55,4,FALSE)&gt;=80,Pathogens!N37&gt;=0.5),1,0)*0.1+IF(VLOOKUP(D$4,Countries!$B$2:$AN$55,7,FALSE)&lt;50,0.3,0)),0)</f>
        <v>3</v>
      </c>
      <c r="K40" s="62">
        <f>ROUND(MIN(5,IF(Pathogens!K37&gt;=8,5,IF(Pathogens!K37&gt;=5,4,IF(Pathogens!K37&gt;=3,3,IF(Pathogens!K37&gt;=1,2,1))))*0.5+IF(Pathogens!L37&gt;=5,5,IF(Pathogens!L37&gt;=3,4,IF(Pathogens!L37&gt;=2,3,IF(Pathogens!L37&gt;=1.2,2,1))))*0.3+IF(Pathogens!M37=1,2,0)*0.2+IF(VLOOKUP(D$4,Countries!$B$2:$AN$55,12,FALSE)&gt;=2,0.5,0)),0)</f>
        <v>4</v>
      </c>
      <c r="L40" s="62">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c r="M40" s="62">
        <f>ROUND(MAX(1,MIN(5,(6-VLOOKUP(D$4,Countries!$B$2:$AN$55,10,FALSE))*0.5+(6-VLOOKUP(D$4,Countries!$B$2:$AN$55,11,FALSE))*0.4+(IF(AND(Pathogens!N37&gt;=0.5,VLOOKUP(D$4,Countries!$B$2:$AN$55,5,FALSE)&lt;60),5,IF(Pathogens!N37&gt;=0.5,4,IF(Pathogens!N37&gt;=0.3,3,IF(Pathogens!N37&gt;=0.1,2,1)))))*0.1)),0)</f>
        <v>2</v>
      </c>
      <c r="N40" s="62">
        <f>IF(ISNUMBER(SEARCH("Vaccine-preventable",Pathogens!C37)),2,IF(ISNUMBER(SEARCH("AMR",Pathogens!C37)),5,IF(ISNUMBER(SEARCH("VHF",Pathogens!C37)),4,IF(ISNUMBER(SEARCH("Emerging",Pathogens!C37)),5,IF(ISNUMBER(SEARCH("Mycobacterial",Pathogens!C37)),3,IF(ISNUMBER(SEARCH("Helminth",Pathogens!C37)),3,IF(ISNUMBER(SEARCH("Respiratory",Pathogens!C37)),4,3)))))))</f>
        <v>3</v>
      </c>
      <c r="O40" s="62">
        <f>IF(ISNUMBER(SEARCH("AMR",Pathogens!C37)),5,IF(ISNUMBER(SEARCH("Mycobacterial",Pathogens!C37)),4,IF(ISNUMBER(SEARCH("Enteric bacterial",Pathogens!C37)),3,IF(ISNUMBER(SEARCH("Bacterial",Pathogens!C37)),3,1))))</f>
        <v>3</v>
      </c>
      <c r="P4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0" s="62">
        <f>(6-Pathogens!X37)</f>
        <v>4</v>
      </c>
      <c r="R40" s="62">
        <f>ROUND(MIN(5,MAX(1,0.35*IF(Pathogens!R37=1,5,IF(Pathogens!R37=2,3,1))+0.2*IF(Pathogens!S37=1,5,IF(Pathogens!S37=2,3,1))+0.25*IF(Pathogens!W37=1,IF(VLOOKUP(D$4,Countries!$B$2:$AN$55,38,FALSE)&gt;=3,5,IF(VLOOKUP(D$4,Countries!$B$2:$AN$55,38,FALSE)=2,4,IF(VLOOKUP(D$4,Countries!$B$2:$AN$55,38,FALSE)=1,2,1))),5)+0.2*IF(VLOOKUP(D$4,Countries!$B$2:$AN$55,24,FALSE)&gt;=50,5,IF(VLOOKUP(D$4,Countries!$B$2:$AN$55,24,FALSE)&gt;=25,4,IF(VLOOKUP(D$4,Countries!$B$2:$AN$55,24,FALSE)&gt;=10,3,IF(VLOOKUP(D$4,Countries!$B$2:$AN$55,24,FALSE)&gt;=5,2,1)))))),0)</f>
        <v>5</v>
      </c>
      <c r="S40" s="62" t="str">
        <f>IFERROR(INDEX(Endemicity!$C$2:$BN$55,MATCH(D$4,Endemicity!$B$2:$B$55,0),MATCH($A40,Endemicity!$C$1:$BN$1,0)),"Sporadic")</f>
        <v>Endemic</v>
      </c>
      <c r="T40" s="62">
        <f>IF(Settings!$B$48="ON",IFERROR(MATCH($S40,Settings!$B$35:$F$35,0),5),5)</f>
        <v>1</v>
      </c>
      <c r="U40" s="62">
        <f>ROUND(MIN(5,IF(Pathogens!I37&gt;=500,5,IF(Pathogens!I37&gt;=200,4,IF(Pathogens!I37&gt;=50,3,IF(Pathogens!I37&gt;=10,2,1))))*0.5+IF(Pathogens!J37&gt;=30,5,IF(Pathogens!J37&gt;=10,4,IF(Pathogens!J37&gt;=3,3,IF(Pathogens!J37&gt;=1,2,1))))*0.4+IF(AND(VLOOKUP(E$4,Countries!$B$2:$AN$55,4,FALSE)&gt;=80,Pathogens!N37&gt;=0.5),1,0)*0.1+IF(VLOOKUP(E$4,Countries!$B$2:$AN$55,7,FALSE)&lt;50,0.3,0)),0)</f>
        <v>3</v>
      </c>
      <c r="V40" s="62">
        <f>ROUND(MIN(5,IF(Pathogens!K37&gt;=8,5,IF(Pathogens!K37&gt;=5,4,IF(Pathogens!K37&gt;=3,3,IF(Pathogens!K37&gt;=1,2,1))))*0.5+IF(Pathogens!L37&gt;=5,5,IF(Pathogens!L37&gt;=3,4,IF(Pathogens!L37&gt;=2,3,IF(Pathogens!L37&gt;=1.2,2,1))))*0.3+IF(Pathogens!M37=1,2,0)*0.2+IF(VLOOKUP(E$4,Countries!$B$2:$AN$55,12,FALSE)&gt;=2,0.5,0)),0)</f>
        <v>4</v>
      </c>
      <c r="W40" s="62">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c r="X40" s="62">
        <f>ROUND(MAX(1,MIN(5,(6-VLOOKUP(E$4,Countries!$B$2:$AN$55,10,FALSE))*0.5+(6-VLOOKUP(E$4,Countries!$B$2:$AN$55,11,FALSE))*0.4+(IF(AND(Pathogens!N37&gt;=0.5,VLOOKUP(E$4,Countries!$B$2:$AN$55,5,FALSE)&lt;60),5,IF(Pathogens!N37&gt;=0.5,4,IF(Pathogens!N37&gt;=0.3,3,IF(Pathogens!N37&gt;=0.1,2,1)))))*0.1)),0)</f>
        <v>3</v>
      </c>
      <c r="Y40" s="62">
        <f>IF(ISNUMBER(SEARCH("Vaccine-preventable",Pathogens!C37)),2,IF(ISNUMBER(SEARCH("AMR",Pathogens!C37)),5,IF(ISNUMBER(SEARCH("VHF",Pathogens!C37)),4,IF(ISNUMBER(SEARCH("Emerging",Pathogens!C37)),5,IF(ISNUMBER(SEARCH("Mycobacterial",Pathogens!C37)),3,IF(ISNUMBER(SEARCH("Helminth",Pathogens!C37)),3,IF(ISNUMBER(SEARCH("Respiratory",Pathogens!C37)),4,3)))))))</f>
        <v>3</v>
      </c>
      <c r="Z40" s="62">
        <f>IF(ISNUMBER(SEARCH("AMR",Pathogens!C37)),5,IF(ISNUMBER(SEARCH("Mycobacterial",Pathogens!C37)),4,IF(ISNUMBER(SEARCH("Enteric bacterial",Pathogens!C37)),3,IF(ISNUMBER(SEARCH("Bacterial",Pathogens!C37)),3,1))))</f>
        <v>3</v>
      </c>
      <c r="AA4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0" s="62">
        <f>(6-Pathogens!X37)</f>
        <v>4</v>
      </c>
      <c r="AC40" s="62">
        <f>ROUND(MIN(5,MAX(1,0.35*IF(Pathogens!R37=1,5,IF(Pathogens!R37=2,3,1))+0.2*IF(Pathogens!S37=1,5,IF(Pathogens!S37=2,3,1))+0.25*IF(Pathogens!W37=1,IF(VLOOKUP(E$4,Countries!$B$2:$AN$55,38,FALSE)&gt;=3,5,IF(VLOOKUP(E$4,Countries!$B$2:$AN$55,38,FALSE)=2,4,IF(VLOOKUP(E$4,Countries!$B$2:$AN$55,38,FALSE)=1,2,1))),5)+0.2*IF(VLOOKUP(E$4,Countries!$B$2:$AN$55,24,FALSE)&gt;=50,5,IF(VLOOKUP(E$4,Countries!$B$2:$AN$55,24,FALSE)&gt;=25,4,IF(VLOOKUP(E$4,Countries!$B$2:$AN$55,24,FALSE)&gt;=10,3,IF(VLOOKUP(E$4,Countries!$B$2:$AN$55,24,FALSE)&gt;=5,2,1)))))),0)</f>
        <v>4</v>
      </c>
      <c r="AD40" s="62" t="str">
        <f>IFERROR(INDEX(Endemicity!$C$2:$BN$55,MATCH(E$4,Endemicity!$B$2:$B$55,0),MATCH($A40,Endemicity!$C$1:$BN$1,0)),"Sporadic")</f>
        <v>Endemic</v>
      </c>
      <c r="AE40" s="62">
        <f>IF(Settings!$B$48="ON",IFERROR(MATCH($AD40,Settings!$B$35:$F$35,0),5),5)</f>
        <v>1</v>
      </c>
      <c r="AF40" s="62">
        <f>ROUND(MIN(5,IF(Pathogens!I37&gt;=500,5,IF(Pathogens!I37&gt;=200,4,IF(Pathogens!I37&gt;=50,3,IF(Pathogens!I37&gt;=10,2,1))))*0.5+IF(Pathogens!J37&gt;=30,5,IF(Pathogens!J37&gt;=10,4,IF(Pathogens!J37&gt;=3,3,IF(Pathogens!J37&gt;=1,2,1))))*0.4+IF(AND(VLOOKUP(F$4,Countries!$B$2:$AN$55,4,FALSE)&gt;=80,Pathogens!N37&gt;=0.5),1,0)*0.1+IF(VLOOKUP(F$4,Countries!$B$2:$AN$55,7,FALSE)&lt;50,0.3,0)),0)</f>
        <v>3</v>
      </c>
      <c r="AG40" s="62">
        <f>ROUND(MIN(5,IF(Pathogens!K37&gt;=8,5,IF(Pathogens!K37&gt;=5,4,IF(Pathogens!K37&gt;=3,3,IF(Pathogens!K37&gt;=1,2,1))))*0.5+IF(Pathogens!L37&gt;=5,5,IF(Pathogens!L37&gt;=3,4,IF(Pathogens!L37&gt;=2,3,IF(Pathogens!L37&gt;=1.2,2,1))))*0.3+IF(Pathogens!M37=1,2,0)*0.2+IF(VLOOKUP(F$4,Countries!$B$2:$AN$55,12,FALSE)&gt;=2,0.5,0)),0)</f>
        <v>4</v>
      </c>
      <c r="AH40" s="62">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c r="AI40" s="62">
        <f>ROUND(MAX(1,MIN(5,(6-VLOOKUP(F$4,Countries!$B$2:$AN$55,10,FALSE))*0.5+(6-VLOOKUP(F$4,Countries!$B$2:$AN$55,11,FALSE))*0.4+(IF(AND(Pathogens!N37&gt;=0.5,VLOOKUP(F$4,Countries!$B$2:$AN$55,5,FALSE)&lt;60),5,IF(Pathogens!N37&gt;=0.5,4,IF(Pathogens!N37&gt;=0.3,3,IF(Pathogens!N37&gt;=0.1,2,1)))))*0.1)),0)</f>
        <v>2</v>
      </c>
      <c r="AJ40" s="62">
        <f>IF(ISNUMBER(SEARCH("Vaccine-preventable",Pathogens!C37)),2,IF(ISNUMBER(SEARCH("AMR",Pathogens!C37)),5,IF(ISNUMBER(SEARCH("VHF",Pathogens!C37)),4,IF(ISNUMBER(SEARCH("Emerging",Pathogens!C37)),5,IF(ISNUMBER(SEARCH("Mycobacterial",Pathogens!C37)),3,IF(ISNUMBER(SEARCH("Helminth",Pathogens!C37)),3,IF(ISNUMBER(SEARCH("Respiratory",Pathogens!C37)),4,3)))))))</f>
        <v>3</v>
      </c>
      <c r="AK40" s="62">
        <f>IF(ISNUMBER(SEARCH("AMR",Pathogens!C37)),5,IF(ISNUMBER(SEARCH("Mycobacterial",Pathogens!C37)),4,IF(ISNUMBER(SEARCH("Enteric bacterial",Pathogens!C37)),3,IF(ISNUMBER(SEARCH("Bacterial",Pathogens!C37)),3,1))))</f>
        <v>3</v>
      </c>
      <c r="AL4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0" s="62">
        <f>(6-Pathogens!X37)</f>
        <v>4</v>
      </c>
      <c r="AN40" s="62">
        <f>ROUND(MIN(5,MAX(1,0.35*IF(Pathogens!R37=1,5,IF(Pathogens!R37=2,3,1))+0.2*IF(Pathogens!S37=1,5,IF(Pathogens!S37=2,3,1))+0.25*IF(Pathogens!W37=1,IF(VLOOKUP(F$4,Countries!$B$2:$AN$55,38,FALSE)&gt;=3,5,IF(VLOOKUP(F$4,Countries!$B$2:$AN$55,38,FALSE)=2,4,IF(VLOOKUP(F$4,Countries!$B$2:$AN$55,38,FALSE)=1,2,1))),5)+0.2*IF(VLOOKUP(F$4,Countries!$B$2:$AN$55,24,FALSE)&gt;=50,5,IF(VLOOKUP(F$4,Countries!$B$2:$AN$55,24,FALSE)&gt;=25,4,IF(VLOOKUP(F$4,Countries!$B$2:$AN$55,24,FALSE)&gt;=10,3,IF(VLOOKUP(F$4,Countries!$B$2:$AN$55,24,FALSE)&gt;=5,2,1)))))),0)</f>
        <v>4</v>
      </c>
      <c r="AO40" s="62" t="str">
        <f>IFERROR(INDEX(Endemicity!$C$2:$BN$55,MATCH(F$4,Endemicity!$B$2:$B$55,0),MATCH($A40,Endemicity!$C$1:$BN$1,0)),"Sporadic")</f>
        <v>Endemic</v>
      </c>
      <c r="AP40" s="62">
        <f>IF(Settings!$B$48="ON",IFERROR(MATCH($AO40,Settings!$B$35:$F$35,0),5),5)</f>
        <v>1</v>
      </c>
      <c r="AQ40" s="62">
        <f>ROUND(MIN(5,IF(Pathogens!I37&gt;=500,5,IF(Pathogens!I37&gt;=200,4,IF(Pathogens!I37&gt;=50,3,IF(Pathogens!I37&gt;=10,2,1))))*0.5+IF(Pathogens!J37&gt;=30,5,IF(Pathogens!J37&gt;=10,4,IF(Pathogens!J37&gt;=3,3,IF(Pathogens!J37&gt;=1,2,1))))*0.4+IF(AND(VLOOKUP(G$4,Countries!$B$2:$AN$55,4,FALSE)&gt;=80,Pathogens!N37&gt;=0.5),1,0)*0.1+IF(VLOOKUP(G$4,Countries!$B$2:$AN$55,7,FALSE)&lt;50,0.3,0)),0)</f>
        <v>3</v>
      </c>
      <c r="AR40" s="62">
        <f>ROUND(MIN(5,IF(Pathogens!K37&gt;=8,5,IF(Pathogens!K37&gt;=5,4,IF(Pathogens!K37&gt;=3,3,IF(Pathogens!K37&gt;=1,2,1))))*0.5+IF(Pathogens!L37&gt;=5,5,IF(Pathogens!L37&gt;=3,4,IF(Pathogens!L37&gt;=2,3,IF(Pathogens!L37&gt;=1.2,2,1))))*0.3+IF(Pathogens!M37=1,2,0)*0.2+IF(VLOOKUP(G$4,Countries!$B$2:$AN$55,12,FALSE)&gt;=2,0.5,0)),0)</f>
        <v>4</v>
      </c>
      <c r="AS40" s="62">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c r="AT40" s="62">
        <f>ROUND(MAX(1,MIN(5,(6-VLOOKUP(G$4,Countries!$B$2:$AN$55,10,FALSE))*0.5+(6-VLOOKUP(G$4,Countries!$B$2:$AN$55,11,FALSE))*0.4+(IF(AND(Pathogens!N37&gt;=0.5,VLOOKUP(G$4,Countries!$B$2:$AN$55,5,FALSE)&lt;60),5,IF(Pathogens!N37&gt;=0.5,4,IF(Pathogens!N37&gt;=0.3,3,IF(Pathogens!N37&gt;=0.1,2,1)))))*0.1)),0)</f>
        <v>2</v>
      </c>
      <c r="AU40" s="62">
        <f>IF(ISNUMBER(SEARCH("Vaccine-preventable",Pathogens!C37)),2,IF(ISNUMBER(SEARCH("AMR",Pathogens!C37)),5,IF(ISNUMBER(SEARCH("VHF",Pathogens!C37)),4,IF(ISNUMBER(SEARCH("Emerging",Pathogens!C37)),5,IF(ISNUMBER(SEARCH("Mycobacterial",Pathogens!C37)),3,IF(ISNUMBER(SEARCH("Helminth",Pathogens!C37)),3,IF(ISNUMBER(SEARCH("Respiratory",Pathogens!C37)),4,3)))))))</f>
        <v>3</v>
      </c>
      <c r="AV40" s="62">
        <f>IF(ISNUMBER(SEARCH("AMR",Pathogens!C37)),5,IF(ISNUMBER(SEARCH("Mycobacterial",Pathogens!C37)),4,IF(ISNUMBER(SEARCH("Enteric bacterial",Pathogens!C37)),3,IF(ISNUMBER(SEARCH("Bacterial",Pathogens!C37)),3,1))))</f>
        <v>3</v>
      </c>
      <c r="AW4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0" s="62">
        <f>(6-Pathogens!X37)</f>
        <v>4</v>
      </c>
      <c r="AY40" s="62">
        <f>ROUND(MIN(5,MAX(1,0.35*IF(Pathogens!R37=1,5,IF(Pathogens!R37=2,3,1))+0.2*IF(Pathogens!S37=1,5,IF(Pathogens!S37=2,3,1))+0.25*IF(Pathogens!W37=1,IF(VLOOKUP(G$4,Countries!$B$2:$AN$55,38,FALSE)&gt;=3,5,IF(VLOOKUP(G$4,Countries!$B$2:$AN$55,38,FALSE)=2,4,IF(VLOOKUP(G$4,Countries!$B$2:$AN$55,38,FALSE)=1,2,1))),5)+0.2*IF(VLOOKUP(G$4,Countries!$B$2:$AN$55,24,FALSE)&gt;=50,5,IF(VLOOKUP(G$4,Countries!$B$2:$AN$55,24,FALSE)&gt;=25,4,IF(VLOOKUP(G$4,Countries!$B$2:$AN$55,24,FALSE)&gt;=10,3,IF(VLOOKUP(G$4,Countries!$B$2:$AN$55,24,FALSE)&gt;=5,2,1)))))),0)</f>
        <v>4</v>
      </c>
      <c r="AZ40" s="62" t="str">
        <f>IFERROR(INDEX(Endemicity!$C$2:$BN$55,MATCH(G$4,Endemicity!$B$2:$B$55,0),MATCH($A40,Endemicity!$C$1:$BN$1,0)),"Sporadic")</f>
        <v>Endemic</v>
      </c>
      <c r="BA40" s="62">
        <f>IF(Settings!$B$48="ON",IFERROR(MATCH($AZ40,Settings!$B$35:$F$35,0),5),5)</f>
        <v>1</v>
      </c>
    </row>
    <row r="41" customHeight="1" spans="1:53">
      <c r="A41" s="61" t="str">
        <f>Calculator!A70</f>
        <v>CAMP</v>
      </c>
      <c r="B41" s="61" t="str">
        <f>Calculator!B70</f>
        <v>Campylobacter jejuni/coli</v>
      </c>
      <c r="C41" s="61" t="str">
        <f>Calculator!C70</f>
        <v>Enteric bacterial</v>
      </c>
      <c r="D41" s="52">
        <f>IFERROR(ROUND(MIN(100,(($J41)*Settings!$C$23*INDEX(Settings!$B$36:$F$44,1,$T41)+($K41)*Settings!$C$24*INDEX(Settings!$B$36:$F$44,2,$T41)+($L41)*Settings!$C$25*INDEX(Settings!$B$36:$F$44,3,$T41)+($M41)*Settings!$C$26*INDEX(Settings!$B$36:$F$44,4,$T41)+($N41)*Settings!$C$27*INDEX(Settings!$B$36:$F$44,5,$T41)+($O41)*Settings!$C$28*INDEX(Settings!$B$36:$F$44,6,$T41)+($P41)*Settings!$C$29*INDEX(Settings!$B$36:$F$44,7,$T41)+($Q41)*Settings!$C$30*INDEX(Settings!$B$36:$F$44,8,$T41)+($R41)*Settings!$C$31*INDEX(Settings!$B$36:$F$44,9,$T41))/INDEX(Settings!$B$45:$F$45,1,$T41)/5*100*IF($S41="Not present",Settings!$B$51,1)),1),"")</f>
        <v>64.2</v>
      </c>
      <c r="E41" s="52">
        <f>IFERROR(ROUND(MIN(100,(($U41)*Settings!$C$23*INDEX(Settings!$B$36:$F$44,1,$AE41)+($V41)*Settings!$C$24*INDEX(Settings!$B$36:$F$44,2,$AE41)+($W41)*Settings!$C$25*INDEX(Settings!$B$36:$F$44,3,$AE41)+($X41)*Settings!$C$26*INDEX(Settings!$B$36:$F$44,4,$AE41)+($Y41)*Settings!$C$27*INDEX(Settings!$B$36:$F$44,5,$AE41)+($Z41)*Settings!$C$28*INDEX(Settings!$B$36:$F$44,6,$AE41)+($AA41)*Settings!$C$29*INDEX(Settings!$B$36:$F$44,7,$AE41)+($AB41)*Settings!$C$30*INDEX(Settings!$B$36:$F$44,8,$AE41)+($AC41)*Settings!$C$31*INDEX(Settings!$B$36:$F$44,9,$AE41))/INDEX(Settings!$B$45:$F$45,1,$AE41)/5*100*IF($AD41="Not present",Settings!$B$51,1)),1),"")</f>
        <v>66.9</v>
      </c>
      <c r="F41" s="52">
        <f>IFERROR(ROUND(MIN(100,(($AF41)*Settings!$C$23*INDEX(Settings!$B$36:$F$44,1,$AP41)+($AG41)*Settings!$C$24*INDEX(Settings!$B$36:$F$44,2,$AP41)+($AH41)*Settings!$C$25*INDEX(Settings!$B$36:$F$44,3,$AP41)+($AI41)*Settings!$C$26*INDEX(Settings!$B$36:$F$44,4,$AP41)+($AJ41)*Settings!$C$27*INDEX(Settings!$B$36:$F$44,5,$AP41)+($AK41)*Settings!$C$28*INDEX(Settings!$B$36:$F$44,6,$AP41)+($AL41)*Settings!$C$29*INDEX(Settings!$B$36:$F$44,7,$AP41)+($AM41)*Settings!$C$30*INDEX(Settings!$B$36:$F$44,8,$AP41)+($AN41)*Settings!$C$31*INDEX(Settings!$B$36:$F$44,9,$AP41))/INDEX(Settings!$B$45:$F$45,1,$AP41)/5*100*IF($AO41="Not present",Settings!$B$51,1)),1),"")</f>
        <v>61.4</v>
      </c>
      <c r="G41" s="52">
        <f>IFERROR(ROUND(MIN(100,(($AQ41)*Settings!$C$23*INDEX(Settings!$B$36:$F$44,1,$BA41)+($AR41)*Settings!$C$24*INDEX(Settings!$B$36:$F$44,2,$BA41)+($AS41)*Settings!$C$25*INDEX(Settings!$B$36:$F$44,3,$BA41)+($AT41)*Settings!$C$26*INDEX(Settings!$B$36:$F$44,4,$BA41)+($AU41)*Settings!$C$27*INDEX(Settings!$B$36:$F$44,5,$BA41)+($AV41)*Settings!$C$28*INDEX(Settings!$B$36:$F$44,6,$BA41)+($AW41)*Settings!$C$29*INDEX(Settings!$B$36:$F$44,7,$BA41)+($AX41)*Settings!$C$30*INDEX(Settings!$B$36:$F$44,8,$BA41)+($AY41)*Settings!$C$31*INDEX(Settings!$B$36:$F$44,9,$BA41))/INDEX(Settings!$B$45:$F$45,1,$BA41)/5*100*IF($AZ41="Not present",Settings!$B$51,1)),1),"")</f>
        <v>63.2</v>
      </c>
      <c r="J41" s="62">
        <f>ROUND(MIN(5,IF(Pathogens!I38&gt;=500,5,IF(Pathogens!I38&gt;=200,4,IF(Pathogens!I38&gt;=50,3,IF(Pathogens!I38&gt;=10,2,1))))*0.5+IF(Pathogens!J38&gt;=30,5,IF(Pathogens!J38&gt;=10,4,IF(Pathogens!J38&gt;=3,3,IF(Pathogens!J38&gt;=1,2,1))))*0.4+IF(AND(VLOOKUP(D$4,Countries!$B$2:$AN$55,4,FALSE)&gt;=80,Pathogens!N38&gt;=0.5),1,0)*0.1+IF(VLOOKUP(D$4,Countries!$B$2:$AN$55,7,FALSE)&lt;50,0.3,0)),0)</f>
        <v>2</v>
      </c>
      <c r="K41" s="62">
        <f>ROUND(MIN(5,IF(Pathogens!K38&gt;=8,5,IF(Pathogens!K38&gt;=5,4,IF(Pathogens!K38&gt;=3,3,IF(Pathogens!K38&gt;=1,2,1))))*0.5+IF(Pathogens!L38&gt;=5,5,IF(Pathogens!L38&gt;=3,4,IF(Pathogens!L38&gt;=2,3,IF(Pathogens!L38&gt;=1.2,2,1))))*0.3+IF(Pathogens!M38=1,2,0)*0.2+IF(VLOOKUP(D$4,Countries!$B$2:$AN$55,12,FALSE)&gt;=2,0.5,0)),0)</f>
        <v>3</v>
      </c>
      <c r="L41" s="62">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c r="M41" s="62">
        <f>ROUND(MAX(1,MIN(5,(6-VLOOKUP(D$4,Countries!$B$2:$AN$55,10,FALSE))*0.5+(6-VLOOKUP(D$4,Countries!$B$2:$AN$55,11,FALSE))*0.4+(IF(AND(Pathogens!N38&gt;=0.5,VLOOKUP(D$4,Countries!$B$2:$AN$55,5,FALSE)&lt;60),5,IF(Pathogens!N38&gt;=0.5,4,IF(Pathogens!N38&gt;=0.3,3,IF(Pathogens!N38&gt;=0.1,2,1)))))*0.1)),0)</f>
        <v>2</v>
      </c>
      <c r="N41" s="62">
        <f>IF(ISNUMBER(SEARCH("Vaccine-preventable",Pathogens!C38)),2,IF(ISNUMBER(SEARCH("AMR",Pathogens!C38)),5,IF(ISNUMBER(SEARCH("VHF",Pathogens!C38)),4,IF(ISNUMBER(SEARCH("Emerging",Pathogens!C38)),5,IF(ISNUMBER(SEARCH("Mycobacterial",Pathogens!C38)),3,IF(ISNUMBER(SEARCH("Helminth",Pathogens!C38)),3,IF(ISNUMBER(SEARCH("Respiratory",Pathogens!C38)),4,3)))))))</f>
        <v>3</v>
      </c>
      <c r="O41" s="62">
        <f>IF(ISNUMBER(SEARCH("AMR",Pathogens!C38)),5,IF(ISNUMBER(SEARCH("Mycobacterial",Pathogens!C38)),4,IF(ISNUMBER(SEARCH("Enteric bacterial",Pathogens!C38)),3,IF(ISNUMBER(SEARCH("Bacterial",Pathogens!C38)),3,1))))</f>
        <v>3</v>
      </c>
      <c r="P4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1" s="62">
        <f>(6-Pathogens!X38)</f>
        <v>5</v>
      </c>
      <c r="R41" s="62">
        <f>ROUND(MIN(5,MAX(1,0.35*IF(Pathogens!R38=1,5,IF(Pathogens!R38=2,3,1))+0.2*IF(Pathogens!S38=1,5,IF(Pathogens!S38=2,3,1))+0.25*IF(Pathogens!W38=1,IF(VLOOKUP(D$4,Countries!$B$2:$AN$55,38,FALSE)&gt;=3,5,IF(VLOOKUP(D$4,Countries!$B$2:$AN$55,38,FALSE)=2,4,IF(VLOOKUP(D$4,Countries!$B$2:$AN$55,38,FALSE)=1,2,1))),5)+0.2*IF(VLOOKUP(D$4,Countries!$B$2:$AN$55,24,FALSE)&gt;=50,5,IF(VLOOKUP(D$4,Countries!$B$2:$AN$55,24,FALSE)&gt;=25,4,IF(VLOOKUP(D$4,Countries!$B$2:$AN$55,24,FALSE)&gt;=10,3,IF(VLOOKUP(D$4,Countries!$B$2:$AN$55,24,FALSE)&gt;=5,2,1)))))),0)</f>
        <v>5</v>
      </c>
      <c r="S41" s="62" t="str">
        <f>IFERROR(INDEX(Endemicity!$C$2:$BN$55,MATCH(D$4,Endemicity!$B$2:$B$55,0),MATCH($A41,Endemicity!$C$1:$BN$1,0)),"Sporadic")</f>
        <v>Endemic</v>
      </c>
      <c r="T41" s="62">
        <f>IF(Settings!$B$48="ON",IFERROR(MATCH($S41,Settings!$B$35:$F$35,0),5),5)</f>
        <v>1</v>
      </c>
      <c r="U41" s="62">
        <f>ROUND(MIN(5,IF(Pathogens!I38&gt;=500,5,IF(Pathogens!I38&gt;=200,4,IF(Pathogens!I38&gt;=50,3,IF(Pathogens!I38&gt;=10,2,1))))*0.5+IF(Pathogens!J38&gt;=30,5,IF(Pathogens!J38&gt;=10,4,IF(Pathogens!J38&gt;=3,3,IF(Pathogens!J38&gt;=1,2,1))))*0.4+IF(AND(VLOOKUP(E$4,Countries!$B$2:$AN$55,4,FALSE)&gt;=80,Pathogens!N38&gt;=0.5),1,0)*0.1+IF(VLOOKUP(E$4,Countries!$B$2:$AN$55,7,FALSE)&lt;50,0.3,0)),0)</f>
        <v>2</v>
      </c>
      <c r="V41" s="62">
        <f>ROUND(MIN(5,IF(Pathogens!K38&gt;=8,5,IF(Pathogens!K38&gt;=5,4,IF(Pathogens!K38&gt;=3,3,IF(Pathogens!K38&gt;=1,2,1))))*0.5+IF(Pathogens!L38&gt;=5,5,IF(Pathogens!L38&gt;=3,4,IF(Pathogens!L38&gt;=2,3,IF(Pathogens!L38&gt;=1.2,2,1))))*0.3+IF(Pathogens!M38=1,2,0)*0.2+IF(VLOOKUP(E$4,Countries!$B$2:$AN$55,12,FALSE)&gt;=2,0.5,0)),0)</f>
        <v>3</v>
      </c>
      <c r="W41" s="62">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c r="X41" s="62">
        <f>ROUND(MAX(1,MIN(5,(6-VLOOKUP(E$4,Countries!$B$2:$AN$55,10,FALSE))*0.5+(6-VLOOKUP(E$4,Countries!$B$2:$AN$55,11,FALSE))*0.4+(IF(AND(Pathogens!N38&gt;=0.5,VLOOKUP(E$4,Countries!$B$2:$AN$55,5,FALSE)&lt;60),5,IF(Pathogens!N38&gt;=0.5,4,IF(Pathogens!N38&gt;=0.3,3,IF(Pathogens!N38&gt;=0.1,2,1)))))*0.1)),0)</f>
        <v>3</v>
      </c>
      <c r="Y41" s="62">
        <f>IF(ISNUMBER(SEARCH("Vaccine-preventable",Pathogens!C38)),2,IF(ISNUMBER(SEARCH("AMR",Pathogens!C38)),5,IF(ISNUMBER(SEARCH("VHF",Pathogens!C38)),4,IF(ISNUMBER(SEARCH("Emerging",Pathogens!C38)),5,IF(ISNUMBER(SEARCH("Mycobacterial",Pathogens!C38)),3,IF(ISNUMBER(SEARCH("Helminth",Pathogens!C38)),3,IF(ISNUMBER(SEARCH("Respiratory",Pathogens!C38)),4,3)))))))</f>
        <v>3</v>
      </c>
      <c r="Z41" s="62">
        <f>IF(ISNUMBER(SEARCH("AMR",Pathogens!C38)),5,IF(ISNUMBER(SEARCH("Mycobacterial",Pathogens!C38)),4,IF(ISNUMBER(SEARCH("Enteric bacterial",Pathogens!C38)),3,IF(ISNUMBER(SEARCH("Bacterial",Pathogens!C38)),3,1))))</f>
        <v>3</v>
      </c>
      <c r="AA4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1" s="62">
        <f>(6-Pathogens!X38)</f>
        <v>5</v>
      </c>
      <c r="AC41" s="62">
        <f>ROUND(MIN(5,MAX(1,0.35*IF(Pathogens!R38=1,5,IF(Pathogens!R38=2,3,1))+0.2*IF(Pathogens!S38=1,5,IF(Pathogens!S38=2,3,1))+0.25*IF(Pathogens!W38=1,IF(VLOOKUP(E$4,Countries!$B$2:$AN$55,38,FALSE)&gt;=3,5,IF(VLOOKUP(E$4,Countries!$B$2:$AN$55,38,FALSE)=2,4,IF(VLOOKUP(E$4,Countries!$B$2:$AN$55,38,FALSE)=1,2,1))),5)+0.2*IF(VLOOKUP(E$4,Countries!$B$2:$AN$55,24,FALSE)&gt;=50,5,IF(VLOOKUP(E$4,Countries!$B$2:$AN$55,24,FALSE)&gt;=25,4,IF(VLOOKUP(E$4,Countries!$B$2:$AN$55,24,FALSE)&gt;=10,3,IF(VLOOKUP(E$4,Countries!$B$2:$AN$55,24,FALSE)&gt;=5,2,1)))))),0)</f>
        <v>4</v>
      </c>
      <c r="AD41" s="62" t="str">
        <f>IFERROR(INDEX(Endemicity!$C$2:$BN$55,MATCH(E$4,Endemicity!$B$2:$B$55,0),MATCH($A41,Endemicity!$C$1:$BN$1,0)),"Sporadic")</f>
        <v>Endemic</v>
      </c>
      <c r="AE41" s="62">
        <f>IF(Settings!$B$48="ON",IFERROR(MATCH($AD41,Settings!$B$35:$F$35,0),5),5)</f>
        <v>1</v>
      </c>
      <c r="AF41" s="62">
        <f>ROUND(MIN(5,IF(Pathogens!I38&gt;=500,5,IF(Pathogens!I38&gt;=200,4,IF(Pathogens!I38&gt;=50,3,IF(Pathogens!I38&gt;=10,2,1))))*0.5+IF(Pathogens!J38&gt;=30,5,IF(Pathogens!J38&gt;=10,4,IF(Pathogens!J38&gt;=3,3,IF(Pathogens!J38&gt;=1,2,1))))*0.4+IF(AND(VLOOKUP(F$4,Countries!$B$2:$AN$55,4,FALSE)&gt;=80,Pathogens!N38&gt;=0.5),1,0)*0.1+IF(VLOOKUP(F$4,Countries!$B$2:$AN$55,7,FALSE)&lt;50,0.3,0)),0)</f>
        <v>2</v>
      </c>
      <c r="AG41" s="62">
        <f>ROUND(MIN(5,IF(Pathogens!K38&gt;=8,5,IF(Pathogens!K38&gt;=5,4,IF(Pathogens!K38&gt;=3,3,IF(Pathogens!K38&gt;=1,2,1))))*0.5+IF(Pathogens!L38&gt;=5,5,IF(Pathogens!L38&gt;=3,4,IF(Pathogens!L38&gt;=2,3,IF(Pathogens!L38&gt;=1.2,2,1))))*0.3+IF(Pathogens!M38=1,2,0)*0.2+IF(VLOOKUP(F$4,Countries!$B$2:$AN$55,12,FALSE)&gt;=2,0.5,0)),0)</f>
        <v>3</v>
      </c>
      <c r="AH41" s="62">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c r="AI41" s="62">
        <f>ROUND(MAX(1,MIN(5,(6-VLOOKUP(F$4,Countries!$B$2:$AN$55,10,FALSE))*0.5+(6-VLOOKUP(F$4,Countries!$B$2:$AN$55,11,FALSE))*0.4+(IF(AND(Pathogens!N38&gt;=0.5,VLOOKUP(F$4,Countries!$B$2:$AN$55,5,FALSE)&lt;60),5,IF(Pathogens!N38&gt;=0.5,4,IF(Pathogens!N38&gt;=0.3,3,IF(Pathogens!N38&gt;=0.1,2,1)))))*0.1)),0)</f>
        <v>2</v>
      </c>
      <c r="AJ41" s="62">
        <f>IF(ISNUMBER(SEARCH("Vaccine-preventable",Pathogens!C38)),2,IF(ISNUMBER(SEARCH("AMR",Pathogens!C38)),5,IF(ISNUMBER(SEARCH("VHF",Pathogens!C38)),4,IF(ISNUMBER(SEARCH("Emerging",Pathogens!C38)),5,IF(ISNUMBER(SEARCH("Mycobacterial",Pathogens!C38)),3,IF(ISNUMBER(SEARCH("Helminth",Pathogens!C38)),3,IF(ISNUMBER(SEARCH("Respiratory",Pathogens!C38)),4,3)))))))</f>
        <v>3</v>
      </c>
      <c r="AK41" s="62">
        <f>IF(ISNUMBER(SEARCH("AMR",Pathogens!C38)),5,IF(ISNUMBER(SEARCH("Mycobacterial",Pathogens!C38)),4,IF(ISNUMBER(SEARCH("Enteric bacterial",Pathogens!C38)),3,IF(ISNUMBER(SEARCH("Bacterial",Pathogens!C38)),3,1))))</f>
        <v>3</v>
      </c>
      <c r="AL4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1" s="62">
        <f>(6-Pathogens!X38)</f>
        <v>5</v>
      </c>
      <c r="AN41" s="62">
        <f>ROUND(MIN(5,MAX(1,0.35*IF(Pathogens!R38=1,5,IF(Pathogens!R38=2,3,1))+0.2*IF(Pathogens!S38=1,5,IF(Pathogens!S38=2,3,1))+0.25*IF(Pathogens!W38=1,IF(VLOOKUP(F$4,Countries!$B$2:$AN$55,38,FALSE)&gt;=3,5,IF(VLOOKUP(F$4,Countries!$B$2:$AN$55,38,FALSE)=2,4,IF(VLOOKUP(F$4,Countries!$B$2:$AN$55,38,FALSE)=1,2,1))),5)+0.2*IF(VLOOKUP(F$4,Countries!$B$2:$AN$55,24,FALSE)&gt;=50,5,IF(VLOOKUP(F$4,Countries!$B$2:$AN$55,24,FALSE)&gt;=25,4,IF(VLOOKUP(F$4,Countries!$B$2:$AN$55,24,FALSE)&gt;=10,3,IF(VLOOKUP(F$4,Countries!$B$2:$AN$55,24,FALSE)&gt;=5,2,1)))))),0)</f>
        <v>4</v>
      </c>
      <c r="AO41" s="62" t="str">
        <f>IFERROR(INDEX(Endemicity!$C$2:$BN$55,MATCH(F$4,Endemicity!$B$2:$B$55,0),MATCH($A41,Endemicity!$C$1:$BN$1,0)),"Sporadic")</f>
        <v>Endemic</v>
      </c>
      <c r="AP41" s="62">
        <f>IF(Settings!$B$48="ON",IFERROR(MATCH($AO41,Settings!$B$35:$F$35,0),5),5)</f>
        <v>1</v>
      </c>
      <c r="AQ41" s="62">
        <f>ROUND(MIN(5,IF(Pathogens!I38&gt;=500,5,IF(Pathogens!I38&gt;=200,4,IF(Pathogens!I38&gt;=50,3,IF(Pathogens!I38&gt;=10,2,1))))*0.5+IF(Pathogens!J38&gt;=30,5,IF(Pathogens!J38&gt;=10,4,IF(Pathogens!J38&gt;=3,3,IF(Pathogens!J38&gt;=1,2,1))))*0.4+IF(AND(VLOOKUP(G$4,Countries!$B$2:$AN$55,4,FALSE)&gt;=80,Pathogens!N38&gt;=0.5),1,0)*0.1+IF(VLOOKUP(G$4,Countries!$B$2:$AN$55,7,FALSE)&lt;50,0.3,0)),0)</f>
        <v>2</v>
      </c>
      <c r="AR41" s="62">
        <f>ROUND(MIN(5,IF(Pathogens!K38&gt;=8,5,IF(Pathogens!K38&gt;=5,4,IF(Pathogens!K38&gt;=3,3,IF(Pathogens!K38&gt;=1,2,1))))*0.5+IF(Pathogens!L38&gt;=5,5,IF(Pathogens!L38&gt;=3,4,IF(Pathogens!L38&gt;=2,3,IF(Pathogens!L38&gt;=1.2,2,1))))*0.3+IF(Pathogens!M38=1,2,0)*0.2+IF(VLOOKUP(G$4,Countries!$B$2:$AN$55,12,FALSE)&gt;=2,0.5,0)),0)</f>
        <v>3</v>
      </c>
      <c r="AS41" s="62">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c r="AT41" s="62">
        <f>ROUND(MAX(1,MIN(5,(6-VLOOKUP(G$4,Countries!$B$2:$AN$55,10,FALSE))*0.5+(6-VLOOKUP(G$4,Countries!$B$2:$AN$55,11,FALSE))*0.4+(IF(AND(Pathogens!N38&gt;=0.5,VLOOKUP(G$4,Countries!$B$2:$AN$55,5,FALSE)&lt;60),5,IF(Pathogens!N38&gt;=0.5,4,IF(Pathogens!N38&gt;=0.3,3,IF(Pathogens!N38&gt;=0.1,2,1)))))*0.1)),0)</f>
        <v>2</v>
      </c>
      <c r="AU41" s="62">
        <f>IF(ISNUMBER(SEARCH("Vaccine-preventable",Pathogens!C38)),2,IF(ISNUMBER(SEARCH("AMR",Pathogens!C38)),5,IF(ISNUMBER(SEARCH("VHF",Pathogens!C38)),4,IF(ISNUMBER(SEARCH("Emerging",Pathogens!C38)),5,IF(ISNUMBER(SEARCH("Mycobacterial",Pathogens!C38)),3,IF(ISNUMBER(SEARCH("Helminth",Pathogens!C38)),3,IF(ISNUMBER(SEARCH("Respiratory",Pathogens!C38)),4,3)))))))</f>
        <v>3</v>
      </c>
      <c r="AV41" s="62">
        <f>IF(ISNUMBER(SEARCH("AMR",Pathogens!C38)),5,IF(ISNUMBER(SEARCH("Mycobacterial",Pathogens!C38)),4,IF(ISNUMBER(SEARCH("Enteric bacterial",Pathogens!C38)),3,IF(ISNUMBER(SEARCH("Bacterial",Pathogens!C38)),3,1))))</f>
        <v>3</v>
      </c>
      <c r="AW4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1" s="62">
        <f>(6-Pathogens!X38)</f>
        <v>5</v>
      </c>
      <c r="AY41" s="62">
        <f>ROUND(MIN(5,MAX(1,0.35*IF(Pathogens!R38=1,5,IF(Pathogens!R38=2,3,1))+0.2*IF(Pathogens!S38=1,5,IF(Pathogens!S38=2,3,1))+0.25*IF(Pathogens!W38=1,IF(VLOOKUP(G$4,Countries!$B$2:$AN$55,38,FALSE)&gt;=3,5,IF(VLOOKUP(G$4,Countries!$B$2:$AN$55,38,FALSE)=2,4,IF(VLOOKUP(G$4,Countries!$B$2:$AN$55,38,FALSE)=1,2,1))),5)+0.2*IF(VLOOKUP(G$4,Countries!$B$2:$AN$55,24,FALSE)&gt;=50,5,IF(VLOOKUP(G$4,Countries!$B$2:$AN$55,24,FALSE)&gt;=25,4,IF(VLOOKUP(G$4,Countries!$B$2:$AN$55,24,FALSE)&gt;=10,3,IF(VLOOKUP(G$4,Countries!$B$2:$AN$55,24,FALSE)&gt;=5,2,1)))))),0)</f>
        <v>4</v>
      </c>
      <c r="AZ41" s="62" t="str">
        <f>IFERROR(INDEX(Endemicity!$C$2:$BN$55,MATCH(G$4,Endemicity!$B$2:$B$55,0),MATCH($A41,Endemicity!$C$1:$BN$1,0)),"Sporadic")</f>
        <v>Endemic</v>
      </c>
      <c r="BA41" s="62">
        <f>IF(Settings!$B$48="ON",IFERROR(MATCH($AZ41,Settings!$B$35:$F$35,0),5),5)</f>
        <v>1</v>
      </c>
    </row>
    <row r="42" customHeight="1" spans="1:53">
      <c r="A42" s="61" t="str">
        <f>Calculator!A71</f>
        <v>YERS</v>
      </c>
      <c r="B42" s="61" t="str">
        <f>Calculator!B71</f>
        <v>Yersinia enterocolitica</v>
      </c>
      <c r="C42" s="61" t="str">
        <f>Calculator!C71</f>
        <v>Enteric bacterial</v>
      </c>
      <c r="D42" s="52">
        <f>IFERROR(ROUND(MIN(100,(($J42)*Settings!$C$23*INDEX(Settings!$B$36:$F$44,1,$T42)+($K42)*Settings!$C$24*INDEX(Settings!$B$36:$F$44,2,$T42)+($L42)*Settings!$C$25*INDEX(Settings!$B$36:$F$44,3,$T42)+($M42)*Settings!$C$26*INDEX(Settings!$B$36:$F$44,4,$T42)+($N42)*Settings!$C$27*INDEX(Settings!$B$36:$F$44,5,$T42)+($O42)*Settings!$C$28*INDEX(Settings!$B$36:$F$44,6,$T42)+($P42)*Settings!$C$29*INDEX(Settings!$B$36:$F$44,7,$T42)+($Q42)*Settings!$C$30*INDEX(Settings!$B$36:$F$44,8,$T42)+($R42)*Settings!$C$31*INDEX(Settings!$B$36:$F$44,9,$T42))/INDEX(Settings!$B$45:$F$45,1,$T42)/5*100*IF($S42="Not present",Settings!$B$51,1)),1),"")</f>
        <v>60.6</v>
      </c>
      <c r="E42" s="52">
        <f>IFERROR(ROUND(MIN(100,(($U42)*Settings!$C$23*INDEX(Settings!$B$36:$F$44,1,$AE42)+($V42)*Settings!$C$24*INDEX(Settings!$B$36:$F$44,2,$AE42)+($W42)*Settings!$C$25*INDEX(Settings!$B$36:$F$44,3,$AE42)+($X42)*Settings!$C$26*INDEX(Settings!$B$36:$F$44,4,$AE42)+($Y42)*Settings!$C$27*INDEX(Settings!$B$36:$F$44,5,$AE42)+($Z42)*Settings!$C$28*INDEX(Settings!$B$36:$F$44,6,$AE42)+($AA42)*Settings!$C$29*INDEX(Settings!$B$36:$F$44,7,$AE42)+($AB42)*Settings!$C$30*INDEX(Settings!$B$36:$F$44,8,$AE42)+($AC42)*Settings!$C$31*INDEX(Settings!$B$36:$F$44,9,$AE42))/INDEX(Settings!$B$45:$F$45,1,$AE42)/5*100*IF($AD42="Not present",Settings!$B$51,1)),1),"")</f>
        <v>65.6</v>
      </c>
      <c r="F42" s="52">
        <f>IFERROR(ROUND(MIN(100,(($AF42)*Settings!$C$23*INDEX(Settings!$B$36:$F$44,1,$AP42)+($AG42)*Settings!$C$24*INDEX(Settings!$B$36:$F$44,2,$AP42)+($AH42)*Settings!$C$25*INDEX(Settings!$B$36:$F$44,3,$AP42)+($AI42)*Settings!$C$26*INDEX(Settings!$B$36:$F$44,4,$AP42)+($AJ42)*Settings!$C$27*INDEX(Settings!$B$36:$F$44,5,$AP42)+($AK42)*Settings!$C$28*INDEX(Settings!$B$36:$F$44,6,$AP42)+($AL42)*Settings!$C$29*INDEX(Settings!$B$36:$F$44,7,$AP42)+($AM42)*Settings!$C$30*INDEX(Settings!$B$36:$F$44,8,$AP42)+($AN42)*Settings!$C$31*INDEX(Settings!$B$36:$F$44,9,$AP42))/INDEX(Settings!$B$45:$F$45,1,$AP42)/5*100*IF($AO42="Not present",Settings!$B$51,1)),1),"")</f>
        <v>60.6</v>
      </c>
      <c r="G42" s="52">
        <f>IFERROR(ROUND(MIN(100,(($AQ42)*Settings!$C$23*INDEX(Settings!$B$36:$F$44,1,$BA42)+($AR42)*Settings!$C$24*INDEX(Settings!$B$36:$F$44,2,$BA42)+($AS42)*Settings!$C$25*INDEX(Settings!$B$36:$F$44,3,$BA42)+($AT42)*Settings!$C$26*INDEX(Settings!$B$36:$F$44,4,$BA42)+($AU42)*Settings!$C$27*INDEX(Settings!$B$36:$F$44,5,$BA42)+($AV42)*Settings!$C$28*INDEX(Settings!$B$36:$F$44,6,$BA42)+($AW42)*Settings!$C$29*INDEX(Settings!$B$36:$F$44,7,$BA42)+($AX42)*Settings!$C$30*INDEX(Settings!$B$36:$F$44,8,$BA42)+($AY42)*Settings!$C$31*INDEX(Settings!$B$36:$F$44,9,$BA42))/INDEX(Settings!$B$45:$F$45,1,$BA42)/5*100*IF($AZ42="Not present",Settings!$B$51,1)),1),"")</f>
        <v>61.9</v>
      </c>
      <c r="J42" s="62">
        <f>ROUND(MIN(5,IF(Pathogens!I39&gt;=500,5,IF(Pathogens!I39&gt;=200,4,IF(Pathogens!I39&gt;=50,3,IF(Pathogens!I39&gt;=10,2,1))))*0.5+IF(Pathogens!J39&gt;=30,5,IF(Pathogens!J39&gt;=10,4,IF(Pathogens!J39&gt;=3,3,IF(Pathogens!J39&gt;=1,2,1))))*0.4+IF(AND(VLOOKUP(D$4,Countries!$B$2:$AN$55,4,FALSE)&gt;=80,Pathogens!N39&gt;=0.5),1,0)*0.1+IF(VLOOKUP(D$4,Countries!$B$2:$AN$55,7,FALSE)&lt;50,0.3,0)),0)</f>
        <v>2</v>
      </c>
      <c r="K42" s="62">
        <f>ROUND(MIN(5,IF(Pathogens!K39&gt;=8,5,IF(Pathogens!K39&gt;=5,4,IF(Pathogens!K39&gt;=3,3,IF(Pathogens!K39&gt;=1,2,1))))*0.5+IF(Pathogens!L39&gt;=5,5,IF(Pathogens!L39&gt;=3,4,IF(Pathogens!L39&gt;=2,3,IF(Pathogens!L39&gt;=1.2,2,1))))*0.3+IF(Pathogens!M39=1,2,0)*0.2+IF(VLOOKUP(D$4,Countries!$B$2:$AN$55,12,FALSE)&gt;=2,0.5,0)),0)</f>
        <v>3</v>
      </c>
      <c r="L42" s="62">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c r="M42" s="62">
        <f>ROUND(MAX(1,MIN(5,(6-VLOOKUP(D$4,Countries!$B$2:$AN$55,10,FALSE))*0.5+(6-VLOOKUP(D$4,Countries!$B$2:$AN$55,11,FALSE))*0.4+(IF(AND(Pathogens!N39&gt;=0.5,VLOOKUP(D$4,Countries!$B$2:$AN$55,5,FALSE)&lt;60),5,IF(Pathogens!N39&gt;=0.5,4,IF(Pathogens!N39&gt;=0.3,3,IF(Pathogens!N39&gt;=0.1,2,1)))))*0.1)),0)</f>
        <v>2</v>
      </c>
      <c r="N42" s="62">
        <f>IF(ISNUMBER(SEARCH("Vaccine-preventable",Pathogens!C39)),2,IF(ISNUMBER(SEARCH("AMR",Pathogens!C39)),5,IF(ISNUMBER(SEARCH("VHF",Pathogens!C39)),4,IF(ISNUMBER(SEARCH("Emerging",Pathogens!C39)),5,IF(ISNUMBER(SEARCH("Mycobacterial",Pathogens!C39)),3,IF(ISNUMBER(SEARCH("Helminth",Pathogens!C39)),3,IF(ISNUMBER(SEARCH("Respiratory",Pathogens!C39)),4,3)))))))</f>
        <v>3</v>
      </c>
      <c r="O42" s="62">
        <f>IF(ISNUMBER(SEARCH("AMR",Pathogens!C39)),5,IF(ISNUMBER(SEARCH("Mycobacterial",Pathogens!C39)),4,IF(ISNUMBER(SEARCH("Enteric bacterial",Pathogens!C39)),3,IF(ISNUMBER(SEARCH("Bacterial",Pathogens!C39)),3,1))))</f>
        <v>3</v>
      </c>
      <c r="P4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2" s="62">
        <f>(6-Pathogens!X39)</f>
        <v>5</v>
      </c>
      <c r="R42" s="62">
        <f>ROUND(MIN(5,MAX(1,0.35*IF(Pathogens!R39=1,5,IF(Pathogens!R39=2,3,1))+0.2*IF(Pathogens!S39=1,5,IF(Pathogens!S39=2,3,1))+0.25*IF(Pathogens!W39=1,IF(VLOOKUP(D$4,Countries!$B$2:$AN$55,38,FALSE)&gt;=3,5,IF(VLOOKUP(D$4,Countries!$B$2:$AN$55,38,FALSE)=2,4,IF(VLOOKUP(D$4,Countries!$B$2:$AN$55,38,FALSE)=1,2,1))),5)+0.2*IF(VLOOKUP(D$4,Countries!$B$2:$AN$55,24,FALSE)&gt;=50,5,IF(VLOOKUP(D$4,Countries!$B$2:$AN$55,24,FALSE)&gt;=25,4,IF(VLOOKUP(D$4,Countries!$B$2:$AN$55,24,FALSE)&gt;=10,3,IF(VLOOKUP(D$4,Countries!$B$2:$AN$55,24,FALSE)&gt;=5,2,1)))))),0)</f>
        <v>4</v>
      </c>
      <c r="S42" s="62" t="str">
        <f>IFERROR(INDEX(Endemicity!$C$2:$BN$55,MATCH(D$4,Endemicity!$B$2:$B$55,0),MATCH($A42,Endemicity!$C$1:$BN$1,0)),"Sporadic")</f>
        <v>Sporadic</v>
      </c>
      <c r="T42" s="62">
        <f>IF(Settings!$B$48="ON",IFERROR(MATCH($S42,Settings!$B$35:$F$35,0),5),5)</f>
        <v>2</v>
      </c>
      <c r="U42" s="62">
        <f>ROUND(MIN(5,IF(Pathogens!I39&gt;=500,5,IF(Pathogens!I39&gt;=200,4,IF(Pathogens!I39&gt;=50,3,IF(Pathogens!I39&gt;=10,2,1))))*0.5+IF(Pathogens!J39&gt;=30,5,IF(Pathogens!J39&gt;=10,4,IF(Pathogens!J39&gt;=3,3,IF(Pathogens!J39&gt;=1,2,1))))*0.4+IF(AND(VLOOKUP(E$4,Countries!$B$2:$AN$55,4,FALSE)&gt;=80,Pathogens!N39&gt;=0.5),1,0)*0.1+IF(VLOOKUP(E$4,Countries!$B$2:$AN$55,7,FALSE)&lt;50,0.3,0)),0)</f>
        <v>2</v>
      </c>
      <c r="V42" s="62">
        <f>ROUND(MIN(5,IF(Pathogens!K39&gt;=8,5,IF(Pathogens!K39&gt;=5,4,IF(Pathogens!K39&gt;=3,3,IF(Pathogens!K39&gt;=1,2,1))))*0.5+IF(Pathogens!L39&gt;=5,5,IF(Pathogens!L39&gt;=3,4,IF(Pathogens!L39&gt;=2,3,IF(Pathogens!L39&gt;=1.2,2,1))))*0.3+IF(Pathogens!M39=1,2,0)*0.2+IF(VLOOKUP(E$4,Countries!$B$2:$AN$55,12,FALSE)&gt;=2,0.5,0)),0)</f>
        <v>3</v>
      </c>
      <c r="W42" s="62">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c r="X42" s="62">
        <f>ROUND(MAX(1,MIN(5,(6-VLOOKUP(E$4,Countries!$B$2:$AN$55,10,FALSE))*0.5+(6-VLOOKUP(E$4,Countries!$B$2:$AN$55,11,FALSE))*0.4+(IF(AND(Pathogens!N39&gt;=0.5,VLOOKUP(E$4,Countries!$B$2:$AN$55,5,FALSE)&lt;60),5,IF(Pathogens!N39&gt;=0.5,4,IF(Pathogens!N39&gt;=0.3,3,IF(Pathogens!N39&gt;=0.1,2,1)))))*0.1)),0)</f>
        <v>3</v>
      </c>
      <c r="Y42" s="62">
        <f>IF(ISNUMBER(SEARCH("Vaccine-preventable",Pathogens!C39)),2,IF(ISNUMBER(SEARCH("AMR",Pathogens!C39)),5,IF(ISNUMBER(SEARCH("VHF",Pathogens!C39)),4,IF(ISNUMBER(SEARCH("Emerging",Pathogens!C39)),5,IF(ISNUMBER(SEARCH("Mycobacterial",Pathogens!C39)),3,IF(ISNUMBER(SEARCH("Helminth",Pathogens!C39)),3,IF(ISNUMBER(SEARCH("Respiratory",Pathogens!C39)),4,3)))))))</f>
        <v>3</v>
      </c>
      <c r="Z42" s="62">
        <f>IF(ISNUMBER(SEARCH("AMR",Pathogens!C39)),5,IF(ISNUMBER(SEARCH("Mycobacterial",Pathogens!C39)),4,IF(ISNUMBER(SEARCH("Enteric bacterial",Pathogens!C39)),3,IF(ISNUMBER(SEARCH("Bacterial",Pathogens!C39)),3,1))))</f>
        <v>3</v>
      </c>
      <c r="AA4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2" s="62">
        <f>(6-Pathogens!X39)</f>
        <v>5</v>
      </c>
      <c r="AC42" s="62">
        <f>ROUND(MIN(5,MAX(1,0.35*IF(Pathogens!R39=1,5,IF(Pathogens!R39=2,3,1))+0.2*IF(Pathogens!S39=1,5,IF(Pathogens!S39=2,3,1))+0.25*IF(Pathogens!W39=1,IF(VLOOKUP(E$4,Countries!$B$2:$AN$55,38,FALSE)&gt;=3,5,IF(VLOOKUP(E$4,Countries!$B$2:$AN$55,38,FALSE)=2,4,IF(VLOOKUP(E$4,Countries!$B$2:$AN$55,38,FALSE)=1,2,1))),5)+0.2*IF(VLOOKUP(E$4,Countries!$B$2:$AN$55,24,FALSE)&gt;=50,5,IF(VLOOKUP(E$4,Countries!$B$2:$AN$55,24,FALSE)&gt;=25,4,IF(VLOOKUP(E$4,Countries!$B$2:$AN$55,24,FALSE)&gt;=10,3,IF(VLOOKUP(E$4,Countries!$B$2:$AN$55,24,FALSE)&gt;=5,2,1)))))),0)</f>
        <v>4</v>
      </c>
      <c r="AD42" s="62" t="str">
        <f>IFERROR(INDEX(Endemicity!$C$2:$BN$55,MATCH(E$4,Endemicity!$B$2:$B$55,0),MATCH($A42,Endemicity!$C$1:$BN$1,0)),"Sporadic")</f>
        <v>Sporadic</v>
      </c>
      <c r="AE42" s="62">
        <f>IF(Settings!$B$48="ON",IFERROR(MATCH($AD42,Settings!$B$35:$F$35,0),5),5)</f>
        <v>2</v>
      </c>
      <c r="AF42" s="62">
        <f>ROUND(MIN(5,IF(Pathogens!I39&gt;=500,5,IF(Pathogens!I39&gt;=200,4,IF(Pathogens!I39&gt;=50,3,IF(Pathogens!I39&gt;=10,2,1))))*0.5+IF(Pathogens!J39&gt;=30,5,IF(Pathogens!J39&gt;=10,4,IF(Pathogens!J39&gt;=3,3,IF(Pathogens!J39&gt;=1,2,1))))*0.4+IF(AND(VLOOKUP(F$4,Countries!$B$2:$AN$55,4,FALSE)&gt;=80,Pathogens!N39&gt;=0.5),1,0)*0.1+IF(VLOOKUP(F$4,Countries!$B$2:$AN$55,7,FALSE)&lt;50,0.3,0)),0)</f>
        <v>2</v>
      </c>
      <c r="AG42" s="62">
        <f>ROUND(MIN(5,IF(Pathogens!K39&gt;=8,5,IF(Pathogens!K39&gt;=5,4,IF(Pathogens!K39&gt;=3,3,IF(Pathogens!K39&gt;=1,2,1))))*0.5+IF(Pathogens!L39&gt;=5,5,IF(Pathogens!L39&gt;=3,4,IF(Pathogens!L39&gt;=2,3,IF(Pathogens!L39&gt;=1.2,2,1))))*0.3+IF(Pathogens!M39=1,2,0)*0.2+IF(VLOOKUP(F$4,Countries!$B$2:$AN$55,12,FALSE)&gt;=2,0.5,0)),0)</f>
        <v>3</v>
      </c>
      <c r="AH42" s="62">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c r="AI42" s="62">
        <f>ROUND(MAX(1,MIN(5,(6-VLOOKUP(F$4,Countries!$B$2:$AN$55,10,FALSE))*0.5+(6-VLOOKUP(F$4,Countries!$B$2:$AN$55,11,FALSE))*0.4+(IF(AND(Pathogens!N39&gt;=0.5,VLOOKUP(F$4,Countries!$B$2:$AN$55,5,FALSE)&lt;60),5,IF(Pathogens!N39&gt;=0.5,4,IF(Pathogens!N39&gt;=0.3,3,IF(Pathogens!N39&gt;=0.1,2,1)))))*0.1)),0)</f>
        <v>2</v>
      </c>
      <c r="AJ42" s="62">
        <f>IF(ISNUMBER(SEARCH("Vaccine-preventable",Pathogens!C39)),2,IF(ISNUMBER(SEARCH("AMR",Pathogens!C39)),5,IF(ISNUMBER(SEARCH("VHF",Pathogens!C39)),4,IF(ISNUMBER(SEARCH("Emerging",Pathogens!C39)),5,IF(ISNUMBER(SEARCH("Mycobacterial",Pathogens!C39)),3,IF(ISNUMBER(SEARCH("Helminth",Pathogens!C39)),3,IF(ISNUMBER(SEARCH("Respiratory",Pathogens!C39)),4,3)))))))</f>
        <v>3</v>
      </c>
      <c r="AK42" s="62">
        <f>IF(ISNUMBER(SEARCH("AMR",Pathogens!C39)),5,IF(ISNUMBER(SEARCH("Mycobacterial",Pathogens!C39)),4,IF(ISNUMBER(SEARCH("Enteric bacterial",Pathogens!C39)),3,IF(ISNUMBER(SEARCH("Bacterial",Pathogens!C39)),3,1))))</f>
        <v>3</v>
      </c>
      <c r="AL4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2" s="62">
        <f>(6-Pathogens!X39)</f>
        <v>5</v>
      </c>
      <c r="AN42" s="62">
        <f>ROUND(MIN(5,MAX(1,0.35*IF(Pathogens!R39=1,5,IF(Pathogens!R39=2,3,1))+0.2*IF(Pathogens!S39=1,5,IF(Pathogens!S39=2,3,1))+0.25*IF(Pathogens!W39=1,IF(VLOOKUP(F$4,Countries!$B$2:$AN$55,38,FALSE)&gt;=3,5,IF(VLOOKUP(F$4,Countries!$B$2:$AN$55,38,FALSE)=2,4,IF(VLOOKUP(F$4,Countries!$B$2:$AN$55,38,FALSE)=1,2,1))),5)+0.2*IF(VLOOKUP(F$4,Countries!$B$2:$AN$55,24,FALSE)&gt;=50,5,IF(VLOOKUP(F$4,Countries!$B$2:$AN$55,24,FALSE)&gt;=25,4,IF(VLOOKUP(F$4,Countries!$B$2:$AN$55,24,FALSE)&gt;=10,3,IF(VLOOKUP(F$4,Countries!$B$2:$AN$55,24,FALSE)&gt;=5,2,1)))))),0)</f>
        <v>4</v>
      </c>
      <c r="AO42" s="62" t="str">
        <f>IFERROR(INDEX(Endemicity!$C$2:$BN$55,MATCH(F$4,Endemicity!$B$2:$B$55,0),MATCH($A42,Endemicity!$C$1:$BN$1,0)),"Sporadic")</f>
        <v>Sporadic</v>
      </c>
      <c r="AP42" s="62">
        <f>IF(Settings!$B$48="ON",IFERROR(MATCH($AO42,Settings!$B$35:$F$35,0),5),5)</f>
        <v>2</v>
      </c>
      <c r="AQ42" s="62">
        <f>ROUND(MIN(5,IF(Pathogens!I39&gt;=500,5,IF(Pathogens!I39&gt;=200,4,IF(Pathogens!I39&gt;=50,3,IF(Pathogens!I39&gt;=10,2,1))))*0.5+IF(Pathogens!J39&gt;=30,5,IF(Pathogens!J39&gt;=10,4,IF(Pathogens!J39&gt;=3,3,IF(Pathogens!J39&gt;=1,2,1))))*0.4+IF(AND(VLOOKUP(G$4,Countries!$B$2:$AN$55,4,FALSE)&gt;=80,Pathogens!N39&gt;=0.5),1,0)*0.1+IF(VLOOKUP(G$4,Countries!$B$2:$AN$55,7,FALSE)&lt;50,0.3,0)),0)</f>
        <v>2</v>
      </c>
      <c r="AR42" s="62">
        <f>ROUND(MIN(5,IF(Pathogens!K39&gt;=8,5,IF(Pathogens!K39&gt;=5,4,IF(Pathogens!K39&gt;=3,3,IF(Pathogens!K39&gt;=1,2,1))))*0.5+IF(Pathogens!L39&gt;=5,5,IF(Pathogens!L39&gt;=3,4,IF(Pathogens!L39&gt;=2,3,IF(Pathogens!L39&gt;=1.2,2,1))))*0.3+IF(Pathogens!M39=1,2,0)*0.2+IF(VLOOKUP(G$4,Countries!$B$2:$AN$55,12,FALSE)&gt;=2,0.5,0)),0)</f>
        <v>3</v>
      </c>
      <c r="AS42" s="62">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c r="AT42" s="62">
        <f>ROUND(MAX(1,MIN(5,(6-VLOOKUP(G$4,Countries!$B$2:$AN$55,10,FALSE))*0.5+(6-VLOOKUP(G$4,Countries!$B$2:$AN$55,11,FALSE))*0.4+(IF(AND(Pathogens!N39&gt;=0.5,VLOOKUP(G$4,Countries!$B$2:$AN$55,5,FALSE)&lt;60),5,IF(Pathogens!N39&gt;=0.5,4,IF(Pathogens!N39&gt;=0.3,3,IF(Pathogens!N39&gt;=0.1,2,1)))))*0.1)),0)</f>
        <v>2</v>
      </c>
      <c r="AU42" s="62">
        <f>IF(ISNUMBER(SEARCH("Vaccine-preventable",Pathogens!C39)),2,IF(ISNUMBER(SEARCH("AMR",Pathogens!C39)),5,IF(ISNUMBER(SEARCH("VHF",Pathogens!C39)),4,IF(ISNUMBER(SEARCH("Emerging",Pathogens!C39)),5,IF(ISNUMBER(SEARCH("Mycobacterial",Pathogens!C39)),3,IF(ISNUMBER(SEARCH("Helminth",Pathogens!C39)),3,IF(ISNUMBER(SEARCH("Respiratory",Pathogens!C39)),4,3)))))))</f>
        <v>3</v>
      </c>
      <c r="AV42" s="62">
        <f>IF(ISNUMBER(SEARCH("AMR",Pathogens!C39)),5,IF(ISNUMBER(SEARCH("Mycobacterial",Pathogens!C39)),4,IF(ISNUMBER(SEARCH("Enteric bacterial",Pathogens!C39)),3,IF(ISNUMBER(SEARCH("Bacterial",Pathogens!C39)),3,1))))</f>
        <v>3</v>
      </c>
      <c r="AW4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2" s="62">
        <f>(6-Pathogens!X39)</f>
        <v>5</v>
      </c>
      <c r="AY42" s="62">
        <f>ROUND(MIN(5,MAX(1,0.35*IF(Pathogens!R39=1,5,IF(Pathogens!R39=2,3,1))+0.2*IF(Pathogens!S39=1,5,IF(Pathogens!S39=2,3,1))+0.25*IF(Pathogens!W39=1,IF(VLOOKUP(G$4,Countries!$B$2:$AN$55,38,FALSE)&gt;=3,5,IF(VLOOKUP(G$4,Countries!$B$2:$AN$55,38,FALSE)=2,4,IF(VLOOKUP(G$4,Countries!$B$2:$AN$55,38,FALSE)=1,2,1))),5)+0.2*IF(VLOOKUP(G$4,Countries!$B$2:$AN$55,24,FALSE)&gt;=50,5,IF(VLOOKUP(G$4,Countries!$B$2:$AN$55,24,FALSE)&gt;=25,4,IF(VLOOKUP(G$4,Countries!$B$2:$AN$55,24,FALSE)&gt;=10,3,IF(VLOOKUP(G$4,Countries!$B$2:$AN$55,24,FALSE)&gt;=5,2,1)))))),0)</f>
        <v>4</v>
      </c>
      <c r="AZ42" s="62" t="str">
        <f>IFERROR(INDEX(Endemicity!$C$2:$BN$55,MATCH(G$4,Endemicity!$B$2:$B$55,0),MATCH($A42,Endemicity!$C$1:$BN$1,0)),"Sporadic")</f>
        <v>Sporadic</v>
      </c>
      <c r="BA42" s="62">
        <f>IF(Settings!$B$48="ON",IFERROR(MATCH($AZ42,Settings!$B$35:$F$35,0),5),5)</f>
        <v>2</v>
      </c>
    </row>
    <row r="43" customHeight="1" spans="1:53">
      <c r="A43" s="61" t="str">
        <f>Calculator!A72</f>
        <v>CDIFF</v>
      </c>
      <c r="B43" s="61" t="str">
        <f>Calculator!B72</f>
        <v>Clostridioides difficile</v>
      </c>
      <c r="C43" s="61" t="str">
        <f>Calculator!C72</f>
        <v>Enteric bacterial</v>
      </c>
      <c r="D43" s="52">
        <f>IFERROR(ROUND(MIN(100,(($J43)*Settings!$C$23*INDEX(Settings!$B$36:$F$44,1,$T43)+($K43)*Settings!$C$24*INDEX(Settings!$B$36:$F$44,2,$T43)+($L43)*Settings!$C$25*INDEX(Settings!$B$36:$F$44,3,$T43)+($M43)*Settings!$C$26*INDEX(Settings!$B$36:$F$44,4,$T43)+($N43)*Settings!$C$27*INDEX(Settings!$B$36:$F$44,5,$T43)+($O43)*Settings!$C$28*INDEX(Settings!$B$36:$F$44,6,$T43)+($P43)*Settings!$C$29*INDEX(Settings!$B$36:$F$44,7,$T43)+($Q43)*Settings!$C$30*INDEX(Settings!$B$36:$F$44,8,$T43)+($R43)*Settings!$C$31*INDEX(Settings!$B$36:$F$44,9,$T43))/INDEX(Settings!$B$45:$F$45,1,$T43)/5*100*IF($S43="Not present",Settings!$B$51,1)),1),"")</f>
        <v>66.5</v>
      </c>
      <c r="E43" s="52">
        <f>IFERROR(ROUND(MIN(100,(($U43)*Settings!$C$23*INDEX(Settings!$B$36:$F$44,1,$AE43)+($V43)*Settings!$C$24*INDEX(Settings!$B$36:$F$44,2,$AE43)+($W43)*Settings!$C$25*INDEX(Settings!$B$36:$F$44,3,$AE43)+($X43)*Settings!$C$26*INDEX(Settings!$B$36:$F$44,4,$AE43)+($Y43)*Settings!$C$27*INDEX(Settings!$B$36:$F$44,5,$AE43)+($Z43)*Settings!$C$28*INDEX(Settings!$B$36:$F$44,6,$AE43)+($AA43)*Settings!$C$29*INDEX(Settings!$B$36:$F$44,7,$AE43)+($AB43)*Settings!$C$30*INDEX(Settings!$B$36:$F$44,8,$AE43)+($AC43)*Settings!$C$31*INDEX(Settings!$B$36:$F$44,9,$AE43))/INDEX(Settings!$B$45:$F$45,1,$AE43)/5*100*IF($AD43="Not present",Settings!$B$51,1)),1),"")</f>
        <v>71.5</v>
      </c>
      <c r="F43" s="52">
        <f>IFERROR(ROUND(MIN(100,(($AF43)*Settings!$C$23*INDEX(Settings!$B$36:$F$44,1,$AP43)+($AG43)*Settings!$C$24*INDEX(Settings!$B$36:$F$44,2,$AP43)+($AH43)*Settings!$C$25*INDEX(Settings!$B$36:$F$44,3,$AP43)+($AI43)*Settings!$C$26*INDEX(Settings!$B$36:$F$44,4,$AP43)+($AJ43)*Settings!$C$27*INDEX(Settings!$B$36:$F$44,5,$AP43)+($AK43)*Settings!$C$28*INDEX(Settings!$B$36:$F$44,6,$AP43)+($AL43)*Settings!$C$29*INDEX(Settings!$B$36:$F$44,7,$AP43)+($AM43)*Settings!$C$30*INDEX(Settings!$B$36:$F$44,8,$AP43)+($AN43)*Settings!$C$31*INDEX(Settings!$B$36:$F$44,9,$AP43))/INDEX(Settings!$B$45:$F$45,1,$AP43)/5*100*IF($AO43="Not present",Settings!$B$51,1)),1),"")</f>
        <v>66.5</v>
      </c>
      <c r="G43" s="52">
        <f>IFERROR(ROUND(MIN(100,(($AQ43)*Settings!$C$23*INDEX(Settings!$B$36:$F$44,1,$BA43)+($AR43)*Settings!$C$24*INDEX(Settings!$B$36:$F$44,2,$BA43)+($AS43)*Settings!$C$25*INDEX(Settings!$B$36:$F$44,3,$BA43)+($AT43)*Settings!$C$26*INDEX(Settings!$B$36:$F$44,4,$BA43)+($AU43)*Settings!$C$27*INDEX(Settings!$B$36:$F$44,5,$BA43)+($AV43)*Settings!$C$28*INDEX(Settings!$B$36:$F$44,6,$BA43)+($AW43)*Settings!$C$29*INDEX(Settings!$B$36:$F$44,7,$BA43)+($AX43)*Settings!$C$30*INDEX(Settings!$B$36:$F$44,8,$BA43)+($AY43)*Settings!$C$31*INDEX(Settings!$B$36:$F$44,9,$BA43))/INDEX(Settings!$B$45:$F$45,1,$BA43)/5*100*IF($AZ43="Not present",Settings!$B$51,1)),1),"")</f>
        <v>67.8</v>
      </c>
      <c r="J43" s="62">
        <f>ROUND(MIN(5,IF(Pathogens!I40&gt;=500,5,IF(Pathogens!I40&gt;=200,4,IF(Pathogens!I40&gt;=50,3,IF(Pathogens!I40&gt;=10,2,1))))*0.5+IF(Pathogens!J40&gt;=30,5,IF(Pathogens!J40&gt;=10,4,IF(Pathogens!J40&gt;=3,3,IF(Pathogens!J40&gt;=1,2,1))))*0.4+IF(AND(VLOOKUP(D$4,Countries!$B$2:$AN$55,4,FALSE)&gt;=80,Pathogens!N40&gt;=0.5),1,0)*0.1+IF(VLOOKUP(D$4,Countries!$B$2:$AN$55,7,FALSE)&lt;50,0.3,0)),0)</f>
        <v>3</v>
      </c>
      <c r="K43" s="62">
        <f>ROUND(MIN(5,IF(Pathogens!K40&gt;=8,5,IF(Pathogens!K40&gt;=5,4,IF(Pathogens!K40&gt;=3,3,IF(Pathogens!K40&gt;=1,2,1))))*0.5+IF(Pathogens!L40&gt;=5,5,IF(Pathogens!L40&gt;=3,4,IF(Pathogens!L40&gt;=2,3,IF(Pathogens!L40&gt;=1.2,2,1))))*0.3+IF(Pathogens!M40=1,2,0)*0.2+IF(VLOOKUP(D$4,Countries!$B$2:$AN$55,12,FALSE)&gt;=2,0.5,0)),0)</f>
        <v>3</v>
      </c>
      <c r="L43" s="62">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c r="M43" s="62">
        <f>ROUND(MAX(1,MIN(5,(6-VLOOKUP(D$4,Countries!$B$2:$AN$55,10,FALSE))*0.5+(6-VLOOKUP(D$4,Countries!$B$2:$AN$55,11,FALSE))*0.4+(IF(AND(Pathogens!N40&gt;=0.5,VLOOKUP(D$4,Countries!$B$2:$AN$55,5,FALSE)&lt;60),5,IF(Pathogens!N40&gt;=0.5,4,IF(Pathogens!N40&gt;=0.3,3,IF(Pathogens!N40&gt;=0.1,2,1)))))*0.1)),0)</f>
        <v>2</v>
      </c>
      <c r="N43" s="62">
        <f>IF(ISNUMBER(SEARCH("Vaccine-preventable",Pathogens!C40)),2,IF(ISNUMBER(SEARCH("AMR",Pathogens!C40)),5,IF(ISNUMBER(SEARCH("VHF",Pathogens!C40)),4,IF(ISNUMBER(SEARCH("Emerging",Pathogens!C40)),5,IF(ISNUMBER(SEARCH("Mycobacterial",Pathogens!C40)),3,IF(ISNUMBER(SEARCH("Helminth",Pathogens!C40)),3,IF(ISNUMBER(SEARCH("Respiratory",Pathogens!C40)),4,3)))))))</f>
        <v>3</v>
      </c>
      <c r="O43" s="62">
        <f>IF(ISNUMBER(SEARCH("AMR",Pathogens!C40)),5,IF(ISNUMBER(SEARCH("Mycobacterial",Pathogens!C40)),4,IF(ISNUMBER(SEARCH("Enteric bacterial",Pathogens!C40)),3,IF(ISNUMBER(SEARCH("Bacterial",Pathogens!C40)),3,1))))</f>
        <v>3</v>
      </c>
      <c r="P4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3" s="62">
        <f>(6-Pathogens!X40)</f>
        <v>5</v>
      </c>
      <c r="R43" s="62">
        <f>ROUND(MIN(5,MAX(1,0.35*IF(Pathogens!R40=1,5,IF(Pathogens!R40=2,3,1))+0.2*IF(Pathogens!S40=1,5,IF(Pathogens!S40=2,3,1))+0.25*IF(Pathogens!W40=1,IF(VLOOKUP(D$4,Countries!$B$2:$AN$55,38,FALSE)&gt;=3,5,IF(VLOOKUP(D$4,Countries!$B$2:$AN$55,38,FALSE)=2,4,IF(VLOOKUP(D$4,Countries!$B$2:$AN$55,38,FALSE)=1,2,1))),5)+0.2*IF(VLOOKUP(D$4,Countries!$B$2:$AN$55,24,FALSE)&gt;=50,5,IF(VLOOKUP(D$4,Countries!$B$2:$AN$55,24,FALSE)&gt;=25,4,IF(VLOOKUP(D$4,Countries!$B$2:$AN$55,24,FALSE)&gt;=10,3,IF(VLOOKUP(D$4,Countries!$B$2:$AN$55,24,FALSE)&gt;=5,2,1)))))),0)</f>
        <v>4</v>
      </c>
      <c r="S43" s="62" t="str">
        <f>IFERROR(INDEX(Endemicity!$C$2:$BN$55,MATCH(D$4,Endemicity!$B$2:$B$55,0),MATCH($A43,Endemicity!$C$1:$BN$1,0)),"Sporadic")</f>
        <v>Sporadic</v>
      </c>
      <c r="T43" s="62">
        <f>IF(Settings!$B$48="ON",IFERROR(MATCH($S43,Settings!$B$35:$F$35,0),5),5)</f>
        <v>2</v>
      </c>
      <c r="U43" s="62">
        <f>ROUND(MIN(5,IF(Pathogens!I40&gt;=500,5,IF(Pathogens!I40&gt;=200,4,IF(Pathogens!I40&gt;=50,3,IF(Pathogens!I40&gt;=10,2,1))))*0.5+IF(Pathogens!J40&gt;=30,5,IF(Pathogens!J40&gt;=10,4,IF(Pathogens!J40&gt;=3,3,IF(Pathogens!J40&gt;=1,2,1))))*0.4+IF(AND(VLOOKUP(E$4,Countries!$B$2:$AN$55,4,FALSE)&gt;=80,Pathogens!N40&gt;=0.5),1,0)*0.1+IF(VLOOKUP(E$4,Countries!$B$2:$AN$55,7,FALSE)&lt;50,0.3,0)),0)</f>
        <v>3</v>
      </c>
      <c r="V43" s="62">
        <f>ROUND(MIN(5,IF(Pathogens!K40&gt;=8,5,IF(Pathogens!K40&gt;=5,4,IF(Pathogens!K40&gt;=3,3,IF(Pathogens!K40&gt;=1,2,1))))*0.5+IF(Pathogens!L40&gt;=5,5,IF(Pathogens!L40&gt;=3,4,IF(Pathogens!L40&gt;=2,3,IF(Pathogens!L40&gt;=1.2,2,1))))*0.3+IF(Pathogens!M40=1,2,0)*0.2+IF(VLOOKUP(E$4,Countries!$B$2:$AN$55,12,FALSE)&gt;=2,0.5,0)),0)</f>
        <v>3</v>
      </c>
      <c r="W43" s="62">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c r="X43" s="62">
        <f>ROUND(MAX(1,MIN(5,(6-VLOOKUP(E$4,Countries!$B$2:$AN$55,10,FALSE))*0.5+(6-VLOOKUP(E$4,Countries!$B$2:$AN$55,11,FALSE))*0.4+(IF(AND(Pathogens!N40&gt;=0.5,VLOOKUP(E$4,Countries!$B$2:$AN$55,5,FALSE)&lt;60),5,IF(Pathogens!N40&gt;=0.5,4,IF(Pathogens!N40&gt;=0.3,3,IF(Pathogens!N40&gt;=0.1,2,1)))))*0.1)),0)</f>
        <v>3</v>
      </c>
      <c r="Y43" s="62">
        <f>IF(ISNUMBER(SEARCH("Vaccine-preventable",Pathogens!C40)),2,IF(ISNUMBER(SEARCH("AMR",Pathogens!C40)),5,IF(ISNUMBER(SEARCH("VHF",Pathogens!C40)),4,IF(ISNUMBER(SEARCH("Emerging",Pathogens!C40)),5,IF(ISNUMBER(SEARCH("Mycobacterial",Pathogens!C40)),3,IF(ISNUMBER(SEARCH("Helminth",Pathogens!C40)),3,IF(ISNUMBER(SEARCH("Respiratory",Pathogens!C40)),4,3)))))))</f>
        <v>3</v>
      </c>
      <c r="Z43" s="62">
        <f>IF(ISNUMBER(SEARCH("AMR",Pathogens!C40)),5,IF(ISNUMBER(SEARCH("Mycobacterial",Pathogens!C40)),4,IF(ISNUMBER(SEARCH("Enteric bacterial",Pathogens!C40)),3,IF(ISNUMBER(SEARCH("Bacterial",Pathogens!C40)),3,1))))</f>
        <v>3</v>
      </c>
      <c r="AA4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3" s="62">
        <f>(6-Pathogens!X40)</f>
        <v>5</v>
      </c>
      <c r="AC43" s="62">
        <f>ROUND(MIN(5,MAX(1,0.35*IF(Pathogens!R40=1,5,IF(Pathogens!R40=2,3,1))+0.2*IF(Pathogens!S40=1,5,IF(Pathogens!S40=2,3,1))+0.25*IF(Pathogens!W40=1,IF(VLOOKUP(E$4,Countries!$B$2:$AN$55,38,FALSE)&gt;=3,5,IF(VLOOKUP(E$4,Countries!$B$2:$AN$55,38,FALSE)=2,4,IF(VLOOKUP(E$4,Countries!$B$2:$AN$55,38,FALSE)=1,2,1))),5)+0.2*IF(VLOOKUP(E$4,Countries!$B$2:$AN$55,24,FALSE)&gt;=50,5,IF(VLOOKUP(E$4,Countries!$B$2:$AN$55,24,FALSE)&gt;=25,4,IF(VLOOKUP(E$4,Countries!$B$2:$AN$55,24,FALSE)&gt;=10,3,IF(VLOOKUP(E$4,Countries!$B$2:$AN$55,24,FALSE)&gt;=5,2,1)))))),0)</f>
        <v>4</v>
      </c>
      <c r="AD43" s="62" t="str">
        <f>IFERROR(INDEX(Endemicity!$C$2:$BN$55,MATCH(E$4,Endemicity!$B$2:$B$55,0),MATCH($A43,Endemicity!$C$1:$BN$1,0)),"Sporadic")</f>
        <v>Sporadic</v>
      </c>
      <c r="AE43" s="62">
        <f>IF(Settings!$B$48="ON",IFERROR(MATCH($AD43,Settings!$B$35:$F$35,0),5),5)</f>
        <v>2</v>
      </c>
      <c r="AF43" s="62">
        <f>ROUND(MIN(5,IF(Pathogens!I40&gt;=500,5,IF(Pathogens!I40&gt;=200,4,IF(Pathogens!I40&gt;=50,3,IF(Pathogens!I40&gt;=10,2,1))))*0.5+IF(Pathogens!J40&gt;=30,5,IF(Pathogens!J40&gt;=10,4,IF(Pathogens!J40&gt;=3,3,IF(Pathogens!J40&gt;=1,2,1))))*0.4+IF(AND(VLOOKUP(F$4,Countries!$B$2:$AN$55,4,FALSE)&gt;=80,Pathogens!N40&gt;=0.5),1,0)*0.1+IF(VLOOKUP(F$4,Countries!$B$2:$AN$55,7,FALSE)&lt;50,0.3,0)),0)</f>
        <v>3</v>
      </c>
      <c r="AG43" s="62">
        <f>ROUND(MIN(5,IF(Pathogens!K40&gt;=8,5,IF(Pathogens!K40&gt;=5,4,IF(Pathogens!K40&gt;=3,3,IF(Pathogens!K40&gt;=1,2,1))))*0.5+IF(Pathogens!L40&gt;=5,5,IF(Pathogens!L40&gt;=3,4,IF(Pathogens!L40&gt;=2,3,IF(Pathogens!L40&gt;=1.2,2,1))))*0.3+IF(Pathogens!M40=1,2,0)*0.2+IF(VLOOKUP(F$4,Countries!$B$2:$AN$55,12,FALSE)&gt;=2,0.5,0)),0)</f>
        <v>3</v>
      </c>
      <c r="AH43" s="62">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c r="AI43" s="62">
        <f>ROUND(MAX(1,MIN(5,(6-VLOOKUP(F$4,Countries!$B$2:$AN$55,10,FALSE))*0.5+(6-VLOOKUP(F$4,Countries!$B$2:$AN$55,11,FALSE))*0.4+(IF(AND(Pathogens!N40&gt;=0.5,VLOOKUP(F$4,Countries!$B$2:$AN$55,5,FALSE)&lt;60),5,IF(Pathogens!N40&gt;=0.5,4,IF(Pathogens!N40&gt;=0.3,3,IF(Pathogens!N40&gt;=0.1,2,1)))))*0.1)),0)</f>
        <v>2</v>
      </c>
      <c r="AJ43" s="62">
        <f>IF(ISNUMBER(SEARCH("Vaccine-preventable",Pathogens!C40)),2,IF(ISNUMBER(SEARCH("AMR",Pathogens!C40)),5,IF(ISNUMBER(SEARCH("VHF",Pathogens!C40)),4,IF(ISNUMBER(SEARCH("Emerging",Pathogens!C40)),5,IF(ISNUMBER(SEARCH("Mycobacterial",Pathogens!C40)),3,IF(ISNUMBER(SEARCH("Helminth",Pathogens!C40)),3,IF(ISNUMBER(SEARCH("Respiratory",Pathogens!C40)),4,3)))))))</f>
        <v>3</v>
      </c>
      <c r="AK43" s="62">
        <f>IF(ISNUMBER(SEARCH("AMR",Pathogens!C40)),5,IF(ISNUMBER(SEARCH("Mycobacterial",Pathogens!C40)),4,IF(ISNUMBER(SEARCH("Enteric bacterial",Pathogens!C40)),3,IF(ISNUMBER(SEARCH("Bacterial",Pathogens!C40)),3,1))))</f>
        <v>3</v>
      </c>
      <c r="AL4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3" s="62">
        <f>(6-Pathogens!X40)</f>
        <v>5</v>
      </c>
      <c r="AN43" s="62">
        <f>ROUND(MIN(5,MAX(1,0.35*IF(Pathogens!R40=1,5,IF(Pathogens!R40=2,3,1))+0.2*IF(Pathogens!S40=1,5,IF(Pathogens!S40=2,3,1))+0.25*IF(Pathogens!W40=1,IF(VLOOKUP(F$4,Countries!$B$2:$AN$55,38,FALSE)&gt;=3,5,IF(VLOOKUP(F$4,Countries!$B$2:$AN$55,38,FALSE)=2,4,IF(VLOOKUP(F$4,Countries!$B$2:$AN$55,38,FALSE)=1,2,1))),5)+0.2*IF(VLOOKUP(F$4,Countries!$B$2:$AN$55,24,FALSE)&gt;=50,5,IF(VLOOKUP(F$4,Countries!$B$2:$AN$55,24,FALSE)&gt;=25,4,IF(VLOOKUP(F$4,Countries!$B$2:$AN$55,24,FALSE)&gt;=10,3,IF(VLOOKUP(F$4,Countries!$B$2:$AN$55,24,FALSE)&gt;=5,2,1)))))),0)</f>
        <v>4</v>
      </c>
      <c r="AO43" s="62" t="str">
        <f>IFERROR(INDEX(Endemicity!$C$2:$BN$55,MATCH(F$4,Endemicity!$B$2:$B$55,0),MATCH($A43,Endemicity!$C$1:$BN$1,0)),"Sporadic")</f>
        <v>Sporadic</v>
      </c>
      <c r="AP43" s="62">
        <f>IF(Settings!$B$48="ON",IFERROR(MATCH($AO43,Settings!$B$35:$F$35,0),5),5)</f>
        <v>2</v>
      </c>
      <c r="AQ43" s="62">
        <f>ROUND(MIN(5,IF(Pathogens!I40&gt;=500,5,IF(Pathogens!I40&gt;=200,4,IF(Pathogens!I40&gt;=50,3,IF(Pathogens!I40&gt;=10,2,1))))*0.5+IF(Pathogens!J40&gt;=30,5,IF(Pathogens!J40&gt;=10,4,IF(Pathogens!J40&gt;=3,3,IF(Pathogens!J40&gt;=1,2,1))))*0.4+IF(AND(VLOOKUP(G$4,Countries!$B$2:$AN$55,4,FALSE)&gt;=80,Pathogens!N40&gt;=0.5),1,0)*0.1+IF(VLOOKUP(G$4,Countries!$B$2:$AN$55,7,FALSE)&lt;50,0.3,0)),0)</f>
        <v>3</v>
      </c>
      <c r="AR43" s="62">
        <f>ROUND(MIN(5,IF(Pathogens!K40&gt;=8,5,IF(Pathogens!K40&gt;=5,4,IF(Pathogens!K40&gt;=3,3,IF(Pathogens!K40&gt;=1,2,1))))*0.5+IF(Pathogens!L40&gt;=5,5,IF(Pathogens!L40&gt;=3,4,IF(Pathogens!L40&gt;=2,3,IF(Pathogens!L40&gt;=1.2,2,1))))*0.3+IF(Pathogens!M40=1,2,0)*0.2+IF(VLOOKUP(G$4,Countries!$B$2:$AN$55,12,FALSE)&gt;=2,0.5,0)),0)</f>
        <v>3</v>
      </c>
      <c r="AS43" s="62">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c r="AT43" s="62">
        <f>ROUND(MAX(1,MIN(5,(6-VLOOKUP(G$4,Countries!$B$2:$AN$55,10,FALSE))*0.5+(6-VLOOKUP(G$4,Countries!$B$2:$AN$55,11,FALSE))*0.4+(IF(AND(Pathogens!N40&gt;=0.5,VLOOKUP(G$4,Countries!$B$2:$AN$55,5,FALSE)&lt;60),5,IF(Pathogens!N40&gt;=0.5,4,IF(Pathogens!N40&gt;=0.3,3,IF(Pathogens!N40&gt;=0.1,2,1)))))*0.1)),0)</f>
        <v>2</v>
      </c>
      <c r="AU43" s="62">
        <f>IF(ISNUMBER(SEARCH("Vaccine-preventable",Pathogens!C40)),2,IF(ISNUMBER(SEARCH("AMR",Pathogens!C40)),5,IF(ISNUMBER(SEARCH("VHF",Pathogens!C40)),4,IF(ISNUMBER(SEARCH("Emerging",Pathogens!C40)),5,IF(ISNUMBER(SEARCH("Mycobacterial",Pathogens!C40)),3,IF(ISNUMBER(SEARCH("Helminth",Pathogens!C40)),3,IF(ISNUMBER(SEARCH("Respiratory",Pathogens!C40)),4,3)))))))</f>
        <v>3</v>
      </c>
      <c r="AV43" s="62">
        <f>IF(ISNUMBER(SEARCH("AMR",Pathogens!C40)),5,IF(ISNUMBER(SEARCH("Mycobacterial",Pathogens!C40)),4,IF(ISNUMBER(SEARCH("Enteric bacterial",Pathogens!C40)),3,IF(ISNUMBER(SEARCH("Bacterial",Pathogens!C40)),3,1))))</f>
        <v>3</v>
      </c>
      <c r="AW4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3" s="62">
        <f>(6-Pathogens!X40)</f>
        <v>5</v>
      </c>
      <c r="AY43" s="62">
        <f>ROUND(MIN(5,MAX(1,0.35*IF(Pathogens!R40=1,5,IF(Pathogens!R40=2,3,1))+0.2*IF(Pathogens!S40=1,5,IF(Pathogens!S40=2,3,1))+0.25*IF(Pathogens!W40=1,IF(VLOOKUP(G$4,Countries!$B$2:$AN$55,38,FALSE)&gt;=3,5,IF(VLOOKUP(G$4,Countries!$B$2:$AN$55,38,FALSE)=2,4,IF(VLOOKUP(G$4,Countries!$B$2:$AN$55,38,FALSE)=1,2,1))),5)+0.2*IF(VLOOKUP(G$4,Countries!$B$2:$AN$55,24,FALSE)&gt;=50,5,IF(VLOOKUP(G$4,Countries!$B$2:$AN$55,24,FALSE)&gt;=25,4,IF(VLOOKUP(G$4,Countries!$B$2:$AN$55,24,FALSE)&gt;=10,3,IF(VLOOKUP(G$4,Countries!$B$2:$AN$55,24,FALSE)&gt;=5,2,1)))))),0)</f>
        <v>4</v>
      </c>
      <c r="AZ43" s="62" t="str">
        <f>IFERROR(INDEX(Endemicity!$C$2:$BN$55,MATCH(G$4,Endemicity!$B$2:$B$55,0),MATCH($A43,Endemicity!$C$1:$BN$1,0)),"Sporadic")</f>
        <v>Sporadic</v>
      </c>
      <c r="BA43" s="62">
        <f>IF(Settings!$B$48="ON",IFERROR(MATCH($AZ43,Settings!$B$35:$F$35,0),5),5)</f>
        <v>2</v>
      </c>
    </row>
    <row r="44" customHeight="1" spans="1:53">
      <c r="A44" s="61" t="str">
        <f>Calculator!A73</f>
        <v>LEPTO</v>
      </c>
      <c r="B44" s="61" t="str">
        <f>Calculator!B73</f>
        <v>Leptospira spp.</v>
      </c>
      <c r="C44" s="61" t="str">
        <f>Calculator!C73</f>
        <v>Bacterial zoonotic</v>
      </c>
      <c r="D44" s="52">
        <f>IFERROR(ROUND(MIN(100,(($J44)*Settings!$C$23*INDEX(Settings!$B$36:$F$44,1,$T44)+($K44)*Settings!$C$24*INDEX(Settings!$B$36:$F$44,2,$T44)+($L44)*Settings!$C$25*INDEX(Settings!$B$36:$F$44,3,$T44)+($M44)*Settings!$C$26*INDEX(Settings!$B$36:$F$44,4,$T44)+($N44)*Settings!$C$27*INDEX(Settings!$B$36:$F$44,5,$T44)+($O44)*Settings!$C$28*INDEX(Settings!$B$36:$F$44,6,$T44)+($P44)*Settings!$C$29*INDEX(Settings!$B$36:$F$44,7,$T44)+($Q44)*Settings!$C$30*INDEX(Settings!$B$36:$F$44,8,$T44)+($R44)*Settings!$C$31*INDEX(Settings!$B$36:$F$44,9,$T44))/INDEX(Settings!$B$45:$F$45,1,$T44)/5*100*IF($S44="Not present",Settings!$B$51,1)),1),"")</f>
        <v>68.1</v>
      </c>
      <c r="E44" s="52">
        <f>IFERROR(ROUND(MIN(100,(($U44)*Settings!$C$23*INDEX(Settings!$B$36:$F$44,1,$AE44)+($V44)*Settings!$C$24*INDEX(Settings!$B$36:$F$44,2,$AE44)+($W44)*Settings!$C$25*INDEX(Settings!$B$36:$F$44,3,$AE44)+($X44)*Settings!$C$26*INDEX(Settings!$B$36:$F$44,4,$AE44)+($Y44)*Settings!$C$27*INDEX(Settings!$B$36:$F$44,5,$AE44)+($Z44)*Settings!$C$28*INDEX(Settings!$B$36:$F$44,6,$AE44)+($AA44)*Settings!$C$29*INDEX(Settings!$B$36:$F$44,7,$AE44)+($AB44)*Settings!$C$30*INDEX(Settings!$B$36:$F$44,8,$AE44)+($AC44)*Settings!$C$31*INDEX(Settings!$B$36:$F$44,9,$AE44))/INDEX(Settings!$B$45:$F$45,1,$AE44)/5*100*IF($AD44="Not present",Settings!$B$51,1)),1),"")</f>
        <v>73.6</v>
      </c>
      <c r="F44" s="52">
        <f>IFERROR(ROUND(MIN(100,(($AF44)*Settings!$C$23*INDEX(Settings!$B$36:$F$44,1,$AP44)+($AG44)*Settings!$C$24*INDEX(Settings!$B$36:$F$44,2,$AP44)+($AH44)*Settings!$C$25*INDEX(Settings!$B$36:$F$44,3,$AP44)+($AI44)*Settings!$C$26*INDEX(Settings!$B$36:$F$44,4,$AP44)+($AJ44)*Settings!$C$27*INDEX(Settings!$B$36:$F$44,5,$AP44)+($AK44)*Settings!$C$28*INDEX(Settings!$B$36:$F$44,6,$AP44)+($AL44)*Settings!$C$29*INDEX(Settings!$B$36:$F$44,7,$AP44)+($AM44)*Settings!$C$30*INDEX(Settings!$B$36:$F$44,8,$AP44)+($AN44)*Settings!$C$31*INDEX(Settings!$B$36:$F$44,9,$AP44))/INDEX(Settings!$B$45:$F$45,1,$AP44)/5*100*IF($AO44="Not present",Settings!$B$51,1)),1),"")</f>
        <v>68.1</v>
      </c>
      <c r="G44" s="52">
        <f>IFERROR(ROUND(MIN(100,(($AQ44)*Settings!$C$23*INDEX(Settings!$B$36:$F$44,1,$BA44)+($AR44)*Settings!$C$24*INDEX(Settings!$B$36:$F$44,2,$BA44)+($AS44)*Settings!$C$25*INDEX(Settings!$B$36:$F$44,3,$BA44)+($AT44)*Settings!$C$26*INDEX(Settings!$B$36:$F$44,4,$BA44)+($AU44)*Settings!$C$27*INDEX(Settings!$B$36:$F$44,5,$BA44)+($AV44)*Settings!$C$28*INDEX(Settings!$B$36:$F$44,6,$BA44)+($AW44)*Settings!$C$29*INDEX(Settings!$B$36:$F$44,7,$BA44)+($AX44)*Settings!$C$30*INDEX(Settings!$B$36:$F$44,8,$BA44)+($AY44)*Settings!$C$31*INDEX(Settings!$B$36:$F$44,9,$BA44))/INDEX(Settings!$B$45:$F$45,1,$BA44)/5*100*IF($AZ44="Not present",Settings!$B$51,1)),1),"")</f>
        <v>69.9</v>
      </c>
      <c r="J44" s="62">
        <f>ROUND(MIN(5,IF(Pathogens!I41&gt;=500,5,IF(Pathogens!I41&gt;=200,4,IF(Pathogens!I41&gt;=50,3,IF(Pathogens!I41&gt;=10,2,1))))*0.5+IF(Pathogens!J41&gt;=30,5,IF(Pathogens!J41&gt;=10,4,IF(Pathogens!J41&gt;=3,3,IF(Pathogens!J41&gt;=1,2,1))))*0.4+IF(AND(VLOOKUP(D$4,Countries!$B$2:$AN$55,4,FALSE)&gt;=80,Pathogens!N41&gt;=0.5),1,0)*0.1+IF(VLOOKUP(D$4,Countries!$B$2:$AN$55,7,FALSE)&lt;50,0.3,0)),0)</f>
        <v>3</v>
      </c>
      <c r="K44" s="62">
        <f>ROUND(MIN(5,IF(Pathogens!K41&gt;=8,5,IF(Pathogens!K41&gt;=5,4,IF(Pathogens!K41&gt;=3,3,IF(Pathogens!K41&gt;=1,2,1))))*0.5+IF(Pathogens!L41&gt;=5,5,IF(Pathogens!L41&gt;=3,4,IF(Pathogens!L41&gt;=2,3,IF(Pathogens!L41&gt;=1.2,2,1))))*0.3+IF(Pathogens!M41=1,2,0)*0.2+IF(VLOOKUP(D$4,Countries!$B$2:$AN$55,12,FALSE)&gt;=2,0.5,0)),0)</f>
        <v>3</v>
      </c>
      <c r="L44" s="62">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c r="M44" s="62">
        <f>ROUND(MAX(1,MIN(5,(6-VLOOKUP(D$4,Countries!$B$2:$AN$55,10,FALSE))*0.5+(6-VLOOKUP(D$4,Countries!$B$2:$AN$55,11,FALSE))*0.4+(IF(AND(Pathogens!N41&gt;=0.5,VLOOKUP(D$4,Countries!$B$2:$AN$55,5,FALSE)&lt;60),5,IF(Pathogens!N41&gt;=0.5,4,IF(Pathogens!N41&gt;=0.3,3,IF(Pathogens!N41&gt;=0.1,2,1)))))*0.1)),0)</f>
        <v>2</v>
      </c>
      <c r="N44" s="62">
        <f>IF(ISNUMBER(SEARCH("Vaccine-preventable",Pathogens!C41)),2,IF(ISNUMBER(SEARCH("AMR",Pathogens!C41)),5,IF(ISNUMBER(SEARCH("VHF",Pathogens!C41)),4,IF(ISNUMBER(SEARCH("Emerging",Pathogens!C41)),5,IF(ISNUMBER(SEARCH("Mycobacterial",Pathogens!C41)),3,IF(ISNUMBER(SEARCH("Helminth",Pathogens!C41)),3,IF(ISNUMBER(SEARCH("Respiratory",Pathogens!C41)),4,3)))))))</f>
        <v>3</v>
      </c>
      <c r="O44" s="62">
        <f>IF(ISNUMBER(SEARCH("AMR",Pathogens!C41)),5,IF(ISNUMBER(SEARCH("Mycobacterial",Pathogens!C41)),4,IF(ISNUMBER(SEARCH("Enteric bacterial",Pathogens!C41)),3,IF(ISNUMBER(SEARCH("Bacterial",Pathogens!C41)),3,1))))</f>
        <v>3</v>
      </c>
      <c r="P4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4" s="62">
        <f>(6-Pathogens!X41)</f>
        <v>4</v>
      </c>
      <c r="R44" s="62">
        <f>ROUND(MIN(5,MAX(1,0.35*IF(Pathogens!R41=1,5,IF(Pathogens!R41=2,3,1))+0.2*IF(Pathogens!S41=1,5,IF(Pathogens!S41=2,3,1))+0.25*IF(Pathogens!W41=1,IF(VLOOKUP(D$4,Countries!$B$2:$AN$55,38,FALSE)&gt;=3,5,IF(VLOOKUP(D$4,Countries!$B$2:$AN$55,38,FALSE)=2,4,IF(VLOOKUP(D$4,Countries!$B$2:$AN$55,38,FALSE)=1,2,1))),5)+0.2*IF(VLOOKUP(D$4,Countries!$B$2:$AN$55,24,FALSE)&gt;=50,5,IF(VLOOKUP(D$4,Countries!$B$2:$AN$55,24,FALSE)&gt;=25,4,IF(VLOOKUP(D$4,Countries!$B$2:$AN$55,24,FALSE)&gt;=10,3,IF(VLOOKUP(D$4,Countries!$B$2:$AN$55,24,FALSE)&gt;=5,2,1)))))),0)</f>
        <v>4</v>
      </c>
      <c r="S44" s="62" t="str">
        <f>IFERROR(INDEX(Endemicity!$C$2:$BN$55,MATCH(D$4,Endemicity!$B$2:$B$55,0),MATCH($A44,Endemicity!$C$1:$BN$1,0)),"Sporadic")</f>
        <v>Endemic</v>
      </c>
      <c r="T44" s="62">
        <f>IF(Settings!$B$48="ON",IFERROR(MATCH($S44,Settings!$B$35:$F$35,0),5),5)</f>
        <v>1</v>
      </c>
      <c r="U44" s="62">
        <f>ROUND(MIN(5,IF(Pathogens!I41&gt;=500,5,IF(Pathogens!I41&gt;=200,4,IF(Pathogens!I41&gt;=50,3,IF(Pathogens!I41&gt;=10,2,1))))*0.5+IF(Pathogens!J41&gt;=30,5,IF(Pathogens!J41&gt;=10,4,IF(Pathogens!J41&gt;=3,3,IF(Pathogens!J41&gt;=1,2,1))))*0.4+IF(AND(VLOOKUP(E$4,Countries!$B$2:$AN$55,4,FALSE)&gt;=80,Pathogens!N41&gt;=0.5),1,0)*0.1+IF(VLOOKUP(E$4,Countries!$B$2:$AN$55,7,FALSE)&lt;50,0.3,0)),0)</f>
        <v>3</v>
      </c>
      <c r="V44" s="62">
        <f>ROUND(MIN(5,IF(Pathogens!K41&gt;=8,5,IF(Pathogens!K41&gt;=5,4,IF(Pathogens!K41&gt;=3,3,IF(Pathogens!K41&gt;=1,2,1))))*0.5+IF(Pathogens!L41&gt;=5,5,IF(Pathogens!L41&gt;=3,4,IF(Pathogens!L41&gt;=2,3,IF(Pathogens!L41&gt;=1.2,2,1))))*0.3+IF(Pathogens!M41=1,2,0)*0.2+IF(VLOOKUP(E$4,Countries!$B$2:$AN$55,12,FALSE)&gt;=2,0.5,0)),0)</f>
        <v>3</v>
      </c>
      <c r="W44" s="62">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c r="X44" s="62">
        <f>ROUND(MAX(1,MIN(5,(6-VLOOKUP(E$4,Countries!$B$2:$AN$55,10,FALSE))*0.5+(6-VLOOKUP(E$4,Countries!$B$2:$AN$55,11,FALSE))*0.4+(IF(AND(Pathogens!N41&gt;=0.5,VLOOKUP(E$4,Countries!$B$2:$AN$55,5,FALSE)&lt;60),5,IF(Pathogens!N41&gt;=0.5,4,IF(Pathogens!N41&gt;=0.3,3,IF(Pathogens!N41&gt;=0.1,2,1)))))*0.1)),0)</f>
        <v>3</v>
      </c>
      <c r="Y44" s="62">
        <f>IF(ISNUMBER(SEARCH("Vaccine-preventable",Pathogens!C41)),2,IF(ISNUMBER(SEARCH("AMR",Pathogens!C41)),5,IF(ISNUMBER(SEARCH("VHF",Pathogens!C41)),4,IF(ISNUMBER(SEARCH("Emerging",Pathogens!C41)),5,IF(ISNUMBER(SEARCH("Mycobacterial",Pathogens!C41)),3,IF(ISNUMBER(SEARCH("Helminth",Pathogens!C41)),3,IF(ISNUMBER(SEARCH("Respiratory",Pathogens!C41)),4,3)))))))</f>
        <v>3</v>
      </c>
      <c r="Z44" s="62">
        <f>IF(ISNUMBER(SEARCH("AMR",Pathogens!C41)),5,IF(ISNUMBER(SEARCH("Mycobacterial",Pathogens!C41)),4,IF(ISNUMBER(SEARCH("Enteric bacterial",Pathogens!C41)),3,IF(ISNUMBER(SEARCH("Bacterial",Pathogens!C41)),3,1))))</f>
        <v>3</v>
      </c>
      <c r="AA4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4" s="62">
        <f>(6-Pathogens!X41)</f>
        <v>4</v>
      </c>
      <c r="AC44" s="62">
        <f>ROUND(MIN(5,MAX(1,0.35*IF(Pathogens!R41=1,5,IF(Pathogens!R41=2,3,1))+0.2*IF(Pathogens!S41=1,5,IF(Pathogens!S41=2,3,1))+0.25*IF(Pathogens!W41=1,IF(VLOOKUP(E$4,Countries!$B$2:$AN$55,38,FALSE)&gt;=3,5,IF(VLOOKUP(E$4,Countries!$B$2:$AN$55,38,FALSE)=2,4,IF(VLOOKUP(E$4,Countries!$B$2:$AN$55,38,FALSE)=1,2,1))),5)+0.2*IF(VLOOKUP(E$4,Countries!$B$2:$AN$55,24,FALSE)&gt;=50,5,IF(VLOOKUP(E$4,Countries!$B$2:$AN$55,24,FALSE)&gt;=25,4,IF(VLOOKUP(E$4,Countries!$B$2:$AN$55,24,FALSE)&gt;=10,3,IF(VLOOKUP(E$4,Countries!$B$2:$AN$55,24,FALSE)&gt;=5,2,1)))))),0)</f>
        <v>4</v>
      </c>
      <c r="AD44" s="62" t="str">
        <f>IFERROR(INDEX(Endemicity!$C$2:$BN$55,MATCH(E$4,Endemicity!$B$2:$B$55,0),MATCH($A44,Endemicity!$C$1:$BN$1,0)),"Sporadic")</f>
        <v>Endemic</v>
      </c>
      <c r="AE44" s="62">
        <f>IF(Settings!$B$48="ON",IFERROR(MATCH($AD44,Settings!$B$35:$F$35,0),5),5)</f>
        <v>1</v>
      </c>
      <c r="AF44" s="62">
        <f>ROUND(MIN(5,IF(Pathogens!I41&gt;=500,5,IF(Pathogens!I41&gt;=200,4,IF(Pathogens!I41&gt;=50,3,IF(Pathogens!I41&gt;=10,2,1))))*0.5+IF(Pathogens!J41&gt;=30,5,IF(Pathogens!J41&gt;=10,4,IF(Pathogens!J41&gt;=3,3,IF(Pathogens!J41&gt;=1,2,1))))*0.4+IF(AND(VLOOKUP(F$4,Countries!$B$2:$AN$55,4,FALSE)&gt;=80,Pathogens!N41&gt;=0.5),1,0)*0.1+IF(VLOOKUP(F$4,Countries!$B$2:$AN$55,7,FALSE)&lt;50,0.3,0)),0)</f>
        <v>3</v>
      </c>
      <c r="AG44" s="62">
        <f>ROUND(MIN(5,IF(Pathogens!K41&gt;=8,5,IF(Pathogens!K41&gt;=5,4,IF(Pathogens!K41&gt;=3,3,IF(Pathogens!K41&gt;=1,2,1))))*0.5+IF(Pathogens!L41&gt;=5,5,IF(Pathogens!L41&gt;=3,4,IF(Pathogens!L41&gt;=2,3,IF(Pathogens!L41&gt;=1.2,2,1))))*0.3+IF(Pathogens!M41=1,2,0)*0.2+IF(VLOOKUP(F$4,Countries!$B$2:$AN$55,12,FALSE)&gt;=2,0.5,0)),0)</f>
        <v>3</v>
      </c>
      <c r="AH44" s="62">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c r="AI44" s="62">
        <f>ROUND(MAX(1,MIN(5,(6-VLOOKUP(F$4,Countries!$B$2:$AN$55,10,FALSE))*0.5+(6-VLOOKUP(F$4,Countries!$B$2:$AN$55,11,FALSE))*0.4+(IF(AND(Pathogens!N41&gt;=0.5,VLOOKUP(F$4,Countries!$B$2:$AN$55,5,FALSE)&lt;60),5,IF(Pathogens!N41&gt;=0.5,4,IF(Pathogens!N41&gt;=0.3,3,IF(Pathogens!N41&gt;=0.1,2,1)))))*0.1)),0)</f>
        <v>2</v>
      </c>
      <c r="AJ44" s="62">
        <f>IF(ISNUMBER(SEARCH("Vaccine-preventable",Pathogens!C41)),2,IF(ISNUMBER(SEARCH("AMR",Pathogens!C41)),5,IF(ISNUMBER(SEARCH("VHF",Pathogens!C41)),4,IF(ISNUMBER(SEARCH("Emerging",Pathogens!C41)),5,IF(ISNUMBER(SEARCH("Mycobacterial",Pathogens!C41)),3,IF(ISNUMBER(SEARCH("Helminth",Pathogens!C41)),3,IF(ISNUMBER(SEARCH("Respiratory",Pathogens!C41)),4,3)))))))</f>
        <v>3</v>
      </c>
      <c r="AK44" s="62">
        <f>IF(ISNUMBER(SEARCH("AMR",Pathogens!C41)),5,IF(ISNUMBER(SEARCH("Mycobacterial",Pathogens!C41)),4,IF(ISNUMBER(SEARCH("Enteric bacterial",Pathogens!C41)),3,IF(ISNUMBER(SEARCH("Bacterial",Pathogens!C41)),3,1))))</f>
        <v>3</v>
      </c>
      <c r="AL4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4" s="62">
        <f>(6-Pathogens!X41)</f>
        <v>4</v>
      </c>
      <c r="AN44" s="62">
        <f>ROUND(MIN(5,MAX(1,0.35*IF(Pathogens!R41=1,5,IF(Pathogens!R41=2,3,1))+0.2*IF(Pathogens!S41=1,5,IF(Pathogens!S41=2,3,1))+0.25*IF(Pathogens!W41=1,IF(VLOOKUP(F$4,Countries!$B$2:$AN$55,38,FALSE)&gt;=3,5,IF(VLOOKUP(F$4,Countries!$B$2:$AN$55,38,FALSE)=2,4,IF(VLOOKUP(F$4,Countries!$B$2:$AN$55,38,FALSE)=1,2,1))),5)+0.2*IF(VLOOKUP(F$4,Countries!$B$2:$AN$55,24,FALSE)&gt;=50,5,IF(VLOOKUP(F$4,Countries!$B$2:$AN$55,24,FALSE)&gt;=25,4,IF(VLOOKUP(F$4,Countries!$B$2:$AN$55,24,FALSE)&gt;=10,3,IF(VLOOKUP(F$4,Countries!$B$2:$AN$55,24,FALSE)&gt;=5,2,1)))))),0)</f>
        <v>4</v>
      </c>
      <c r="AO44" s="62" t="str">
        <f>IFERROR(INDEX(Endemicity!$C$2:$BN$55,MATCH(F$4,Endemicity!$B$2:$B$55,0),MATCH($A44,Endemicity!$C$1:$BN$1,0)),"Sporadic")</f>
        <v>Endemic</v>
      </c>
      <c r="AP44" s="62">
        <f>IF(Settings!$B$48="ON",IFERROR(MATCH($AO44,Settings!$B$35:$F$35,0),5),5)</f>
        <v>1</v>
      </c>
      <c r="AQ44" s="62">
        <f>ROUND(MIN(5,IF(Pathogens!I41&gt;=500,5,IF(Pathogens!I41&gt;=200,4,IF(Pathogens!I41&gt;=50,3,IF(Pathogens!I41&gt;=10,2,1))))*0.5+IF(Pathogens!J41&gt;=30,5,IF(Pathogens!J41&gt;=10,4,IF(Pathogens!J41&gt;=3,3,IF(Pathogens!J41&gt;=1,2,1))))*0.4+IF(AND(VLOOKUP(G$4,Countries!$B$2:$AN$55,4,FALSE)&gt;=80,Pathogens!N41&gt;=0.5),1,0)*0.1+IF(VLOOKUP(G$4,Countries!$B$2:$AN$55,7,FALSE)&lt;50,0.3,0)),0)</f>
        <v>3</v>
      </c>
      <c r="AR44" s="62">
        <f>ROUND(MIN(5,IF(Pathogens!K41&gt;=8,5,IF(Pathogens!K41&gt;=5,4,IF(Pathogens!K41&gt;=3,3,IF(Pathogens!K41&gt;=1,2,1))))*0.5+IF(Pathogens!L41&gt;=5,5,IF(Pathogens!L41&gt;=3,4,IF(Pathogens!L41&gt;=2,3,IF(Pathogens!L41&gt;=1.2,2,1))))*0.3+IF(Pathogens!M41=1,2,0)*0.2+IF(VLOOKUP(G$4,Countries!$B$2:$AN$55,12,FALSE)&gt;=2,0.5,0)),0)</f>
        <v>3</v>
      </c>
      <c r="AS44" s="62">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c r="AT44" s="62">
        <f>ROUND(MAX(1,MIN(5,(6-VLOOKUP(G$4,Countries!$B$2:$AN$55,10,FALSE))*0.5+(6-VLOOKUP(G$4,Countries!$B$2:$AN$55,11,FALSE))*0.4+(IF(AND(Pathogens!N41&gt;=0.5,VLOOKUP(G$4,Countries!$B$2:$AN$55,5,FALSE)&lt;60),5,IF(Pathogens!N41&gt;=0.5,4,IF(Pathogens!N41&gt;=0.3,3,IF(Pathogens!N41&gt;=0.1,2,1)))))*0.1)),0)</f>
        <v>2</v>
      </c>
      <c r="AU44" s="62">
        <f>IF(ISNUMBER(SEARCH("Vaccine-preventable",Pathogens!C41)),2,IF(ISNUMBER(SEARCH("AMR",Pathogens!C41)),5,IF(ISNUMBER(SEARCH("VHF",Pathogens!C41)),4,IF(ISNUMBER(SEARCH("Emerging",Pathogens!C41)),5,IF(ISNUMBER(SEARCH("Mycobacterial",Pathogens!C41)),3,IF(ISNUMBER(SEARCH("Helminth",Pathogens!C41)),3,IF(ISNUMBER(SEARCH("Respiratory",Pathogens!C41)),4,3)))))))</f>
        <v>3</v>
      </c>
      <c r="AV44" s="62">
        <f>IF(ISNUMBER(SEARCH("AMR",Pathogens!C41)),5,IF(ISNUMBER(SEARCH("Mycobacterial",Pathogens!C41)),4,IF(ISNUMBER(SEARCH("Enteric bacterial",Pathogens!C41)),3,IF(ISNUMBER(SEARCH("Bacterial",Pathogens!C41)),3,1))))</f>
        <v>3</v>
      </c>
      <c r="AW4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4" s="62">
        <f>(6-Pathogens!X41)</f>
        <v>4</v>
      </c>
      <c r="AY44" s="62">
        <f>ROUND(MIN(5,MAX(1,0.35*IF(Pathogens!R41=1,5,IF(Pathogens!R41=2,3,1))+0.2*IF(Pathogens!S41=1,5,IF(Pathogens!S41=2,3,1))+0.25*IF(Pathogens!W41=1,IF(VLOOKUP(G$4,Countries!$B$2:$AN$55,38,FALSE)&gt;=3,5,IF(VLOOKUP(G$4,Countries!$B$2:$AN$55,38,FALSE)=2,4,IF(VLOOKUP(G$4,Countries!$B$2:$AN$55,38,FALSE)=1,2,1))),5)+0.2*IF(VLOOKUP(G$4,Countries!$B$2:$AN$55,24,FALSE)&gt;=50,5,IF(VLOOKUP(G$4,Countries!$B$2:$AN$55,24,FALSE)&gt;=25,4,IF(VLOOKUP(G$4,Countries!$B$2:$AN$55,24,FALSE)&gt;=10,3,IF(VLOOKUP(G$4,Countries!$B$2:$AN$55,24,FALSE)&gt;=5,2,1)))))),0)</f>
        <v>4</v>
      </c>
      <c r="AZ44" s="62" t="str">
        <f>IFERROR(INDEX(Endemicity!$C$2:$BN$55,MATCH(G$4,Endemicity!$B$2:$B$55,0),MATCH($A44,Endemicity!$C$1:$BN$1,0)),"Sporadic")</f>
        <v>Endemic</v>
      </c>
      <c r="BA44" s="62">
        <f>IF(Settings!$B$48="ON",IFERROR(MATCH($AZ44,Settings!$B$35:$F$35,0),5),5)</f>
        <v>1</v>
      </c>
    </row>
    <row r="45" customHeight="1" spans="1:53">
      <c r="A45" s="61" t="str">
        <f>Calculator!A74</f>
        <v>BRUC</v>
      </c>
      <c r="B45" s="61" t="str">
        <f>Calculator!B74</f>
        <v>Brucella spp.</v>
      </c>
      <c r="C45" s="61" t="str">
        <f>Calculator!C74</f>
        <v>Bacterial zoonotic</v>
      </c>
      <c r="D45" s="52">
        <f>IFERROR(ROUND(MIN(100,(($J45)*Settings!$C$23*INDEX(Settings!$B$36:$F$44,1,$T45)+($K45)*Settings!$C$24*INDEX(Settings!$B$36:$F$44,2,$T45)+($L45)*Settings!$C$25*INDEX(Settings!$B$36:$F$44,3,$T45)+($M45)*Settings!$C$26*INDEX(Settings!$B$36:$F$44,4,$T45)+($N45)*Settings!$C$27*INDEX(Settings!$B$36:$F$44,5,$T45)+($O45)*Settings!$C$28*INDEX(Settings!$B$36:$F$44,6,$T45)+($P45)*Settings!$C$29*INDEX(Settings!$B$36:$F$44,7,$T45)+($Q45)*Settings!$C$30*INDEX(Settings!$B$36:$F$44,8,$T45)+($R45)*Settings!$C$31*INDEX(Settings!$B$36:$F$44,9,$T45))/INDEX(Settings!$B$45:$F$45,1,$T45)/5*100*IF($S45="Not present",Settings!$B$51,1)),1),"")</f>
        <v>58.1</v>
      </c>
      <c r="E45" s="52">
        <f>IFERROR(ROUND(MIN(100,(($U45)*Settings!$C$23*INDEX(Settings!$B$36:$F$44,1,$AE45)+($V45)*Settings!$C$24*INDEX(Settings!$B$36:$F$44,2,$AE45)+($W45)*Settings!$C$25*INDEX(Settings!$B$36:$F$44,3,$AE45)+($X45)*Settings!$C$26*INDEX(Settings!$B$36:$F$44,4,$AE45)+($Y45)*Settings!$C$27*INDEX(Settings!$B$36:$F$44,5,$AE45)+($Z45)*Settings!$C$28*INDEX(Settings!$B$36:$F$44,6,$AE45)+($AA45)*Settings!$C$29*INDEX(Settings!$B$36:$F$44,7,$AE45)+($AB45)*Settings!$C$30*INDEX(Settings!$B$36:$F$44,8,$AE45)+($AC45)*Settings!$C$31*INDEX(Settings!$B$36:$F$44,9,$AE45))/INDEX(Settings!$B$45:$F$45,1,$AE45)/5*100*IF($AD45="Not present",Settings!$B$51,1)),1),"")</f>
        <v>65.6</v>
      </c>
      <c r="F45" s="52">
        <f>IFERROR(ROUND(MIN(100,(($AF45)*Settings!$C$23*INDEX(Settings!$B$36:$F$44,1,$AP45)+($AG45)*Settings!$C$24*INDEX(Settings!$B$36:$F$44,2,$AP45)+($AH45)*Settings!$C$25*INDEX(Settings!$B$36:$F$44,3,$AP45)+($AI45)*Settings!$C$26*INDEX(Settings!$B$36:$F$44,4,$AP45)+($AJ45)*Settings!$C$27*INDEX(Settings!$B$36:$F$44,5,$AP45)+($AK45)*Settings!$C$28*INDEX(Settings!$B$36:$F$44,6,$AP45)+($AL45)*Settings!$C$29*INDEX(Settings!$B$36:$F$44,7,$AP45)+($AM45)*Settings!$C$30*INDEX(Settings!$B$36:$F$44,8,$AP45)+($AN45)*Settings!$C$31*INDEX(Settings!$B$36:$F$44,9,$AP45))/INDEX(Settings!$B$45:$F$45,1,$AP45)/5*100*IF($AO45="Not present",Settings!$B$51,1)),1),"")</f>
        <v>58.1</v>
      </c>
      <c r="G45" s="52">
        <f>IFERROR(ROUND(MIN(100,(($AQ45)*Settings!$C$23*INDEX(Settings!$B$36:$F$44,1,$BA45)+($AR45)*Settings!$C$24*INDEX(Settings!$B$36:$F$44,2,$BA45)+($AS45)*Settings!$C$25*INDEX(Settings!$B$36:$F$44,3,$BA45)+($AT45)*Settings!$C$26*INDEX(Settings!$B$36:$F$44,4,$BA45)+($AU45)*Settings!$C$27*INDEX(Settings!$B$36:$F$44,5,$BA45)+($AV45)*Settings!$C$28*INDEX(Settings!$B$36:$F$44,6,$BA45)+($AW45)*Settings!$C$29*INDEX(Settings!$B$36:$F$44,7,$BA45)+($AX45)*Settings!$C$30*INDEX(Settings!$B$36:$F$44,8,$BA45)+($AY45)*Settings!$C$31*INDEX(Settings!$B$36:$F$44,9,$BA45))/INDEX(Settings!$B$45:$F$45,1,$BA45)/5*100*IF($AZ45="Not present",Settings!$B$51,1)),1),"")</f>
        <v>59.9</v>
      </c>
      <c r="J45" s="62">
        <f>ROUND(MIN(5,IF(Pathogens!I42&gt;=500,5,IF(Pathogens!I42&gt;=200,4,IF(Pathogens!I42&gt;=50,3,IF(Pathogens!I42&gt;=10,2,1))))*0.5+IF(Pathogens!J42&gt;=30,5,IF(Pathogens!J42&gt;=10,4,IF(Pathogens!J42&gt;=3,3,IF(Pathogens!J42&gt;=1,2,1))))*0.4+IF(AND(VLOOKUP(D$4,Countries!$B$2:$AN$55,4,FALSE)&gt;=80,Pathogens!N42&gt;=0.5),1,0)*0.1+IF(VLOOKUP(D$4,Countries!$B$2:$AN$55,7,FALSE)&lt;50,0.3,0)),0)</f>
        <v>2</v>
      </c>
      <c r="K45" s="62">
        <f>ROUND(MIN(5,IF(Pathogens!K42&gt;=8,5,IF(Pathogens!K42&gt;=5,4,IF(Pathogens!K42&gt;=3,3,IF(Pathogens!K42&gt;=1,2,1))))*0.5+IF(Pathogens!L42&gt;=5,5,IF(Pathogens!L42&gt;=3,4,IF(Pathogens!L42&gt;=2,3,IF(Pathogens!L42&gt;=1.2,2,1))))*0.3+IF(Pathogens!M42=1,2,0)*0.2+IF(VLOOKUP(D$4,Countries!$B$2:$AN$55,12,FALSE)&gt;=2,0.5,0)),0)</f>
        <v>3</v>
      </c>
      <c r="L45" s="62">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c r="M45" s="62">
        <f>ROUND(MAX(1,MIN(5,(6-VLOOKUP(D$4,Countries!$B$2:$AN$55,10,FALSE))*0.5+(6-VLOOKUP(D$4,Countries!$B$2:$AN$55,11,FALSE))*0.4+(IF(AND(Pathogens!N42&gt;=0.5,VLOOKUP(D$4,Countries!$B$2:$AN$55,5,FALSE)&lt;60),5,IF(Pathogens!N42&gt;=0.5,4,IF(Pathogens!N42&gt;=0.3,3,IF(Pathogens!N42&gt;=0.1,2,1)))))*0.1)),0)</f>
        <v>2</v>
      </c>
      <c r="N45" s="62">
        <f>IF(ISNUMBER(SEARCH("Vaccine-preventable",Pathogens!C42)),2,IF(ISNUMBER(SEARCH("AMR",Pathogens!C42)),5,IF(ISNUMBER(SEARCH("VHF",Pathogens!C42)),4,IF(ISNUMBER(SEARCH("Emerging",Pathogens!C42)),5,IF(ISNUMBER(SEARCH("Mycobacterial",Pathogens!C42)),3,IF(ISNUMBER(SEARCH("Helminth",Pathogens!C42)),3,IF(ISNUMBER(SEARCH("Respiratory",Pathogens!C42)),4,3)))))))</f>
        <v>3</v>
      </c>
      <c r="O45" s="62">
        <f>IF(ISNUMBER(SEARCH("AMR",Pathogens!C42)),5,IF(ISNUMBER(SEARCH("Mycobacterial",Pathogens!C42)),4,IF(ISNUMBER(SEARCH("Enteric bacterial",Pathogens!C42)),3,IF(ISNUMBER(SEARCH("Bacterial",Pathogens!C42)),3,1))))</f>
        <v>3</v>
      </c>
      <c r="P4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5" s="62">
        <f>(6-Pathogens!X42)</f>
        <v>5</v>
      </c>
      <c r="R45" s="62">
        <f>ROUND(MIN(5,MAX(1,0.35*IF(Pathogens!R42=1,5,IF(Pathogens!R42=2,3,1))+0.2*IF(Pathogens!S42=1,5,IF(Pathogens!S42=2,3,1))+0.25*IF(Pathogens!W42=1,IF(VLOOKUP(D$4,Countries!$B$2:$AN$55,38,FALSE)&gt;=3,5,IF(VLOOKUP(D$4,Countries!$B$2:$AN$55,38,FALSE)=2,4,IF(VLOOKUP(D$4,Countries!$B$2:$AN$55,38,FALSE)=1,2,1))),5)+0.2*IF(VLOOKUP(D$4,Countries!$B$2:$AN$55,24,FALSE)&gt;=50,5,IF(VLOOKUP(D$4,Countries!$B$2:$AN$55,24,FALSE)&gt;=25,4,IF(VLOOKUP(D$4,Countries!$B$2:$AN$55,24,FALSE)&gt;=10,3,IF(VLOOKUP(D$4,Countries!$B$2:$AN$55,24,FALSE)&gt;=5,2,1)))))),0)</f>
        <v>4</v>
      </c>
      <c r="S45" s="62" t="str">
        <f>IFERROR(INDEX(Endemicity!$C$2:$BN$55,MATCH(D$4,Endemicity!$B$2:$B$55,0),MATCH($A45,Endemicity!$C$1:$BN$1,0)),"Sporadic")</f>
        <v>Endemic</v>
      </c>
      <c r="T45" s="62">
        <f>IF(Settings!$B$48="ON",IFERROR(MATCH($S45,Settings!$B$35:$F$35,0),5),5)</f>
        <v>1</v>
      </c>
      <c r="U45" s="62">
        <f>ROUND(MIN(5,IF(Pathogens!I42&gt;=500,5,IF(Pathogens!I42&gt;=200,4,IF(Pathogens!I42&gt;=50,3,IF(Pathogens!I42&gt;=10,2,1))))*0.5+IF(Pathogens!J42&gt;=30,5,IF(Pathogens!J42&gt;=10,4,IF(Pathogens!J42&gt;=3,3,IF(Pathogens!J42&gt;=1,2,1))))*0.4+IF(AND(VLOOKUP(E$4,Countries!$B$2:$AN$55,4,FALSE)&gt;=80,Pathogens!N42&gt;=0.5),1,0)*0.1+IF(VLOOKUP(E$4,Countries!$B$2:$AN$55,7,FALSE)&lt;50,0.3,0)),0)</f>
        <v>2</v>
      </c>
      <c r="V45" s="62">
        <f>ROUND(MIN(5,IF(Pathogens!K42&gt;=8,5,IF(Pathogens!K42&gt;=5,4,IF(Pathogens!K42&gt;=3,3,IF(Pathogens!K42&gt;=1,2,1))))*0.5+IF(Pathogens!L42&gt;=5,5,IF(Pathogens!L42&gt;=3,4,IF(Pathogens!L42&gt;=2,3,IF(Pathogens!L42&gt;=1.2,2,1))))*0.3+IF(Pathogens!M42=1,2,0)*0.2+IF(VLOOKUP(E$4,Countries!$B$2:$AN$55,12,FALSE)&gt;=2,0.5,0)),0)</f>
        <v>3</v>
      </c>
      <c r="W45" s="62">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c r="X45" s="62">
        <f>ROUND(MAX(1,MIN(5,(6-VLOOKUP(E$4,Countries!$B$2:$AN$55,10,FALSE))*0.5+(6-VLOOKUP(E$4,Countries!$B$2:$AN$55,11,FALSE))*0.4+(IF(AND(Pathogens!N42&gt;=0.5,VLOOKUP(E$4,Countries!$B$2:$AN$55,5,FALSE)&lt;60),5,IF(Pathogens!N42&gt;=0.5,4,IF(Pathogens!N42&gt;=0.3,3,IF(Pathogens!N42&gt;=0.1,2,1)))))*0.1)),0)</f>
        <v>3</v>
      </c>
      <c r="Y45" s="62">
        <f>IF(ISNUMBER(SEARCH("Vaccine-preventable",Pathogens!C42)),2,IF(ISNUMBER(SEARCH("AMR",Pathogens!C42)),5,IF(ISNUMBER(SEARCH("VHF",Pathogens!C42)),4,IF(ISNUMBER(SEARCH("Emerging",Pathogens!C42)),5,IF(ISNUMBER(SEARCH("Mycobacterial",Pathogens!C42)),3,IF(ISNUMBER(SEARCH("Helminth",Pathogens!C42)),3,IF(ISNUMBER(SEARCH("Respiratory",Pathogens!C42)),4,3)))))))</f>
        <v>3</v>
      </c>
      <c r="Z45" s="62">
        <f>IF(ISNUMBER(SEARCH("AMR",Pathogens!C42)),5,IF(ISNUMBER(SEARCH("Mycobacterial",Pathogens!C42)),4,IF(ISNUMBER(SEARCH("Enteric bacterial",Pathogens!C42)),3,IF(ISNUMBER(SEARCH("Bacterial",Pathogens!C42)),3,1))))</f>
        <v>3</v>
      </c>
      <c r="AA4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5" s="62">
        <f>(6-Pathogens!X42)</f>
        <v>5</v>
      </c>
      <c r="AC45" s="62">
        <f>ROUND(MIN(5,MAX(1,0.35*IF(Pathogens!R42=1,5,IF(Pathogens!R42=2,3,1))+0.2*IF(Pathogens!S42=1,5,IF(Pathogens!S42=2,3,1))+0.25*IF(Pathogens!W42=1,IF(VLOOKUP(E$4,Countries!$B$2:$AN$55,38,FALSE)&gt;=3,5,IF(VLOOKUP(E$4,Countries!$B$2:$AN$55,38,FALSE)=2,4,IF(VLOOKUP(E$4,Countries!$B$2:$AN$55,38,FALSE)=1,2,1))),5)+0.2*IF(VLOOKUP(E$4,Countries!$B$2:$AN$55,24,FALSE)&gt;=50,5,IF(VLOOKUP(E$4,Countries!$B$2:$AN$55,24,FALSE)&gt;=25,4,IF(VLOOKUP(E$4,Countries!$B$2:$AN$55,24,FALSE)&gt;=10,3,IF(VLOOKUP(E$4,Countries!$B$2:$AN$55,24,FALSE)&gt;=5,2,1)))))),0)</f>
        <v>4</v>
      </c>
      <c r="AD45" s="62" t="str">
        <f>IFERROR(INDEX(Endemicity!$C$2:$BN$55,MATCH(E$4,Endemicity!$B$2:$B$55,0),MATCH($A45,Endemicity!$C$1:$BN$1,0)),"Sporadic")</f>
        <v>Sporadic</v>
      </c>
      <c r="AE45" s="62">
        <f>IF(Settings!$B$48="ON",IFERROR(MATCH($AD45,Settings!$B$35:$F$35,0),5),5)</f>
        <v>2</v>
      </c>
      <c r="AF45" s="62">
        <f>ROUND(MIN(5,IF(Pathogens!I42&gt;=500,5,IF(Pathogens!I42&gt;=200,4,IF(Pathogens!I42&gt;=50,3,IF(Pathogens!I42&gt;=10,2,1))))*0.5+IF(Pathogens!J42&gt;=30,5,IF(Pathogens!J42&gt;=10,4,IF(Pathogens!J42&gt;=3,3,IF(Pathogens!J42&gt;=1,2,1))))*0.4+IF(AND(VLOOKUP(F$4,Countries!$B$2:$AN$55,4,FALSE)&gt;=80,Pathogens!N42&gt;=0.5),1,0)*0.1+IF(VLOOKUP(F$4,Countries!$B$2:$AN$55,7,FALSE)&lt;50,0.3,0)),0)</f>
        <v>2</v>
      </c>
      <c r="AG45" s="62">
        <f>ROUND(MIN(5,IF(Pathogens!K42&gt;=8,5,IF(Pathogens!K42&gt;=5,4,IF(Pathogens!K42&gt;=3,3,IF(Pathogens!K42&gt;=1,2,1))))*0.5+IF(Pathogens!L42&gt;=5,5,IF(Pathogens!L42&gt;=3,4,IF(Pathogens!L42&gt;=2,3,IF(Pathogens!L42&gt;=1.2,2,1))))*0.3+IF(Pathogens!M42=1,2,0)*0.2+IF(VLOOKUP(F$4,Countries!$B$2:$AN$55,12,FALSE)&gt;=2,0.5,0)),0)</f>
        <v>3</v>
      </c>
      <c r="AH45" s="62">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c r="AI45" s="62">
        <f>ROUND(MAX(1,MIN(5,(6-VLOOKUP(F$4,Countries!$B$2:$AN$55,10,FALSE))*0.5+(6-VLOOKUP(F$4,Countries!$B$2:$AN$55,11,FALSE))*0.4+(IF(AND(Pathogens!N42&gt;=0.5,VLOOKUP(F$4,Countries!$B$2:$AN$55,5,FALSE)&lt;60),5,IF(Pathogens!N42&gt;=0.5,4,IF(Pathogens!N42&gt;=0.3,3,IF(Pathogens!N42&gt;=0.1,2,1)))))*0.1)),0)</f>
        <v>2</v>
      </c>
      <c r="AJ45" s="62">
        <f>IF(ISNUMBER(SEARCH("Vaccine-preventable",Pathogens!C42)),2,IF(ISNUMBER(SEARCH("AMR",Pathogens!C42)),5,IF(ISNUMBER(SEARCH("VHF",Pathogens!C42)),4,IF(ISNUMBER(SEARCH("Emerging",Pathogens!C42)),5,IF(ISNUMBER(SEARCH("Mycobacterial",Pathogens!C42)),3,IF(ISNUMBER(SEARCH("Helminth",Pathogens!C42)),3,IF(ISNUMBER(SEARCH("Respiratory",Pathogens!C42)),4,3)))))))</f>
        <v>3</v>
      </c>
      <c r="AK45" s="62">
        <f>IF(ISNUMBER(SEARCH("AMR",Pathogens!C42)),5,IF(ISNUMBER(SEARCH("Mycobacterial",Pathogens!C42)),4,IF(ISNUMBER(SEARCH("Enteric bacterial",Pathogens!C42)),3,IF(ISNUMBER(SEARCH("Bacterial",Pathogens!C42)),3,1))))</f>
        <v>3</v>
      </c>
      <c r="AL4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5" s="62">
        <f>(6-Pathogens!X42)</f>
        <v>5</v>
      </c>
      <c r="AN45" s="62">
        <f>ROUND(MIN(5,MAX(1,0.35*IF(Pathogens!R42=1,5,IF(Pathogens!R42=2,3,1))+0.2*IF(Pathogens!S42=1,5,IF(Pathogens!S42=2,3,1))+0.25*IF(Pathogens!W42=1,IF(VLOOKUP(F$4,Countries!$B$2:$AN$55,38,FALSE)&gt;=3,5,IF(VLOOKUP(F$4,Countries!$B$2:$AN$55,38,FALSE)=2,4,IF(VLOOKUP(F$4,Countries!$B$2:$AN$55,38,FALSE)=1,2,1))),5)+0.2*IF(VLOOKUP(F$4,Countries!$B$2:$AN$55,24,FALSE)&gt;=50,5,IF(VLOOKUP(F$4,Countries!$B$2:$AN$55,24,FALSE)&gt;=25,4,IF(VLOOKUP(F$4,Countries!$B$2:$AN$55,24,FALSE)&gt;=10,3,IF(VLOOKUP(F$4,Countries!$B$2:$AN$55,24,FALSE)&gt;=5,2,1)))))),0)</f>
        <v>4</v>
      </c>
      <c r="AO45" s="62" t="str">
        <f>IFERROR(INDEX(Endemicity!$C$2:$BN$55,MATCH(F$4,Endemicity!$B$2:$B$55,0),MATCH($A45,Endemicity!$C$1:$BN$1,0)),"Sporadic")</f>
        <v>Endemic</v>
      </c>
      <c r="AP45" s="62">
        <f>IF(Settings!$B$48="ON",IFERROR(MATCH($AO45,Settings!$B$35:$F$35,0),5),5)</f>
        <v>1</v>
      </c>
      <c r="AQ45" s="62">
        <f>ROUND(MIN(5,IF(Pathogens!I42&gt;=500,5,IF(Pathogens!I42&gt;=200,4,IF(Pathogens!I42&gt;=50,3,IF(Pathogens!I42&gt;=10,2,1))))*0.5+IF(Pathogens!J42&gt;=30,5,IF(Pathogens!J42&gt;=10,4,IF(Pathogens!J42&gt;=3,3,IF(Pathogens!J42&gt;=1,2,1))))*0.4+IF(AND(VLOOKUP(G$4,Countries!$B$2:$AN$55,4,FALSE)&gt;=80,Pathogens!N42&gt;=0.5),1,0)*0.1+IF(VLOOKUP(G$4,Countries!$B$2:$AN$55,7,FALSE)&lt;50,0.3,0)),0)</f>
        <v>2</v>
      </c>
      <c r="AR45" s="62">
        <f>ROUND(MIN(5,IF(Pathogens!K42&gt;=8,5,IF(Pathogens!K42&gt;=5,4,IF(Pathogens!K42&gt;=3,3,IF(Pathogens!K42&gt;=1,2,1))))*0.5+IF(Pathogens!L42&gt;=5,5,IF(Pathogens!L42&gt;=3,4,IF(Pathogens!L42&gt;=2,3,IF(Pathogens!L42&gt;=1.2,2,1))))*0.3+IF(Pathogens!M42=1,2,0)*0.2+IF(VLOOKUP(G$4,Countries!$B$2:$AN$55,12,FALSE)&gt;=2,0.5,0)),0)</f>
        <v>3</v>
      </c>
      <c r="AS45" s="62">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c r="AT45" s="62">
        <f>ROUND(MAX(1,MIN(5,(6-VLOOKUP(G$4,Countries!$B$2:$AN$55,10,FALSE))*0.5+(6-VLOOKUP(G$4,Countries!$B$2:$AN$55,11,FALSE))*0.4+(IF(AND(Pathogens!N42&gt;=0.5,VLOOKUP(G$4,Countries!$B$2:$AN$55,5,FALSE)&lt;60),5,IF(Pathogens!N42&gt;=0.5,4,IF(Pathogens!N42&gt;=0.3,3,IF(Pathogens!N42&gt;=0.1,2,1)))))*0.1)),0)</f>
        <v>2</v>
      </c>
      <c r="AU45" s="62">
        <f>IF(ISNUMBER(SEARCH("Vaccine-preventable",Pathogens!C42)),2,IF(ISNUMBER(SEARCH("AMR",Pathogens!C42)),5,IF(ISNUMBER(SEARCH("VHF",Pathogens!C42)),4,IF(ISNUMBER(SEARCH("Emerging",Pathogens!C42)),5,IF(ISNUMBER(SEARCH("Mycobacterial",Pathogens!C42)),3,IF(ISNUMBER(SEARCH("Helminth",Pathogens!C42)),3,IF(ISNUMBER(SEARCH("Respiratory",Pathogens!C42)),4,3)))))))</f>
        <v>3</v>
      </c>
      <c r="AV45" s="62">
        <f>IF(ISNUMBER(SEARCH("AMR",Pathogens!C42)),5,IF(ISNUMBER(SEARCH("Mycobacterial",Pathogens!C42)),4,IF(ISNUMBER(SEARCH("Enteric bacterial",Pathogens!C42)),3,IF(ISNUMBER(SEARCH("Bacterial",Pathogens!C42)),3,1))))</f>
        <v>3</v>
      </c>
      <c r="AW4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5" s="62">
        <f>(6-Pathogens!X42)</f>
        <v>5</v>
      </c>
      <c r="AY45" s="62">
        <f>ROUND(MIN(5,MAX(1,0.35*IF(Pathogens!R42=1,5,IF(Pathogens!R42=2,3,1))+0.2*IF(Pathogens!S42=1,5,IF(Pathogens!S42=2,3,1))+0.25*IF(Pathogens!W42=1,IF(VLOOKUP(G$4,Countries!$B$2:$AN$55,38,FALSE)&gt;=3,5,IF(VLOOKUP(G$4,Countries!$B$2:$AN$55,38,FALSE)=2,4,IF(VLOOKUP(G$4,Countries!$B$2:$AN$55,38,FALSE)=1,2,1))),5)+0.2*IF(VLOOKUP(G$4,Countries!$B$2:$AN$55,24,FALSE)&gt;=50,5,IF(VLOOKUP(G$4,Countries!$B$2:$AN$55,24,FALSE)&gt;=25,4,IF(VLOOKUP(G$4,Countries!$B$2:$AN$55,24,FALSE)&gt;=10,3,IF(VLOOKUP(G$4,Countries!$B$2:$AN$55,24,FALSE)&gt;=5,2,1)))))),0)</f>
        <v>4</v>
      </c>
      <c r="AZ45" s="62" t="str">
        <f>IFERROR(INDEX(Endemicity!$C$2:$BN$55,MATCH(G$4,Endemicity!$B$2:$B$55,0),MATCH($A45,Endemicity!$C$1:$BN$1,0)),"Sporadic")</f>
        <v>Endemic</v>
      </c>
      <c r="BA45" s="62">
        <f>IF(Settings!$B$48="ON",IFERROR(MATCH($AZ45,Settings!$B$35:$F$35,0),5),5)</f>
        <v>1</v>
      </c>
    </row>
    <row r="46" customHeight="1" spans="1:53">
      <c r="A46" s="61" t="str">
        <f>Calculator!A75</f>
        <v>COX</v>
      </c>
      <c r="B46" s="61" t="str">
        <f>Calculator!B75</f>
        <v>Coxiella burnetii</v>
      </c>
      <c r="C46" s="61" t="str">
        <f>Calculator!C75</f>
        <v>Bacterial zoonotic</v>
      </c>
      <c r="D46" s="52">
        <f>IFERROR(ROUND(MIN(100,(($J46)*Settings!$C$23*INDEX(Settings!$B$36:$F$44,1,$T46)+($K46)*Settings!$C$24*INDEX(Settings!$B$36:$F$44,2,$T46)+($L46)*Settings!$C$25*INDEX(Settings!$B$36:$F$44,3,$T46)+($M46)*Settings!$C$26*INDEX(Settings!$B$36:$F$44,4,$T46)+($N46)*Settings!$C$27*INDEX(Settings!$B$36:$F$44,5,$T46)+($O46)*Settings!$C$28*INDEX(Settings!$B$36:$F$44,6,$T46)+($P46)*Settings!$C$29*INDEX(Settings!$B$36:$F$44,7,$T46)+($Q46)*Settings!$C$30*INDEX(Settings!$B$36:$F$44,8,$T46)+($R46)*Settings!$C$31*INDEX(Settings!$B$36:$F$44,9,$T46))/INDEX(Settings!$B$45:$F$45,1,$T46)/5*100*IF($S46="Not present",Settings!$B$51,1)),1),"")</f>
        <v>57.8</v>
      </c>
      <c r="E46" s="52">
        <f>IFERROR(ROUND(MIN(100,(($U46)*Settings!$C$23*INDEX(Settings!$B$36:$F$44,1,$AE46)+($V46)*Settings!$C$24*INDEX(Settings!$B$36:$F$44,2,$AE46)+($W46)*Settings!$C$25*INDEX(Settings!$B$36:$F$44,3,$AE46)+($X46)*Settings!$C$26*INDEX(Settings!$B$36:$F$44,4,$AE46)+($Y46)*Settings!$C$27*INDEX(Settings!$B$36:$F$44,5,$AE46)+($Z46)*Settings!$C$28*INDEX(Settings!$B$36:$F$44,6,$AE46)+($AA46)*Settings!$C$29*INDEX(Settings!$B$36:$F$44,7,$AE46)+($AB46)*Settings!$C$30*INDEX(Settings!$B$36:$F$44,8,$AE46)+($AC46)*Settings!$C$31*INDEX(Settings!$B$36:$F$44,9,$AE46))/INDEX(Settings!$B$45:$F$45,1,$AE46)/5*100*IF($AD46="Not present",Settings!$B$51,1)),1),"")</f>
        <v>62.8</v>
      </c>
      <c r="F46" s="52">
        <f>IFERROR(ROUND(MIN(100,(($AF46)*Settings!$C$23*INDEX(Settings!$B$36:$F$44,1,$AP46)+($AG46)*Settings!$C$24*INDEX(Settings!$B$36:$F$44,2,$AP46)+($AH46)*Settings!$C$25*INDEX(Settings!$B$36:$F$44,3,$AP46)+($AI46)*Settings!$C$26*INDEX(Settings!$B$36:$F$44,4,$AP46)+($AJ46)*Settings!$C$27*INDEX(Settings!$B$36:$F$44,5,$AP46)+($AK46)*Settings!$C$28*INDEX(Settings!$B$36:$F$44,6,$AP46)+($AL46)*Settings!$C$29*INDEX(Settings!$B$36:$F$44,7,$AP46)+($AM46)*Settings!$C$30*INDEX(Settings!$B$36:$F$44,8,$AP46)+($AN46)*Settings!$C$31*INDEX(Settings!$B$36:$F$44,9,$AP46))/INDEX(Settings!$B$45:$F$45,1,$AP46)/5*100*IF($AO46="Not present",Settings!$B$51,1)),1),"")</f>
        <v>57.8</v>
      </c>
      <c r="G46" s="52">
        <f>IFERROR(ROUND(MIN(100,(($AQ46)*Settings!$C$23*INDEX(Settings!$B$36:$F$44,1,$BA46)+($AR46)*Settings!$C$24*INDEX(Settings!$B$36:$F$44,2,$BA46)+($AS46)*Settings!$C$25*INDEX(Settings!$B$36:$F$44,3,$BA46)+($AT46)*Settings!$C$26*INDEX(Settings!$B$36:$F$44,4,$BA46)+($AU46)*Settings!$C$27*INDEX(Settings!$B$36:$F$44,5,$BA46)+($AV46)*Settings!$C$28*INDEX(Settings!$B$36:$F$44,6,$BA46)+($AW46)*Settings!$C$29*INDEX(Settings!$B$36:$F$44,7,$BA46)+($AX46)*Settings!$C$30*INDEX(Settings!$B$36:$F$44,8,$BA46)+($AY46)*Settings!$C$31*INDEX(Settings!$B$36:$F$44,9,$BA46))/INDEX(Settings!$B$45:$F$45,1,$BA46)/5*100*IF($AZ46="Not present",Settings!$B$51,1)),1),"")</f>
        <v>59.2</v>
      </c>
      <c r="J46" s="62">
        <f>ROUND(MIN(5,IF(Pathogens!I43&gt;=500,5,IF(Pathogens!I43&gt;=200,4,IF(Pathogens!I43&gt;=50,3,IF(Pathogens!I43&gt;=10,2,1))))*0.5+IF(Pathogens!J43&gt;=30,5,IF(Pathogens!J43&gt;=10,4,IF(Pathogens!J43&gt;=3,3,IF(Pathogens!J43&gt;=1,2,1))))*0.4+IF(AND(VLOOKUP(D$4,Countries!$B$2:$AN$55,4,FALSE)&gt;=80,Pathogens!N43&gt;=0.5),1,0)*0.1+IF(VLOOKUP(D$4,Countries!$B$2:$AN$55,7,FALSE)&lt;50,0.3,0)),0)</f>
        <v>2</v>
      </c>
      <c r="K46" s="62">
        <f>ROUND(MIN(5,IF(Pathogens!K43&gt;=8,5,IF(Pathogens!K43&gt;=5,4,IF(Pathogens!K43&gt;=3,3,IF(Pathogens!K43&gt;=1,2,1))))*0.5+IF(Pathogens!L43&gt;=5,5,IF(Pathogens!L43&gt;=3,4,IF(Pathogens!L43&gt;=2,3,IF(Pathogens!L43&gt;=1.2,2,1))))*0.3+IF(Pathogens!M43=1,2,0)*0.2+IF(VLOOKUP(D$4,Countries!$B$2:$AN$55,12,FALSE)&gt;=2,0.5,0)),0)</f>
        <v>2</v>
      </c>
      <c r="L46" s="62">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c r="M46" s="62">
        <f>ROUND(MAX(1,MIN(5,(6-VLOOKUP(D$4,Countries!$B$2:$AN$55,10,FALSE))*0.5+(6-VLOOKUP(D$4,Countries!$B$2:$AN$55,11,FALSE))*0.4+(IF(AND(Pathogens!N43&gt;=0.5,VLOOKUP(D$4,Countries!$B$2:$AN$55,5,FALSE)&lt;60),5,IF(Pathogens!N43&gt;=0.5,4,IF(Pathogens!N43&gt;=0.3,3,IF(Pathogens!N43&gt;=0.1,2,1)))))*0.1)),0)</f>
        <v>2</v>
      </c>
      <c r="N46" s="62">
        <f>IF(ISNUMBER(SEARCH("Vaccine-preventable",Pathogens!C43)),2,IF(ISNUMBER(SEARCH("AMR",Pathogens!C43)),5,IF(ISNUMBER(SEARCH("VHF",Pathogens!C43)),4,IF(ISNUMBER(SEARCH("Emerging",Pathogens!C43)),5,IF(ISNUMBER(SEARCH("Mycobacterial",Pathogens!C43)),3,IF(ISNUMBER(SEARCH("Helminth",Pathogens!C43)),3,IF(ISNUMBER(SEARCH("Respiratory",Pathogens!C43)),4,3)))))))</f>
        <v>3</v>
      </c>
      <c r="O46" s="62">
        <f>IF(ISNUMBER(SEARCH("AMR",Pathogens!C43)),5,IF(ISNUMBER(SEARCH("Mycobacterial",Pathogens!C43)),4,IF(ISNUMBER(SEARCH("Enteric bacterial",Pathogens!C43)),3,IF(ISNUMBER(SEARCH("Bacterial",Pathogens!C43)),3,1))))</f>
        <v>3</v>
      </c>
      <c r="P4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6" s="62">
        <f>(6-Pathogens!X43)</f>
        <v>5</v>
      </c>
      <c r="R46" s="62">
        <f>ROUND(MIN(5,MAX(1,0.35*IF(Pathogens!R43=1,5,IF(Pathogens!R43=2,3,1))+0.2*IF(Pathogens!S43=1,5,IF(Pathogens!S43=2,3,1))+0.25*IF(Pathogens!W43=1,IF(VLOOKUP(D$4,Countries!$B$2:$AN$55,38,FALSE)&gt;=3,5,IF(VLOOKUP(D$4,Countries!$B$2:$AN$55,38,FALSE)=2,4,IF(VLOOKUP(D$4,Countries!$B$2:$AN$55,38,FALSE)=1,2,1))),5)+0.2*IF(VLOOKUP(D$4,Countries!$B$2:$AN$55,24,FALSE)&gt;=50,5,IF(VLOOKUP(D$4,Countries!$B$2:$AN$55,24,FALSE)&gt;=25,4,IF(VLOOKUP(D$4,Countries!$B$2:$AN$55,24,FALSE)&gt;=10,3,IF(VLOOKUP(D$4,Countries!$B$2:$AN$55,24,FALSE)&gt;=5,2,1)))))),0)</f>
        <v>3</v>
      </c>
      <c r="S46" s="62" t="str">
        <f>IFERROR(INDEX(Endemicity!$C$2:$BN$55,MATCH(D$4,Endemicity!$B$2:$B$55,0),MATCH($A46,Endemicity!$C$1:$BN$1,0)),"Sporadic")</f>
        <v>Sporadic</v>
      </c>
      <c r="T46" s="62">
        <f>IF(Settings!$B$48="ON",IFERROR(MATCH($S46,Settings!$B$35:$F$35,0),5),5)</f>
        <v>2</v>
      </c>
      <c r="U46" s="62">
        <f>ROUND(MIN(5,IF(Pathogens!I43&gt;=500,5,IF(Pathogens!I43&gt;=200,4,IF(Pathogens!I43&gt;=50,3,IF(Pathogens!I43&gt;=10,2,1))))*0.5+IF(Pathogens!J43&gt;=30,5,IF(Pathogens!J43&gt;=10,4,IF(Pathogens!J43&gt;=3,3,IF(Pathogens!J43&gt;=1,2,1))))*0.4+IF(AND(VLOOKUP(E$4,Countries!$B$2:$AN$55,4,FALSE)&gt;=80,Pathogens!N43&gt;=0.5),1,0)*0.1+IF(VLOOKUP(E$4,Countries!$B$2:$AN$55,7,FALSE)&lt;50,0.3,0)),0)</f>
        <v>2</v>
      </c>
      <c r="V46" s="62">
        <f>ROUND(MIN(5,IF(Pathogens!K43&gt;=8,5,IF(Pathogens!K43&gt;=5,4,IF(Pathogens!K43&gt;=3,3,IF(Pathogens!K43&gt;=1,2,1))))*0.5+IF(Pathogens!L43&gt;=5,5,IF(Pathogens!L43&gt;=3,4,IF(Pathogens!L43&gt;=2,3,IF(Pathogens!L43&gt;=1.2,2,1))))*0.3+IF(Pathogens!M43=1,2,0)*0.2+IF(VLOOKUP(E$4,Countries!$B$2:$AN$55,12,FALSE)&gt;=2,0.5,0)),0)</f>
        <v>2</v>
      </c>
      <c r="W46" s="62">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c r="X46" s="62">
        <f>ROUND(MAX(1,MIN(5,(6-VLOOKUP(E$4,Countries!$B$2:$AN$55,10,FALSE))*0.5+(6-VLOOKUP(E$4,Countries!$B$2:$AN$55,11,FALSE))*0.4+(IF(AND(Pathogens!N43&gt;=0.5,VLOOKUP(E$4,Countries!$B$2:$AN$55,5,FALSE)&lt;60),5,IF(Pathogens!N43&gt;=0.5,4,IF(Pathogens!N43&gt;=0.3,3,IF(Pathogens!N43&gt;=0.1,2,1)))))*0.1)),0)</f>
        <v>3</v>
      </c>
      <c r="Y46" s="62">
        <f>IF(ISNUMBER(SEARCH("Vaccine-preventable",Pathogens!C43)),2,IF(ISNUMBER(SEARCH("AMR",Pathogens!C43)),5,IF(ISNUMBER(SEARCH("VHF",Pathogens!C43)),4,IF(ISNUMBER(SEARCH("Emerging",Pathogens!C43)),5,IF(ISNUMBER(SEARCH("Mycobacterial",Pathogens!C43)),3,IF(ISNUMBER(SEARCH("Helminth",Pathogens!C43)),3,IF(ISNUMBER(SEARCH("Respiratory",Pathogens!C43)),4,3)))))))</f>
        <v>3</v>
      </c>
      <c r="Z46" s="62">
        <f>IF(ISNUMBER(SEARCH("AMR",Pathogens!C43)),5,IF(ISNUMBER(SEARCH("Mycobacterial",Pathogens!C43)),4,IF(ISNUMBER(SEARCH("Enteric bacterial",Pathogens!C43)),3,IF(ISNUMBER(SEARCH("Bacterial",Pathogens!C43)),3,1))))</f>
        <v>3</v>
      </c>
      <c r="AA4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6" s="62">
        <f>(6-Pathogens!X43)</f>
        <v>5</v>
      </c>
      <c r="AC46" s="62">
        <f>ROUND(MIN(5,MAX(1,0.35*IF(Pathogens!R43=1,5,IF(Pathogens!R43=2,3,1))+0.2*IF(Pathogens!S43=1,5,IF(Pathogens!S43=2,3,1))+0.25*IF(Pathogens!W43=1,IF(VLOOKUP(E$4,Countries!$B$2:$AN$55,38,FALSE)&gt;=3,5,IF(VLOOKUP(E$4,Countries!$B$2:$AN$55,38,FALSE)=2,4,IF(VLOOKUP(E$4,Countries!$B$2:$AN$55,38,FALSE)=1,2,1))),5)+0.2*IF(VLOOKUP(E$4,Countries!$B$2:$AN$55,24,FALSE)&gt;=50,5,IF(VLOOKUP(E$4,Countries!$B$2:$AN$55,24,FALSE)&gt;=25,4,IF(VLOOKUP(E$4,Countries!$B$2:$AN$55,24,FALSE)&gt;=10,3,IF(VLOOKUP(E$4,Countries!$B$2:$AN$55,24,FALSE)&gt;=5,2,1)))))),0)</f>
        <v>3</v>
      </c>
      <c r="AD46" s="62" t="str">
        <f>IFERROR(INDEX(Endemicity!$C$2:$BN$55,MATCH(E$4,Endemicity!$B$2:$B$55,0),MATCH($A46,Endemicity!$C$1:$BN$1,0)),"Sporadic")</f>
        <v>Sporadic</v>
      </c>
      <c r="AE46" s="62">
        <f>IF(Settings!$B$48="ON",IFERROR(MATCH($AD46,Settings!$B$35:$F$35,0),5),5)</f>
        <v>2</v>
      </c>
      <c r="AF46" s="62">
        <f>ROUND(MIN(5,IF(Pathogens!I43&gt;=500,5,IF(Pathogens!I43&gt;=200,4,IF(Pathogens!I43&gt;=50,3,IF(Pathogens!I43&gt;=10,2,1))))*0.5+IF(Pathogens!J43&gt;=30,5,IF(Pathogens!J43&gt;=10,4,IF(Pathogens!J43&gt;=3,3,IF(Pathogens!J43&gt;=1,2,1))))*0.4+IF(AND(VLOOKUP(F$4,Countries!$B$2:$AN$55,4,FALSE)&gt;=80,Pathogens!N43&gt;=0.5),1,0)*0.1+IF(VLOOKUP(F$4,Countries!$B$2:$AN$55,7,FALSE)&lt;50,0.3,0)),0)</f>
        <v>2</v>
      </c>
      <c r="AG46" s="62">
        <f>ROUND(MIN(5,IF(Pathogens!K43&gt;=8,5,IF(Pathogens!K43&gt;=5,4,IF(Pathogens!K43&gt;=3,3,IF(Pathogens!K43&gt;=1,2,1))))*0.5+IF(Pathogens!L43&gt;=5,5,IF(Pathogens!L43&gt;=3,4,IF(Pathogens!L43&gt;=2,3,IF(Pathogens!L43&gt;=1.2,2,1))))*0.3+IF(Pathogens!M43=1,2,0)*0.2+IF(VLOOKUP(F$4,Countries!$B$2:$AN$55,12,FALSE)&gt;=2,0.5,0)),0)</f>
        <v>2</v>
      </c>
      <c r="AH46" s="62">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c r="AI46" s="62">
        <f>ROUND(MAX(1,MIN(5,(6-VLOOKUP(F$4,Countries!$B$2:$AN$55,10,FALSE))*0.5+(6-VLOOKUP(F$4,Countries!$B$2:$AN$55,11,FALSE))*0.4+(IF(AND(Pathogens!N43&gt;=0.5,VLOOKUP(F$4,Countries!$B$2:$AN$55,5,FALSE)&lt;60),5,IF(Pathogens!N43&gt;=0.5,4,IF(Pathogens!N43&gt;=0.3,3,IF(Pathogens!N43&gt;=0.1,2,1)))))*0.1)),0)</f>
        <v>2</v>
      </c>
      <c r="AJ46" s="62">
        <f>IF(ISNUMBER(SEARCH("Vaccine-preventable",Pathogens!C43)),2,IF(ISNUMBER(SEARCH("AMR",Pathogens!C43)),5,IF(ISNUMBER(SEARCH("VHF",Pathogens!C43)),4,IF(ISNUMBER(SEARCH("Emerging",Pathogens!C43)),5,IF(ISNUMBER(SEARCH("Mycobacterial",Pathogens!C43)),3,IF(ISNUMBER(SEARCH("Helminth",Pathogens!C43)),3,IF(ISNUMBER(SEARCH("Respiratory",Pathogens!C43)),4,3)))))))</f>
        <v>3</v>
      </c>
      <c r="AK46" s="62">
        <f>IF(ISNUMBER(SEARCH("AMR",Pathogens!C43)),5,IF(ISNUMBER(SEARCH("Mycobacterial",Pathogens!C43)),4,IF(ISNUMBER(SEARCH("Enteric bacterial",Pathogens!C43)),3,IF(ISNUMBER(SEARCH("Bacterial",Pathogens!C43)),3,1))))</f>
        <v>3</v>
      </c>
      <c r="AL4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6" s="62">
        <f>(6-Pathogens!X43)</f>
        <v>5</v>
      </c>
      <c r="AN46" s="62">
        <f>ROUND(MIN(5,MAX(1,0.35*IF(Pathogens!R43=1,5,IF(Pathogens!R43=2,3,1))+0.2*IF(Pathogens!S43=1,5,IF(Pathogens!S43=2,3,1))+0.25*IF(Pathogens!W43=1,IF(VLOOKUP(F$4,Countries!$B$2:$AN$55,38,FALSE)&gt;=3,5,IF(VLOOKUP(F$4,Countries!$B$2:$AN$55,38,FALSE)=2,4,IF(VLOOKUP(F$4,Countries!$B$2:$AN$55,38,FALSE)=1,2,1))),5)+0.2*IF(VLOOKUP(F$4,Countries!$B$2:$AN$55,24,FALSE)&gt;=50,5,IF(VLOOKUP(F$4,Countries!$B$2:$AN$55,24,FALSE)&gt;=25,4,IF(VLOOKUP(F$4,Countries!$B$2:$AN$55,24,FALSE)&gt;=10,3,IF(VLOOKUP(F$4,Countries!$B$2:$AN$55,24,FALSE)&gt;=5,2,1)))))),0)</f>
        <v>3</v>
      </c>
      <c r="AO46" s="62" t="str">
        <f>IFERROR(INDEX(Endemicity!$C$2:$BN$55,MATCH(F$4,Endemicity!$B$2:$B$55,0),MATCH($A46,Endemicity!$C$1:$BN$1,0)),"Sporadic")</f>
        <v>Sporadic</v>
      </c>
      <c r="AP46" s="62">
        <f>IF(Settings!$B$48="ON",IFERROR(MATCH($AO46,Settings!$B$35:$F$35,0),5),5)</f>
        <v>2</v>
      </c>
      <c r="AQ46" s="62">
        <f>ROUND(MIN(5,IF(Pathogens!I43&gt;=500,5,IF(Pathogens!I43&gt;=200,4,IF(Pathogens!I43&gt;=50,3,IF(Pathogens!I43&gt;=10,2,1))))*0.5+IF(Pathogens!J43&gt;=30,5,IF(Pathogens!J43&gt;=10,4,IF(Pathogens!J43&gt;=3,3,IF(Pathogens!J43&gt;=1,2,1))))*0.4+IF(AND(VLOOKUP(G$4,Countries!$B$2:$AN$55,4,FALSE)&gt;=80,Pathogens!N43&gt;=0.5),1,0)*0.1+IF(VLOOKUP(G$4,Countries!$B$2:$AN$55,7,FALSE)&lt;50,0.3,0)),0)</f>
        <v>2</v>
      </c>
      <c r="AR46" s="62">
        <f>ROUND(MIN(5,IF(Pathogens!K43&gt;=8,5,IF(Pathogens!K43&gt;=5,4,IF(Pathogens!K43&gt;=3,3,IF(Pathogens!K43&gt;=1,2,1))))*0.5+IF(Pathogens!L43&gt;=5,5,IF(Pathogens!L43&gt;=3,4,IF(Pathogens!L43&gt;=2,3,IF(Pathogens!L43&gt;=1.2,2,1))))*0.3+IF(Pathogens!M43=1,2,0)*0.2+IF(VLOOKUP(G$4,Countries!$B$2:$AN$55,12,FALSE)&gt;=2,0.5,0)),0)</f>
        <v>2</v>
      </c>
      <c r="AS46" s="62">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c r="AT46" s="62">
        <f>ROUND(MAX(1,MIN(5,(6-VLOOKUP(G$4,Countries!$B$2:$AN$55,10,FALSE))*0.5+(6-VLOOKUP(G$4,Countries!$B$2:$AN$55,11,FALSE))*0.4+(IF(AND(Pathogens!N43&gt;=0.5,VLOOKUP(G$4,Countries!$B$2:$AN$55,5,FALSE)&lt;60),5,IF(Pathogens!N43&gt;=0.5,4,IF(Pathogens!N43&gt;=0.3,3,IF(Pathogens!N43&gt;=0.1,2,1)))))*0.1)),0)</f>
        <v>2</v>
      </c>
      <c r="AU46" s="62">
        <f>IF(ISNUMBER(SEARCH("Vaccine-preventable",Pathogens!C43)),2,IF(ISNUMBER(SEARCH("AMR",Pathogens!C43)),5,IF(ISNUMBER(SEARCH("VHF",Pathogens!C43)),4,IF(ISNUMBER(SEARCH("Emerging",Pathogens!C43)),5,IF(ISNUMBER(SEARCH("Mycobacterial",Pathogens!C43)),3,IF(ISNUMBER(SEARCH("Helminth",Pathogens!C43)),3,IF(ISNUMBER(SEARCH("Respiratory",Pathogens!C43)),4,3)))))))</f>
        <v>3</v>
      </c>
      <c r="AV46" s="62">
        <f>IF(ISNUMBER(SEARCH("AMR",Pathogens!C43)),5,IF(ISNUMBER(SEARCH("Mycobacterial",Pathogens!C43)),4,IF(ISNUMBER(SEARCH("Enteric bacterial",Pathogens!C43)),3,IF(ISNUMBER(SEARCH("Bacterial",Pathogens!C43)),3,1))))</f>
        <v>3</v>
      </c>
      <c r="AW4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6" s="62">
        <f>(6-Pathogens!X43)</f>
        <v>5</v>
      </c>
      <c r="AY46" s="62">
        <f>ROUND(MIN(5,MAX(1,0.35*IF(Pathogens!R43=1,5,IF(Pathogens!R43=2,3,1))+0.2*IF(Pathogens!S43=1,5,IF(Pathogens!S43=2,3,1))+0.25*IF(Pathogens!W43=1,IF(VLOOKUP(G$4,Countries!$B$2:$AN$55,38,FALSE)&gt;=3,5,IF(VLOOKUP(G$4,Countries!$B$2:$AN$55,38,FALSE)=2,4,IF(VLOOKUP(G$4,Countries!$B$2:$AN$55,38,FALSE)=1,2,1))),5)+0.2*IF(VLOOKUP(G$4,Countries!$B$2:$AN$55,24,FALSE)&gt;=50,5,IF(VLOOKUP(G$4,Countries!$B$2:$AN$55,24,FALSE)&gt;=25,4,IF(VLOOKUP(G$4,Countries!$B$2:$AN$55,24,FALSE)&gt;=10,3,IF(VLOOKUP(G$4,Countries!$B$2:$AN$55,24,FALSE)&gt;=5,2,1)))))),0)</f>
        <v>3</v>
      </c>
      <c r="AZ46" s="62" t="str">
        <f>IFERROR(INDEX(Endemicity!$C$2:$BN$55,MATCH(G$4,Endemicity!$B$2:$B$55,0),MATCH($A46,Endemicity!$C$1:$BN$1,0)),"Sporadic")</f>
        <v>Sporadic</v>
      </c>
      <c r="BA46" s="62">
        <f>IF(Settings!$B$48="ON",IFERROR(MATCH($AZ46,Settings!$B$35:$F$35,0),5),5)</f>
        <v>2</v>
      </c>
    </row>
    <row r="47" customHeight="1" spans="1:53">
      <c r="A47" s="61" t="str">
        <f>Calculator!A76</f>
        <v>BURK</v>
      </c>
      <c r="B47" s="61" t="str">
        <f>Calculator!B76</f>
        <v>Burkholderia pseudomallei</v>
      </c>
      <c r="C47" s="61" t="str">
        <f>Calculator!C76</f>
        <v>Bacterial environmental</v>
      </c>
      <c r="D47" s="52">
        <f>IFERROR(ROUND(MIN(100,(($J47)*Settings!$C$23*INDEX(Settings!$B$36:$F$44,1,$T47)+($K47)*Settings!$C$24*INDEX(Settings!$B$36:$F$44,2,$T47)+($L47)*Settings!$C$25*INDEX(Settings!$B$36:$F$44,3,$T47)+($M47)*Settings!$C$26*INDEX(Settings!$B$36:$F$44,4,$T47)+($N47)*Settings!$C$27*INDEX(Settings!$B$36:$F$44,5,$T47)+($O47)*Settings!$C$28*INDEX(Settings!$B$36:$F$44,6,$T47)+($P47)*Settings!$C$29*INDEX(Settings!$B$36:$F$44,7,$T47)+($Q47)*Settings!$C$30*INDEX(Settings!$B$36:$F$44,8,$T47)+($R47)*Settings!$C$31*INDEX(Settings!$B$36:$F$44,9,$T47))/INDEX(Settings!$B$45:$F$45,1,$T47)/5*100*IF($S47="Not present",Settings!$B$51,1)),1),"")</f>
        <v>55.6</v>
      </c>
      <c r="E47" s="52">
        <f>IFERROR(ROUND(MIN(100,(($U47)*Settings!$C$23*INDEX(Settings!$B$36:$F$44,1,$AE47)+($V47)*Settings!$C$24*INDEX(Settings!$B$36:$F$44,2,$AE47)+($W47)*Settings!$C$25*INDEX(Settings!$B$36:$F$44,3,$AE47)+($X47)*Settings!$C$26*INDEX(Settings!$B$36:$F$44,4,$AE47)+($Y47)*Settings!$C$27*INDEX(Settings!$B$36:$F$44,5,$AE47)+($Z47)*Settings!$C$28*INDEX(Settings!$B$36:$F$44,6,$AE47)+($AA47)*Settings!$C$29*INDEX(Settings!$B$36:$F$44,7,$AE47)+($AB47)*Settings!$C$30*INDEX(Settings!$B$36:$F$44,8,$AE47)+($AC47)*Settings!$C$31*INDEX(Settings!$B$36:$F$44,9,$AE47))/INDEX(Settings!$B$45:$F$45,1,$AE47)/5*100*IF($AD47="Not present",Settings!$B$51,1)),1),"")</f>
        <v>60.1</v>
      </c>
      <c r="F47" s="52">
        <f>IFERROR(ROUND(MIN(100,(($AF47)*Settings!$C$23*INDEX(Settings!$B$36:$F$44,1,$AP47)+($AG47)*Settings!$C$24*INDEX(Settings!$B$36:$F$44,2,$AP47)+($AH47)*Settings!$C$25*INDEX(Settings!$B$36:$F$44,3,$AP47)+($AI47)*Settings!$C$26*INDEX(Settings!$B$36:$F$44,4,$AP47)+($AJ47)*Settings!$C$27*INDEX(Settings!$B$36:$F$44,5,$AP47)+($AK47)*Settings!$C$28*INDEX(Settings!$B$36:$F$44,6,$AP47)+($AL47)*Settings!$C$29*INDEX(Settings!$B$36:$F$44,7,$AP47)+($AM47)*Settings!$C$30*INDEX(Settings!$B$36:$F$44,8,$AP47)+($AN47)*Settings!$C$31*INDEX(Settings!$B$36:$F$44,9,$AP47))/INDEX(Settings!$B$45:$F$45,1,$AP47)/5*100*IF($AO47="Not present",Settings!$B$51,1)),1),"")</f>
        <v>55.8</v>
      </c>
      <c r="G47" s="52">
        <f>IFERROR(ROUND(MIN(100,(($AQ47)*Settings!$C$23*INDEX(Settings!$B$36:$F$44,1,$BA47)+($AR47)*Settings!$C$24*INDEX(Settings!$B$36:$F$44,2,$BA47)+($AS47)*Settings!$C$25*INDEX(Settings!$B$36:$F$44,3,$BA47)+($AT47)*Settings!$C$26*INDEX(Settings!$B$36:$F$44,4,$BA47)+($AU47)*Settings!$C$27*INDEX(Settings!$B$36:$F$44,5,$BA47)+($AV47)*Settings!$C$28*INDEX(Settings!$B$36:$F$44,6,$BA47)+($AW47)*Settings!$C$29*INDEX(Settings!$B$36:$F$44,7,$BA47)+($AX47)*Settings!$C$30*INDEX(Settings!$B$36:$F$44,8,$BA47)+($AY47)*Settings!$C$31*INDEX(Settings!$B$36:$F$44,9,$BA47))/INDEX(Settings!$B$45:$F$45,1,$BA47)/5*100*IF($AZ47="Not present",Settings!$B$51,1)),1),"")</f>
        <v>56.9</v>
      </c>
      <c r="J47" s="62">
        <f>ROUND(MIN(5,IF(Pathogens!I44&gt;=500,5,IF(Pathogens!I44&gt;=200,4,IF(Pathogens!I44&gt;=50,3,IF(Pathogens!I44&gt;=10,2,1))))*0.5+IF(Pathogens!J44&gt;=30,5,IF(Pathogens!J44&gt;=10,4,IF(Pathogens!J44&gt;=3,3,IF(Pathogens!J44&gt;=1,2,1))))*0.4+IF(AND(VLOOKUP(D$4,Countries!$B$2:$AN$55,4,FALSE)&gt;=80,Pathogens!N44&gt;=0.5),1,0)*0.1+IF(VLOOKUP(D$4,Countries!$B$2:$AN$55,7,FALSE)&lt;50,0.3,0)),0)</f>
        <v>3</v>
      </c>
      <c r="K47" s="62">
        <f>ROUND(MIN(5,IF(Pathogens!K44&gt;=8,5,IF(Pathogens!K44&gt;=5,4,IF(Pathogens!K44&gt;=3,3,IF(Pathogens!K44&gt;=1,2,1))))*0.5+IF(Pathogens!L44&gt;=5,5,IF(Pathogens!L44&gt;=3,4,IF(Pathogens!L44&gt;=2,3,IF(Pathogens!L44&gt;=1.2,2,1))))*0.3+IF(Pathogens!M44=1,2,0)*0.2+IF(VLOOKUP(D$4,Countries!$B$2:$AN$55,12,FALSE)&gt;=2,0.5,0)),0)</f>
        <v>2</v>
      </c>
      <c r="L47" s="62">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c r="M47" s="62">
        <f>ROUND(MAX(1,MIN(5,(6-VLOOKUP(D$4,Countries!$B$2:$AN$55,10,FALSE))*0.5+(6-VLOOKUP(D$4,Countries!$B$2:$AN$55,11,FALSE))*0.4+(IF(AND(Pathogens!N44&gt;=0.5,VLOOKUP(D$4,Countries!$B$2:$AN$55,5,FALSE)&lt;60),5,IF(Pathogens!N44&gt;=0.5,4,IF(Pathogens!N44&gt;=0.3,3,IF(Pathogens!N44&gt;=0.1,2,1)))))*0.1)),0)</f>
        <v>2</v>
      </c>
      <c r="N47" s="62">
        <f>IF(ISNUMBER(SEARCH("Vaccine-preventable",Pathogens!C44)),2,IF(ISNUMBER(SEARCH("AMR",Pathogens!C44)),5,IF(ISNUMBER(SEARCH("VHF",Pathogens!C44)),4,IF(ISNUMBER(SEARCH("Emerging",Pathogens!C44)),5,IF(ISNUMBER(SEARCH("Mycobacterial",Pathogens!C44)),3,IF(ISNUMBER(SEARCH("Helminth",Pathogens!C44)),3,IF(ISNUMBER(SEARCH("Respiratory",Pathogens!C44)),4,3)))))))</f>
        <v>3</v>
      </c>
      <c r="O47" s="62">
        <f>IF(ISNUMBER(SEARCH("AMR",Pathogens!C44)),5,IF(ISNUMBER(SEARCH("Mycobacterial",Pathogens!C44)),4,IF(ISNUMBER(SEARCH("Enteric bacterial",Pathogens!C44)),3,IF(ISNUMBER(SEARCH("Bacterial",Pathogens!C44)),3,1))))</f>
        <v>3</v>
      </c>
      <c r="P4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7" s="62">
        <f>(6-Pathogens!X44)</f>
        <v>5</v>
      </c>
      <c r="R47" s="62">
        <f>ROUND(MIN(5,MAX(1,0.35*IF(Pathogens!R44=1,5,IF(Pathogens!R44=2,3,1))+0.2*IF(Pathogens!S44=1,5,IF(Pathogens!S44=2,3,1))+0.25*IF(Pathogens!W44=1,IF(VLOOKUP(D$4,Countries!$B$2:$AN$55,38,FALSE)&gt;=3,5,IF(VLOOKUP(D$4,Countries!$B$2:$AN$55,38,FALSE)=2,4,IF(VLOOKUP(D$4,Countries!$B$2:$AN$55,38,FALSE)=1,2,1))),5)+0.2*IF(VLOOKUP(D$4,Countries!$B$2:$AN$55,24,FALSE)&gt;=50,5,IF(VLOOKUP(D$4,Countries!$B$2:$AN$55,24,FALSE)&gt;=25,4,IF(VLOOKUP(D$4,Countries!$B$2:$AN$55,24,FALSE)&gt;=10,3,IF(VLOOKUP(D$4,Countries!$B$2:$AN$55,24,FALSE)&gt;=5,2,1)))))),0)</f>
        <v>3</v>
      </c>
      <c r="S47" s="62" t="str">
        <f>IFERROR(INDEX(Endemicity!$C$2:$BN$55,MATCH(D$4,Endemicity!$B$2:$B$55,0),MATCH($A47,Endemicity!$C$1:$BN$1,0)),"Sporadic")</f>
        <v>Sporadic</v>
      </c>
      <c r="T47" s="62">
        <f>IF(Settings!$B$48="ON",IFERROR(MATCH($S47,Settings!$B$35:$F$35,0),5),5)</f>
        <v>2</v>
      </c>
      <c r="U47" s="62">
        <f>ROUND(MIN(5,IF(Pathogens!I44&gt;=500,5,IF(Pathogens!I44&gt;=200,4,IF(Pathogens!I44&gt;=50,3,IF(Pathogens!I44&gt;=10,2,1))))*0.5+IF(Pathogens!J44&gt;=30,5,IF(Pathogens!J44&gt;=10,4,IF(Pathogens!J44&gt;=3,3,IF(Pathogens!J44&gt;=1,2,1))))*0.4+IF(AND(VLOOKUP(E$4,Countries!$B$2:$AN$55,4,FALSE)&gt;=80,Pathogens!N44&gt;=0.5),1,0)*0.1+IF(VLOOKUP(E$4,Countries!$B$2:$AN$55,7,FALSE)&lt;50,0.3,0)),0)</f>
        <v>3</v>
      </c>
      <c r="V47" s="62">
        <f>ROUND(MIN(5,IF(Pathogens!K44&gt;=8,5,IF(Pathogens!K44&gt;=5,4,IF(Pathogens!K44&gt;=3,3,IF(Pathogens!K44&gt;=1,2,1))))*0.5+IF(Pathogens!L44&gt;=5,5,IF(Pathogens!L44&gt;=3,4,IF(Pathogens!L44&gt;=2,3,IF(Pathogens!L44&gt;=1.2,2,1))))*0.3+IF(Pathogens!M44=1,2,0)*0.2+IF(VLOOKUP(E$4,Countries!$B$2:$AN$55,12,FALSE)&gt;=2,0.5,0)),0)</f>
        <v>2</v>
      </c>
      <c r="W47" s="62">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c r="X47" s="62">
        <f>ROUND(MAX(1,MIN(5,(6-VLOOKUP(E$4,Countries!$B$2:$AN$55,10,FALSE))*0.5+(6-VLOOKUP(E$4,Countries!$B$2:$AN$55,11,FALSE))*0.4+(IF(AND(Pathogens!N44&gt;=0.5,VLOOKUP(E$4,Countries!$B$2:$AN$55,5,FALSE)&lt;60),5,IF(Pathogens!N44&gt;=0.5,4,IF(Pathogens!N44&gt;=0.3,3,IF(Pathogens!N44&gt;=0.1,2,1)))))*0.1)),0)</f>
        <v>3</v>
      </c>
      <c r="Y47" s="62">
        <f>IF(ISNUMBER(SEARCH("Vaccine-preventable",Pathogens!C44)),2,IF(ISNUMBER(SEARCH("AMR",Pathogens!C44)),5,IF(ISNUMBER(SEARCH("VHF",Pathogens!C44)),4,IF(ISNUMBER(SEARCH("Emerging",Pathogens!C44)),5,IF(ISNUMBER(SEARCH("Mycobacterial",Pathogens!C44)),3,IF(ISNUMBER(SEARCH("Helminth",Pathogens!C44)),3,IF(ISNUMBER(SEARCH("Respiratory",Pathogens!C44)),4,3)))))))</f>
        <v>3</v>
      </c>
      <c r="Z47" s="62">
        <f>IF(ISNUMBER(SEARCH("AMR",Pathogens!C44)),5,IF(ISNUMBER(SEARCH("Mycobacterial",Pathogens!C44)),4,IF(ISNUMBER(SEARCH("Enteric bacterial",Pathogens!C44)),3,IF(ISNUMBER(SEARCH("Bacterial",Pathogens!C44)),3,1))))</f>
        <v>3</v>
      </c>
      <c r="AA4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7" s="62">
        <f>(6-Pathogens!X44)</f>
        <v>5</v>
      </c>
      <c r="AC47" s="62">
        <f>ROUND(MIN(5,MAX(1,0.35*IF(Pathogens!R44=1,5,IF(Pathogens!R44=2,3,1))+0.2*IF(Pathogens!S44=1,5,IF(Pathogens!S44=2,3,1))+0.25*IF(Pathogens!W44=1,IF(VLOOKUP(E$4,Countries!$B$2:$AN$55,38,FALSE)&gt;=3,5,IF(VLOOKUP(E$4,Countries!$B$2:$AN$55,38,FALSE)=2,4,IF(VLOOKUP(E$4,Countries!$B$2:$AN$55,38,FALSE)=1,2,1))),5)+0.2*IF(VLOOKUP(E$4,Countries!$B$2:$AN$55,24,FALSE)&gt;=50,5,IF(VLOOKUP(E$4,Countries!$B$2:$AN$55,24,FALSE)&gt;=25,4,IF(VLOOKUP(E$4,Countries!$B$2:$AN$55,24,FALSE)&gt;=10,3,IF(VLOOKUP(E$4,Countries!$B$2:$AN$55,24,FALSE)&gt;=5,2,1)))))),0)</f>
        <v>3</v>
      </c>
      <c r="AD47" s="62" t="str">
        <f>IFERROR(INDEX(Endemicity!$C$2:$BN$55,MATCH(E$4,Endemicity!$B$2:$B$55,0),MATCH($A47,Endemicity!$C$1:$BN$1,0)),"Sporadic")</f>
        <v>Emerging</v>
      </c>
      <c r="AE47" s="62">
        <f>IF(Settings!$B$48="ON",IFERROR(MATCH($AD47,Settings!$B$35:$F$35,0),5),5)</f>
        <v>3</v>
      </c>
      <c r="AF47" s="62">
        <f>ROUND(MIN(5,IF(Pathogens!I44&gt;=500,5,IF(Pathogens!I44&gt;=200,4,IF(Pathogens!I44&gt;=50,3,IF(Pathogens!I44&gt;=10,2,1))))*0.5+IF(Pathogens!J44&gt;=30,5,IF(Pathogens!J44&gt;=10,4,IF(Pathogens!J44&gt;=3,3,IF(Pathogens!J44&gt;=1,2,1))))*0.4+IF(AND(VLOOKUP(F$4,Countries!$B$2:$AN$55,4,FALSE)&gt;=80,Pathogens!N44&gt;=0.5),1,0)*0.1+IF(VLOOKUP(F$4,Countries!$B$2:$AN$55,7,FALSE)&lt;50,0.3,0)),0)</f>
        <v>3</v>
      </c>
      <c r="AG47" s="62">
        <f>ROUND(MIN(5,IF(Pathogens!K44&gt;=8,5,IF(Pathogens!K44&gt;=5,4,IF(Pathogens!K44&gt;=3,3,IF(Pathogens!K44&gt;=1,2,1))))*0.5+IF(Pathogens!L44&gt;=5,5,IF(Pathogens!L44&gt;=3,4,IF(Pathogens!L44&gt;=2,3,IF(Pathogens!L44&gt;=1.2,2,1))))*0.3+IF(Pathogens!M44=1,2,0)*0.2+IF(VLOOKUP(F$4,Countries!$B$2:$AN$55,12,FALSE)&gt;=2,0.5,0)),0)</f>
        <v>2</v>
      </c>
      <c r="AH47" s="62">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c r="AI47" s="62">
        <f>ROUND(MAX(1,MIN(5,(6-VLOOKUP(F$4,Countries!$B$2:$AN$55,10,FALSE))*0.5+(6-VLOOKUP(F$4,Countries!$B$2:$AN$55,11,FALSE))*0.4+(IF(AND(Pathogens!N44&gt;=0.5,VLOOKUP(F$4,Countries!$B$2:$AN$55,5,FALSE)&lt;60),5,IF(Pathogens!N44&gt;=0.5,4,IF(Pathogens!N44&gt;=0.3,3,IF(Pathogens!N44&gt;=0.1,2,1)))))*0.1)),0)</f>
        <v>2</v>
      </c>
      <c r="AJ47" s="62">
        <f>IF(ISNUMBER(SEARCH("Vaccine-preventable",Pathogens!C44)),2,IF(ISNUMBER(SEARCH("AMR",Pathogens!C44)),5,IF(ISNUMBER(SEARCH("VHF",Pathogens!C44)),4,IF(ISNUMBER(SEARCH("Emerging",Pathogens!C44)),5,IF(ISNUMBER(SEARCH("Mycobacterial",Pathogens!C44)),3,IF(ISNUMBER(SEARCH("Helminth",Pathogens!C44)),3,IF(ISNUMBER(SEARCH("Respiratory",Pathogens!C44)),4,3)))))))</f>
        <v>3</v>
      </c>
      <c r="AK47" s="62">
        <f>IF(ISNUMBER(SEARCH("AMR",Pathogens!C44)),5,IF(ISNUMBER(SEARCH("Mycobacterial",Pathogens!C44)),4,IF(ISNUMBER(SEARCH("Enteric bacterial",Pathogens!C44)),3,IF(ISNUMBER(SEARCH("Bacterial",Pathogens!C44)),3,1))))</f>
        <v>3</v>
      </c>
      <c r="AL4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7" s="62">
        <f>(6-Pathogens!X44)</f>
        <v>5</v>
      </c>
      <c r="AN47" s="62">
        <f>ROUND(MIN(5,MAX(1,0.35*IF(Pathogens!R44=1,5,IF(Pathogens!R44=2,3,1))+0.2*IF(Pathogens!S44=1,5,IF(Pathogens!S44=2,3,1))+0.25*IF(Pathogens!W44=1,IF(VLOOKUP(F$4,Countries!$B$2:$AN$55,38,FALSE)&gt;=3,5,IF(VLOOKUP(F$4,Countries!$B$2:$AN$55,38,FALSE)=2,4,IF(VLOOKUP(F$4,Countries!$B$2:$AN$55,38,FALSE)=1,2,1))),5)+0.2*IF(VLOOKUP(F$4,Countries!$B$2:$AN$55,24,FALSE)&gt;=50,5,IF(VLOOKUP(F$4,Countries!$B$2:$AN$55,24,FALSE)&gt;=25,4,IF(VLOOKUP(F$4,Countries!$B$2:$AN$55,24,FALSE)&gt;=10,3,IF(VLOOKUP(F$4,Countries!$B$2:$AN$55,24,FALSE)&gt;=5,2,1)))))),0)</f>
        <v>3</v>
      </c>
      <c r="AO47" s="62" t="str">
        <f>IFERROR(INDEX(Endemicity!$C$2:$BN$55,MATCH(F$4,Endemicity!$B$2:$B$55,0),MATCH($A47,Endemicity!$C$1:$BN$1,0)),"Sporadic")</f>
        <v>Emerging</v>
      </c>
      <c r="AP47" s="62">
        <f>IF(Settings!$B$48="ON",IFERROR(MATCH($AO47,Settings!$B$35:$F$35,0),5),5)</f>
        <v>3</v>
      </c>
      <c r="AQ47" s="62">
        <f>ROUND(MIN(5,IF(Pathogens!I44&gt;=500,5,IF(Pathogens!I44&gt;=200,4,IF(Pathogens!I44&gt;=50,3,IF(Pathogens!I44&gt;=10,2,1))))*0.5+IF(Pathogens!J44&gt;=30,5,IF(Pathogens!J44&gt;=10,4,IF(Pathogens!J44&gt;=3,3,IF(Pathogens!J44&gt;=1,2,1))))*0.4+IF(AND(VLOOKUP(G$4,Countries!$B$2:$AN$55,4,FALSE)&gt;=80,Pathogens!N44&gt;=0.5),1,0)*0.1+IF(VLOOKUP(G$4,Countries!$B$2:$AN$55,7,FALSE)&lt;50,0.3,0)),0)</f>
        <v>3</v>
      </c>
      <c r="AR47" s="62">
        <f>ROUND(MIN(5,IF(Pathogens!K44&gt;=8,5,IF(Pathogens!K44&gt;=5,4,IF(Pathogens!K44&gt;=3,3,IF(Pathogens!K44&gt;=1,2,1))))*0.5+IF(Pathogens!L44&gt;=5,5,IF(Pathogens!L44&gt;=3,4,IF(Pathogens!L44&gt;=2,3,IF(Pathogens!L44&gt;=1.2,2,1))))*0.3+IF(Pathogens!M44=1,2,0)*0.2+IF(VLOOKUP(G$4,Countries!$B$2:$AN$55,12,FALSE)&gt;=2,0.5,0)),0)</f>
        <v>2</v>
      </c>
      <c r="AS47" s="62">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c r="AT47" s="62">
        <f>ROUND(MAX(1,MIN(5,(6-VLOOKUP(G$4,Countries!$B$2:$AN$55,10,FALSE))*0.5+(6-VLOOKUP(G$4,Countries!$B$2:$AN$55,11,FALSE))*0.4+(IF(AND(Pathogens!N44&gt;=0.5,VLOOKUP(G$4,Countries!$B$2:$AN$55,5,FALSE)&lt;60),5,IF(Pathogens!N44&gt;=0.5,4,IF(Pathogens!N44&gt;=0.3,3,IF(Pathogens!N44&gt;=0.1,2,1)))))*0.1)),0)</f>
        <v>2</v>
      </c>
      <c r="AU47" s="62">
        <f>IF(ISNUMBER(SEARCH("Vaccine-preventable",Pathogens!C44)),2,IF(ISNUMBER(SEARCH("AMR",Pathogens!C44)),5,IF(ISNUMBER(SEARCH("VHF",Pathogens!C44)),4,IF(ISNUMBER(SEARCH("Emerging",Pathogens!C44)),5,IF(ISNUMBER(SEARCH("Mycobacterial",Pathogens!C44)),3,IF(ISNUMBER(SEARCH("Helminth",Pathogens!C44)),3,IF(ISNUMBER(SEARCH("Respiratory",Pathogens!C44)),4,3)))))))</f>
        <v>3</v>
      </c>
      <c r="AV47" s="62">
        <f>IF(ISNUMBER(SEARCH("AMR",Pathogens!C44)),5,IF(ISNUMBER(SEARCH("Mycobacterial",Pathogens!C44)),4,IF(ISNUMBER(SEARCH("Enteric bacterial",Pathogens!C44)),3,IF(ISNUMBER(SEARCH("Bacterial",Pathogens!C44)),3,1))))</f>
        <v>3</v>
      </c>
      <c r="AW4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7" s="62">
        <f>(6-Pathogens!X44)</f>
        <v>5</v>
      </c>
      <c r="AY47" s="62">
        <f>ROUND(MIN(5,MAX(1,0.35*IF(Pathogens!R44=1,5,IF(Pathogens!R44=2,3,1))+0.2*IF(Pathogens!S44=1,5,IF(Pathogens!S44=2,3,1))+0.25*IF(Pathogens!W44=1,IF(VLOOKUP(G$4,Countries!$B$2:$AN$55,38,FALSE)&gt;=3,5,IF(VLOOKUP(G$4,Countries!$B$2:$AN$55,38,FALSE)=2,4,IF(VLOOKUP(G$4,Countries!$B$2:$AN$55,38,FALSE)=1,2,1))),5)+0.2*IF(VLOOKUP(G$4,Countries!$B$2:$AN$55,24,FALSE)&gt;=50,5,IF(VLOOKUP(G$4,Countries!$B$2:$AN$55,24,FALSE)&gt;=25,4,IF(VLOOKUP(G$4,Countries!$B$2:$AN$55,24,FALSE)&gt;=10,3,IF(VLOOKUP(G$4,Countries!$B$2:$AN$55,24,FALSE)&gt;=5,2,1)))))),0)</f>
        <v>3</v>
      </c>
      <c r="AZ47" s="62" t="str">
        <f>IFERROR(INDEX(Endemicity!$C$2:$BN$55,MATCH(G$4,Endemicity!$B$2:$B$55,0),MATCH($A47,Endemicity!$C$1:$BN$1,0)),"Sporadic")</f>
        <v>Emerging</v>
      </c>
      <c r="BA47" s="62">
        <f>IF(Settings!$B$48="ON",IFERROR(MATCH($AZ47,Settings!$B$35:$F$35,0),5),5)</f>
        <v>3</v>
      </c>
    </row>
    <row r="48" customHeight="1" spans="1:53">
      <c r="A48" s="61" t="str">
        <f>Calculator!A77</f>
        <v>PLAGUE</v>
      </c>
      <c r="B48" s="61" t="str">
        <f>Calculator!B77</f>
        <v>Yersinia pestis</v>
      </c>
      <c r="C48" s="61" t="str">
        <f>Calculator!C77</f>
        <v>Bacterial zoonotic</v>
      </c>
      <c r="D48" s="52">
        <f>IFERROR(ROUND(MIN(100,(($J48)*Settings!$C$23*INDEX(Settings!$B$36:$F$44,1,$T48)+($K48)*Settings!$C$24*INDEX(Settings!$B$36:$F$44,2,$T48)+($L48)*Settings!$C$25*INDEX(Settings!$B$36:$F$44,3,$T48)+($M48)*Settings!$C$26*INDEX(Settings!$B$36:$F$44,4,$T48)+($N48)*Settings!$C$27*INDEX(Settings!$B$36:$F$44,5,$T48)+($O48)*Settings!$C$28*INDEX(Settings!$B$36:$F$44,6,$T48)+($P48)*Settings!$C$29*INDEX(Settings!$B$36:$F$44,7,$T48)+($Q48)*Settings!$C$30*INDEX(Settings!$B$36:$F$44,8,$T48)+($R48)*Settings!$C$31*INDEX(Settings!$B$36:$F$44,9,$T48))/INDEX(Settings!$B$45:$F$45,1,$T48)/5*100*IF($S48="Not present",Settings!$B$51,1)),1),"")</f>
        <v>64.5</v>
      </c>
      <c r="E48" s="52">
        <f>IFERROR(ROUND(MIN(100,(($U48)*Settings!$C$23*INDEX(Settings!$B$36:$F$44,1,$AE48)+($V48)*Settings!$C$24*INDEX(Settings!$B$36:$F$44,2,$AE48)+($W48)*Settings!$C$25*INDEX(Settings!$B$36:$F$44,3,$AE48)+($X48)*Settings!$C$26*INDEX(Settings!$B$36:$F$44,4,$AE48)+($Y48)*Settings!$C$27*INDEX(Settings!$B$36:$F$44,5,$AE48)+($Z48)*Settings!$C$28*INDEX(Settings!$B$36:$F$44,6,$AE48)+($AA48)*Settings!$C$29*INDEX(Settings!$B$36:$F$44,7,$AE48)+($AB48)*Settings!$C$30*INDEX(Settings!$B$36:$F$44,8,$AE48)+($AC48)*Settings!$C$31*INDEX(Settings!$B$36:$F$44,9,$AE48))/INDEX(Settings!$B$45:$F$45,1,$AE48)/5*100*IF($AD48="Not present",Settings!$B$51,1)),1),"")</f>
        <v>68.1</v>
      </c>
      <c r="F48" s="52">
        <f>IFERROR(ROUND(MIN(100,(($AF48)*Settings!$C$23*INDEX(Settings!$B$36:$F$44,1,$AP48)+($AG48)*Settings!$C$24*INDEX(Settings!$B$36:$F$44,2,$AP48)+($AH48)*Settings!$C$25*INDEX(Settings!$B$36:$F$44,3,$AP48)+($AI48)*Settings!$C$26*INDEX(Settings!$B$36:$F$44,4,$AP48)+($AJ48)*Settings!$C$27*INDEX(Settings!$B$36:$F$44,5,$AP48)+($AK48)*Settings!$C$28*INDEX(Settings!$B$36:$F$44,6,$AP48)+($AL48)*Settings!$C$29*INDEX(Settings!$B$36:$F$44,7,$AP48)+($AM48)*Settings!$C$30*INDEX(Settings!$B$36:$F$44,8,$AP48)+($AN48)*Settings!$C$31*INDEX(Settings!$B$36:$F$44,9,$AP48))/INDEX(Settings!$B$45:$F$45,1,$AP48)/5*100*IF($AO48="Not present",Settings!$B$51,1)),1),"")</f>
        <v>62.5</v>
      </c>
      <c r="G48" s="52">
        <f>IFERROR(ROUND(MIN(100,(($AQ48)*Settings!$C$23*INDEX(Settings!$B$36:$F$44,1,$BA48)+($AR48)*Settings!$C$24*INDEX(Settings!$B$36:$F$44,2,$BA48)+($AS48)*Settings!$C$25*INDEX(Settings!$B$36:$F$44,3,$BA48)+($AT48)*Settings!$C$26*INDEX(Settings!$B$36:$F$44,4,$BA48)+($AU48)*Settings!$C$27*INDEX(Settings!$B$36:$F$44,5,$BA48)+($AV48)*Settings!$C$28*INDEX(Settings!$B$36:$F$44,6,$BA48)+($AW48)*Settings!$C$29*INDEX(Settings!$B$36:$F$44,7,$BA48)+($AX48)*Settings!$C$30*INDEX(Settings!$B$36:$F$44,8,$BA48)+($AY48)*Settings!$C$31*INDEX(Settings!$B$36:$F$44,9,$BA48))/INDEX(Settings!$B$45:$F$45,1,$BA48)/5*100*IF($AZ48="Not present",Settings!$B$51,1)),1),"")</f>
        <v>64.3</v>
      </c>
      <c r="J48" s="62">
        <f>ROUND(MIN(5,IF(Pathogens!I45&gt;=500,5,IF(Pathogens!I45&gt;=200,4,IF(Pathogens!I45&gt;=50,3,IF(Pathogens!I45&gt;=10,2,1))))*0.5+IF(Pathogens!J45&gt;=30,5,IF(Pathogens!J45&gt;=10,4,IF(Pathogens!J45&gt;=3,3,IF(Pathogens!J45&gt;=1,2,1))))*0.4+IF(AND(VLOOKUP(D$4,Countries!$B$2:$AN$55,4,FALSE)&gt;=80,Pathogens!N45&gt;=0.5),1,0)*0.1+IF(VLOOKUP(D$4,Countries!$B$2:$AN$55,7,FALSE)&lt;50,0.3,0)),0)</f>
        <v>3</v>
      </c>
      <c r="K48" s="62">
        <f>ROUND(MIN(5,IF(Pathogens!K45&gt;=8,5,IF(Pathogens!K45&gt;=5,4,IF(Pathogens!K45&gt;=3,3,IF(Pathogens!K45&gt;=1,2,1))))*0.5+IF(Pathogens!L45&gt;=5,5,IF(Pathogens!L45&gt;=3,4,IF(Pathogens!L45&gt;=2,3,IF(Pathogens!L45&gt;=1.2,2,1))))*0.3+IF(Pathogens!M45=1,2,0)*0.2+IF(VLOOKUP(D$4,Countries!$B$2:$AN$55,12,FALSE)&gt;=2,0.5,0)),0)</f>
        <v>4</v>
      </c>
      <c r="L48" s="62">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c r="M48" s="62">
        <f>ROUND(MAX(1,MIN(5,(6-VLOOKUP(D$4,Countries!$B$2:$AN$55,10,FALSE))*0.5+(6-VLOOKUP(D$4,Countries!$B$2:$AN$55,11,FALSE))*0.4+(IF(AND(Pathogens!N45&gt;=0.5,VLOOKUP(D$4,Countries!$B$2:$AN$55,5,FALSE)&lt;60),5,IF(Pathogens!N45&gt;=0.5,4,IF(Pathogens!N45&gt;=0.3,3,IF(Pathogens!N45&gt;=0.1,2,1)))))*0.1)),0)</f>
        <v>2</v>
      </c>
      <c r="N48" s="62">
        <f>IF(ISNUMBER(SEARCH("Vaccine-preventable",Pathogens!C45)),2,IF(ISNUMBER(SEARCH("AMR",Pathogens!C45)),5,IF(ISNUMBER(SEARCH("VHF",Pathogens!C45)),4,IF(ISNUMBER(SEARCH("Emerging",Pathogens!C45)),5,IF(ISNUMBER(SEARCH("Mycobacterial",Pathogens!C45)),3,IF(ISNUMBER(SEARCH("Helminth",Pathogens!C45)),3,IF(ISNUMBER(SEARCH("Respiratory",Pathogens!C45)),4,3)))))))</f>
        <v>3</v>
      </c>
      <c r="O48" s="62">
        <f>IF(ISNUMBER(SEARCH("AMR",Pathogens!C45)),5,IF(ISNUMBER(SEARCH("Mycobacterial",Pathogens!C45)),4,IF(ISNUMBER(SEARCH("Enteric bacterial",Pathogens!C45)),3,IF(ISNUMBER(SEARCH("Bacterial",Pathogens!C45)),3,1))))</f>
        <v>3</v>
      </c>
      <c r="P4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8" s="62">
        <f>(6-Pathogens!X45)</f>
        <v>3</v>
      </c>
      <c r="R48" s="62">
        <f>ROUND(MIN(5,MAX(1,0.35*IF(Pathogens!R45=1,5,IF(Pathogens!R45=2,3,1))+0.2*IF(Pathogens!S45=1,5,IF(Pathogens!S45=2,3,1))+0.25*IF(Pathogens!W45=1,IF(VLOOKUP(D$4,Countries!$B$2:$AN$55,38,FALSE)&gt;=3,5,IF(VLOOKUP(D$4,Countries!$B$2:$AN$55,38,FALSE)=2,4,IF(VLOOKUP(D$4,Countries!$B$2:$AN$55,38,FALSE)=1,2,1))),5)+0.2*IF(VLOOKUP(D$4,Countries!$B$2:$AN$55,24,FALSE)&gt;=50,5,IF(VLOOKUP(D$4,Countries!$B$2:$AN$55,24,FALSE)&gt;=25,4,IF(VLOOKUP(D$4,Countries!$B$2:$AN$55,24,FALSE)&gt;=10,3,IF(VLOOKUP(D$4,Countries!$B$2:$AN$55,24,FALSE)&gt;=5,2,1)))))),0)</f>
        <v>4</v>
      </c>
      <c r="S48" s="62" t="str">
        <f>IFERROR(INDEX(Endemicity!$C$2:$BN$55,MATCH(D$4,Endemicity!$B$2:$B$55,0),MATCH($A48,Endemicity!$C$1:$BN$1,0)),"Sporadic")</f>
        <v>Sporadic</v>
      </c>
      <c r="T48" s="62">
        <f>IF(Settings!$B$48="ON",IFERROR(MATCH($S48,Settings!$B$35:$F$35,0),5),5)</f>
        <v>2</v>
      </c>
      <c r="U48" s="62">
        <f>ROUND(MIN(5,IF(Pathogens!I45&gt;=500,5,IF(Pathogens!I45&gt;=200,4,IF(Pathogens!I45&gt;=50,3,IF(Pathogens!I45&gt;=10,2,1))))*0.5+IF(Pathogens!J45&gt;=30,5,IF(Pathogens!J45&gt;=10,4,IF(Pathogens!J45&gt;=3,3,IF(Pathogens!J45&gt;=1,2,1))))*0.4+IF(AND(VLOOKUP(E$4,Countries!$B$2:$AN$55,4,FALSE)&gt;=80,Pathogens!N45&gt;=0.5),1,0)*0.1+IF(VLOOKUP(E$4,Countries!$B$2:$AN$55,7,FALSE)&lt;50,0.3,0)),0)</f>
        <v>3</v>
      </c>
      <c r="V48" s="62">
        <f>ROUND(MIN(5,IF(Pathogens!K45&gt;=8,5,IF(Pathogens!K45&gt;=5,4,IF(Pathogens!K45&gt;=3,3,IF(Pathogens!K45&gt;=1,2,1))))*0.5+IF(Pathogens!L45&gt;=5,5,IF(Pathogens!L45&gt;=3,4,IF(Pathogens!L45&gt;=2,3,IF(Pathogens!L45&gt;=1.2,2,1))))*0.3+IF(Pathogens!M45=1,2,0)*0.2+IF(VLOOKUP(E$4,Countries!$B$2:$AN$55,12,FALSE)&gt;=2,0.5,0)),0)</f>
        <v>4</v>
      </c>
      <c r="W48" s="62">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c r="X48" s="62">
        <f>ROUND(MAX(1,MIN(5,(6-VLOOKUP(E$4,Countries!$B$2:$AN$55,10,FALSE))*0.5+(6-VLOOKUP(E$4,Countries!$B$2:$AN$55,11,FALSE))*0.4+(IF(AND(Pathogens!N45&gt;=0.5,VLOOKUP(E$4,Countries!$B$2:$AN$55,5,FALSE)&lt;60),5,IF(Pathogens!N45&gt;=0.5,4,IF(Pathogens!N45&gt;=0.3,3,IF(Pathogens!N45&gt;=0.1,2,1)))))*0.1)),0)</f>
        <v>3</v>
      </c>
      <c r="Y48" s="62">
        <f>IF(ISNUMBER(SEARCH("Vaccine-preventable",Pathogens!C45)),2,IF(ISNUMBER(SEARCH("AMR",Pathogens!C45)),5,IF(ISNUMBER(SEARCH("VHF",Pathogens!C45)),4,IF(ISNUMBER(SEARCH("Emerging",Pathogens!C45)),5,IF(ISNUMBER(SEARCH("Mycobacterial",Pathogens!C45)),3,IF(ISNUMBER(SEARCH("Helminth",Pathogens!C45)),3,IF(ISNUMBER(SEARCH("Respiratory",Pathogens!C45)),4,3)))))))</f>
        <v>3</v>
      </c>
      <c r="Z48" s="62">
        <f>IF(ISNUMBER(SEARCH("AMR",Pathogens!C45)),5,IF(ISNUMBER(SEARCH("Mycobacterial",Pathogens!C45)),4,IF(ISNUMBER(SEARCH("Enteric bacterial",Pathogens!C45)),3,IF(ISNUMBER(SEARCH("Bacterial",Pathogens!C45)),3,1))))</f>
        <v>3</v>
      </c>
      <c r="AA4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8" s="62">
        <f>(6-Pathogens!X45)</f>
        <v>3</v>
      </c>
      <c r="AC48" s="62">
        <f>ROUND(MIN(5,MAX(1,0.35*IF(Pathogens!R45=1,5,IF(Pathogens!R45=2,3,1))+0.2*IF(Pathogens!S45=1,5,IF(Pathogens!S45=2,3,1))+0.25*IF(Pathogens!W45=1,IF(VLOOKUP(E$4,Countries!$B$2:$AN$55,38,FALSE)&gt;=3,5,IF(VLOOKUP(E$4,Countries!$B$2:$AN$55,38,FALSE)=2,4,IF(VLOOKUP(E$4,Countries!$B$2:$AN$55,38,FALSE)=1,2,1))),5)+0.2*IF(VLOOKUP(E$4,Countries!$B$2:$AN$55,24,FALSE)&gt;=50,5,IF(VLOOKUP(E$4,Countries!$B$2:$AN$55,24,FALSE)&gt;=25,4,IF(VLOOKUP(E$4,Countries!$B$2:$AN$55,24,FALSE)&gt;=10,3,IF(VLOOKUP(E$4,Countries!$B$2:$AN$55,24,FALSE)&gt;=5,2,1)))))),0)</f>
        <v>4</v>
      </c>
      <c r="AD48" s="62" t="str">
        <f>IFERROR(INDEX(Endemicity!$C$2:$BN$55,MATCH(E$4,Endemicity!$B$2:$B$55,0),MATCH($A48,Endemicity!$C$1:$BN$1,0)),"Sporadic")</f>
        <v>Endemic</v>
      </c>
      <c r="AE48" s="62">
        <f>IF(Settings!$B$48="ON",IFERROR(MATCH($AD48,Settings!$B$35:$F$35,0),5),5)</f>
        <v>1</v>
      </c>
      <c r="AF48" s="62">
        <f>ROUND(MIN(5,IF(Pathogens!I45&gt;=500,5,IF(Pathogens!I45&gt;=200,4,IF(Pathogens!I45&gt;=50,3,IF(Pathogens!I45&gt;=10,2,1))))*0.5+IF(Pathogens!J45&gt;=30,5,IF(Pathogens!J45&gt;=10,4,IF(Pathogens!J45&gt;=3,3,IF(Pathogens!J45&gt;=1,2,1))))*0.4+IF(AND(VLOOKUP(F$4,Countries!$B$2:$AN$55,4,FALSE)&gt;=80,Pathogens!N45&gt;=0.5),1,0)*0.1+IF(VLOOKUP(F$4,Countries!$B$2:$AN$55,7,FALSE)&lt;50,0.3,0)),0)</f>
        <v>3</v>
      </c>
      <c r="AG48" s="62">
        <f>ROUND(MIN(5,IF(Pathogens!K45&gt;=8,5,IF(Pathogens!K45&gt;=5,4,IF(Pathogens!K45&gt;=3,3,IF(Pathogens!K45&gt;=1,2,1))))*0.5+IF(Pathogens!L45&gt;=5,5,IF(Pathogens!L45&gt;=3,4,IF(Pathogens!L45&gt;=2,3,IF(Pathogens!L45&gt;=1.2,2,1))))*0.3+IF(Pathogens!M45=1,2,0)*0.2+IF(VLOOKUP(F$4,Countries!$B$2:$AN$55,12,FALSE)&gt;=2,0.5,0)),0)</f>
        <v>4</v>
      </c>
      <c r="AH48" s="62">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c r="AI48" s="62">
        <f>ROUND(MAX(1,MIN(5,(6-VLOOKUP(F$4,Countries!$B$2:$AN$55,10,FALSE))*0.5+(6-VLOOKUP(F$4,Countries!$B$2:$AN$55,11,FALSE))*0.4+(IF(AND(Pathogens!N45&gt;=0.5,VLOOKUP(F$4,Countries!$B$2:$AN$55,5,FALSE)&lt;60),5,IF(Pathogens!N45&gt;=0.5,4,IF(Pathogens!N45&gt;=0.3,3,IF(Pathogens!N45&gt;=0.1,2,1)))))*0.1)),0)</f>
        <v>2</v>
      </c>
      <c r="AJ48" s="62">
        <f>IF(ISNUMBER(SEARCH("Vaccine-preventable",Pathogens!C45)),2,IF(ISNUMBER(SEARCH("AMR",Pathogens!C45)),5,IF(ISNUMBER(SEARCH("VHF",Pathogens!C45)),4,IF(ISNUMBER(SEARCH("Emerging",Pathogens!C45)),5,IF(ISNUMBER(SEARCH("Mycobacterial",Pathogens!C45)),3,IF(ISNUMBER(SEARCH("Helminth",Pathogens!C45)),3,IF(ISNUMBER(SEARCH("Respiratory",Pathogens!C45)),4,3)))))))</f>
        <v>3</v>
      </c>
      <c r="AK48" s="62">
        <f>IF(ISNUMBER(SEARCH("AMR",Pathogens!C45)),5,IF(ISNUMBER(SEARCH("Mycobacterial",Pathogens!C45)),4,IF(ISNUMBER(SEARCH("Enteric bacterial",Pathogens!C45)),3,IF(ISNUMBER(SEARCH("Bacterial",Pathogens!C45)),3,1))))</f>
        <v>3</v>
      </c>
      <c r="AL4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8" s="62">
        <f>(6-Pathogens!X45)</f>
        <v>3</v>
      </c>
      <c r="AN48" s="62">
        <f>ROUND(MIN(5,MAX(1,0.35*IF(Pathogens!R45=1,5,IF(Pathogens!R45=2,3,1))+0.2*IF(Pathogens!S45=1,5,IF(Pathogens!S45=2,3,1))+0.25*IF(Pathogens!W45=1,IF(VLOOKUP(F$4,Countries!$B$2:$AN$55,38,FALSE)&gt;=3,5,IF(VLOOKUP(F$4,Countries!$B$2:$AN$55,38,FALSE)=2,4,IF(VLOOKUP(F$4,Countries!$B$2:$AN$55,38,FALSE)=1,2,1))),5)+0.2*IF(VLOOKUP(F$4,Countries!$B$2:$AN$55,24,FALSE)&gt;=50,5,IF(VLOOKUP(F$4,Countries!$B$2:$AN$55,24,FALSE)&gt;=25,4,IF(VLOOKUP(F$4,Countries!$B$2:$AN$55,24,FALSE)&gt;=10,3,IF(VLOOKUP(F$4,Countries!$B$2:$AN$55,24,FALSE)&gt;=5,2,1)))))),0)</f>
        <v>4</v>
      </c>
      <c r="AO48" s="62" t="str">
        <f>IFERROR(INDEX(Endemicity!$C$2:$BN$55,MATCH(F$4,Endemicity!$B$2:$B$55,0),MATCH($A48,Endemicity!$C$1:$BN$1,0)),"Sporadic")</f>
        <v>Endemic</v>
      </c>
      <c r="AP48" s="62">
        <f>IF(Settings!$B$48="ON",IFERROR(MATCH($AO48,Settings!$B$35:$F$35,0),5),5)</f>
        <v>1</v>
      </c>
      <c r="AQ48" s="62">
        <f>ROUND(MIN(5,IF(Pathogens!I45&gt;=500,5,IF(Pathogens!I45&gt;=200,4,IF(Pathogens!I45&gt;=50,3,IF(Pathogens!I45&gt;=10,2,1))))*0.5+IF(Pathogens!J45&gt;=30,5,IF(Pathogens!J45&gt;=10,4,IF(Pathogens!J45&gt;=3,3,IF(Pathogens!J45&gt;=1,2,1))))*0.4+IF(AND(VLOOKUP(G$4,Countries!$B$2:$AN$55,4,FALSE)&gt;=80,Pathogens!N45&gt;=0.5),1,0)*0.1+IF(VLOOKUP(G$4,Countries!$B$2:$AN$55,7,FALSE)&lt;50,0.3,0)),0)</f>
        <v>3</v>
      </c>
      <c r="AR48" s="62">
        <f>ROUND(MIN(5,IF(Pathogens!K45&gt;=8,5,IF(Pathogens!K45&gt;=5,4,IF(Pathogens!K45&gt;=3,3,IF(Pathogens!K45&gt;=1,2,1))))*0.5+IF(Pathogens!L45&gt;=5,5,IF(Pathogens!L45&gt;=3,4,IF(Pathogens!L45&gt;=2,3,IF(Pathogens!L45&gt;=1.2,2,1))))*0.3+IF(Pathogens!M45=1,2,0)*0.2+IF(VLOOKUP(G$4,Countries!$B$2:$AN$55,12,FALSE)&gt;=2,0.5,0)),0)</f>
        <v>4</v>
      </c>
      <c r="AS48" s="62">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c r="AT48" s="62">
        <f>ROUND(MAX(1,MIN(5,(6-VLOOKUP(G$4,Countries!$B$2:$AN$55,10,FALSE))*0.5+(6-VLOOKUP(G$4,Countries!$B$2:$AN$55,11,FALSE))*0.4+(IF(AND(Pathogens!N45&gt;=0.5,VLOOKUP(G$4,Countries!$B$2:$AN$55,5,FALSE)&lt;60),5,IF(Pathogens!N45&gt;=0.5,4,IF(Pathogens!N45&gt;=0.3,3,IF(Pathogens!N45&gt;=0.1,2,1)))))*0.1)),0)</f>
        <v>2</v>
      </c>
      <c r="AU48" s="62">
        <f>IF(ISNUMBER(SEARCH("Vaccine-preventable",Pathogens!C45)),2,IF(ISNUMBER(SEARCH("AMR",Pathogens!C45)),5,IF(ISNUMBER(SEARCH("VHF",Pathogens!C45)),4,IF(ISNUMBER(SEARCH("Emerging",Pathogens!C45)),5,IF(ISNUMBER(SEARCH("Mycobacterial",Pathogens!C45)),3,IF(ISNUMBER(SEARCH("Helminth",Pathogens!C45)),3,IF(ISNUMBER(SEARCH("Respiratory",Pathogens!C45)),4,3)))))))</f>
        <v>3</v>
      </c>
      <c r="AV48" s="62">
        <f>IF(ISNUMBER(SEARCH("AMR",Pathogens!C45)),5,IF(ISNUMBER(SEARCH("Mycobacterial",Pathogens!C45)),4,IF(ISNUMBER(SEARCH("Enteric bacterial",Pathogens!C45)),3,IF(ISNUMBER(SEARCH("Bacterial",Pathogens!C45)),3,1))))</f>
        <v>3</v>
      </c>
      <c r="AW4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8" s="62">
        <f>(6-Pathogens!X45)</f>
        <v>3</v>
      </c>
      <c r="AY48" s="62">
        <f>ROUND(MIN(5,MAX(1,0.35*IF(Pathogens!R45=1,5,IF(Pathogens!R45=2,3,1))+0.2*IF(Pathogens!S45=1,5,IF(Pathogens!S45=2,3,1))+0.25*IF(Pathogens!W45=1,IF(VLOOKUP(G$4,Countries!$B$2:$AN$55,38,FALSE)&gt;=3,5,IF(VLOOKUP(G$4,Countries!$B$2:$AN$55,38,FALSE)=2,4,IF(VLOOKUP(G$4,Countries!$B$2:$AN$55,38,FALSE)=1,2,1))),5)+0.2*IF(VLOOKUP(G$4,Countries!$B$2:$AN$55,24,FALSE)&gt;=50,5,IF(VLOOKUP(G$4,Countries!$B$2:$AN$55,24,FALSE)&gt;=25,4,IF(VLOOKUP(G$4,Countries!$B$2:$AN$55,24,FALSE)&gt;=10,3,IF(VLOOKUP(G$4,Countries!$B$2:$AN$55,24,FALSE)&gt;=5,2,1)))))),0)</f>
        <v>4</v>
      </c>
      <c r="AZ48" s="62" t="str">
        <f>IFERROR(INDEX(Endemicity!$C$2:$BN$55,MATCH(G$4,Endemicity!$B$2:$B$55,0),MATCH($A48,Endemicity!$C$1:$BN$1,0)),"Sporadic")</f>
        <v>Endemic</v>
      </c>
      <c r="BA48" s="62">
        <f>IF(Settings!$B$48="ON",IFERROR(MATCH($AZ48,Settings!$B$35:$F$35,0),5),5)</f>
        <v>1</v>
      </c>
    </row>
    <row r="49" customHeight="1" spans="1:53">
      <c r="A49" s="61" t="str">
        <f>Calculator!A78</f>
        <v>MTB</v>
      </c>
      <c r="B49" s="61" t="str">
        <f>Calculator!B78</f>
        <v>Mycobacterium tuberculosis</v>
      </c>
      <c r="C49" s="61" t="str">
        <f>Calculator!C78</f>
        <v>Mycobacterial</v>
      </c>
      <c r="D49" s="52">
        <f>IFERROR(ROUND(MIN(100,(($J49)*Settings!$C$23*INDEX(Settings!$B$36:$F$44,1,$T49)+($K49)*Settings!$C$24*INDEX(Settings!$B$36:$F$44,2,$T49)+($L49)*Settings!$C$25*INDEX(Settings!$B$36:$F$44,3,$T49)+($M49)*Settings!$C$26*INDEX(Settings!$B$36:$F$44,4,$T49)+($N49)*Settings!$C$27*INDEX(Settings!$B$36:$F$44,5,$T49)+($O49)*Settings!$C$28*INDEX(Settings!$B$36:$F$44,6,$T49)+($P49)*Settings!$C$29*INDEX(Settings!$B$36:$F$44,7,$T49)+($Q49)*Settings!$C$30*INDEX(Settings!$B$36:$F$44,8,$T49)+($R49)*Settings!$C$31*INDEX(Settings!$B$36:$F$44,9,$T49))/INDEX(Settings!$B$45:$F$45,1,$T49)/5*100*IF($S49="Not present",Settings!$B$51,1)),1),"")</f>
        <v>70.3</v>
      </c>
      <c r="E49" s="52">
        <f>IFERROR(ROUND(MIN(100,(($U49)*Settings!$C$23*INDEX(Settings!$B$36:$F$44,1,$AE49)+($V49)*Settings!$C$24*INDEX(Settings!$B$36:$F$44,2,$AE49)+($W49)*Settings!$C$25*INDEX(Settings!$B$36:$F$44,3,$AE49)+($X49)*Settings!$C$26*INDEX(Settings!$B$36:$F$44,4,$AE49)+($Y49)*Settings!$C$27*INDEX(Settings!$B$36:$F$44,5,$AE49)+($Z49)*Settings!$C$28*INDEX(Settings!$B$36:$F$44,6,$AE49)+($AA49)*Settings!$C$29*INDEX(Settings!$B$36:$F$44,7,$AE49)+($AB49)*Settings!$C$30*INDEX(Settings!$B$36:$F$44,8,$AE49)+($AC49)*Settings!$C$31*INDEX(Settings!$B$36:$F$44,9,$AE49))/INDEX(Settings!$B$45:$F$45,1,$AE49)/5*100*IF($AD49="Not present",Settings!$B$51,1)),1),"")</f>
        <v>75.9</v>
      </c>
      <c r="F49" s="52">
        <f>IFERROR(ROUND(MIN(100,(($AF49)*Settings!$C$23*INDEX(Settings!$B$36:$F$44,1,$AP49)+($AG49)*Settings!$C$24*INDEX(Settings!$B$36:$F$44,2,$AP49)+($AH49)*Settings!$C$25*INDEX(Settings!$B$36:$F$44,3,$AP49)+($AI49)*Settings!$C$26*INDEX(Settings!$B$36:$F$44,4,$AP49)+($AJ49)*Settings!$C$27*INDEX(Settings!$B$36:$F$44,5,$AP49)+($AK49)*Settings!$C$28*INDEX(Settings!$B$36:$F$44,6,$AP49)+($AL49)*Settings!$C$29*INDEX(Settings!$B$36:$F$44,7,$AP49)+($AM49)*Settings!$C$30*INDEX(Settings!$B$36:$F$44,8,$AP49)+($AN49)*Settings!$C$31*INDEX(Settings!$B$36:$F$44,9,$AP49))/INDEX(Settings!$B$45:$F$45,1,$AP49)/5*100*IF($AO49="Not present",Settings!$B$51,1)),1),"")</f>
        <v>67.6</v>
      </c>
      <c r="G49" s="52">
        <f>IFERROR(ROUND(MIN(100,(($AQ49)*Settings!$C$23*INDEX(Settings!$B$36:$F$44,1,$BA49)+($AR49)*Settings!$C$24*INDEX(Settings!$B$36:$F$44,2,$BA49)+($AS49)*Settings!$C$25*INDEX(Settings!$B$36:$F$44,3,$BA49)+($AT49)*Settings!$C$26*INDEX(Settings!$B$36:$F$44,4,$BA49)+($AU49)*Settings!$C$27*INDEX(Settings!$B$36:$F$44,5,$BA49)+($AV49)*Settings!$C$28*INDEX(Settings!$B$36:$F$44,6,$BA49)+($AW49)*Settings!$C$29*INDEX(Settings!$B$36:$F$44,7,$BA49)+($AX49)*Settings!$C$30*INDEX(Settings!$B$36:$F$44,8,$BA49)+($AY49)*Settings!$C$31*INDEX(Settings!$B$36:$F$44,9,$BA49))/INDEX(Settings!$B$45:$F$45,1,$BA49)/5*100*IF($AZ49="Not present",Settings!$B$51,1)),1),"")</f>
        <v>72.1</v>
      </c>
      <c r="J49" s="62">
        <f>ROUND(MIN(5,IF(Pathogens!I46&gt;=500,5,IF(Pathogens!I46&gt;=200,4,IF(Pathogens!I46&gt;=50,3,IF(Pathogens!I46&gt;=10,2,1))))*0.5+IF(Pathogens!J46&gt;=30,5,IF(Pathogens!J46&gt;=10,4,IF(Pathogens!J46&gt;=3,3,IF(Pathogens!J46&gt;=1,2,1))))*0.4+IF(AND(VLOOKUP(D$4,Countries!$B$2:$AN$55,4,FALSE)&gt;=80,Pathogens!N46&gt;=0.5),1,0)*0.1+IF(VLOOKUP(D$4,Countries!$B$2:$AN$55,7,FALSE)&lt;50,0.3,0)),0)</f>
        <v>4</v>
      </c>
      <c r="K49" s="62">
        <f>ROUND(MIN(5,IF(Pathogens!K46&gt;=8,5,IF(Pathogens!K46&gt;=5,4,IF(Pathogens!K46&gt;=3,3,IF(Pathogens!K46&gt;=1,2,1))))*0.5+IF(Pathogens!L46&gt;=5,5,IF(Pathogens!L46&gt;=3,4,IF(Pathogens!L46&gt;=2,3,IF(Pathogens!L46&gt;=1.2,2,1))))*0.3+IF(Pathogens!M46=1,2,0)*0.2+IF(VLOOKUP(D$4,Countries!$B$2:$AN$55,12,FALSE)&gt;=2,0.5,0)),0)</f>
        <v>4</v>
      </c>
      <c r="L49" s="62">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c r="M49" s="62">
        <f>ROUND(MAX(1,MIN(5,(6-VLOOKUP(D$4,Countries!$B$2:$AN$55,10,FALSE))*0.5+(6-VLOOKUP(D$4,Countries!$B$2:$AN$55,11,FALSE))*0.4+(IF(AND(Pathogens!N46&gt;=0.5,VLOOKUP(D$4,Countries!$B$2:$AN$55,5,FALSE)&lt;60),5,IF(Pathogens!N46&gt;=0.5,4,IF(Pathogens!N46&gt;=0.3,3,IF(Pathogens!N46&gt;=0.1,2,1)))))*0.1)),0)</f>
        <v>2</v>
      </c>
      <c r="N49" s="62">
        <f>IF(ISNUMBER(SEARCH("Vaccine-preventable",Pathogens!C46)),2,IF(ISNUMBER(SEARCH("AMR",Pathogens!C46)),5,IF(ISNUMBER(SEARCH("VHF",Pathogens!C46)),4,IF(ISNUMBER(SEARCH("Emerging",Pathogens!C46)),5,IF(ISNUMBER(SEARCH("Mycobacterial",Pathogens!C46)),3,IF(ISNUMBER(SEARCH("Helminth",Pathogens!C46)),3,IF(ISNUMBER(SEARCH("Respiratory",Pathogens!C46)),4,3)))))))</f>
        <v>3</v>
      </c>
      <c r="O49" s="62">
        <f>IF(ISNUMBER(SEARCH("AMR",Pathogens!C46)),5,IF(ISNUMBER(SEARCH("Mycobacterial",Pathogens!C46)),4,IF(ISNUMBER(SEARCH("Enteric bacterial",Pathogens!C46)),3,IF(ISNUMBER(SEARCH("Bacterial",Pathogens!C46)),3,1))))</f>
        <v>4</v>
      </c>
      <c r="P4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49" s="62">
        <f>(6-Pathogens!X46)</f>
        <v>2</v>
      </c>
      <c r="R49" s="62">
        <f>ROUND(MIN(5,MAX(1,0.35*IF(Pathogens!R46=1,5,IF(Pathogens!R46=2,3,1))+0.2*IF(Pathogens!S46=1,5,IF(Pathogens!S46=2,3,1))+0.25*IF(Pathogens!W46=1,IF(VLOOKUP(D$4,Countries!$B$2:$AN$55,38,FALSE)&gt;=3,5,IF(VLOOKUP(D$4,Countries!$B$2:$AN$55,38,FALSE)=2,4,IF(VLOOKUP(D$4,Countries!$B$2:$AN$55,38,FALSE)=1,2,1))),5)+0.2*IF(VLOOKUP(D$4,Countries!$B$2:$AN$55,24,FALSE)&gt;=50,5,IF(VLOOKUP(D$4,Countries!$B$2:$AN$55,24,FALSE)&gt;=25,4,IF(VLOOKUP(D$4,Countries!$B$2:$AN$55,24,FALSE)&gt;=10,3,IF(VLOOKUP(D$4,Countries!$B$2:$AN$55,24,FALSE)&gt;=5,2,1)))))),0)</f>
        <v>4</v>
      </c>
      <c r="S49" s="62" t="str">
        <f>IFERROR(INDEX(Endemicity!$C$2:$BN$55,MATCH(D$4,Endemicity!$B$2:$B$55,0),MATCH($A49,Endemicity!$C$1:$BN$1,0)),"Sporadic")</f>
        <v>Endemic</v>
      </c>
      <c r="T49" s="62">
        <f>IF(Settings!$B$48="ON",IFERROR(MATCH($S49,Settings!$B$35:$F$35,0),5),5)</f>
        <v>1</v>
      </c>
      <c r="U49" s="62">
        <f>ROUND(MIN(5,IF(Pathogens!I46&gt;=500,5,IF(Pathogens!I46&gt;=200,4,IF(Pathogens!I46&gt;=50,3,IF(Pathogens!I46&gt;=10,2,1))))*0.5+IF(Pathogens!J46&gt;=30,5,IF(Pathogens!J46&gt;=10,4,IF(Pathogens!J46&gt;=3,3,IF(Pathogens!J46&gt;=1,2,1))))*0.4+IF(AND(VLOOKUP(E$4,Countries!$B$2:$AN$55,4,FALSE)&gt;=80,Pathogens!N46&gt;=0.5),1,0)*0.1+IF(VLOOKUP(E$4,Countries!$B$2:$AN$55,7,FALSE)&lt;50,0.3,0)),0)</f>
        <v>4</v>
      </c>
      <c r="V49" s="62">
        <f>ROUND(MIN(5,IF(Pathogens!K46&gt;=8,5,IF(Pathogens!K46&gt;=5,4,IF(Pathogens!K46&gt;=3,3,IF(Pathogens!K46&gt;=1,2,1))))*0.5+IF(Pathogens!L46&gt;=5,5,IF(Pathogens!L46&gt;=3,4,IF(Pathogens!L46&gt;=2,3,IF(Pathogens!L46&gt;=1.2,2,1))))*0.3+IF(Pathogens!M46=1,2,0)*0.2+IF(VLOOKUP(E$4,Countries!$B$2:$AN$55,12,FALSE)&gt;=2,0.5,0)),0)</f>
        <v>4</v>
      </c>
      <c r="W49" s="62">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c r="X49" s="62">
        <f>ROUND(MAX(1,MIN(5,(6-VLOOKUP(E$4,Countries!$B$2:$AN$55,10,FALSE))*0.5+(6-VLOOKUP(E$4,Countries!$B$2:$AN$55,11,FALSE))*0.4+(IF(AND(Pathogens!N46&gt;=0.5,VLOOKUP(E$4,Countries!$B$2:$AN$55,5,FALSE)&lt;60),5,IF(Pathogens!N46&gt;=0.5,4,IF(Pathogens!N46&gt;=0.3,3,IF(Pathogens!N46&gt;=0.1,2,1)))))*0.1)),0)</f>
        <v>3</v>
      </c>
      <c r="Y49" s="62">
        <f>IF(ISNUMBER(SEARCH("Vaccine-preventable",Pathogens!C46)),2,IF(ISNUMBER(SEARCH("AMR",Pathogens!C46)),5,IF(ISNUMBER(SEARCH("VHF",Pathogens!C46)),4,IF(ISNUMBER(SEARCH("Emerging",Pathogens!C46)),5,IF(ISNUMBER(SEARCH("Mycobacterial",Pathogens!C46)),3,IF(ISNUMBER(SEARCH("Helminth",Pathogens!C46)),3,IF(ISNUMBER(SEARCH("Respiratory",Pathogens!C46)),4,3)))))))</f>
        <v>3</v>
      </c>
      <c r="Z49" s="62">
        <f>IF(ISNUMBER(SEARCH("AMR",Pathogens!C46)),5,IF(ISNUMBER(SEARCH("Mycobacterial",Pathogens!C46)),4,IF(ISNUMBER(SEARCH("Enteric bacterial",Pathogens!C46)),3,IF(ISNUMBER(SEARCH("Bacterial",Pathogens!C46)),3,1))))</f>
        <v>4</v>
      </c>
      <c r="AA4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49" s="62">
        <f>(6-Pathogens!X46)</f>
        <v>2</v>
      </c>
      <c r="AC49" s="62">
        <f>ROUND(MIN(5,MAX(1,0.35*IF(Pathogens!R46=1,5,IF(Pathogens!R46=2,3,1))+0.2*IF(Pathogens!S46=1,5,IF(Pathogens!S46=2,3,1))+0.25*IF(Pathogens!W46=1,IF(VLOOKUP(E$4,Countries!$B$2:$AN$55,38,FALSE)&gt;=3,5,IF(VLOOKUP(E$4,Countries!$B$2:$AN$55,38,FALSE)=2,4,IF(VLOOKUP(E$4,Countries!$B$2:$AN$55,38,FALSE)=1,2,1))),5)+0.2*IF(VLOOKUP(E$4,Countries!$B$2:$AN$55,24,FALSE)&gt;=50,5,IF(VLOOKUP(E$4,Countries!$B$2:$AN$55,24,FALSE)&gt;=25,4,IF(VLOOKUP(E$4,Countries!$B$2:$AN$55,24,FALSE)&gt;=10,3,IF(VLOOKUP(E$4,Countries!$B$2:$AN$55,24,FALSE)&gt;=5,2,1)))))),0)</f>
        <v>4</v>
      </c>
      <c r="AD49" s="62" t="str">
        <f>IFERROR(INDEX(Endemicity!$C$2:$BN$55,MATCH(E$4,Endemicity!$B$2:$B$55,0),MATCH($A49,Endemicity!$C$1:$BN$1,0)),"Sporadic")</f>
        <v>Endemic</v>
      </c>
      <c r="AE49" s="62">
        <f>IF(Settings!$B$48="ON",IFERROR(MATCH($AD49,Settings!$B$35:$F$35,0),5),5)</f>
        <v>1</v>
      </c>
      <c r="AF49" s="62">
        <f>ROUND(MIN(5,IF(Pathogens!I46&gt;=500,5,IF(Pathogens!I46&gt;=200,4,IF(Pathogens!I46&gt;=50,3,IF(Pathogens!I46&gt;=10,2,1))))*0.5+IF(Pathogens!J46&gt;=30,5,IF(Pathogens!J46&gt;=10,4,IF(Pathogens!J46&gt;=3,3,IF(Pathogens!J46&gt;=1,2,1))))*0.4+IF(AND(VLOOKUP(F$4,Countries!$B$2:$AN$55,4,FALSE)&gt;=80,Pathogens!N46&gt;=0.5),1,0)*0.1+IF(VLOOKUP(F$4,Countries!$B$2:$AN$55,7,FALSE)&lt;50,0.3,0)),0)</f>
        <v>4</v>
      </c>
      <c r="AG49" s="62">
        <f>ROUND(MIN(5,IF(Pathogens!K46&gt;=8,5,IF(Pathogens!K46&gt;=5,4,IF(Pathogens!K46&gt;=3,3,IF(Pathogens!K46&gt;=1,2,1))))*0.5+IF(Pathogens!L46&gt;=5,5,IF(Pathogens!L46&gt;=3,4,IF(Pathogens!L46&gt;=2,3,IF(Pathogens!L46&gt;=1.2,2,1))))*0.3+IF(Pathogens!M46=1,2,0)*0.2+IF(VLOOKUP(F$4,Countries!$B$2:$AN$55,12,FALSE)&gt;=2,0.5,0)),0)</f>
        <v>4</v>
      </c>
      <c r="AH49" s="62">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c r="AI49" s="62">
        <f>ROUND(MAX(1,MIN(5,(6-VLOOKUP(F$4,Countries!$B$2:$AN$55,10,FALSE))*0.5+(6-VLOOKUP(F$4,Countries!$B$2:$AN$55,11,FALSE))*0.4+(IF(AND(Pathogens!N46&gt;=0.5,VLOOKUP(F$4,Countries!$B$2:$AN$55,5,FALSE)&lt;60),5,IF(Pathogens!N46&gt;=0.5,4,IF(Pathogens!N46&gt;=0.3,3,IF(Pathogens!N46&gt;=0.1,2,1)))))*0.1)),0)</f>
        <v>2</v>
      </c>
      <c r="AJ49" s="62">
        <f>IF(ISNUMBER(SEARCH("Vaccine-preventable",Pathogens!C46)),2,IF(ISNUMBER(SEARCH("AMR",Pathogens!C46)),5,IF(ISNUMBER(SEARCH("VHF",Pathogens!C46)),4,IF(ISNUMBER(SEARCH("Emerging",Pathogens!C46)),5,IF(ISNUMBER(SEARCH("Mycobacterial",Pathogens!C46)),3,IF(ISNUMBER(SEARCH("Helminth",Pathogens!C46)),3,IF(ISNUMBER(SEARCH("Respiratory",Pathogens!C46)),4,3)))))))</f>
        <v>3</v>
      </c>
      <c r="AK49" s="62">
        <f>IF(ISNUMBER(SEARCH("AMR",Pathogens!C46)),5,IF(ISNUMBER(SEARCH("Mycobacterial",Pathogens!C46)),4,IF(ISNUMBER(SEARCH("Enteric bacterial",Pathogens!C46)),3,IF(ISNUMBER(SEARCH("Bacterial",Pathogens!C46)),3,1))))</f>
        <v>4</v>
      </c>
      <c r="AL4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49" s="62">
        <f>(6-Pathogens!X46)</f>
        <v>2</v>
      </c>
      <c r="AN49" s="62">
        <f>ROUND(MIN(5,MAX(1,0.35*IF(Pathogens!R46=1,5,IF(Pathogens!R46=2,3,1))+0.2*IF(Pathogens!S46=1,5,IF(Pathogens!S46=2,3,1))+0.25*IF(Pathogens!W46=1,IF(VLOOKUP(F$4,Countries!$B$2:$AN$55,38,FALSE)&gt;=3,5,IF(VLOOKUP(F$4,Countries!$B$2:$AN$55,38,FALSE)=2,4,IF(VLOOKUP(F$4,Countries!$B$2:$AN$55,38,FALSE)=1,2,1))),5)+0.2*IF(VLOOKUP(F$4,Countries!$B$2:$AN$55,24,FALSE)&gt;=50,5,IF(VLOOKUP(F$4,Countries!$B$2:$AN$55,24,FALSE)&gt;=25,4,IF(VLOOKUP(F$4,Countries!$B$2:$AN$55,24,FALSE)&gt;=10,3,IF(VLOOKUP(F$4,Countries!$B$2:$AN$55,24,FALSE)&gt;=5,2,1)))))),0)</f>
        <v>3</v>
      </c>
      <c r="AO49" s="62" t="str">
        <f>IFERROR(INDEX(Endemicity!$C$2:$BN$55,MATCH(F$4,Endemicity!$B$2:$B$55,0),MATCH($A49,Endemicity!$C$1:$BN$1,0)),"Sporadic")</f>
        <v>Endemic</v>
      </c>
      <c r="AP49" s="62">
        <f>IF(Settings!$B$48="ON",IFERROR(MATCH($AO49,Settings!$B$35:$F$35,0),5),5)</f>
        <v>1</v>
      </c>
      <c r="AQ49" s="62">
        <f>ROUND(MIN(5,IF(Pathogens!I46&gt;=500,5,IF(Pathogens!I46&gt;=200,4,IF(Pathogens!I46&gt;=50,3,IF(Pathogens!I46&gt;=10,2,1))))*0.5+IF(Pathogens!J46&gt;=30,5,IF(Pathogens!J46&gt;=10,4,IF(Pathogens!J46&gt;=3,3,IF(Pathogens!J46&gt;=1,2,1))))*0.4+IF(AND(VLOOKUP(G$4,Countries!$B$2:$AN$55,4,FALSE)&gt;=80,Pathogens!N46&gt;=0.5),1,0)*0.1+IF(VLOOKUP(G$4,Countries!$B$2:$AN$55,7,FALSE)&lt;50,0.3,0)),0)</f>
        <v>4</v>
      </c>
      <c r="AR49" s="62">
        <f>ROUND(MIN(5,IF(Pathogens!K46&gt;=8,5,IF(Pathogens!K46&gt;=5,4,IF(Pathogens!K46&gt;=3,3,IF(Pathogens!K46&gt;=1,2,1))))*0.5+IF(Pathogens!L46&gt;=5,5,IF(Pathogens!L46&gt;=3,4,IF(Pathogens!L46&gt;=2,3,IF(Pathogens!L46&gt;=1.2,2,1))))*0.3+IF(Pathogens!M46=1,2,0)*0.2+IF(VLOOKUP(G$4,Countries!$B$2:$AN$55,12,FALSE)&gt;=2,0.5,0)),0)</f>
        <v>4</v>
      </c>
      <c r="AS49" s="62">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c r="AT49" s="62">
        <f>ROUND(MAX(1,MIN(5,(6-VLOOKUP(G$4,Countries!$B$2:$AN$55,10,FALSE))*0.5+(6-VLOOKUP(G$4,Countries!$B$2:$AN$55,11,FALSE))*0.4+(IF(AND(Pathogens!N46&gt;=0.5,VLOOKUP(G$4,Countries!$B$2:$AN$55,5,FALSE)&lt;60),5,IF(Pathogens!N46&gt;=0.5,4,IF(Pathogens!N46&gt;=0.3,3,IF(Pathogens!N46&gt;=0.1,2,1)))))*0.1)),0)</f>
        <v>2</v>
      </c>
      <c r="AU49" s="62">
        <f>IF(ISNUMBER(SEARCH("Vaccine-preventable",Pathogens!C46)),2,IF(ISNUMBER(SEARCH("AMR",Pathogens!C46)),5,IF(ISNUMBER(SEARCH("VHF",Pathogens!C46)),4,IF(ISNUMBER(SEARCH("Emerging",Pathogens!C46)),5,IF(ISNUMBER(SEARCH("Mycobacterial",Pathogens!C46)),3,IF(ISNUMBER(SEARCH("Helminth",Pathogens!C46)),3,IF(ISNUMBER(SEARCH("Respiratory",Pathogens!C46)),4,3)))))))</f>
        <v>3</v>
      </c>
      <c r="AV49" s="62">
        <f>IF(ISNUMBER(SEARCH("AMR",Pathogens!C46)),5,IF(ISNUMBER(SEARCH("Mycobacterial",Pathogens!C46)),4,IF(ISNUMBER(SEARCH("Enteric bacterial",Pathogens!C46)),3,IF(ISNUMBER(SEARCH("Bacterial",Pathogens!C46)),3,1))))</f>
        <v>4</v>
      </c>
      <c r="AW4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49" s="62">
        <f>(6-Pathogens!X46)</f>
        <v>2</v>
      </c>
      <c r="AY49" s="62">
        <f>ROUND(MIN(5,MAX(1,0.35*IF(Pathogens!R46=1,5,IF(Pathogens!R46=2,3,1))+0.2*IF(Pathogens!S46=1,5,IF(Pathogens!S46=2,3,1))+0.25*IF(Pathogens!W46=1,IF(VLOOKUP(G$4,Countries!$B$2:$AN$55,38,FALSE)&gt;=3,5,IF(VLOOKUP(G$4,Countries!$B$2:$AN$55,38,FALSE)=2,4,IF(VLOOKUP(G$4,Countries!$B$2:$AN$55,38,FALSE)=1,2,1))),5)+0.2*IF(VLOOKUP(G$4,Countries!$B$2:$AN$55,24,FALSE)&gt;=50,5,IF(VLOOKUP(G$4,Countries!$B$2:$AN$55,24,FALSE)&gt;=25,4,IF(VLOOKUP(G$4,Countries!$B$2:$AN$55,24,FALSE)&gt;=10,3,IF(VLOOKUP(G$4,Countries!$B$2:$AN$55,24,FALSE)&gt;=5,2,1)))))),0)</f>
        <v>4</v>
      </c>
      <c r="AZ49" s="62" t="str">
        <f>IFERROR(INDEX(Endemicity!$C$2:$BN$55,MATCH(G$4,Endemicity!$B$2:$B$55,0),MATCH($A49,Endemicity!$C$1:$BN$1,0)),"Sporadic")</f>
        <v>Endemic</v>
      </c>
      <c r="BA49" s="62">
        <f>IF(Settings!$B$48="ON",IFERROR(MATCH($AZ49,Settings!$B$35:$F$35,0),5),5)</f>
        <v>1</v>
      </c>
    </row>
    <row r="50" customHeight="1" spans="1:53">
      <c r="A50" s="61" t="str">
        <f>Calculator!A79</f>
        <v>CRYPT</v>
      </c>
      <c r="B50" s="61" t="str">
        <f>Calculator!B79</f>
        <v>Cryptosporidium spp.</v>
      </c>
      <c r="C50" s="61" t="str">
        <f>Calculator!C79</f>
        <v>Enteric protozoan</v>
      </c>
      <c r="D50" s="52">
        <f>IFERROR(ROUND(MIN(100,(($J50)*Settings!$C$23*INDEX(Settings!$B$36:$F$44,1,$T50)+($K50)*Settings!$C$24*INDEX(Settings!$B$36:$F$44,2,$T50)+($L50)*Settings!$C$25*INDEX(Settings!$B$36:$F$44,3,$T50)+($M50)*Settings!$C$26*INDEX(Settings!$B$36:$F$44,4,$T50)+($N50)*Settings!$C$27*INDEX(Settings!$B$36:$F$44,5,$T50)+($O50)*Settings!$C$28*INDEX(Settings!$B$36:$F$44,6,$T50)+($P50)*Settings!$C$29*INDEX(Settings!$B$36:$F$44,7,$T50)+($Q50)*Settings!$C$30*INDEX(Settings!$B$36:$F$44,8,$T50)+($R50)*Settings!$C$31*INDEX(Settings!$B$36:$F$44,9,$T50))/INDEX(Settings!$B$45:$F$45,1,$T50)/5*100*IF($S50="Not present",Settings!$B$51,1)),1),"")</f>
        <v>67.1</v>
      </c>
      <c r="E50" s="52">
        <f>IFERROR(ROUND(MIN(100,(($U50)*Settings!$C$23*INDEX(Settings!$B$36:$F$44,1,$AE50)+($V50)*Settings!$C$24*INDEX(Settings!$B$36:$F$44,2,$AE50)+($W50)*Settings!$C$25*INDEX(Settings!$B$36:$F$44,3,$AE50)+($X50)*Settings!$C$26*INDEX(Settings!$B$36:$F$44,4,$AE50)+($Y50)*Settings!$C$27*INDEX(Settings!$B$36:$F$44,5,$AE50)+($Z50)*Settings!$C$28*INDEX(Settings!$B$36:$F$44,6,$AE50)+($AA50)*Settings!$C$29*INDEX(Settings!$B$36:$F$44,7,$AE50)+($AB50)*Settings!$C$30*INDEX(Settings!$B$36:$F$44,8,$AE50)+($AC50)*Settings!$C$31*INDEX(Settings!$B$36:$F$44,9,$AE50))/INDEX(Settings!$B$45:$F$45,1,$AE50)/5*100*IF($AD50="Not present",Settings!$B$51,1)),1),"")</f>
        <v>69.9</v>
      </c>
      <c r="F50" s="52">
        <f>IFERROR(ROUND(MIN(100,(($AF50)*Settings!$C$23*INDEX(Settings!$B$36:$F$44,1,$AP50)+($AG50)*Settings!$C$24*INDEX(Settings!$B$36:$F$44,2,$AP50)+($AH50)*Settings!$C$25*INDEX(Settings!$B$36:$F$44,3,$AP50)+($AI50)*Settings!$C$26*INDEX(Settings!$B$36:$F$44,4,$AP50)+($AJ50)*Settings!$C$27*INDEX(Settings!$B$36:$F$44,5,$AP50)+($AK50)*Settings!$C$28*INDEX(Settings!$B$36:$F$44,6,$AP50)+($AL50)*Settings!$C$29*INDEX(Settings!$B$36:$F$44,7,$AP50)+($AM50)*Settings!$C$30*INDEX(Settings!$B$36:$F$44,8,$AP50)+($AN50)*Settings!$C$31*INDEX(Settings!$B$36:$F$44,9,$AP50))/INDEX(Settings!$B$45:$F$45,1,$AP50)/5*100*IF($AO50="Not present",Settings!$B$51,1)),1),"")</f>
        <v>64.4</v>
      </c>
      <c r="G50" s="52">
        <f>IFERROR(ROUND(MIN(100,(($AQ50)*Settings!$C$23*INDEX(Settings!$B$36:$F$44,1,$BA50)+($AR50)*Settings!$C$24*INDEX(Settings!$B$36:$F$44,2,$BA50)+($AS50)*Settings!$C$25*INDEX(Settings!$B$36:$F$44,3,$BA50)+($AT50)*Settings!$C$26*INDEX(Settings!$B$36:$F$44,4,$BA50)+($AU50)*Settings!$C$27*INDEX(Settings!$B$36:$F$44,5,$BA50)+($AV50)*Settings!$C$28*INDEX(Settings!$B$36:$F$44,6,$BA50)+($AW50)*Settings!$C$29*INDEX(Settings!$B$36:$F$44,7,$BA50)+($AX50)*Settings!$C$30*INDEX(Settings!$B$36:$F$44,8,$BA50)+($AY50)*Settings!$C$31*INDEX(Settings!$B$36:$F$44,9,$BA50))/INDEX(Settings!$B$45:$F$45,1,$BA50)/5*100*IF($AZ50="Not present",Settings!$B$51,1)),1),"")</f>
        <v>66.1</v>
      </c>
      <c r="J50" s="62">
        <f>ROUND(MIN(5,IF(Pathogens!I47&gt;=500,5,IF(Pathogens!I47&gt;=200,4,IF(Pathogens!I47&gt;=50,3,IF(Pathogens!I47&gt;=10,2,1))))*0.5+IF(Pathogens!J47&gt;=30,5,IF(Pathogens!J47&gt;=10,4,IF(Pathogens!J47&gt;=3,3,IF(Pathogens!J47&gt;=1,2,1))))*0.4+IF(AND(VLOOKUP(D$4,Countries!$B$2:$AN$55,4,FALSE)&gt;=80,Pathogens!N47&gt;=0.5),1,0)*0.1+IF(VLOOKUP(D$4,Countries!$B$2:$AN$55,7,FALSE)&lt;50,0.3,0)),0)</f>
        <v>3</v>
      </c>
      <c r="K50" s="62">
        <f>ROUND(MIN(5,IF(Pathogens!K47&gt;=8,5,IF(Pathogens!K47&gt;=5,4,IF(Pathogens!K47&gt;=3,3,IF(Pathogens!K47&gt;=1,2,1))))*0.5+IF(Pathogens!L47&gt;=5,5,IF(Pathogens!L47&gt;=3,4,IF(Pathogens!L47&gt;=2,3,IF(Pathogens!L47&gt;=1.2,2,1))))*0.3+IF(Pathogens!M47=1,2,0)*0.2+IF(VLOOKUP(D$4,Countries!$B$2:$AN$55,12,FALSE)&gt;=2,0.5,0)),0)</f>
        <v>4</v>
      </c>
      <c r="L50" s="62">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c r="M50" s="62">
        <f>ROUND(MAX(1,MIN(5,(6-VLOOKUP(D$4,Countries!$B$2:$AN$55,10,FALSE))*0.5+(6-VLOOKUP(D$4,Countries!$B$2:$AN$55,11,FALSE))*0.4+(IF(AND(Pathogens!N47&gt;=0.5,VLOOKUP(D$4,Countries!$B$2:$AN$55,5,FALSE)&lt;60),5,IF(Pathogens!N47&gt;=0.5,4,IF(Pathogens!N47&gt;=0.3,3,IF(Pathogens!N47&gt;=0.1,2,1)))))*0.1)),0)</f>
        <v>2</v>
      </c>
      <c r="N50" s="62">
        <f>IF(ISNUMBER(SEARCH("Vaccine-preventable",Pathogens!C47)),2,IF(ISNUMBER(SEARCH("AMR",Pathogens!C47)),5,IF(ISNUMBER(SEARCH("VHF",Pathogens!C47)),4,IF(ISNUMBER(SEARCH("Emerging",Pathogens!C47)),5,IF(ISNUMBER(SEARCH("Mycobacterial",Pathogens!C47)),3,IF(ISNUMBER(SEARCH("Helminth",Pathogens!C47)),3,IF(ISNUMBER(SEARCH("Respiratory",Pathogens!C47)),4,3)))))))</f>
        <v>3</v>
      </c>
      <c r="O50" s="62">
        <f>IF(ISNUMBER(SEARCH("AMR",Pathogens!C47)),5,IF(ISNUMBER(SEARCH("Mycobacterial",Pathogens!C47)),4,IF(ISNUMBER(SEARCH("Enteric bacterial",Pathogens!C47)),3,IF(ISNUMBER(SEARCH("Bacterial",Pathogens!C47)),3,1))))</f>
        <v>1</v>
      </c>
      <c r="P5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0" s="62">
        <f>(6-Pathogens!X47)</f>
        <v>4</v>
      </c>
      <c r="R50" s="62">
        <f>ROUND(MIN(5,MAX(1,0.35*IF(Pathogens!R47=1,5,IF(Pathogens!R47=2,3,1))+0.2*IF(Pathogens!S47=1,5,IF(Pathogens!S47=2,3,1))+0.25*IF(Pathogens!W47=1,IF(VLOOKUP(D$4,Countries!$B$2:$AN$55,38,FALSE)&gt;=3,5,IF(VLOOKUP(D$4,Countries!$B$2:$AN$55,38,FALSE)=2,4,IF(VLOOKUP(D$4,Countries!$B$2:$AN$55,38,FALSE)=1,2,1))),5)+0.2*IF(VLOOKUP(D$4,Countries!$B$2:$AN$55,24,FALSE)&gt;=50,5,IF(VLOOKUP(D$4,Countries!$B$2:$AN$55,24,FALSE)&gt;=25,4,IF(VLOOKUP(D$4,Countries!$B$2:$AN$55,24,FALSE)&gt;=10,3,IF(VLOOKUP(D$4,Countries!$B$2:$AN$55,24,FALSE)&gt;=5,2,1)))))),0)</f>
        <v>5</v>
      </c>
      <c r="S50" s="62" t="str">
        <f>IFERROR(INDEX(Endemicity!$C$2:$BN$55,MATCH(D$4,Endemicity!$B$2:$B$55,0),MATCH($A50,Endemicity!$C$1:$BN$1,0)),"Sporadic")</f>
        <v>Endemic</v>
      </c>
      <c r="T50" s="62">
        <f>IF(Settings!$B$48="ON",IFERROR(MATCH($S50,Settings!$B$35:$F$35,0),5),5)</f>
        <v>1</v>
      </c>
      <c r="U50" s="62">
        <f>ROUND(MIN(5,IF(Pathogens!I47&gt;=500,5,IF(Pathogens!I47&gt;=200,4,IF(Pathogens!I47&gt;=50,3,IF(Pathogens!I47&gt;=10,2,1))))*0.5+IF(Pathogens!J47&gt;=30,5,IF(Pathogens!J47&gt;=10,4,IF(Pathogens!J47&gt;=3,3,IF(Pathogens!J47&gt;=1,2,1))))*0.4+IF(AND(VLOOKUP(E$4,Countries!$B$2:$AN$55,4,FALSE)&gt;=80,Pathogens!N47&gt;=0.5),1,0)*0.1+IF(VLOOKUP(E$4,Countries!$B$2:$AN$55,7,FALSE)&lt;50,0.3,0)),0)</f>
        <v>3</v>
      </c>
      <c r="V50" s="62">
        <f>ROUND(MIN(5,IF(Pathogens!K47&gt;=8,5,IF(Pathogens!K47&gt;=5,4,IF(Pathogens!K47&gt;=3,3,IF(Pathogens!K47&gt;=1,2,1))))*0.5+IF(Pathogens!L47&gt;=5,5,IF(Pathogens!L47&gt;=3,4,IF(Pathogens!L47&gt;=2,3,IF(Pathogens!L47&gt;=1.2,2,1))))*0.3+IF(Pathogens!M47=1,2,0)*0.2+IF(VLOOKUP(E$4,Countries!$B$2:$AN$55,12,FALSE)&gt;=2,0.5,0)),0)</f>
        <v>4</v>
      </c>
      <c r="W50" s="62">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c r="X50" s="62">
        <f>ROUND(MAX(1,MIN(5,(6-VLOOKUP(E$4,Countries!$B$2:$AN$55,10,FALSE))*0.5+(6-VLOOKUP(E$4,Countries!$B$2:$AN$55,11,FALSE))*0.4+(IF(AND(Pathogens!N47&gt;=0.5,VLOOKUP(E$4,Countries!$B$2:$AN$55,5,FALSE)&lt;60),5,IF(Pathogens!N47&gt;=0.5,4,IF(Pathogens!N47&gt;=0.3,3,IF(Pathogens!N47&gt;=0.1,2,1)))))*0.1)),0)</f>
        <v>3</v>
      </c>
      <c r="Y50" s="62">
        <f>IF(ISNUMBER(SEARCH("Vaccine-preventable",Pathogens!C47)),2,IF(ISNUMBER(SEARCH("AMR",Pathogens!C47)),5,IF(ISNUMBER(SEARCH("VHF",Pathogens!C47)),4,IF(ISNUMBER(SEARCH("Emerging",Pathogens!C47)),5,IF(ISNUMBER(SEARCH("Mycobacterial",Pathogens!C47)),3,IF(ISNUMBER(SEARCH("Helminth",Pathogens!C47)),3,IF(ISNUMBER(SEARCH("Respiratory",Pathogens!C47)),4,3)))))))</f>
        <v>3</v>
      </c>
      <c r="Z50" s="62">
        <f>IF(ISNUMBER(SEARCH("AMR",Pathogens!C47)),5,IF(ISNUMBER(SEARCH("Mycobacterial",Pathogens!C47)),4,IF(ISNUMBER(SEARCH("Enteric bacterial",Pathogens!C47)),3,IF(ISNUMBER(SEARCH("Bacterial",Pathogens!C47)),3,1))))</f>
        <v>1</v>
      </c>
      <c r="AA5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0" s="62">
        <f>(6-Pathogens!X47)</f>
        <v>4</v>
      </c>
      <c r="AC50" s="62">
        <f>ROUND(MIN(5,MAX(1,0.35*IF(Pathogens!R47=1,5,IF(Pathogens!R47=2,3,1))+0.2*IF(Pathogens!S47=1,5,IF(Pathogens!S47=2,3,1))+0.25*IF(Pathogens!W47=1,IF(VLOOKUP(E$4,Countries!$B$2:$AN$55,38,FALSE)&gt;=3,5,IF(VLOOKUP(E$4,Countries!$B$2:$AN$55,38,FALSE)=2,4,IF(VLOOKUP(E$4,Countries!$B$2:$AN$55,38,FALSE)=1,2,1))),5)+0.2*IF(VLOOKUP(E$4,Countries!$B$2:$AN$55,24,FALSE)&gt;=50,5,IF(VLOOKUP(E$4,Countries!$B$2:$AN$55,24,FALSE)&gt;=25,4,IF(VLOOKUP(E$4,Countries!$B$2:$AN$55,24,FALSE)&gt;=10,3,IF(VLOOKUP(E$4,Countries!$B$2:$AN$55,24,FALSE)&gt;=5,2,1)))))),0)</f>
        <v>4</v>
      </c>
      <c r="AD50" s="62" t="str">
        <f>IFERROR(INDEX(Endemicity!$C$2:$BN$55,MATCH(E$4,Endemicity!$B$2:$B$55,0),MATCH($A50,Endemicity!$C$1:$BN$1,0)),"Sporadic")</f>
        <v>Endemic</v>
      </c>
      <c r="AE50" s="62">
        <f>IF(Settings!$B$48="ON",IFERROR(MATCH($AD50,Settings!$B$35:$F$35,0),5),5)</f>
        <v>1</v>
      </c>
      <c r="AF50" s="62">
        <f>ROUND(MIN(5,IF(Pathogens!I47&gt;=500,5,IF(Pathogens!I47&gt;=200,4,IF(Pathogens!I47&gt;=50,3,IF(Pathogens!I47&gt;=10,2,1))))*0.5+IF(Pathogens!J47&gt;=30,5,IF(Pathogens!J47&gt;=10,4,IF(Pathogens!J47&gt;=3,3,IF(Pathogens!J47&gt;=1,2,1))))*0.4+IF(AND(VLOOKUP(F$4,Countries!$B$2:$AN$55,4,FALSE)&gt;=80,Pathogens!N47&gt;=0.5),1,0)*0.1+IF(VLOOKUP(F$4,Countries!$B$2:$AN$55,7,FALSE)&lt;50,0.3,0)),0)</f>
        <v>3</v>
      </c>
      <c r="AG50" s="62">
        <f>ROUND(MIN(5,IF(Pathogens!K47&gt;=8,5,IF(Pathogens!K47&gt;=5,4,IF(Pathogens!K47&gt;=3,3,IF(Pathogens!K47&gt;=1,2,1))))*0.5+IF(Pathogens!L47&gt;=5,5,IF(Pathogens!L47&gt;=3,4,IF(Pathogens!L47&gt;=2,3,IF(Pathogens!L47&gt;=1.2,2,1))))*0.3+IF(Pathogens!M47=1,2,0)*0.2+IF(VLOOKUP(F$4,Countries!$B$2:$AN$55,12,FALSE)&gt;=2,0.5,0)),0)</f>
        <v>4</v>
      </c>
      <c r="AH50" s="62">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c r="AI50" s="62">
        <f>ROUND(MAX(1,MIN(5,(6-VLOOKUP(F$4,Countries!$B$2:$AN$55,10,FALSE))*0.5+(6-VLOOKUP(F$4,Countries!$B$2:$AN$55,11,FALSE))*0.4+(IF(AND(Pathogens!N47&gt;=0.5,VLOOKUP(F$4,Countries!$B$2:$AN$55,5,FALSE)&lt;60),5,IF(Pathogens!N47&gt;=0.5,4,IF(Pathogens!N47&gt;=0.3,3,IF(Pathogens!N47&gt;=0.1,2,1)))))*0.1)),0)</f>
        <v>2</v>
      </c>
      <c r="AJ50" s="62">
        <f>IF(ISNUMBER(SEARCH("Vaccine-preventable",Pathogens!C47)),2,IF(ISNUMBER(SEARCH("AMR",Pathogens!C47)),5,IF(ISNUMBER(SEARCH("VHF",Pathogens!C47)),4,IF(ISNUMBER(SEARCH("Emerging",Pathogens!C47)),5,IF(ISNUMBER(SEARCH("Mycobacterial",Pathogens!C47)),3,IF(ISNUMBER(SEARCH("Helminth",Pathogens!C47)),3,IF(ISNUMBER(SEARCH("Respiratory",Pathogens!C47)),4,3)))))))</f>
        <v>3</v>
      </c>
      <c r="AK50" s="62">
        <f>IF(ISNUMBER(SEARCH("AMR",Pathogens!C47)),5,IF(ISNUMBER(SEARCH("Mycobacterial",Pathogens!C47)),4,IF(ISNUMBER(SEARCH("Enteric bacterial",Pathogens!C47)),3,IF(ISNUMBER(SEARCH("Bacterial",Pathogens!C47)),3,1))))</f>
        <v>1</v>
      </c>
      <c r="AL5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0" s="62">
        <f>(6-Pathogens!X47)</f>
        <v>4</v>
      </c>
      <c r="AN50" s="62">
        <f>ROUND(MIN(5,MAX(1,0.35*IF(Pathogens!R47=1,5,IF(Pathogens!R47=2,3,1))+0.2*IF(Pathogens!S47=1,5,IF(Pathogens!S47=2,3,1))+0.25*IF(Pathogens!W47=1,IF(VLOOKUP(F$4,Countries!$B$2:$AN$55,38,FALSE)&gt;=3,5,IF(VLOOKUP(F$4,Countries!$B$2:$AN$55,38,FALSE)=2,4,IF(VLOOKUP(F$4,Countries!$B$2:$AN$55,38,FALSE)=1,2,1))),5)+0.2*IF(VLOOKUP(F$4,Countries!$B$2:$AN$55,24,FALSE)&gt;=50,5,IF(VLOOKUP(F$4,Countries!$B$2:$AN$55,24,FALSE)&gt;=25,4,IF(VLOOKUP(F$4,Countries!$B$2:$AN$55,24,FALSE)&gt;=10,3,IF(VLOOKUP(F$4,Countries!$B$2:$AN$55,24,FALSE)&gt;=5,2,1)))))),0)</f>
        <v>4</v>
      </c>
      <c r="AO50" s="62" t="str">
        <f>IFERROR(INDEX(Endemicity!$C$2:$BN$55,MATCH(F$4,Endemicity!$B$2:$B$55,0),MATCH($A50,Endemicity!$C$1:$BN$1,0)),"Sporadic")</f>
        <v>Endemic</v>
      </c>
      <c r="AP50" s="62">
        <f>IF(Settings!$B$48="ON",IFERROR(MATCH($AO50,Settings!$B$35:$F$35,0),5),5)</f>
        <v>1</v>
      </c>
      <c r="AQ50" s="62">
        <f>ROUND(MIN(5,IF(Pathogens!I47&gt;=500,5,IF(Pathogens!I47&gt;=200,4,IF(Pathogens!I47&gt;=50,3,IF(Pathogens!I47&gt;=10,2,1))))*0.5+IF(Pathogens!J47&gt;=30,5,IF(Pathogens!J47&gt;=10,4,IF(Pathogens!J47&gt;=3,3,IF(Pathogens!J47&gt;=1,2,1))))*0.4+IF(AND(VLOOKUP(G$4,Countries!$B$2:$AN$55,4,FALSE)&gt;=80,Pathogens!N47&gt;=0.5),1,0)*0.1+IF(VLOOKUP(G$4,Countries!$B$2:$AN$55,7,FALSE)&lt;50,0.3,0)),0)</f>
        <v>3</v>
      </c>
      <c r="AR50" s="62">
        <f>ROUND(MIN(5,IF(Pathogens!K47&gt;=8,5,IF(Pathogens!K47&gt;=5,4,IF(Pathogens!K47&gt;=3,3,IF(Pathogens!K47&gt;=1,2,1))))*0.5+IF(Pathogens!L47&gt;=5,5,IF(Pathogens!L47&gt;=3,4,IF(Pathogens!L47&gt;=2,3,IF(Pathogens!L47&gt;=1.2,2,1))))*0.3+IF(Pathogens!M47=1,2,0)*0.2+IF(VLOOKUP(G$4,Countries!$B$2:$AN$55,12,FALSE)&gt;=2,0.5,0)),0)</f>
        <v>4</v>
      </c>
      <c r="AS50" s="62">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c r="AT50" s="62">
        <f>ROUND(MAX(1,MIN(5,(6-VLOOKUP(G$4,Countries!$B$2:$AN$55,10,FALSE))*0.5+(6-VLOOKUP(G$4,Countries!$B$2:$AN$55,11,FALSE))*0.4+(IF(AND(Pathogens!N47&gt;=0.5,VLOOKUP(G$4,Countries!$B$2:$AN$55,5,FALSE)&lt;60),5,IF(Pathogens!N47&gt;=0.5,4,IF(Pathogens!N47&gt;=0.3,3,IF(Pathogens!N47&gt;=0.1,2,1)))))*0.1)),0)</f>
        <v>2</v>
      </c>
      <c r="AU50" s="62">
        <f>IF(ISNUMBER(SEARCH("Vaccine-preventable",Pathogens!C47)),2,IF(ISNUMBER(SEARCH("AMR",Pathogens!C47)),5,IF(ISNUMBER(SEARCH("VHF",Pathogens!C47)),4,IF(ISNUMBER(SEARCH("Emerging",Pathogens!C47)),5,IF(ISNUMBER(SEARCH("Mycobacterial",Pathogens!C47)),3,IF(ISNUMBER(SEARCH("Helminth",Pathogens!C47)),3,IF(ISNUMBER(SEARCH("Respiratory",Pathogens!C47)),4,3)))))))</f>
        <v>3</v>
      </c>
      <c r="AV50" s="62">
        <f>IF(ISNUMBER(SEARCH("AMR",Pathogens!C47)),5,IF(ISNUMBER(SEARCH("Mycobacterial",Pathogens!C47)),4,IF(ISNUMBER(SEARCH("Enteric bacterial",Pathogens!C47)),3,IF(ISNUMBER(SEARCH("Bacterial",Pathogens!C47)),3,1))))</f>
        <v>1</v>
      </c>
      <c r="AW5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0" s="62">
        <f>(6-Pathogens!X47)</f>
        <v>4</v>
      </c>
      <c r="AY50" s="62">
        <f>ROUND(MIN(5,MAX(1,0.35*IF(Pathogens!R47=1,5,IF(Pathogens!R47=2,3,1))+0.2*IF(Pathogens!S47=1,5,IF(Pathogens!S47=2,3,1))+0.25*IF(Pathogens!W47=1,IF(VLOOKUP(G$4,Countries!$B$2:$AN$55,38,FALSE)&gt;=3,5,IF(VLOOKUP(G$4,Countries!$B$2:$AN$55,38,FALSE)=2,4,IF(VLOOKUP(G$4,Countries!$B$2:$AN$55,38,FALSE)=1,2,1))),5)+0.2*IF(VLOOKUP(G$4,Countries!$B$2:$AN$55,24,FALSE)&gt;=50,5,IF(VLOOKUP(G$4,Countries!$B$2:$AN$55,24,FALSE)&gt;=25,4,IF(VLOOKUP(G$4,Countries!$B$2:$AN$55,24,FALSE)&gt;=10,3,IF(VLOOKUP(G$4,Countries!$B$2:$AN$55,24,FALSE)&gt;=5,2,1)))))),0)</f>
        <v>4</v>
      </c>
      <c r="AZ50" s="62" t="str">
        <f>IFERROR(INDEX(Endemicity!$C$2:$BN$55,MATCH(G$4,Endemicity!$B$2:$B$55,0),MATCH($A50,Endemicity!$C$1:$BN$1,0)),"Sporadic")</f>
        <v>Endemic</v>
      </c>
      <c r="BA50" s="62">
        <f>IF(Settings!$B$48="ON",IFERROR(MATCH($AZ50,Settings!$B$35:$F$35,0),5),5)</f>
        <v>1</v>
      </c>
    </row>
    <row r="51" customHeight="1" spans="1:53">
      <c r="A51" s="61" t="str">
        <f>Calculator!A80</f>
        <v>GIA</v>
      </c>
      <c r="B51" s="61" t="str">
        <f>Calculator!B80</f>
        <v>Giardia duodenalis</v>
      </c>
      <c r="C51" s="61" t="str">
        <f>Calculator!C80</f>
        <v>Enteric protozoan</v>
      </c>
      <c r="D51" s="52">
        <f>IFERROR(ROUND(MIN(100,(($J51)*Settings!$C$23*INDEX(Settings!$B$36:$F$44,1,$T51)+($K51)*Settings!$C$24*INDEX(Settings!$B$36:$F$44,2,$T51)+($L51)*Settings!$C$25*INDEX(Settings!$B$36:$F$44,3,$T51)+($M51)*Settings!$C$26*INDEX(Settings!$B$36:$F$44,4,$T51)+($N51)*Settings!$C$27*INDEX(Settings!$B$36:$F$44,5,$T51)+($O51)*Settings!$C$28*INDEX(Settings!$B$36:$F$44,6,$T51)+($P51)*Settings!$C$29*INDEX(Settings!$B$36:$F$44,7,$T51)+($Q51)*Settings!$C$30*INDEX(Settings!$B$36:$F$44,8,$T51)+($R51)*Settings!$C$31*INDEX(Settings!$B$36:$F$44,9,$T51))/INDEX(Settings!$B$45:$F$45,1,$T51)/5*100*IF($S51="Not present",Settings!$B$51,1)),1),"")</f>
        <v>67.1</v>
      </c>
      <c r="E51" s="52">
        <f>IFERROR(ROUND(MIN(100,(($U51)*Settings!$C$23*INDEX(Settings!$B$36:$F$44,1,$AE51)+($V51)*Settings!$C$24*INDEX(Settings!$B$36:$F$44,2,$AE51)+($W51)*Settings!$C$25*INDEX(Settings!$B$36:$F$44,3,$AE51)+($X51)*Settings!$C$26*INDEX(Settings!$B$36:$F$44,4,$AE51)+($Y51)*Settings!$C$27*INDEX(Settings!$B$36:$F$44,5,$AE51)+($Z51)*Settings!$C$28*INDEX(Settings!$B$36:$F$44,6,$AE51)+($AA51)*Settings!$C$29*INDEX(Settings!$B$36:$F$44,7,$AE51)+($AB51)*Settings!$C$30*INDEX(Settings!$B$36:$F$44,8,$AE51)+($AC51)*Settings!$C$31*INDEX(Settings!$B$36:$F$44,9,$AE51))/INDEX(Settings!$B$45:$F$45,1,$AE51)/5*100*IF($AD51="Not present",Settings!$B$51,1)),1),"")</f>
        <v>69.9</v>
      </c>
      <c r="F51" s="52">
        <f>IFERROR(ROUND(MIN(100,(($AF51)*Settings!$C$23*INDEX(Settings!$B$36:$F$44,1,$AP51)+($AG51)*Settings!$C$24*INDEX(Settings!$B$36:$F$44,2,$AP51)+($AH51)*Settings!$C$25*INDEX(Settings!$B$36:$F$44,3,$AP51)+($AI51)*Settings!$C$26*INDEX(Settings!$B$36:$F$44,4,$AP51)+($AJ51)*Settings!$C$27*INDEX(Settings!$B$36:$F$44,5,$AP51)+($AK51)*Settings!$C$28*INDEX(Settings!$B$36:$F$44,6,$AP51)+($AL51)*Settings!$C$29*INDEX(Settings!$B$36:$F$44,7,$AP51)+($AM51)*Settings!$C$30*INDEX(Settings!$B$36:$F$44,8,$AP51)+($AN51)*Settings!$C$31*INDEX(Settings!$B$36:$F$44,9,$AP51))/INDEX(Settings!$B$45:$F$45,1,$AP51)/5*100*IF($AO51="Not present",Settings!$B$51,1)),1),"")</f>
        <v>64.4</v>
      </c>
      <c r="G51" s="52">
        <f>IFERROR(ROUND(MIN(100,(($AQ51)*Settings!$C$23*INDEX(Settings!$B$36:$F$44,1,$BA51)+($AR51)*Settings!$C$24*INDEX(Settings!$B$36:$F$44,2,$BA51)+($AS51)*Settings!$C$25*INDEX(Settings!$B$36:$F$44,3,$BA51)+($AT51)*Settings!$C$26*INDEX(Settings!$B$36:$F$44,4,$BA51)+($AU51)*Settings!$C$27*INDEX(Settings!$B$36:$F$44,5,$BA51)+($AV51)*Settings!$C$28*INDEX(Settings!$B$36:$F$44,6,$BA51)+($AW51)*Settings!$C$29*INDEX(Settings!$B$36:$F$44,7,$BA51)+($AX51)*Settings!$C$30*INDEX(Settings!$B$36:$F$44,8,$BA51)+($AY51)*Settings!$C$31*INDEX(Settings!$B$36:$F$44,9,$BA51))/INDEX(Settings!$B$45:$F$45,1,$BA51)/5*100*IF($AZ51="Not present",Settings!$B$51,1)),1),"")</f>
        <v>66.1</v>
      </c>
      <c r="J51" s="62">
        <f>ROUND(MIN(5,IF(Pathogens!I48&gt;=500,5,IF(Pathogens!I48&gt;=200,4,IF(Pathogens!I48&gt;=50,3,IF(Pathogens!I48&gt;=10,2,1))))*0.5+IF(Pathogens!J48&gt;=30,5,IF(Pathogens!J48&gt;=10,4,IF(Pathogens!J48&gt;=3,3,IF(Pathogens!J48&gt;=1,2,1))))*0.4+IF(AND(VLOOKUP(D$4,Countries!$B$2:$AN$55,4,FALSE)&gt;=80,Pathogens!N48&gt;=0.5),1,0)*0.1+IF(VLOOKUP(D$4,Countries!$B$2:$AN$55,7,FALSE)&lt;50,0.3,0)),0)</f>
        <v>3</v>
      </c>
      <c r="K51" s="62">
        <f>ROUND(MIN(5,IF(Pathogens!K48&gt;=8,5,IF(Pathogens!K48&gt;=5,4,IF(Pathogens!K48&gt;=3,3,IF(Pathogens!K48&gt;=1,2,1))))*0.5+IF(Pathogens!L48&gt;=5,5,IF(Pathogens!L48&gt;=3,4,IF(Pathogens!L48&gt;=2,3,IF(Pathogens!L48&gt;=1.2,2,1))))*0.3+IF(Pathogens!M48=1,2,0)*0.2+IF(VLOOKUP(D$4,Countries!$B$2:$AN$55,12,FALSE)&gt;=2,0.5,0)),0)</f>
        <v>4</v>
      </c>
      <c r="L51" s="62">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c r="M51" s="62">
        <f>ROUND(MAX(1,MIN(5,(6-VLOOKUP(D$4,Countries!$B$2:$AN$55,10,FALSE))*0.5+(6-VLOOKUP(D$4,Countries!$B$2:$AN$55,11,FALSE))*0.4+(IF(AND(Pathogens!N48&gt;=0.5,VLOOKUP(D$4,Countries!$B$2:$AN$55,5,FALSE)&lt;60),5,IF(Pathogens!N48&gt;=0.5,4,IF(Pathogens!N48&gt;=0.3,3,IF(Pathogens!N48&gt;=0.1,2,1)))))*0.1)),0)</f>
        <v>2</v>
      </c>
      <c r="N51" s="62">
        <f>IF(ISNUMBER(SEARCH("Vaccine-preventable",Pathogens!C48)),2,IF(ISNUMBER(SEARCH("AMR",Pathogens!C48)),5,IF(ISNUMBER(SEARCH("VHF",Pathogens!C48)),4,IF(ISNUMBER(SEARCH("Emerging",Pathogens!C48)),5,IF(ISNUMBER(SEARCH("Mycobacterial",Pathogens!C48)),3,IF(ISNUMBER(SEARCH("Helminth",Pathogens!C48)),3,IF(ISNUMBER(SEARCH("Respiratory",Pathogens!C48)),4,3)))))))</f>
        <v>3</v>
      </c>
      <c r="O51" s="62">
        <f>IF(ISNUMBER(SEARCH("AMR",Pathogens!C48)),5,IF(ISNUMBER(SEARCH("Mycobacterial",Pathogens!C48)),4,IF(ISNUMBER(SEARCH("Enteric bacterial",Pathogens!C48)),3,IF(ISNUMBER(SEARCH("Bacterial",Pathogens!C48)),3,1))))</f>
        <v>1</v>
      </c>
      <c r="P5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1" s="62">
        <f>(6-Pathogens!X48)</f>
        <v>4</v>
      </c>
      <c r="R51" s="62">
        <f>ROUND(MIN(5,MAX(1,0.35*IF(Pathogens!R48=1,5,IF(Pathogens!R48=2,3,1))+0.2*IF(Pathogens!S48=1,5,IF(Pathogens!S48=2,3,1))+0.25*IF(Pathogens!W48=1,IF(VLOOKUP(D$4,Countries!$B$2:$AN$55,38,FALSE)&gt;=3,5,IF(VLOOKUP(D$4,Countries!$B$2:$AN$55,38,FALSE)=2,4,IF(VLOOKUP(D$4,Countries!$B$2:$AN$55,38,FALSE)=1,2,1))),5)+0.2*IF(VLOOKUP(D$4,Countries!$B$2:$AN$55,24,FALSE)&gt;=50,5,IF(VLOOKUP(D$4,Countries!$B$2:$AN$55,24,FALSE)&gt;=25,4,IF(VLOOKUP(D$4,Countries!$B$2:$AN$55,24,FALSE)&gt;=10,3,IF(VLOOKUP(D$4,Countries!$B$2:$AN$55,24,FALSE)&gt;=5,2,1)))))),0)</f>
        <v>5</v>
      </c>
      <c r="S51" s="62" t="str">
        <f>IFERROR(INDEX(Endemicity!$C$2:$BN$55,MATCH(D$4,Endemicity!$B$2:$B$55,0),MATCH($A51,Endemicity!$C$1:$BN$1,0)),"Sporadic")</f>
        <v>Endemic</v>
      </c>
      <c r="T51" s="62">
        <f>IF(Settings!$B$48="ON",IFERROR(MATCH($S51,Settings!$B$35:$F$35,0),5),5)</f>
        <v>1</v>
      </c>
      <c r="U51" s="62">
        <f>ROUND(MIN(5,IF(Pathogens!I48&gt;=500,5,IF(Pathogens!I48&gt;=200,4,IF(Pathogens!I48&gt;=50,3,IF(Pathogens!I48&gt;=10,2,1))))*0.5+IF(Pathogens!J48&gt;=30,5,IF(Pathogens!J48&gt;=10,4,IF(Pathogens!J48&gt;=3,3,IF(Pathogens!J48&gt;=1,2,1))))*0.4+IF(AND(VLOOKUP(E$4,Countries!$B$2:$AN$55,4,FALSE)&gt;=80,Pathogens!N48&gt;=0.5),1,0)*0.1+IF(VLOOKUP(E$4,Countries!$B$2:$AN$55,7,FALSE)&lt;50,0.3,0)),0)</f>
        <v>3</v>
      </c>
      <c r="V51" s="62">
        <f>ROUND(MIN(5,IF(Pathogens!K48&gt;=8,5,IF(Pathogens!K48&gt;=5,4,IF(Pathogens!K48&gt;=3,3,IF(Pathogens!K48&gt;=1,2,1))))*0.5+IF(Pathogens!L48&gt;=5,5,IF(Pathogens!L48&gt;=3,4,IF(Pathogens!L48&gt;=2,3,IF(Pathogens!L48&gt;=1.2,2,1))))*0.3+IF(Pathogens!M48=1,2,0)*0.2+IF(VLOOKUP(E$4,Countries!$B$2:$AN$55,12,FALSE)&gt;=2,0.5,0)),0)</f>
        <v>4</v>
      </c>
      <c r="W51" s="62">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c r="X51" s="62">
        <f>ROUND(MAX(1,MIN(5,(6-VLOOKUP(E$4,Countries!$B$2:$AN$55,10,FALSE))*0.5+(6-VLOOKUP(E$4,Countries!$B$2:$AN$55,11,FALSE))*0.4+(IF(AND(Pathogens!N48&gt;=0.5,VLOOKUP(E$4,Countries!$B$2:$AN$55,5,FALSE)&lt;60),5,IF(Pathogens!N48&gt;=0.5,4,IF(Pathogens!N48&gt;=0.3,3,IF(Pathogens!N48&gt;=0.1,2,1)))))*0.1)),0)</f>
        <v>3</v>
      </c>
      <c r="Y51" s="62">
        <f>IF(ISNUMBER(SEARCH("Vaccine-preventable",Pathogens!C48)),2,IF(ISNUMBER(SEARCH("AMR",Pathogens!C48)),5,IF(ISNUMBER(SEARCH("VHF",Pathogens!C48)),4,IF(ISNUMBER(SEARCH("Emerging",Pathogens!C48)),5,IF(ISNUMBER(SEARCH("Mycobacterial",Pathogens!C48)),3,IF(ISNUMBER(SEARCH("Helminth",Pathogens!C48)),3,IF(ISNUMBER(SEARCH("Respiratory",Pathogens!C48)),4,3)))))))</f>
        <v>3</v>
      </c>
      <c r="Z51" s="62">
        <f>IF(ISNUMBER(SEARCH("AMR",Pathogens!C48)),5,IF(ISNUMBER(SEARCH("Mycobacterial",Pathogens!C48)),4,IF(ISNUMBER(SEARCH("Enteric bacterial",Pathogens!C48)),3,IF(ISNUMBER(SEARCH("Bacterial",Pathogens!C48)),3,1))))</f>
        <v>1</v>
      </c>
      <c r="AA5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1" s="62">
        <f>(6-Pathogens!X48)</f>
        <v>4</v>
      </c>
      <c r="AC51" s="62">
        <f>ROUND(MIN(5,MAX(1,0.35*IF(Pathogens!R48=1,5,IF(Pathogens!R48=2,3,1))+0.2*IF(Pathogens!S48=1,5,IF(Pathogens!S48=2,3,1))+0.25*IF(Pathogens!W48=1,IF(VLOOKUP(E$4,Countries!$B$2:$AN$55,38,FALSE)&gt;=3,5,IF(VLOOKUP(E$4,Countries!$B$2:$AN$55,38,FALSE)=2,4,IF(VLOOKUP(E$4,Countries!$B$2:$AN$55,38,FALSE)=1,2,1))),5)+0.2*IF(VLOOKUP(E$4,Countries!$B$2:$AN$55,24,FALSE)&gt;=50,5,IF(VLOOKUP(E$4,Countries!$B$2:$AN$55,24,FALSE)&gt;=25,4,IF(VLOOKUP(E$4,Countries!$B$2:$AN$55,24,FALSE)&gt;=10,3,IF(VLOOKUP(E$4,Countries!$B$2:$AN$55,24,FALSE)&gt;=5,2,1)))))),0)</f>
        <v>4</v>
      </c>
      <c r="AD51" s="62" t="str">
        <f>IFERROR(INDEX(Endemicity!$C$2:$BN$55,MATCH(E$4,Endemicity!$B$2:$B$55,0),MATCH($A51,Endemicity!$C$1:$BN$1,0)),"Sporadic")</f>
        <v>Endemic</v>
      </c>
      <c r="AE51" s="62">
        <f>IF(Settings!$B$48="ON",IFERROR(MATCH($AD51,Settings!$B$35:$F$35,0),5),5)</f>
        <v>1</v>
      </c>
      <c r="AF51" s="62">
        <f>ROUND(MIN(5,IF(Pathogens!I48&gt;=500,5,IF(Pathogens!I48&gt;=200,4,IF(Pathogens!I48&gt;=50,3,IF(Pathogens!I48&gt;=10,2,1))))*0.5+IF(Pathogens!J48&gt;=30,5,IF(Pathogens!J48&gt;=10,4,IF(Pathogens!J48&gt;=3,3,IF(Pathogens!J48&gt;=1,2,1))))*0.4+IF(AND(VLOOKUP(F$4,Countries!$B$2:$AN$55,4,FALSE)&gt;=80,Pathogens!N48&gt;=0.5),1,0)*0.1+IF(VLOOKUP(F$4,Countries!$B$2:$AN$55,7,FALSE)&lt;50,0.3,0)),0)</f>
        <v>3</v>
      </c>
      <c r="AG51" s="62">
        <f>ROUND(MIN(5,IF(Pathogens!K48&gt;=8,5,IF(Pathogens!K48&gt;=5,4,IF(Pathogens!K48&gt;=3,3,IF(Pathogens!K48&gt;=1,2,1))))*0.5+IF(Pathogens!L48&gt;=5,5,IF(Pathogens!L48&gt;=3,4,IF(Pathogens!L48&gt;=2,3,IF(Pathogens!L48&gt;=1.2,2,1))))*0.3+IF(Pathogens!M48=1,2,0)*0.2+IF(VLOOKUP(F$4,Countries!$B$2:$AN$55,12,FALSE)&gt;=2,0.5,0)),0)</f>
        <v>4</v>
      </c>
      <c r="AH51" s="62">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c r="AI51" s="62">
        <f>ROUND(MAX(1,MIN(5,(6-VLOOKUP(F$4,Countries!$B$2:$AN$55,10,FALSE))*0.5+(6-VLOOKUP(F$4,Countries!$B$2:$AN$55,11,FALSE))*0.4+(IF(AND(Pathogens!N48&gt;=0.5,VLOOKUP(F$4,Countries!$B$2:$AN$55,5,FALSE)&lt;60),5,IF(Pathogens!N48&gt;=0.5,4,IF(Pathogens!N48&gt;=0.3,3,IF(Pathogens!N48&gt;=0.1,2,1)))))*0.1)),0)</f>
        <v>2</v>
      </c>
      <c r="AJ51" s="62">
        <f>IF(ISNUMBER(SEARCH("Vaccine-preventable",Pathogens!C48)),2,IF(ISNUMBER(SEARCH("AMR",Pathogens!C48)),5,IF(ISNUMBER(SEARCH("VHF",Pathogens!C48)),4,IF(ISNUMBER(SEARCH("Emerging",Pathogens!C48)),5,IF(ISNUMBER(SEARCH("Mycobacterial",Pathogens!C48)),3,IF(ISNUMBER(SEARCH("Helminth",Pathogens!C48)),3,IF(ISNUMBER(SEARCH("Respiratory",Pathogens!C48)),4,3)))))))</f>
        <v>3</v>
      </c>
      <c r="AK51" s="62">
        <f>IF(ISNUMBER(SEARCH("AMR",Pathogens!C48)),5,IF(ISNUMBER(SEARCH("Mycobacterial",Pathogens!C48)),4,IF(ISNUMBER(SEARCH("Enteric bacterial",Pathogens!C48)),3,IF(ISNUMBER(SEARCH("Bacterial",Pathogens!C48)),3,1))))</f>
        <v>1</v>
      </c>
      <c r="AL5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1" s="62">
        <f>(6-Pathogens!X48)</f>
        <v>4</v>
      </c>
      <c r="AN51" s="62">
        <f>ROUND(MIN(5,MAX(1,0.35*IF(Pathogens!R48=1,5,IF(Pathogens!R48=2,3,1))+0.2*IF(Pathogens!S48=1,5,IF(Pathogens!S48=2,3,1))+0.25*IF(Pathogens!W48=1,IF(VLOOKUP(F$4,Countries!$B$2:$AN$55,38,FALSE)&gt;=3,5,IF(VLOOKUP(F$4,Countries!$B$2:$AN$55,38,FALSE)=2,4,IF(VLOOKUP(F$4,Countries!$B$2:$AN$55,38,FALSE)=1,2,1))),5)+0.2*IF(VLOOKUP(F$4,Countries!$B$2:$AN$55,24,FALSE)&gt;=50,5,IF(VLOOKUP(F$4,Countries!$B$2:$AN$55,24,FALSE)&gt;=25,4,IF(VLOOKUP(F$4,Countries!$B$2:$AN$55,24,FALSE)&gt;=10,3,IF(VLOOKUP(F$4,Countries!$B$2:$AN$55,24,FALSE)&gt;=5,2,1)))))),0)</f>
        <v>4</v>
      </c>
      <c r="AO51" s="62" t="str">
        <f>IFERROR(INDEX(Endemicity!$C$2:$BN$55,MATCH(F$4,Endemicity!$B$2:$B$55,0),MATCH($A51,Endemicity!$C$1:$BN$1,0)),"Sporadic")</f>
        <v>Endemic</v>
      </c>
      <c r="AP51" s="62">
        <f>IF(Settings!$B$48="ON",IFERROR(MATCH($AO51,Settings!$B$35:$F$35,0),5),5)</f>
        <v>1</v>
      </c>
      <c r="AQ51" s="62">
        <f>ROUND(MIN(5,IF(Pathogens!I48&gt;=500,5,IF(Pathogens!I48&gt;=200,4,IF(Pathogens!I48&gt;=50,3,IF(Pathogens!I48&gt;=10,2,1))))*0.5+IF(Pathogens!J48&gt;=30,5,IF(Pathogens!J48&gt;=10,4,IF(Pathogens!J48&gt;=3,3,IF(Pathogens!J48&gt;=1,2,1))))*0.4+IF(AND(VLOOKUP(G$4,Countries!$B$2:$AN$55,4,FALSE)&gt;=80,Pathogens!N48&gt;=0.5),1,0)*0.1+IF(VLOOKUP(G$4,Countries!$B$2:$AN$55,7,FALSE)&lt;50,0.3,0)),0)</f>
        <v>3</v>
      </c>
      <c r="AR51" s="62">
        <f>ROUND(MIN(5,IF(Pathogens!K48&gt;=8,5,IF(Pathogens!K48&gt;=5,4,IF(Pathogens!K48&gt;=3,3,IF(Pathogens!K48&gt;=1,2,1))))*0.5+IF(Pathogens!L48&gt;=5,5,IF(Pathogens!L48&gt;=3,4,IF(Pathogens!L48&gt;=2,3,IF(Pathogens!L48&gt;=1.2,2,1))))*0.3+IF(Pathogens!M48=1,2,0)*0.2+IF(VLOOKUP(G$4,Countries!$B$2:$AN$55,12,FALSE)&gt;=2,0.5,0)),0)</f>
        <v>4</v>
      </c>
      <c r="AS51" s="62">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c r="AT51" s="62">
        <f>ROUND(MAX(1,MIN(5,(6-VLOOKUP(G$4,Countries!$B$2:$AN$55,10,FALSE))*0.5+(6-VLOOKUP(G$4,Countries!$B$2:$AN$55,11,FALSE))*0.4+(IF(AND(Pathogens!N48&gt;=0.5,VLOOKUP(G$4,Countries!$B$2:$AN$55,5,FALSE)&lt;60),5,IF(Pathogens!N48&gt;=0.5,4,IF(Pathogens!N48&gt;=0.3,3,IF(Pathogens!N48&gt;=0.1,2,1)))))*0.1)),0)</f>
        <v>2</v>
      </c>
      <c r="AU51" s="62">
        <f>IF(ISNUMBER(SEARCH("Vaccine-preventable",Pathogens!C48)),2,IF(ISNUMBER(SEARCH("AMR",Pathogens!C48)),5,IF(ISNUMBER(SEARCH("VHF",Pathogens!C48)),4,IF(ISNUMBER(SEARCH("Emerging",Pathogens!C48)),5,IF(ISNUMBER(SEARCH("Mycobacterial",Pathogens!C48)),3,IF(ISNUMBER(SEARCH("Helminth",Pathogens!C48)),3,IF(ISNUMBER(SEARCH("Respiratory",Pathogens!C48)),4,3)))))))</f>
        <v>3</v>
      </c>
      <c r="AV51" s="62">
        <f>IF(ISNUMBER(SEARCH("AMR",Pathogens!C48)),5,IF(ISNUMBER(SEARCH("Mycobacterial",Pathogens!C48)),4,IF(ISNUMBER(SEARCH("Enteric bacterial",Pathogens!C48)),3,IF(ISNUMBER(SEARCH("Bacterial",Pathogens!C48)),3,1))))</f>
        <v>1</v>
      </c>
      <c r="AW5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1" s="62">
        <f>(6-Pathogens!X48)</f>
        <v>4</v>
      </c>
      <c r="AY51" s="62">
        <f>ROUND(MIN(5,MAX(1,0.35*IF(Pathogens!R48=1,5,IF(Pathogens!R48=2,3,1))+0.2*IF(Pathogens!S48=1,5,IF(Pathogens!S48=2,3,1))+0.25*IF(Pathogens!W48=1,IF(VLOOKUP(G$4,Countries!$B$2:$AN$55,38,FALSE)&gt;=3,5,IF(VLOOKUP(G$4,Countries!$B$2:$AN$55,38,FALSE)=2,4,IF(VLOOKUP(G$4,Countries!$B$2:$AN$55,38,FALSE)=1,2,1))),5)+0.2*IF(VLOOKUP(G$4,Countries!$B$2:$AN$55,24,FALSE)&gt;=50,5,IF(VLOOKUP(G$4,Countries!$B$2:$AN$55,24,FALSE)&gt;=25,4,IF(VLOOKUP(G$4,Countries!$B$2:$AN$55,24,FALSE)&gt;=10,3,IF(VLOOKUP(G$4,Countries!$B$2:$AN$55,24,FALSE)&gt;=5,2,1)))))),0)</f>
        <v>4</v>
      </c>
      <c r="AZ51" s="62" t="str">
        <f>IFERROR(INDEX(Endemicity!$C$2:$BN$55,MATCH(G$4,Endemicity!$B$2:$B$55,0),MATCH($A51,Endemicity!$C$1:$BN$1,0)),"Sporadic")</f>
        <v>Endemic</v>
      </c>
      <c r="BA51" s="62">
        <f>IF(Settings!$B$48="ON",IFERROR(MATCH($AZ51,Settings!$B$35:$F$35,0),5),5)</f>
        <v>1</v>
      </c>
    </row>
    <row r="52" customHeight="1" spans="1:53">
      <c r="A52" s="61" t="str">
        <f>Calculator!A81</f>
        <v>ENTH</v>
      </c>
      <c r="B52" s="61" t="str">
        <f>Calculator!B81</f>
        <v>Entamoeba histolytica</v>
      </c>
      <c r="C52" s="61" t="str">
        <f>Calculator!C81</f>
        <v>Enteric protozoan</v>
      </c>
      <c r="D52" s="52">
        <f>IFERROR(ROUND(MIN(100,(($J52)*Settings!$C$23*INDEX(Settings!$B$36:$F$44,1,$T52)+($K52)*Settings!$C$24*INDEX(Settings!$B$36:$F$44,2,$T52)+($L52)*Settings!$C$25*INDEX(Settings!$B$36:$F$44,3,$T52)+($M52)*Settings!$C$26*INDEX(Settings!$B$36:$F$44,4,$T52)+($N52)*Settings!$C$27*INDEX(Settings!$B$36:$F$44,5,$T52)+($O52)*Settings!$C$28*INDEX(Settings!$B$36:$F$44,6,$T52)+($P52)*Settings!$C$29*INDEX(Settings!$B$36:$F$44,7,$T52)+($Q52)*Settings!$C$30*INDEX(Settings!$B$36:$F$44,8,$T52)+($R52)*Settings!$C$31*INDEX(Settings!$B$36:$F$44,9,$T52))/INDEX(Settings!$B$45:$F$45,1,$T52)/5*100*IF($S52="Not present",Settings!$B$51,1)),1),"")</f>
        <v>59.2</v>
      </c>
      <c r="E52" s="52">
        <f>IFERROR(ROUND(MIN(100,(($U52)*Settings!$C$23*INDEX(Settings!$B$36:$F$44,1,$AE52)+($V52)*Settings!$C$24*INDEX(Settings!$B$36:$F$44,2,$AE52)+($W52)*Settings!$C$25*INDEX(Settings!$B$36:$F$44,3,$AE52)+($X52)*Settings!$C$26*INDEX(Settings!$B$36:$F$44,4,$AE52)+($Y52)*Settings!$C$27*INDEX(Settings!$B$36:$F$44,5,$AE52)+($Z52)*Settings!$C$28*INDEX(Settings!$B$36:$F$44,6,$AE52)+($AA52)*Settings!$C$29*INDEX(Settings!$B$36:$F$44,7,$AE52)+($AB52)*Settings!$C$30*INDEX(Settings!$B$36:$F$44,8,$AE52)+($AC52)*Settings!$C$31*INDEX(Settings!$B$36:$F$44,9,$AE52))/INDEX(Settings!$B$45:$F$45,1,$AE52)/5*100*IF($AD52="Not present",Settings!$B$51,1)),1),"")</f>
        <v>64.7</v>
      </c>
      <c r="F52" s="52">
        <f>IFERROR(ROUND(MIN(100,(($AF52)*Settings!$C$23*INDEX(Settings!$B$36:$F$44,1,$AP52)+($AG52)*Settings!$C$24*INDEX(Settings!$B$36:$F$44,2,$AP52)+($AH52)*Settings!$C$25*INDEX(Settings!$B$36:$F$44,3,$AP52)+($AI52)*Settings!$C$26*INDEX(Settings!$B$36:$F$44,4,$AP52)+($AJ52)*Settings!$C$27*INDEX(Settings!$B$36:$F$44,5,$AP52)+($AK52)*Settings!$C$28*INDEX(Settings!$B$36:$F$44,6,$AP52)+($AL52)*Settings!$C$29*INDEX(Settings!$B$36:$F$44,7,$AP52)+($AM52)*Settings!$C$30*INDEX(Settings!$B$36:$F$44,8,$AP52)+($AN52)*Settings!$C$31*INDEX(Settings!$B$36:$F$44,9,$AP52))/INDEX(Settings!$B$45:$F$45,1,$AP52)/5*100*IF($AO52="Not present",Settings!$B$51,1)),1),"")</f>
        <v>59.2</v>
      </c>
      <c r="G52" s="52">
        <f>IFERROR(ROUND(MIN(100,(($AQ52)*Settings!$C$23*INDEX(Settings!$B$36:$F$44,1,$BA52)+($AR52)*Settings!$C$24*INDEX(Settings!$B$36:$F$44,2,$BA52)+($AS52)*Settings!$C$25*INDEX(Settings!$B$36:$F$44,3,$BA52)+($AT52)*Settings!$C$26*INDEX(Settings!$B$36:$F$44,4,$BA52)+($AU52)*Settings!$C$27*INDEX(Settings!$B$36:$F$44,5,$BA52)+($AV52)*Settings!$C$28*INDEX(Settings!$B$36:$F$44,6,$BA52)+($AW52)*Settings!$C$29*INDEX(Settings!$B$36:$F$44,7,$BA52)+($AX52)*Settings!$C$30*INDEX(Settings!$B$36:$F$44,8,$BA52)+($AY52)*Settings!$C$31*INDEX(Settings!$B$36:$F$44,9,$BA52))/INDEX(Settings!$B$45:$F$45,1,$BA52)/5*100*IF($AZ52="Not present",Settings!$B$51,1)),1),"")</f>
        <v>61</v>
      </c>
      <c r="J52" s="62">
        <f>ROUND(MIN(5,IF(Pathogens!I49&gt;=500,5,IF(Pathogens!I49&gt;=200,4,IF(Pathogens!I49&gt;=50,3,IF(Pathogens!I49&gt;=10,2,1))))*0.5+IF(Pathogens!J49&gt;=30,5,IF(Pathogens!J49&gt;=10,4,IF(Pathogens!J49&gt;=3,3,IF(Pathogens!J49&gt;=1,2,1))))*0.4+IF(AND(VLOOKUP(D$4,Countries!$B$2:$AN$55,4,FALSE)&gt;=80,Pathogens!N49&gt;=0.5),1,0)*0.1+IF(VLOOKUP(D$4,Countries!$B$2:$AN$55,7,FALSE)&lt;50,0.3,0)),0)</f>
        <v>2</v>
      </c>
      <c r="K52" s="62">
        <f>ROUND(MIN(5,IF(Pathogens!K49&gt;=8,5,IF(Pathogens!K49&gt;=5,4,IF(Pathogens!K49&gt;=3,3,IF(Pathogens!K49&gt;=1,2,1))))*0.5+IF(Pathogens!L49&gt;=5,5,IF(Pathogens!L49&gt;=3,4,IF(Pathogens!L49&gt;=2,3,IF(Pathogens!L49&gt;=1.2,2,1))))*0.3+IF(Pathogens!M49=1,2,0)*0.2+IF(VLOOKUP(D$4,Countries!$B$2:$AN$55,12,FALSE)&gt;=2,0.5,0)),0)</f>
        <v>3</v>
      </c>
      <c r="L52" s="62">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c r="M52" s="62">
        <f>ROUND(MAX(1,MIN(5,(6-VLOOKUP(D$4,Countries!$B$2:$AN$55,10,FALSE))*0.5+(6-VLOOKUP(D$4,Countries!$B$2:$AN$55,11,FALSE))*0.4+(IF(AND(Pathogens!N49&gt;=0.5,VLOOKUP(D$4,Countries!$B$2:$AN$55,5,FALSE)&lt;60),5,IF(Pathogens!N49&gt;=0.5,4,IF(Pathogens!N49&gt;=0.3,3,IF(Pathogens!N49&gt;=0.1,2,1)))))*0.1)),0)</f>
        <v>2</v>
      </c>
      <c r="N52" s="62">
        <f>IF(ISNUMBER(SEARCH("Vaccine-preventable",Pathogens!C49)),2,IF(ISNUMBER(SEARCH("AMR",Pathogens!C49)),5,IF(ISNUMBER(SEARCH("VHF",Pathogens!C49)),4,IF(ISNUMBER(SEARCH("Emerging",Pathogens!C49)),5,IF(ISNUMBER(SEARCH("Mycobacterial",Pathogens!C49)),3,IF(ISNUMBER(SEARCH("Helminth",Pathogens!C49)),3,IF(ISNUMBER(SEARCH("Respiratory",Pathogens!C49)),4,3)))))))</f>
        <v>3</v>
      </c>
      <c r="O52" s="62">
        <f>IF(ISNUMBER(SEARCH("AMR",Pathogens!C49)),5,IF(ISNUMBER(SEARCH("Mycobacterial",Pathogens!C49)),4,IF(ISNUMBER(SEARCH("Enteric bacterial",Pathogens!C49)),3,IF(ISNUMBER(SEARCH("Bacterial",Pathogens!C49)),3,1))))</f>
        <v>1</v>
      </c>
      <c r="P5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2" s="62">
        <f>(6-Pathogens!X49)</f>
        <v>5</v>
      </c>
      <c r="R52" s="62">
        <f>ROUND(MIN(5,MAX(1,0.35*IF(Pathogens!R49=1,5,IF(Pathogens!R49=2,3,1))+0.2*IF(Pathogens!S49=1,5,IF(Pathogens!S49=2,3,1))+0.25*IF(Pathogens!W49=1,IF(VLOOKUP(D$4,Countries!$B$2:$AN$55,38,FALSE)&gt;=3,5,IF(VLOOKUP(D$4,Countries!$B$2:$AN$55,38,FALSE)=2,4,IF(VLOOKUP(D$4,Countries!$B$2:$AN$55,38,FALSE)=1,2,1))),5)+0.2*IF(VLOOKUP(D$4,Countries!$B$2:$AN$55,24,FALSE)&gt;=50,5,IF(VLOOKUP(D$4,Countries!$B$2:$AN$55,24,FALSE)&gt;=25,4,IF(VLOOKUP(D$4,Countries!$B$2:$AN$55,24,FALSE)&gt;=10,3,IF(VLOOKUP(D$4,Countries!$B$2:$AN$55,24,FALSE)&gt;=5,2,1)))))),0)</f>
        <v>4</v>
      </c>
      <c r="S52" s="62" t="str">
        <f>IFERROR(INDEX(Endemicity!$C$2:$BN$55,MATCH(D$4,Endemicity!$B$2:$B$55,0),MATCH($A52,Endemicity!$C$1:$BN$1,0)),"Sporadic")</f>
        <v>Endemic</v>
      </c>
      <c r="T52" s="62">
        <f>IF(Settings!$B$48="ON",IFERROR(MATCH($S52,Settings!$B$35:$F$35,0),5),5)</f>
        <v>1</v>
      </c>
      <c r="U52" s="62">
        <f>ROUND(MIN(5,IF(Pathogens!I49&gt;=500,5,IF(Pathogens!I49&gt;=200,4,IF(Pathogens!I49&gt;=50,3,IF(Pathogens!I49&gt;=10,2,1))))*0.5+IF(Pathogens!J49&gt;=30,5,IF(Pathogens!J49&gt;=10,4,IF(Pathogens!J49&gt;=3,3,IF(Pathogens!J49&gt;=1,2,1))))*0.4+IF(AND(VLOOKUP(E$4,Countries!$B$2:$AN$55,4,FALSE)&gt;=80,Pathogens!N49&gt;=0.5),1,0)*0.1+IF(VLOOKUP(E$4,Countries!$B$2:$AN$55,7,FALSE)&lt;50,0.3,0)),0)</f>
        <v>2</v>
      </c>
      <c r="V52" s="62">
        <f>ROUND(MIN(5,IF(Pathogens!K49&gt;=8,5,IF(Pathogens!K49&gt;=5,4,IF(Pathogens!K49&gt;=3,3,IF(Pathogens!K49&gt;=1,2,1))))*0.5+IF(Pathogens!L49&gt;=5,5,IF(Pathogens!L49&gt;=3,4,IF(Pathogens!L49&gt;=2,3,IF(Pathogens!L49&gt;=1.2,2,1))))*0.3+IF(Pathogens!M49=1,2,0)*0.2+IF(VLOOKUP(E$4,Countries!$B$2:$AN$55,12,FALSE)&gt;=2,0.5,0)),0)</f>
        <v>3</v>
      </c>
      <c r="W52" s="62">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c r="X52" s="62">
        <f>ROUND(MAX(1,MIN(5,(6-VLOOKUP(E$4,Countries!$B$2:$AN$55,10,FALSE))*0.5+(6-VLOOKUP(E$4,Countries!$B$2:$AN$55,11,FALSE))*0.4+(IF(AND(Pathogens!N49&gt;=0.5,VLOOKUP(E$4,Countries!$B$2:$AN$55,5,FALSE)&lt;60),5,IF(Pathogens!N49&gt;=0.5,4,IF(Pathogens!N49&gt;=0.3,3,IF(Pathogens!N49&gt;=0.1,2,1)))))*0.1)),0)</f>
        <v>3</v>
      </c>
      <c r="Y52" s="62">
        <f>IF(ISNUMBER(SEARCH("Vaccine-preventable",Pathogens!C49)),2,IF(ISNUMBER(SEARCH("AMR",Pathogens!C49)),5,IF(ISNUMBER(SEARCH("VHF",Pathogens!C49)),4,IF(ISNUMBER(SEARCH("Emerging",Pathogens!C49)),5,IF(ISNUMBER(SEARCH("Mycobacterial",Pathogens!C49)),3,IF(ISNUMBER(SEARCH("Helminth",Pathogens!C49)),3,IF(ISNUMBER(SEARCH("Respiratory",Pathogens!C49)),4,3)))))))</f>
        <v>3</v>
      </c>
      <c r="Z52" s="62">
        <f>IF(ISNUMBER(SEARCH("AMR",Pathogens!C49)),5,IF(ISNUMBER(SEARCH("Mycobacterial",Pathogens!C49)),4,IF(ISNUMBER(SEARCH("Enteric bacterial",Pathogens!C49)),3,IF(ISNUMBER(SEARCH("Bacterial",Pathogens!C49)),3,1))))</f>
        <v>1</v>
      </c>
      <c r="AA5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2" s="62">
        <f>(6-Pathogens!X49)</f>
        <v>5</v>
      </c>
      <c r="AC52" s="62">
        <f>ROUND(MIN(5,MAX(1,0.35*IF(Pathogens!R49=1,5,IF(Pathogens!R49=2,3,1))+0.2*IF(Pathogens!S49=1,5,IF(Pathogens!S49=2,3,1))+0.25*IF(Pathogens!W49=1,IF(VLOOKUP(E$4,Countries!$B$2:$AN$55,38,FALSE)&gt;=3,5,IF(VLOOKUP(E$4,Countries!$B$2:$AN$55,38,FALSE)=2,4,IF(VLOOKUP(E$4,Countries!$B$2:$AN$55,38,FALSE)=1,2,1))),5)+0.2*IF(VLOOKUP(E$4,Countries!$B$2:$AN$55,24,FALSE)&gt;=50,5,IF(VLOOKUP(E$4,Countries!$B$2:$AN$55,24,FALSE)&gt;=25,4,IF(VLOOKUP(E$4,Countries!$B$2:$AN$55,24,FALSE)&gt;=10,3,IF(VLOOKUP(E$4,Countries!$B$2:$AN$55,24,FALSE)&gt;=5,2,1)))))),0)</f>
        <v>4</v>
      </c>
      <c r="AD52" s="62" t="str">
        <f>IFERROR(INDEX(Endemicity!$C$2:$BN$55,MATCH(E$4,Endemicity!$B$2:$B$55,0),MATCH($A52,Endemicity!$C$1:$BN$1,0)),"Sporadic")</f>
        <v>Endemic</v>
      </c>
      <c r="AE52" s="62">
        <f>IF(Settings!$B$48="ON",IFERROR(MATCH($AD52,Settings!$B$35:$F$35,0),5),5)</f>
        <v>1</v>
      </c>
      <c r="AF52" s="62">
        <f>ROUND(MIN(5,IF(Pathogens!I49&gt;=500,5,IF(Pathogens!I49&gt;=200,4,IF(Pathogens!I49&gt;=50,3,IF(Pathogens!I49&gt;=10,2,1))))*0.5+IF(Pathogens!J49&gt;=30,5,IF(Pathogens!J49&gt;=10,4,IF(Pathogens!J49&gt;=3,3,IF(Pathogens!J49&gt;=1,2,1))))*0.4+IF(AND(VLOOKUP(F$4,Countries!$B$2:$AN$55,4,FALSE)&gt;=80,Pathogens!N49&gt;=0.5),1,0)*0.1+IF(VLOOKUP(F$4,Countries!$B$2:$AN$55,7,FALSE)&lt;50,0.3,0)),0)</f>
        <v>2</v>
      </c>
      <c r="AG52" s="62">
        <f>ROUND(MIN(5,IF(Pathogens!K49&gt;=8,5,IF(Pathogens!K49&gt;=5,4,IF(Pathogens!K49&gt;=3,3,IF(Pathogens!K49&gt;=1,2,1))))*0.5+IF(Pathogens!L49&gt;=5,5,IF(Pathogens!L49&gt;=3,4,IF(Pathogens!L49&gt;=2,3,IF(Pathogens!L49&gt;=1.2,2,1))))*0.3+IF(Pathogens!M49=1,2,0)*0.2+IF(VLOOKUP(F$4,Countries!$B$2:$AN$55,12,FALSE)&gt;=2,0.5,0)),0)</f>
        <v>3</v>
      </c>
      <c r="AH52" s="62">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c r="AI52" s="62">
        <f>ROUND(MAX(1,MIN(5,(6-VLOOKUP(F$4,Countries!$B$2:$AN$55,10,FALSE))*0.5+(6-VLOOKUP(F$4,Countries!$B$2:$AN$55,11,FALSE))*0.4+(IF(AND(Pathogens!N49&gt;=0.5,VLOOKUP(F$4,Countries!$B$2:$AN$55,5,FALSE)&lt;60),5,IF(Pathogens!N49&gt;=0.5,4,IF(Pathogens!N49&gt;=0.3,3,IF(Pathogens!N49&gt;=0.1,2,1)))))*0.1)),0)</f>
        <v>2</v>
      </c>
      <c r="AJ52" s="62">
        <f>IF(ISNUMBER(SEARCH("Vaccine-preventable",Pathogens!C49)),2,IF(ISNUMBER(SEARCH("AMR",Pathogens!C49)),5,IF(ISNUMBER(SEARCH("VHF",Pathogens!C49)),4,IF(ISNUMBER(SEARCH("Emerging",Pathogens!C49)),5,IF(ISNUMBER(SEARCH("Mycobacterial",Pathogens!C49)),3,IF(ISNUMBER(SEARCH("Helminth",Pathogens!C49)),3,IF(ISNUMBER(SEARCH("Respiratory",Pathogens!C49)),4,3)))))))</f>
        <v>3</v>
      </c>
      <c r="AK52" s="62">
        <f>IF(ISNUMBER(SEARCH("AMR",Pathogens!C49)),5,IF(ISNUMBER(SEARCH("Mycobacterial",Pathogens!C49)),4,IF(ISNUMBER(SEARCH("Enteric bacterial",Pathogens!C49)),3,IF(ISNUMBER(SEARCH("Bacterial",Pathogens!C49)),3,1))))</f>
        <v>1</v>
      </c>
      <c r="AL5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2" s="62">
        <f>(6-Pathogens!X49)</f>
        <v>5</v>
      </c>
      <c r="AN52" s="62">
        <f>ROUND(MIN(5,MAX(1,0.35*IF(Pathogens!R49=1,5,IF(Pathogens!R49=2,3,1))+0.2*IF(Pathogens!S49=1,5,IF(Pathogens!S49=2,3,1))+0.25*IF(Pathogens!W49=1,IF(VLOOKUP(F$4,Countries!$B$2:$AN$55,38,FALSE)&gt;=3,5,IF(VLOOKUP(F$4,Countries!$B$2:$AN$55,38,FALSE)=2,4,IF(VLOOKUP(F$4,Countries!$B$2:$AN$55,38,FALSE)=1,2,1))),5)+0.2*IF(VLOOKUP(F$4,Countries!$B$2:$AN$55,24,FALSE)&gt;=50,5,IF(VLOOKUP(F$4,Countries!$B$2:$AN$55,24,FALSE)&gt;=25,4,IF(VLOOKUP(F$4,Countries!$B$2:$AN$55,24,FALSE)&gt;=10,3,IF(VLOOKUP(F$4,Countries!$B$2:$AN$55,24,FALSE)&gt;=5,2,1)))))),0)</f>
        <v>4</v>
      </c>
      <c r="AO52" s="62" t="str">
        <f>IFERROR(INDEX(Endemicity!$C$2:$BN$55,MATCH(F$4,Endemicity!$B$2:$B$55,0),MATCH($A52,Endemicity!$C$1:$BN$1,0)),"Sporadic")</f>
        <v>Endemic</v>
      </c>
      <c r="AP52" s="62">
        <f>IF(Settings!$B$48="ON",IFERROR(MATCH($AO52,Settings!$B$35:$F$35,0),5),5)</f>
        <v>1</v>
      </c>
      <c r="AQ52" s="62">
        <f>ROUND(MIN(5,IF(Pathogens!I49&gt;=500,5,IF(Pathogens!I49&gt;=200,4,IF(Pathogens!I49&gt;=50,3,IF(Pathogens!I49&gt;=10,2,1))))*0.5+IF(Pathogens!J49&gt;=30,5,IF(Pathogens!J49&gt;=10,4,IF(Pathogens!J49&gt;=3,3,IF(Pathogens!J49&gt;=1,2,1))))*0.4+IF(AND(VLOOKUP(G$4,Countries!$B$2:$AN$55,4,FALSE)&gt;=80,Pathogens!N49&gt;=0.5),1,0)*0.1+IF(VLOOKUP(G$4,Countries!$B$2:$AN$55,7,FALSE)&lt;50,0.3,0)),0)</f>
        <v>2</v>
      </c>
      <c r="AR52" s="62">
        <f>ROUND(MIN(5,IF(Pathogens!K49&gt;=8,5,IF(Pathogens!K49&gt;=5,4,IF(Pathogens!K49&gt;=3,3,IF(Pathogens!K49&gt;=1,2,1))))*0.5+IF(Pathogens!L49&gt;=5,5,IF(Pathogens!L49&gt;=3,4,IF(Pathogens!L49&gt;=2,3,IF(Pathogens!L49&gt;=1.2,2,1))))*0.3+IF(Pathogens!M49=1,2,0)*0.2+IF(VLOOKUP(G$4,Countries!$B$2:$AN$55,12,FALSE)&gt;=2,0.5,0)),0)</f>
        <v>3</v>
      </c>
      <c r="AS52" s="62">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c r="AT52" s="62">
        <f>ROUND(MAX(1,MIN(5,(6-VLOOKUP(G$4,Countries!$B$2:$AN$55,10,FALSE))*0.5+(6-VLOOKUP(G$4,Countries!$B$2:$AN$55,11,FALSE))*0.4+(IF(AND(Pathogens!N49&gt;=0.5,VLOOKUP(G$4,Countries!$B$2:$AN$55,5,FALSE)&lt;60),5,IF(Pathogens!N49&gt;=0.5,4,IF(Pathogens!N49&gt;=0.3,3,IF(Pathogens!N49&gt;=0.1,2,1)))))*0.1)),0)</f>
        <v>2</v>
      </c>
      <c r="AU52" s="62">
        <f>IF(ISNUMBER(SEARCH("Vaccine-preventable",Pathogens!C49)),2,IF(ISNUMBER(SEARCH("AMR",Pathogens!C49)),5,IF(ISNUMBER(SEARCH("VHF",Pathogens!C49)),4,IF(ISNUMBER(SEARCH("Emerging",Pathogens!C49)),5,IF(ISNUMBER(SEARCH("Mycobacterial",Pathogens!C49)),3,IF(ISNUMBER(SEARCH("Helminth",Pathogens!C49)),3,IF(ISNUMBER(SEARCH("Respiratory",Pathogens!C49)),4,3)))))))</f>
        <v>3</v>
      </c>
      <c r="AV52" s="62">
        <f>IF(ISNUMBER(SEARCH("AMR",Pathogens!C49)),5,IF(ISNUMBER(SEARCH("Mycobacterial",Pathogens!C49)),4,IF(ISNUMBER(SEARCH("Enteric bacterial",Pathogens!C49)),3,IF(ISNUMBER(SEARCH("Bacterial",Pathogens!C49)),3,1))))</f>
        <v>1</v>
      </c>
      <c r="AW5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2" s="62">
        <f>(6-Pathogens!X49)</f>
        <v>5</v>
      </c>
      <c r="AY52" s="62">
        <f>ROUND(MIN(5,MAX(1,0.35*IF(Pathogens!R49=1,5,IF(Pathogens!R49=2,3,1))+0.2*IF(Pathogens!S49=1,5,IF(Pathogens!S49=2,3,1))+0.25*IF(Pathogens!W49=1,IF(VLOOKUP(G$4,Countries!$B$2:$AN$55,38,FALSE)&gt;=3,5,IF(VLOOKUP(G$4,Countries!$B$2:$AN$55,38,FALSE)=2,4,IF(VLOOKUP(G$4,Countries!$B$2:$AN$55,38,FALSE)=1,2,1))),5)+0.2*IF(VLOOKUP(G$4,Countries!$B$2:$AN$55,24,FALSE)&gt;=50,5,IF(VLOOKUP(G$4,Countries!$B$2:$AN$55,24,FALSE)&gt;=25,4,IF(VLOOKUP(G$4,Countries!$B$2:$AN$55,24,FALSE)&gt;=10,3,IF(VLOOKUP(G$4,Countries!$B$2:$AN$55,24,FALSE)&gt;=5,2,1)))))),0)</f>
        <v>4</v>
      </c>
      <c r="AZ52" s="62" t="str">
        <f>IFERROR(INDEX(Endemicity!$C$2:$BN$55,MATCH(G$4,Endemicity!$B$2:$B$55,0),MATCH($A52,Endemicity!$C$1:$BN$1,0)),"Sporadic")</f>
        <v>Endemic</v>
      </c>
      <c r="BA52" s="62">
        <f>IF(Settings!$B$48="ON",IFERROR(MATCH($AZ52,Settings!$B$35:$F$35,0),5),5)</f>
        <v>1</v>
      </c>
    </row>
    <row r="53" customHeight="1" spans="1:53">
      <c r="A53" s="61" t="str">
        <f>Calculator!A82</f>
        <v>SCHISTO</v>
      </c>
      <c r="B53" s="61" t="str">
        <f>Calculator!B82</f>
        <v>Schistosoma spp.</v>
      </c>
      <c r="C53" s="61" t="str">
        <f>Calculator!C82</f>
        <v>Helminth</v>
      </c>
      <c r="D53" s="52">
        <f>IFERROR(ROUND(MIN(100,(($J53)*Settings!$C$23*INDEX(Settings!$B$36:$F$44,1,$T53)+($K53)*Settings!$C$24*INDEX(Settings!$B$36:$F$44,2,$T53)+($L53)*Settings!$C$25*INDEX(Settings!$B$36:$F$44,3,$T53)+($M53)*Settings!$C$26*INDEX(Settings!$B$36:$F$44,4,$T53)+($N53)*Settings!$C$27*INDEX(Settings!$B$36:$F$44,5,$T53)+($O53)*Settings!$C$28*INDEX(Settings!$B$36:$F$44,6,$T53)+($P53)*Settings!$C$29*INDEX(Settings!$B$36:$F$44,7,$T53)+($Q53)*Settings!$C$30*INDEX(Settings!$B$36:$F$44,8,$T53)+($R53)*Settings!$C$31*INDEX(Settings!$B$36:$F$44,9,$T53))/INDEX(Settings!$B$45:$F$45,1,$T53)/5*100*IF($S53="Not present",Settings!$B$51,1)),1),"")</f>
        <v>66.9</v>
      </c>
      <c r="E53" s="52">
        <f>IFERROR(ROUND(MIN(100,(($U53)*Settings!$C$23*INDEX(Settings!$B$36:$F$44,1,$AE53)+($V53)*Settings!$C$24*INDEX(Settings!$B$36:$F$44,2,$AE53)+($W53)*Settings!$C$25*INDEX(Settings!$B$36:$F$44,3,$AE53)+($X53)*Settings!$C$26*INDEX(Settings!$B$36:$F$44,4,$AE53)+($Y53)*Settings!$C$27*INDEX(Settings!$B$36:$F$44,5,$AE53)+($Z53)*Settings!$C$28*INDEX(Settings!$B$36:$F$44,6,$AE53)+($AA53)*Settings!$C$29*INDEX(Settings!$B$36:$F$44,7,$AE53)+($AB53)*Settings!$C$30*INDEX(Settings!$B$36:$F$44,8,$AE53)+($AC53)*Settings!$C$31*INDEX(Settings!$B$36:$F$44,9,$AE53))/INDEX(Settings!$B$45:$F$45,1,$AE53)/5*100*IF($AD53="Not present",Settings!$B$51,1)),1),"")</f>
        <v>72.5</v>
      </c>
      <c r="F53" s="52">
        <f>IFERROR(ROUND(MIN(100,(($AF53)*Settings!$C$23*INDEX(Settings!$B$36:$F$44,1,$AP53)+($AG53)*Settings!$C$24*INDEX(Settings!$B$36:$F$44,2,$AP53)+($AH53)*Settings!$C$25*INDEX(Settings!$B$36:$F$44,3,$AP53)+($AI53)*Settings!$C$26*INDEX(Settings!$B$36:$F$44,4,$AP53)+($AJ53)*Settings!$C$27*INDEX(Settings!$B$36:$F$44,5,$AP53)+($AK53)*Settings!$C$28*INDEX(Settings!$B$36:$F$44,6,$AP53)+($AL53)*Settings!$C$29*INDEX(Settings!$B$36:$F$44,7,$AP53)+($AM53)*Settings!$C$30*INDEX(Settings!$B$36:$F$44,8,$AP53)+($AN53)*Settings!$C$31*INDEX(Settings!$B$36:$F$44,9,$AP53))/INDEX(Settings!$B$45:$F$45,1,$AP53)/5*100*IF($AO53="Not present",Settings!$B$51,1)),1),"")</f>
        <v>66.9</v>
      </c>
      <c r="G53" s="52">
        <f>IFERROR(ROUND(MIN(100,(($AQ53)*Settings!$C$23*INDEX(Settings!$B$36:$F$44,1,$BA53)+($AR53)*Settings!$C$24*INDEX(Settings!$B$36:$F$44,2,$BA53)+($AS53)*Settings!$C$25*INDEX(Settings!$B$36:$F$44,3,$BA53)+($AT53)*Settings!$C$26*INDEX(Settings!$B$36:$F$44,4,$BA53)+($AU53)*Settings!$C$27*INDEX(Settings!$B$36:$F$44,5,$BA53)+($AV53)*Settings!$C$28*INDEX(Settings!$B$36:$F$44,6,$BA53)+($AW53)*Settings!$C$29*INDEX(Settings!$B$36:$F$44,7,$BA53)+($AX53)*Settings!$C$30*INDEX(Settings!$B$36:$F$44,8,$BA53)+($AY53)*Settings!$C$31*INDEX(Settings!$B$36:$F$44,9,$BA53))/INDEX(Settings!$B$45:$F$45,1,$BA53)/5*100*IF($AZ53="Not present",Settings!$B$51,1)),1),"")</f>
        <v>68.7</v>
      </c>
      <c r="J53" s="62">
        <f>ROUND(MIN(5,IF(Pathogens!I50&gt;=500,5,IF(Pathogens!I50&gt;=200,4,IF(Pathogens!I50&gt;=50,3,IF(Pathogens!I50&gt;=10,2,1))))*0.5+IF(Pathogens!J50&gt;=30,5,IF(Pathogens!J50&gt;=10,4,IF(Pathogens!J50&gt;=3,3,IF(Pathogens!J50&gt;=1,2,1))))*0.4+IF(AND(VLOOKUP(D$4,Countries!$B$2:$AN$55,4,FALSE)&gt;=80,Pathogens!N50&gt;=0.5),1,0)*0.1+IF(VLOOKUP(D$4,Countries!$B$2:$AN$55,7,FALSE)&lt;50,0.3,0)),0)</f>
        <v>3</v>
      </c>
      <c r="K53" s="62">
        <f>ROUND(MIN(5,IF(Pathogens!K50&gt;=8,5,IF(Pathogens!K50&gt;=5,4,IF(Pathogens!K50&gt;=3,3,IF(Pathogens!K50&gt;=1,2,1))))*0.5+IF(Pathogens!L50&gt;=5,5,IF(Pathogens!L50&gt;=3,4,IF(Pathogens!L50&gt;=2,3,IF(Pathogens!L50&gt;=1.2,2,1))))*0.3+IF(Pathogens!M50=1,2,0)*0.2+IF(VLOOKUP(D$4,Countries!$B$2:$AN$55,12,FALSE)&gt;=2,0.5,0)),0)</f>
        <v>4</v>
      </c>
      <c r="L53" s="62">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c r="M53" s="62">
        <f>ROUND(MAX(1,MIN(5,(6-VLOOKUP(D$4,Countries!$B$2:$AN$55,10,FALSE))*0.5+(6-VLOOKUP(D$4,Countries!$B$2:$AN$55,11,FALSE))*0.4+(IF(AND(Pathogens!N50&gt;=0.5,VLOOKUP(D$4,Countries!$B$2:$AN$55,5,FALSE)&lt;60),5,IF(Pathogens!N50&gt;=0.5,4,IF(Pathogens!N50&gt;=0.3,3,IF(Pathogens!N50&gt;=0.1,2,1)))))*0.1)),0)</f>
        <v>2</v>
      </c>
      <c r="N53" s="62">
        <f>IF(ISNUMBER(SEARCH("Vaccine-preventable",Pathogens!C50)),2,IF(ISNUMBER(SEARCH("AMR",Pathogens!C50)),5,IF(ISNUMBER(SEARCH("VHF",Pathogens!C50)),4,IF(ISNUMBER(SEARCH("Emerging",Pathogens!C50)),5,IF(ISNUMBER(SEARCH("Mycobacterial",Pathogens!C50)),3,IF(ISNUMBER(SEARCH("Helminth",Pathogens!C50)),3,IF(ISNUMBER(SEARCH("Respiratory",Pathogens!C50)),4,3)))))))</f>
        <v>3</v>
      </c>
      <c r="O53" s="62">
        <f>IF(ISNUMBER(SEARCH("AMR",Pathogens!C50)),5,IF(ISNUMBER(SEARCH("Mycobacterial",Pathogens!C50)),4,IF(ISNUMBER(SEARCH("Enteric bacterial",Pathogens!C50)),3,IF(ISNUMBER(SEARCH("Bacterial",Pathogens!C50)),3,1))))</f>
        <v>1</v>
      </c>
      <c r="P5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3" s="62">
        <f>(6-Pathogens!X50)</f>
        <v>3</v>
      </c>
      <c r="R53" s="62">
        <f>ROUND(MIN(5,MAX(1,0.35*IF(Pathogens!R50=1,5,IF(Pathogens!R50=2,3,1))+0.2*IF(Pathogens!S50=1,5,IF(Pathogens!S50=2,3,1))+0.25*IF(Pathogens!W50=1,IF(VLOOKUP(D$4,Countries!$B$2:$AN$55,38,FALSE)&gt;=3,5,IF(VLOOKUP(D$4,Countries!$B$2:$AN$55,38,FALSE)=2,4,IF(VLOOKUP(D$4,Countries!$B$2:$AN$55,38,FALSE)=1,2,1))),5)+0.2*IF(VLOOKUP(D$4,Countries!$B$2:$AN$55,24,FALSE)&gt;=50,5,IF(VLOOKUP(D$4,Countries!$B$2:$AN$55,24,FALSE)&gt;=25,4,IF(VLOOKUP(D$4,Countries!$B$2:$AN$55,24,FALSE)&gt;=10,3,IF(VLOOKUP(D$4,Countries!$B$2:$AN$55,24,FALSE)&gt;=5,2,1)))))),0)</f>
        <v>4</v>
      </c>
      <c r="S53" s="62" t="str">
        <f>IFERROR(INDEX(Endemicity!$C$2:$BN$55,MATCH(D$4,Endemicity!$B$2:$B$55,0),MATCH($A53,Endemicity!$C$1:$BN$1,0)),"Sporadic")</f>
        <v>Endemic</v>
      </c>
      <c r="T53" s="62">
        <f>IF(Settings!$B$48="ON",IFERROR(MATCH($S53,Settings!$B$35:$F$35,0),5),5)</f>
        <v>1</v>
      </c>
      <c r="U53" s="62">
        <f>ROUND(MIN(5,IF(Pathogens!I50&gt;=500,5,IF(Pathogens!I50&gt;=200,4,IF(Pathogens!I50&gt;=50,3,IF(Pathogens!I50&gt;=10,2,1))))*0.5+IF(Pathogens!J50&gt;=30,5,IF(Pathogens!J50&gt;=10,4,IF(Pathogens!J50&gt;=3,3,IF(Pathogens!J50&gt;=1,2,1))))*0.4+IF(AND(VLOOKUP(E$4,Countries!$B$2:$AN$55,4,FALSE)&gt;=80,Pathogens!N50&gt;=0.5),1,0)*0.1+IF(VLOOKUP(E$4,Countries!$B$2:$AN$55,7,FALSE)&lt;50,0.3,0)),0)</f>
        <v>3</v>
      </c>
      <c r="V53" s="62">
        <f>ROUND(MIN(5,IF(Pathogens!K50&gt;=8,5,IF(Pathogens!K50&gt;=5,4,IF(Pathogens!K50&gt;=3,3,IF(Pathogens!K50&gt;=1,2,1))))*0.5+IF(Pathogens!L50&gt;=5,5,IF(Pathogens!L50&gt;=3,4,IF(Pathogens!L50&gt;=2,3,IF(Pathogens!L50&gt;=1.2,2,1))))*0.3+IF(Pathogens!M50=1,2,0)*0.2+IF(VLOOKUP(E$4,Countries!$B$2:$AN$55,12,FALSE)&gt;=2,0.5,0)),0)</f>
        <v>4</v>
      </c>
      <c r="W53" s="62">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c r="X53" s="62">
        <f>ROUND(MAX(1,MIN(5,(6-VLOOKUP(E$4,Countries!$B$2:$AN$55,10,FALSE))*0.5+(6-VLOOKUP(E$4,Countries!$B$2:$AN$55,11,FALSE))*0.4+(IF(AND(Pathogens!N50&gt;=0.5,VLOOKUP(E$4,Countries!$B$2:$AN$55,5,FALSE)&lt;60),5,IF(Pathogens!N50&gt;=0.5,4,IF(Pathogens!N50&gt;=0.3,3,IF(Pathogens!N50&gt;=0.1,2,1)))))*0.1)),0)</f>
        <v>3</v>
      </c>
      <c r="Y53" s="62">
        <f>IF(ISNUMBER(SEARCH("Vaccine-preventable",Pathogens!C50)),2,IF(ISNUMBER(SEARCH("AMR",Pathogens!C50)),5,IF(ISNUMBER(SEARCH("VHF",Pathogens!C50)),4,IF(ISNUMBER(SEARCH("Emerging",Pathogens!C50)),5,IF(ISNUMBER(SEARCH("Mycobacterial",Pathogens!C50)),3,IF(ISNUMBER(SEARCH("Helminth",Pathogens!C50)),3,IF(ISNUMBER(SEARCH("Respiratory",Pathogens!C50)),4,3)))))))</f>
        <v>3</v>
      </c>
      <c r="Z53" s="62">
        <f>IF(ISNUMBER(SEARCH("AMR",Pathogens!C50)),5,IF(ISNUMBER(SEARCH("Mycobacterial",Pathogens!C50)),4,IF(ISNUMBER(SEARCH("Enteric bacterial",Pathogens!C50)),3,IF(ISNUMBER(SEARCH("Bacterial",Pathogens!C50)),3,1))))</f>
        <v>1</v>
      </c>
      <c r="AA5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3" s="62">
        <f>(6-Pathogens!X50)</f>
        <v>3</v>
      </c>
      <c r="AC53" s="62">
        <f>ROUND(MIN(5,MAX(1,0.35*IF(Pathogens!R50=1,5,IF(Pathogens!R50=2,3,1))+0.2*IF(Pathogens!S50=1,5,IF(Pathogens!S50=2,3,1))+0.25*IF(Pathogens!W50=1,IF(VLOOKUP(E$4,Countries!$B$2:$AN$55,38,FALSE)&gt;=3,5,IF(VLOOKUP(E$4,Countries!$B$2:$AN$55,38,FALSE)=2,4,IF(VLOOKUP(E$4,Countries!$B$2:$AN$55,38,FALSE)=1,2,1))),5)+0.2*IF(VLOOKUP(E$4,Countries!$B$2:$AN$55,24,FALSE)&gt;=50,5,IF(VLOOKUP(E$4,Countries!$B$2:$AN$55,24,FALSE)&gt;=25,4,IF(VLOOKUP(E$4,Countries!$B$2:$AN$55,24,FALSE)&gt;=10,3,IF(VLOOKUP(E$4,Countries!$B$2:$AN$55,24,FALSE)&gt;=5,2,1)))))),0)</f>
        <v>4</v>
      </c>
      <c r="AD53" s="62" t="str">
        <f>IFERROR(INDEX(Endemicity!$C$2:$BN$55,MATCH(E$4,Endemicity!$B$2:$B$55,0),MATCH($A53,Endemicity!$C$1:$BN$1,0)),"Sporadic")</f>
        <v>Endemic</v>
      </c>
      <c r="AE53" s="62">
        <f>IF(Settings!$B$48="ON",IFERROR(MATCH($AD53,Settings!$B$35:$F$35,0),5),5)</f>
        <v>1</v>
      </c>
      <c r="AF53" s="62">
        <f>ROUND(MIN(5,IF(Pathogens!I50&gt;=500,5,IF(Pathogens!I50&gt;=200,4,IF(Pathogens!I50&gt;=50,3,IF(Pathogens!I50&gt;=10,2,1))))*0.5+IF(Pathogens!J50&gt;=30,5,IF(Pathogens!J50&gt;=10,4,IF(Pathogens!J50&gt;=3,3,IF(Pathogens!J50&gt;=1,2,1))))*0.4+IF(AND(VLOOKUP(F$4,Countries!$B$2:$AN$55,4,FALSE)&gt;=80,Pathogens!N50&gt;=0.5),1,0)*0.1+IF(VLOOKUP(F$4,Countries!$B$2:$AN$55,7,FALSE)&lt;50,0.3,0)),0)</f>
        <v>3</v>
      </c>
      <c r="AG53" s="62">
        <f>ROUND(MIN(5,IF(Pathogens!K50&gt;=8,5,IF(Pathogens!K50&gt;=5,4,IF(Pathogens!K50&gt;=3,3,IF(Pathogens!K50&gt;=1,2,1))))*0.5+IF(Pathogens!L50&gt;=5,5,IF(Pathogens!L50&gt;=3,4,IF(Pathogens!L50&gt;=2,3,IF(Pathogens!L50&gt;=1.2,2,1))))*0.3+IF(Pathogens!M50=1,2,0)*0.2+IF(VLOOKUP(F$4,Countries!$B$2:$AN$55,12,FALSE)&gt;=2,0.5,0)),0)</f>
        <v>4</v>
      </c>
      <c r="AH53" s="62">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c r="AI53" s="62">
        <f>ROUND(MAX(1,MIN(5,(6-VLOOKUP(F$4,Countries!$B$2:$AN$55,10,FALSE))*0.5+(6-VLOOKUP(F$4,Countries!$B$2:$AN$55,11,FALSE))*0.4+(IF(AND(Pathogens!N50&gt;=0.5,VLOOKUP(F$4,Countries!$B$2:$AN$55,5,FALSE)&lt;60),5,IF(Pathogens!N50&gt;=0.5,4,IF(Pathogens!N50&gt;=0.3,3,IF(Pathogens!N50&gt;=0.1,2,1)))))*0.1)),0)</f>
        <v>2</v>
      </c>
      <c r="AJ53" s="62">
        <f>IF(ISNUMBER(SEARCH("Vaccine-preventable",Pathogens!C50)),2,IF(ISNUMBER(SEARCH("AMR",Pathogens!C50)),5,IF(ISNUMBER(SEARCH("VHF",Pathogens!C50)),4,IF(ISNUMBER(SEARCH("Emerging",Pathogens!C50)),5,IF(ISNUMBER(SEARCH("Mycobacterial",Pathogens!C50)),3,IF(ISNUMBER(SEARCH("Helminth",Pathogens!C50)),3,IF(ISNUMBER(SEARCH("Respiratory",Pathogens!C50)),4,3)))))))</f>
        <v>3</v>
      </c>
      <c r="AK53" s="62">
        <f>IF(ISNUMBER(SEARCH("AMR",Pathogens!C50)),5,IF(ISNUMBER(SEARCH("Mycobacterial",Pathogens!C50)),4,IF(ISNUMBER(SEARCH("Enteric bacterial",Pathogens!C50)),3,IF(ISNUMBER(SEARCH("Bacterial",Pathogens!C50)),3,1))))</f>
        <v>1</v>
      </c>
      <c r="AL5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3" s="62">
        <f>(6-Pathogens!X50)</f>
        <v>3</v>
      </c>
      <c r="AN53" s="62">
        <f>ROUND(MIN(5,MAX(1,0.35*IF(Pathogens!R50=1,5,IF(Pathogens!R50=2,3,1))+0.2*IF(Pathogens!S50=1,5,IF(Pathogens!S50=2,3,1))+0.25*IF(Pathogens!W50=1,IF(VLOOKUP(F$4,Countries!$B$2:$AN$55,38,FALSE)&gt;=3,5,IF(VLOOKUP(F$4,Countries!$B$2:$AN$55,38,FALSE)=2,4,IF(VLOOKUP(F$4,Countries!$B$2:$AN$55,38,FALSE)=1,2,1))),5)+0.2*IF(VLOOKUP(F$4,Countries!$B$2:$AN$55,24,FALSE)&gt;=50,5,IF(VLOOKUP(F$4,Countries!$B$2:$AN$55,24,FALSE)&gt;=25,4,IF(VLOOKUP(F$4,Countries!$B$2:$AN$55,24,FALSE)&gt;=10,3,IF(VLOOKUP(F$4,Countries!$B$2:$AN$55,24,FALSE)&gt;=5,2,1)))))),0)</f>
        <v>4</v>
      </c>
      <c r="AO53" s="62" t="str">
        <f>IFERROR(INDEX(Endemicity!$C$2:$BN$55,MATCH(F$4,Endemicity!$B$2:$B$55,0),MATCH($A53,Endemicity!$C$1:$BN$1,0)),"Sporadic")</f>
        <v>Endemic</v>
      </c>
      <c r="AP53" s="62">
        <f>IF(Settings!$B$48="ON",IFERROR(MATCH($AO53,Settings!$B$35:$F$35,0),5),5)</f>
        <v>1</v>
      </c>
      <c r="AQ53" s="62">
        <f>ROUND(MIN(5,IF(Pathogens!I50&gt;=500,5,IF(Pathogens!I50&gt;=200,4,IF(Pathogens!I50&gt;=50,3,IF(Pathogens!I50&gt;=10,2,1))))*0.5+IF(Pathogens!J50&gt;=30,5,IF(Pathogens!J50&gt;=10,4,IF(Pathogens!J50&gt;=3,3,IF(Pathogens!J50&gt;=1,2,1))))*0.4+IF(AND(VLOOKUP(G$4,Countries!$B$2:$AN$55,4,FALSE)&gt;=80,Pathogens!N50&gt;=0.5),1,0)*0.1+IF(VLOOKUP(G$4,Countries!$B$2:$AN$55,7,FALSE)&lt;50,0.3,0)),0)</f>
        <v>3</v>
      </c>
      <c r="AR53" s="62">
        <f>ROUND(MIN(5,IF(Pathogens!K50&gt;=8,5,IF(Pathogens!K50&gt;=5,4,IF(Pathogens!K50&gt;=3,3,IF(Pathogens!K50&gt;=1,2,1))))*0.5+IF(Pathogens!L50&gt;=5,5,IF(Pathogens!L50&gt;=3,4,IF(Pathogens!L50&gt;=2,3,IF(Pathogens!L50&gt;=1.2,2,1))))*0.3+IF(Pathogens!M50=1,2,0)*0.2+IF(VLOOKUP(G$4,Countries!$B$2:$AN$55,12,FALSE)&gt;=2,0.5,0)),0)</f>
        <v>4</v>
      </c>
      <c r="AS53" s="62">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c r="AT53" s="62">
        <f>ROUND(MAX(1,MIN(5,(6-VLOOKUP(G$4,Countries!$B$2:$AN$55,10,FALSE))*0.5+(6-VLOOKUP(G$4,Countries!$B$2:$AN$55,11,FALSE))*0.4+(IF(AND(Pathogens!N50&gt;=0.5,VLOOKUP(G$4,Countries!$B$2:$AN$55,5,FALSE)&lt;60),5,IF(Pathogens!N50&gt;=0.5,4,IF(Pathogens!N50&gt;=0.3,3,IF(Pathogens!N50&gt;=0.1,2,1)))))*0.1)),0)</f>
        <v>2</v>
      </c>
      <c r="AU53" s="62">
        <f>IF(ISNUMBER(SEARCH("Vaccine-preventable",Pathogens!C50)),2,IF(ISNUMBER(SEARCH("AMR",Pathogens!C50)),5,IF(ISNUMBER(SEARCH("VHF",Pathogens!C50)),4,IF(ISNUMBER(SEARCH("Emerging",Pathogens!C50)),5,IF(ISNUMBER(SEARCH("Mycobacterial",Pathogens!C50)),3,IF(ISNUMBER(SEARCH("Helminth",Pathogens!C50)),3,IF(ISNUMBER(SEARCH("Respiratory",Pathogens!C50)),4,3)))))))</f>
        <v>3</v>
      </c>
      <c r="AV53" s="62">
        <f>IF(ISNUMBER(SEARCH("AMR",Pathogens!C50)),5,IF(ISNUMBER(SEARCH("Mycobacterial",Pathogens!C50)),4,IF(ISNUMBER(SEARCH("Enteric bacterial",Pathogens!C50)),3,IF(ISNUMBER(SEARCH("Bacterial",Pathogens!C50)),3,1))))</f>
        <v>1</v>
      </c>
      <c r="AW5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3" s="62">
        <f>(6-Pathogens!X50)</f>
        <v>3</v>
      </c>
      <c r="AY53" s="62">
        <f>ROUND(MIN(5,MAX(1,0.35*IF(Pathogens!R50=1,5,IF(Pathogens!R50=2,3,1))+0.2*IF(Pathogens!S50=1,5,IF(Pathogens!S50=2,3,1))+0.25*IF(Pathogens!W50=1,IF(VLOOKUP(G$4,Countries!$B$2:$AN$55,38,FALSE)&gt;=3,5,IF(VLOOKUP(G$4,Countries!$B$2:$AN$55,38,FALSE)=2,4,IF(VLOOKUP(G$4,Countries!$B$2:$AN$55,38,FALSE)=1,2,1))),5)+0.2*IF(VLOOKUP(G$4,Countries!$B$2:$AN$55,24,FALSE)&gt;=50,5,IF(VLOOKUP(G$4,Countries!$B$2:$AN$55,24,FALSE)&gt;=25,4,IF(VLOOKUP(G$4,Countries!$B$2:$AN$55,24,FALSE)&gt;=10,3,IF(VLOOKUP(G$4,Countries!$B$2:$AN$55,24,FALSE)&gt;=5,2,1)))))),0)</f>
        <v>4</v>
      </c>
      <c r="AZ53" s="62" t="str">
        <f>IFERROR(INDEX(Endemicity!$C$2:$BN$55,MATCH(G$4,Endemicity!$B$2:$B$55,0),MATCH($A53,Endemicity!$C$1:$BN$1,0)),"Sporadic")</f>
        <v>Endemic</v>
      </c>
      <c r="BA53" s="62">
        <f>IF(Settings!$B$48="ON",IFERROR(MATCH($AZ53,Settings!$B$35:$F$35,0),5),5)</f>
        <v>1</v>
      </c>
    </row>
    <row r="54" customHeight="1" spans="1:53">
      <c r="A54" s="61" t="str">
        <f>Calculator!A83</f>
        <v>STH</v>
      </c>
      <c r="B54" s="61" t="str">
        <f>Calculator!B83</f>
        <v>Soil-transmitted helminths</v>
      </c>
      <c r="C54" s="61" t="str">
        <f>Calculator!C83</f>
        <v>Helminth</v>
      </c>
      <c r="D54" s="52">
        <f>IFERROR(ROUND(MIN(100,(($J54)*Settings!$C$23*INDEX(Settings!$B$36:$F$44,1,$T54)+($K54)*Settings!$C$24*INDEX(Settings!$B$36:$F$44,2,$T54)+($L54)*Settings!$C$25*INDEX(Settings!$B$36:$F$44,3,$T54)+($M54)*Settings!$C$26*INDEX(Settings!$B$36:$F$44,4,$T54)+($N54)*Settings!$C$27*INDEX(Settings!$B$36:$F$44,5,$T54)+($O54)*Settings!$C$28*INDEX(Settings!$B$36:$F$44,6,$T54)+($P54)*Settings!$C$29*INDEX(Settings!$B$36:$F$44,7,$T54)+($Q54)*Settings!$C$30*INDEX(Settings!$B$36:$F$44,8,$T54)+($R54)*Settings!$C$31*INDEX(Settings!$B$36:$F$44,9,$T54))/INDEX(Settings!$B$45:$F$45,1,$T54)/5*100*IF($S54="Not present",Settings!$B$51,1)),1),"")</f>
        <v>66.4</v>
      </c>
      <c r="E54" s="52">
        <f>IFERROR(ROUND(MIN(100,(($U54)*Settings!$C$23*INDEX(Settings!$B$36:$F$44,1,$AE54)+($V54)*Settings!$C$24*INDEX(Settings!$B$36:$F$44,2,$AE54)+($W54)*Settings!$C$25*INDEX(Settings!$B$36:$F$44,3,$AE54)+($X54)*Settings!$C$26*INDEX(Settings!$B$36:$F$44,4,$AE54)+($Y54)*Settings!$C$27*INDEX(Settings!$B$36:$F$44,5,$AE54)+($Z54)*Settings!$C$28*INDEX(Settings!$B$36:$F$44,6,$AE54)+($AA54)*Settings!$C$29*INDEX(Settings!$B$36:$F$44,7,$AE54)+($AB54)*Settings!$C$30*INDEX(Settings!$B$36:$F$44,8,$AE54)+($AC54)*Settings!$C$31*INDEX(Settings!$B$36:$F$44,9,$AE54))/INDEX(Settings!$B$45:$F$45,1,$AE54)/5*100*IF($AD54="Not present",Settings!$B$51,1)),1),"")</f>
        <v>69.2</v>
      </c>
      <c r="F54" s="52">
        <f>IFERROR(ROUND(MIN(100,(($AF54)*Settings!$C$23*INDEX(Settings!$B$36:$F$44,1,$AP54)+($AG54)*Settings!$C$24*INDEX(Settings!$B$36:$F$44,2,$AP54)+($AH54)*Settings!$C$25*INDEX(Settings!$B$36:$F$44,3,$AP54)+($AI54)*Settings!$C$26*INDEX(Settings!$B$36:$F$44,4,$AP54)+($AJ54)*Settings!$C$27*INDEX(Settings!$B$36:$F$44,5,$AP54)+($AK54)*Settings!$C$28*INDEX(Settings!$B$36:$F$44,6,$AP54)+($AL54)*Settings!$C$29*INDEX(Settings!$B$36:$F$44,7,$AP54)+($AM54)*Settings!$C$30*INDEX(Settings!$B$36:$F$44,8,$AP54)+($AN54)*Settings!$C$31*INDEX(Settings!$B$36:$F$44,9,$AP54))/INDEX(Settings!$B$45:$F$45,1,$AP54)/5*100*IF($AO54="Not present",Settings!$B$51,1)),1),"")</f>
        <v>63.6</v>
      </c>
      <c r="G54" s="52">
        <f>IFERROR(ROUND(MIN(100,(($AQ54)*Settings!$C$23*INDEX(Settings!$B$36:$F$44,1,$BA54)+($AR54)*Settings!$C$24*INDEX(Settings!$B$36:$F$44,2,$BA54)+($AS54)*Settings!$C$25*INDEX(Settings!$B$36:$F$44,3,$BA54)+($AT54)*Settings!$C$26*INDEX(Settings!$B$36:$F$44,4,$BA54)+($AU54)*Settings!$C$27*INDEX(Settings!$B$36:$F$44,5,$BA54)+($AV54)*Settings!$C$28*INDEX(Settings!$B$36:$F$44,6,$BA54)+($AW54)*Settings!$C$29*INDEX(Settings!$B$36:$F$44,7,$BA54)+($AX54)*Settings!$C$30*INDEX(Settings!$B$36:$F$44,8,$BA54)+($AY54)*Settings!$C$31*INDEX(Settings!$B$36:$F$44,9,$BA54))/INDEX(Settings!$B$45:$F$45,1,$BA54)/5*100*IF($AZ54="Not present",Settings!$B$51,1)),1),"")</f>
        <v>65.4</v>
      </c>
      <c r="J54" s="62">
        <f>ROUND(MIN(5,IF(Pathogens!I51&gt;=500,5,IF(Pathogens!I51&gt;=200,4,IF(Pathogens!I51&gt;=50,3,IF(Pathogens!I51&gt;=10,2,1))))*0.5+IF(Pathogens!J51&gt;=30,5,IF(Pathogens!J51&gt;=10,4,IF(Pathogens!J51&gt;=3,3,IF(Pathogens!J51&gt;=1,2,1))))*0.4+IF(AND(VLOOKUP(D$4,Countries!$B$2:$AN$55,4,FALSE)&gt;=80,Pathogens!N51&gt;=0.5),1,0)*0.1+IF(VLOOKUP(D$4,Countries!$B$2:$AN$55,7,FALSE)&lt;50,0.3,0)),0)</f>
        <v>3</v>
      </c>
      <c r="K54" s="62">
        <f>ROUND(MIN(5,IF(Pathogens!K51&gt;=8,5,IF(Pathogens!K51&gt;=5,4,IF(Pathogens!K51&gt;=3,3,IF(Pathogens!K51&gt;=1,2,1))))*0.5+IF(Pathogens!L51&gt;=5,5,IF(Pathogens!L51&gt;=3,4,IF(Pathogens!L51&gt;=2,3,IF(Pathogens!L51&gt;=1.2,2,1))))*0.3+IF(Pathogens!M51=1,2,0)*0.2+IF(VLOOKUP(D$4,Countries!$B$2:$AN$55,12,FALSE)&gt;=2,0.5,0)),0)</f>
        <v>4</v>
      </c>
      <c r="L54" s="62">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c r="M54" s="62">
        <f>ROUND(MAX(1,MIN(5,(6-VLOOKUP(D$4,Countries!$B$2:$AN$55,10,FALSE))*0.5+(6-VLOOKUP(D$4,Countries!$B$2:$AN$55,11,FALSE))*0.4+(IF(AND(Pathogens!N51&gt;=0.5,VLOOKUP(D$4,Countries!$B$2:$AN$55,5,FALSE)&lt;60),5,IF(Pathogens!N51&gt;=0.5,4,IF(Pathogens!N51&gt;=0.3,3,IF(Pathogens!N51&gt;=0.1,2,1)))))*0.1)),0)</f>
        <v>2</v>
      </c>
      <c r="N54" s="62">
        <f>IF(ISNUMBER(SEARCH("Vaccine-preventable",Pathogens!C51)),2,IF(ISNUMBER(SEARCH("AMR",Pathogens!C51)),5,IF(ISNUMBER(SEARCH("VHF",Pathogens!C51)),4,IF(ISNUMBER(SEARCH("Emerging",Pathogens!C51)),5,IF(ISNUMBER(SEARCH("Mycobacterial",Pathogens!C51)),3,IF(ISNUMBER(SEARCH("Helminth",Pathogens!C51)),3,IF(ISNUMBER(SEARCH("Respiratory",Pathogens!C51)),4,3)))))))</f>
        <v>3</v>
      </c>
      <c r="O54" s="62">
        <f>IF(ISNUMBER(SEARCH("AMR",Pathogens!C51)),5,IF(ISNUMBER(SEARCH("Mycobacterial",Pathogens!C51)),4,IF(ISNUMBER(SEARCH("Enteric bacterial",Pathogens!C51)),3,IF(ISNUMBER(SEARCH("Bacterial",Pathogens!C51)),3,1))))</f>
        <v>1</v>
      </c>
      <c r="P5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4" s="62">
        <f>(6-Pathogens!X51)</f>
        <v>3</v>
      </c>
      <c r="R54" s="62">
        <f>ROUND(MIN(5,MAX(1,0.35*IF(Pathogens!R51=1,5,IF(Pathogens!R51=2,3,1))+0.2*IF(Pathogens!S51=1,5,IF(Pathogens!S51=2,3,1))+0.25*IF(Pathogens!W51=1,IF(VLOOKUP(D$4,Countries!$B$2:$AN$55,38,FALSE)&gt;=3,5,IF(VLOOKUP(D$4,Countries!$B$2:$AN$55,38,FALSE)=2,4,IF(VLOOKUP(D$4,Countries!$B$2:$AN$55,38,FALSE)=1,2,1))),5)+0.2*IF(VLOOKUP(D$4,Countries!$B$2:$AN$55,24,FALSE)&gt;=50,5,IF(VLOOKUP(D$4,Countries!$B$2:$AN$55,24,FALSE)&gt;=25,4,IF(VLOOKUP(D$4,Countries!$B$2:$AN$55,24,FALSE)&gt;=10,3,IF(VLOOKUP(D$4,Countries!$B$2:$AN$55,24,FALSE)&gt;=5,2,1)))))),0)</f>
        <v>5</v>
      </c>
      <c r="S54" s="62" t="str">
        <f>IFERROR(INDEX(Endemicity!$C$2:$BN$55,MATCH(D$4,Endemicity!$B$2:$B$55,0),MATCH($A54,Endemicity!$C$1:$BN$1,0)),"Sporadic")</f>
        <v>Endemic</v>
      </c>
      <c r="T54" s="62">
        <f>IF(Settings!$B$48="ON",IFERROR(MATCH($S54,Settings!$B$35:$F$35,0),5),5)</f>
        <v>1</v>
      </c>
      <c r="U54" s="62">
        <f>ROUND(MIN(5,IF(Pathogens!I51&gt;=500,5,IF(Pathogens!I51&gt;=200,4,IF(Pathogens!I51&gt;=50,3,IF(Pathogens!I51&gt;=10,2,1))))*0.5+IF(Pathogens!J51&gt;=30,5,IF(Pathogens!J51&gt;=10,4,IF(Pathogens!J51&gt;=3,3,IF(Pathogens!J51&gt;=1,2,1))))*0.4+IF(AND(VLOOKUP(E$4,Countries!$B$2:$AN$55,4,FALSE)&gt;=80,Pathogens!N51&gt;=0.5),1,0)*0.1+IF(VLOOKUP(E$4,Countries!$B$2:$AN$55,7,FALSE)&lt;50,0.3,0)),0)</f>
        <v>3</v>
      </c>
      <c r="V54" s="62">
        <f>ROUND(MIN(5,IF(Pathogens!K51&gt;=8,5,IF(Pathogens!K51&gt;=5,4,IF(Pathogens!K51&gt;=3,3,IF(Pathogens!K51&gt;=1,2,1))))*0.5+IF(Pathogens!L51&gt;=5,5,IF(Pathogens!L51&gt;=3,4,IF(Pathogens!L51&gt;=2,3,IF(Pathogens!L51&gt;=1.2,2,1))))*0.3+IF(Pathogens!M51=1,2,0)*0.2+IF(VLOOKUP(E$4,Countries!$B$2:$AN$55,12,FALSE)&gt;=2,0.5,0)),0)</f>
        <v>4</v>
      </c>
      <c r="W54" s="62">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c r="X54" s="62">
        <f>ROUND(MAX(1,MIN(5,(6-VLOOKUP(E$4,Countries!$B$2:$AN$55,10,FALSE))*0.5+(6-VLOOKUP(E$4,Countries!$B$2:$AN$55,11,FALSE))*0.4+(IF(AND(Pathogens!N51&gt;=0.5,VLOOKUP(E$4,Countries!$B$2:$AN$55,5,FALSE)&lt;60),5,IF(Pathogens!N51&gt;=0.5,4,IF(Pathogens!N51&gt;=0.3,3,IF(Pathogens!N51&gt;=0.1,2,1)))))*0.1)),0)</f>
        <v>3</v>
      </c>
      <c r="Y54" s="62">
        <f>IF(ISNUMBER(SEARCH("Vaccine-preventable",Pathogens!C51)),2,IF(ISNUMBER(SEARCH("AMR",Pathogens!C51)),5,IF(ISNUMBER(SEARCH("VHF",Pathogens!C51)),4,IF(ISNUMBER(SEARCH("Emerging",Pathogens!C51)),5,IF(ISNUMBER(SEARCH("Mycobacterial",Pathogens!C51)),3,IF(ISNUMBER(SEARCH("Helminth",Pathogens!C51)),3,IF(ISNUMBER(SEARCH("Respiratory",Pathogens!C51)),4,3)))))))</f>
        <v>3</v>
      </c>
      <c r="Z54" s="62">
        <f>IF(ISNUMBER(SEARCH("AMR",Pathogens!C51)),5,IF(ISNUMBER(SEARCH("Mycobacterial",Pathogens!C51)),4,IF(ISNUMBER(SEARCH("Enteric bacterial",Pathogens!C51)),3,IF(ISNUMBER(SEARCH("Bacterial",Pathogens!C51)),3,1))))</f>
        <v>1</v>
      </c>
      <c r="AA5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4" s="62">
        <f>(6-Pathogens!X51)</f>
        <v>3</v>
      </c>
      <c r="AC54" s="62">
        <f>ROUND(MIN(5,MAX(1,0.35*IF(Pathogens!R51=1,5,IF(Pathogens!R51=2,3,1))+0.2*IF(Pathogens!S51=1,5,IF(Pathogens!S51=2,3,1))+0.25*IF(Pathogens!W51=1,IF(VLOOKUP(E$4,Countries!$B$2:$AN$55,38,FALSE)&gt;=3,5,IF(VLOOKUP(E$4,Countries!$B$2:$AN$55,38,FALSE)=2,4,IF(VLOOKUP(E$4,Countries!$B$2:$AN$55,38,FALSE)=1,2,1))),5)+0.2*IF(VLOOKUP(E$4,Countries!$B$2:$AN$55,24,FALSE)&gt;=50,5,IF(VLOOKUP(E$4,Countries!$B$2:$AN$55,24,FALSE)&gt;=25,4,IF(VLOOKUP(E$4,Countries!$B$2:$AN$55,24,FALSE)&gt;=10,3,IF(VLOOKUP(E$4,Countries!$B$2:$AN$55,24,FALSE)&gt;=5,2,1)))))),0)</f>
        <v>4</v>
      </c>
      <c r="AD54" s="62" t="str">
        <f>IFERROR(INDEX(Endemicity!$C$2:$BN$55,MATCH(E$4,Endemicity!$B$2:$B$55,0),MATCH($A54,Endemicity!$C$1:$BN$1,0)),"Sporadic")</f>
        <v>Endemic</v>
      </c>
      <c r="AE54" s="62">
        <f>IF(Settings!$B$48="ON",IFERROR(MATCH($AD54,Settings!$B$35:$F$35,0),5),5)</f>
        <v>1</v>
      </c>
      <c r="AF54" s="62">
        <f>ROUND(MIN(5,IF(Pathogens!I51&gt;=500,5,IF(Pathogens!I51&gt;=200,4,IF(Pathogens!I51&gt;=50,3,IF(Pathogens!I51&gt;=10,2,1))))*0.5+IF(Pathogens!J51&gt;=30,5,IF(Pathogens!J51&gt;=10,4,IF(Pathogens!J51&gt;=3,3,IF(Pathogens!J51&gt;=1,2,1))))*0.4+IF(AND(VLOOKUP(F$4,Countries!$B$2:$AN$55,4,FALSE)&gt;=80,Pathogens!N51&gt;=0.5),1,0)*0.1+IF(VLOOKUP(F$4,Countries!$B$2:$AN$55,7,FALSE)&lt;50,0.3,0)),0)</f>
        <v>3</v>
      </c>
      <c r="AG54" s="62">
        <f>ROUND(MIN(5,IF(Pathogens!K51&gt;=8,5,IF(Pathogens!K51&gt;=5,4,IF(Pathogens!K51&gt;=3,3,IF(Pathogens!K51&gt;=1,2,1))))*0.5+IF(Pathogens!L51&gt;=5,5,IF(Pathogens!L51&gt;=3,4,IF(Pathogens!L51&gt;=2,3,IF(Pathogens!L51&gt;=1.2,2,1))))*0.3+IF(Pathogens!M51=1,2,0)*0.2+IF(VLOOKUP(F$4,Countries!$B$2:$AN$55,12,FALSE)&gt;=2,0.5,0)),0)</f>
        <v>4</v>
      </c>
      <c r="AH54" s="62">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c r="AI54" s="62">
        <f>ROUND(MAX(1,MIN(5,(6-VLOOKUP(F$4,Countries!$B$2:$AN$55,10,FALSE))*0.5+(6-VLOOKUP(F$4,Countries!$B$2:$AN$55,11,FALSE))*0.4+(IF(AND(Pathogens!N51&gt;=0.5,VLOOKUP(F$4,Countries!$B$2:$AN$55,5,FALSE)&lt;60),5,IF(Pathogens!N51&gt;=0.5,4,IF(Pathogens!N51&gt;=0.3,3,IF(Pathogens!N51&gt;=0.1,2,1)))))*0.1)),0)</f>
        <v>2</v>
      </c>
      <c r="AJ54" s="62">
        <f>IF(ISNUMBER(SEARCH("Vaccine-preventable",Pathogens!C51)),2,IF(ISNUMBER(SEARCH("AMR",Pathogens!C51)),5,IF(ISNUMBER(SEARCH("VHF",Pathogens!C51)),4,IF(ISNUMBER(SEARCH("Emerging",Pathogens!C51)),5,IF(ISNUMBER(SEARCH("Mycobacterial",Pathogens!C51)),3,IF(ISNUMBER(SEARCH("Helminth",Pathogens!C51)),3,IF(ISNUMBER(SEARCH("Respiratory",Pathogens!C51)),4,3)))))))</f>
        <v>3</v>
      </c>
      <c r="AK54" s="62">
        <f>IF(ISNUMBER(SEARCH("AMR",Pathogens!C51)),5,IF(ISNUMBER(SEARCH("Mycobacterial",Pathogens!C51)),4,IF(ISNUMBER(SEARCH("Enteric bacterial",Pathogens!C51)),3,IF(ISNUMBER(SEARCH("Bacterial",Pathogens!C51)),3,1))))</f>
        <v>1</v>
      </c>
      <c r="AL5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4" s="62">
        <f>(6-Pathogens!X51)</f>
        <v>3</v>
      </c>
      <c r="AN54" s="62">
        <f>ROUND(MIN(5,MAX(1,0.35*IF(Pathogens!R51=1,5,IF(Pathogens!R51=2,3,1))+0.2*IF(Pathogens!S51=1,5,IF(Pathogens!S51=2,3,1))+0.25*IF(Pathogens!W51=1,IF(VLOOKUP(F$4,Countries!$B$2:$AN$55,38,FALSE)&gt;=3,5,IF(VLOOKUP(F$4,Countries!$B$2:$AN$55,38,FALSE)=2,4,IF(VLOOKUP(F$4,Countries!$B$2:$AN$55,38,FALSE)=1,2,1))),5)+0.2*IF(VLOOKUP(F$4,Countries!$B$2:$AN$55,24,FALSE)&gt;=50,5,IF(VLOOKUP(F$4,Countries!$B$2:$AN$55,24,FALSE)&gt;=25,4,IF(VLOOKUP(F$4,Countries!$B$2:$AN$55,24,FALSE)&gt;=10,3,IF(VLOOKUP(F$4,Countries!$B$2:$AN$55,24,FALSE)&gt;=5,2,1)))))),0)</f>
        <v>4</v>
      </c>
      <c r="AO54" s="62" t="str">
        <f>IFERROR(INDEX(Endemicity!$C$2:$BN$55,MATCH(F$4,Endemicity!$B$2:$B$55,0),MATCH($A54,Endemicity!$C$1:$BN$1,0)),"Sporadic")</f>
        <v>Endemic</v>
      </c>
      <c r="AP54" s="62">
        <f>IF(Settings!$B$48="ON",IFERROR(MATCH($AO54,Settings!$B$35:$F$35,0),5),5)</f>
        <v>1</v>
      </c>
      <c r="AQ54" s="62">
        <f>ROUND(MIN(5,IF(Pathogens!I51&gt;=500,5,IF(Pathogens!I51&gt;=200,4,IF(Pathogens!I51&gt;=50,3,IF(Pathogens!I51&gt;=10,2,1))))*0.5+IF(Pathogens!J51&gt;=30,5,IF(Pathogens!J51&gt;=10,4,IF(Pathogens!J51&gt;=3,3,IF(Pathogens!J51&gt;=1,2,1))))*0.4+IF(AND(VLOOKUP(G$4,Countries!$B$2:$AN$55,4,FALSE)&gt;=80,Pathogens!N51&gt;=0.5),1,0)*0.1+IF(VLOOKUP(G$4,Countries!$B$2:$AN$55,7,FALSE)&lt;50,0.3,0)),0)</f>
        <v>3</v>
      </c>
      <c r="AR54" s="62">
        <f>ROUND(MIN(5,IF(Pathogens!K51&gt;=8,5,IF(Pathogens!K51&gt;=5,4,IF(Pathogens!K51&gt;=3,3,IF(Pathogens!K51&gt;=1,2,1))))*0.5+IF(Pathogens!L51&gt;=5,5,IF(Pathogens!L51&gt;=3,4,IF(Pathogens!L51&gt;=2,3,IF(Pathogens!L51&gt;=1.2,2,1))))*0.3+IF(Pathogens!M51=1,2,0)*0.2+IF(VLOOKUP(G$4,Countries!$B$2:$AN$55,12,FALSE)&gt;=2,0.5,0)),0)</f>
        <v>4</v>
      </c>
      <c r="AS54" s="62">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c r="AT54" s="62">
        <f>ROUND(MAX(1,MIN(5,(6-VLOOKUP(G$4,Countries!$B$2:$AN$55,10,FALSE))*0.5+(6-VLOOKUP(G$4,Countries!$B$2:$AN$55,11,FALSE))*0.4+(IF(AND(Pathogens!N51&gt;=0.5,VLOOKUP(G$4,Countries!$B$2:$AN$55,5,FALSE)&lt;60),5,IF(Pathogens!N51&gt;=0.5,4,IF(Pathogens!N51&gt;=0.3,3,IF(Pathogens!N51&gt;=0.1,2,1)))))*0.1)),0)</f>
        <v>2</v>
      </c>
      <c r="AU54" s="62">
        <f>IF(ISNUMBER(SEARCH("Vaccine-preventable",Pathogens!C51)),2,IF(ISNUMBER(SEARCH("AMR",Pathogens!C51)),5,IF(ISNUMBER(SEARCH("VHF",Pathogens!C51)),4,IF(ISNUMBER(SEARCH("Emerging",Pathogens!C51)),5,IF(ISNUMBER(SEARCH("Mycobacterial",Pathogens!C51)),3,IF(ISNUMBER(SEARCH("Helminth",Pathogens!C51)),3,IF(ISNUMBER(SEARCH("Respiratory",Pathogens!C51)),4,3)))))))</f>
        <v>3</v>
      </c>
      <c r="AV54" s="62">
        <f>IF(ISNUMBER(SEARCH("AMR",Pathogens!C51)),5,IF(ISNUMBER(SEARCH("Mycobacterial",Pathogens!C51)),4,IF(ISNUMBER(SEARCH("Enteric bacterial",Pathogens!C51)),3,IF(ISNUMBER(SEARCH("Bacterial",Pathogens!C51)),3,1))))</f>
        <v>1</v>
      </c>
      <c r="AW5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4" s="62">
        <f>(6-Pathogens!X51)</f>
        <v>3</v>
      </c>
      <c r="AY54" s="62">
        <f>ROUND(MIN(5,MAX(1,0.35*IF(Pathogens!R51=1,5,IF(Pathogens!R51=2,3,1))+0.2*IF(Pathogens!S51=1,5,IF(Pathogens!S51=2,3,1))+0.25*IF(Pathogens!W51=1,IF(VLOOKUP(G$4,Countries!$B$2:$AN$55,38,FALSE)&gt;=3,5,IF(VLOOKUP(G$4,Countries!$B$2:$AN$55,38,FALSE)=2,4,IF(VLOOKUP(G$4,Countries!$B$2:$AN$55,38,FALSE)=1,2,1))),5)+0.2*IF(VLOOKUP(G$4,Countries!$B$2:$AN$55,24,FALSE)&gt;=50,5,IF(VLOOKUP(G$4,Countries!$B$2:$AN$55,24,FALSE)&gt;=25,4,IF(VLOOKUP(G$4,Countries!$B$2:$AN$55,24,FALSE)&gt;=10,3,IF(VLOOKUP(G$4,Countries!$B$2:$AN$55,24,FALSE)&gt;=5,2,1)))))),0)</f>
        <v>4</v>
      </c>
      <c r="AZ54" s="62" t="str">
        <f>IFERROR(INDEX(Endemicity!$C$2:$BN$55,MATCH(G$4,Endemicity!$B$2:$B$55,0),MATCH($A54,Endemicity!$C$1:$BN$1,0)),"Sporadic")</f>
        <v>Endemic</v>
      </c>
      <c r="BA54" s="62">
        <f>IF(Settings!$B$48="ON",IFERROR(MATCH($AZ54,Settings!$B$35:$F$35,0),5),5)</f>
        <v>1</v>
      </c>
    </row>
    <row r="55" customHeight="1" spans="1:53">
      <c r="A55" s="61" t="str">
        <f>Calculator!A84</f>
        <v>GUINEA</v>
      </c>
      <c r="B55" s="61" t="str">
        <f>Calculator!B84</f>
        <v>Guinea worm (Dracunculus)</v>
      </c>
      <c r="C55" s="61" t="str">
        <f>Calculator!C84</f>
        <v>Helminth</v>
      </c>
      <c r="D55" s="52">
        <f>IFERROR(ROUND(MIN(100,(($J55)*Settings!$C$23*INDEX(Settings!$B$36:$F$44,1,$T55)+($K55)*Settings!$C$24*INDEX(Settings!$B$36:$F$44,2,$T55)+($L55)*Settings!$C$25*INDEX(Settings!$B$36:$F$44,3,$T55)+($M55)*Settings!$C$26*INDEX(Settings!$B$36:$F$44,4,$T55)+($N55)*Settings!$C$27*INDEX(Settings!$B$36:$F$44,5,$T55)+($O55)*Settings!$C$28*INDEX(Settings!$B$36:$F$44,6,$T55)+($P55)*Settings!$C$29*INDEX(Settings!$B$36:$F$44,7,$T55)+($Q55)*Settings!$C$30*INDEX(Settings!$B$36:$F$44,8,$T55)+($R55)*Settings!$C$31*INDEX(Settings!$B$36:$F$44,9,$T55))/INDEX(Settings!$B$45:$F$45,1,$T55)/5*100*IF($S55="Not present",Settings!$B$51,1)),1),"")</f>
        <v>18.5</v>
      </c>
      <c r="E55" s="52">
        <f>IFERROR(ROUND(MIN(100,(($U55)*Settings!$C$23*INDEX(Settings!$B$36:$F$44,1,$AE55)+($V55)*Settings!$C$24*INDEX(Settings!$B$36:$F$44,2,$AE55)+($W55)*Settings!$C$25*INDEX(Settings!$B$36:$F$44,3,$AE55)+($X55)*Settings!$C$26*INDEX(Settings!$B$36:$F$44,4,$AE55)+($Y55)*Settings!$C$27*INDEX(Settings!$B$36:$F$44,5,$AE55)+($Z55)*Settings!$C$28*INDEX(Settings!$B$36:$F$44,6,$AE55)+($AA55)*Settings!$C$29*INDEX(Settings!$B$36:$F$44,7,$AE55)+($AB55)*Settings!$C$30*INDEX(Settings!$B$36:$F$44,8,$AE55)+($AC55)*Settings!$C$31*INDEX(Settings!$B$36:$F$44,9,$AE55))/INDEX(Settings!$B$45:$F$45,1,$AE55)/5*100*IF($AD55="Not present",Settings!$B$51,1)),1),"")</f>
        <v>20</v>
      </c>
      <c r="F55" s="52">
        <f>IFERROR(ROUND(MIN(100,(($AF55)*Settings!$C$23*INDEX(Settings!$B$36:$F$44,1,$AP55)+($AG55)*Settings!$C$24*INDEX(Settings!$B$36:$F$44,2,$AP55)+($AH55)*Settings!$C$25*INDEX(Settings!$B$36:$F$44,3,$AP55)+($AI55)*Settings!$C$26*INDEX(Settings!$B$36:$F$44,4,$AP55)+($AJ55)*Settings!$C$27*INDEX(Settings!$B$36:$F$44,5,$AP55)+($AK55)*Settings!$C$28*INDEX(Settings!$B$36:$F$44,6,$AP55)+($AL55)*Settings!$C$29*INDEX(Settings!$B$36:$F$44,7,$AP55)+($AM55)*Settings!$C$30*INDEX(Settings!$B$36:$F$44,8,$AP55)+($AN55)*Settings!$C$31*INDEX(Settings!$B$36:$F$44,9,$AP55))/INDEX(Settings!$B$45:$F$45,1,$AP55)/5*100*IF($AO55="Not present",Settings!$B$51,1)),1),"")</f>
        <v>18.5</v>
      </c>
      <c r="G55" s="52">
        <f>IFERROR(ROUND(MIN(100,(($AQ55)*Settings!$C$23*INDEX(Settings!$B$36:$F$44,1,$BA55)+($AR55)*Settings!$C$24*INDEX(Settings!$B$36:$F$44,2,$BA55)+($AS55)*Settings!$C$25*INDEX(Settings!$B$36:$F$44,3,$BA55)+($AT55)*Settings!$C$26*INDEX(Settings!$B$36:$F$44,4,$BA55)+($AU55)*Settings!$C$27*INDEX(Settings!$B$36:$F$44,5,$BA55)+($AV55)*Settings!$C$28*INDEX(Settings!$B$36:$F$44,6,$BA55)+($AW55)*Settings!$C$29*INDEX(Settings!$B$36:$F$44,7,$BA55)+($AX55)*Settings!$C$30*INDEX(Settings!$B$36:$F$44,8,$BA55)+($AY55)*Settings!$C$31*INDEX(Settings!$B$36:$F$44,9,$BA55))/INDEX(Settings!$B$45:$F$45,1,$BA55)/5*100*IF($AZ55="Not present",Settings!$B$51,1)),1),"")</f>
        <v>18.9</v>
      </c>
      <c r="J55" s="62">
        <f>ROUND(MIN(5,IF(Pathogens!I52&gt;=500,5,IF(Pathogens!I52&gt;=200,4,IF(Pathogens!I52&gt;=50,3,IF(Pathogens!I52&gt;=10,2,1))))*0.5+IF(Pathogens!J52&gt;=30,5,IF(Pathogens!J52&gt;=10,4,IF(Pathogens!J52&gt;=3,3,IF(Pathogens!J52&gt;=1,2,1))))*0.4+IF(AND(VLOOKUP(D$4,Countries!$B$2:$AN$55,4,FALSE)&gt;=80,Pathogens!N52&gt;=0.5),1,0)*0.1+IF(VLOOKUP(D$4,Countries!$B$2:$AN$55,7,FALSE)&lt;50,0.3,0)),0)</f>
        <v>1</v>
      </c>
      <c r="K55" s="62">
        <f>ROUND(MIN(5,IF(Pathogens!K52&gt;=8,5,IF(Pathogens!K52&gt;=5,4,IF(Pathogens!K52&gt;=3,3,IF(Pathogens!K52&gt;=1,2,1))))*0.5+IF(Pathogens!L52&gt;=5,5,IF(Pathogens!L52&gt;=3,4,IF(Pathogens!L52&gt;=2,3,IF(Pathogens!L52&gt;=1.2,2,1))))*0.3+IF(Pathogens!M52=1,2,0)*0.2+IF(VLOOKUP(D$4,Countries!$B$2:$AN$55,12,FALSE)&gt;=2,0.5,0)),0)</f>
        <v>3</v>
      </c>
      <c r="L55" s="62">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c r="M55" s="62">
        <f>ROUND(MAX(1,MIN(5,(6-VLOOKUP(D$4,Countries!$B$2:$AN$55,10,FALSE))*0.5+(6-VLOOKUP(D$4,Countries!$B$2:$AN$55,11,FALSE))*0.4+(IF(AND(Pathogens!N52&gt;=0.5,VLOOKUP(D$4,Countries!$B$2:$AN$55,5,FALSE)&lt;60),5,IF(Pathogens!N52&gt;=0.5,4,IF(Pathogens!N52&gt;=0.3,3,IF(Pathogens!N52&gt;=0.1,2,1)))))*0.1)),0)</f>
        <v>2</v>
      </c>
      <c r="N55" s="62">
        <f>IF(ISNUMBER(SEARCH("Vaccine-preventable",Pathogens!C52)),2,IF(ISNUMBER(SEARCH("AMR",Pathogens!C52)),5,IF(ISNUMBER(SEARCH("VHF",Pathogens!C52)),4,IF(ISNUMBER(SEARCH("Emerging",Pathogens!C52)),5,IF(ISNUMBER(SEARCH("Mycobacterial",Pathogens!C52)),3,IF(ISNUMBER(SEARCH("Helminth",Pathogens!C52)),3,IF(ISNUMBER(SEARCH("Respiratory",Pathogens!C52)),4,3)))))))</f>
        <v>3</v>
      </c>
      <c r="O55" s="62">
        <f>IF(ISNUMBER(SEARCH("AMR",Pathogens!C52)),5,IF(ISNUMBER(SEARCH("Mycobacterial",Pathogens!C52)),4,IF(ISNUMBER(SEARCH("Enteric bacterial",Pathogens!C52)),3,IF(ISNUMBER(SEARCH("Bacterial",Pathogens!C52)),3,1))))</f>
        <v>1</v>
      </c>
      <c r="P5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5" s="62">
        <f>(6-Pathogens!X52)</f>
        <v>1</v>
      </c>
      <c r="R55" s="62">
        <f>ROUND(MIN(5,MAX(1,0.35*IF(Pathogens!R52=1,5,IF(Pathogens!R52=2,3,1))+0.2*IF(Pathogens!S52=1,5,IF(Pathogens!S52=2,3,1))+0.25*IF(Pathogens!W52=1,IF(VLOOKUP(D$4,Countries!$B$2:$AN$55,38,FALSE)&gt;=3,5,IF(VLOOKUP(D$4,Countries!$B$2:$AN$55,38,FALSE)=2,4,IF(VLOOKUP(D$4,Countries!$B$2:$AN$55,38,FALSE)=1,2,1))),5)+0.2*IF(VLOOKUP(D$4,Countries!$B$2:$AN$55,24,FALSE)&gt;=50,5,IF(VLOOKUP(D$4,Countries!$B$2:$AN$55,24,FALSE)&gt;=25,4,IF(VLOOKUP(D$4,Countries!$B$2:$AN$55,24,FALSE)&gt;=10,3,IF(VLOOKUP(D$4,Countries!$B$2:$AN$55,24,FALSE)&gt;=5,2,1)))))),0)</f>
        <v>3</v>
      </c>
      <c r="S55" s="62" t="str">
        <f>IFERROR(INDEX(Endemicity!$C$2:$BN$55,MATCH(D$4,Endemicity!$B$2:$B$55,0),MATCH($A55,Endemicity!$C$1:$BN$1,0)),"Sporadic")</f>
        <v>Not present</v>
      </c>
      <c r="T55" s="62">
        <f>IF(Settings!$B$48="ON",IFERROR(MATCH($S55,Settings!$B$35:$F$35,0),5),5)</f>
        <v>4</v>
      </c>
      <c r="U55" s="62">
        <f>ROUND(MIN(5,IF(Pathogens!I52&gt;=500,5,IF(Pathogens!I52&gt;=200,4,IF(Pathogens!I52&gt;=50,3,IF(Pathogens!I52&gt;=10,2,1))))*0.5+IF(Pathogens!J52&gt;=30,5,IF(Pathogens!J52&gt;=10,4,IF(Pathogens!J52&gt;=3,3,IF(Pathogens!J52&gt;=1,2,1))))*0.4+IF(AND(VLOOKUP(E$4,Countries!$B$2:$AN$55,4,FALSE)&gt;=80,Pathogens!N52&gt;=0.5),1,0)*0.1+IF(VLOOKUP(E$4,Countries!$B$2:$AN$55,7,FALSE)&lt;50,0.3,0)),0)</f>
        <v>1</v>
      </c>
      <c r="V55" s="62">
        <f>ROUND(MIN(5,IF(Pathogens!K52&gt;=8,5,IF(Pathogens!K52&gt;=5,4,IF(Pathogens!K52&gt;=3,3,IF(Pathogens!K52&gt;=1,2,1))))*0.5+IF(Pathogens!L52&gt;=5,5,IF(Pathogens!L52&gt;=3,4,IF(Pathogens!L52&gt;=2,3,IF(Pathogens!L52&gt;=1.2,2,1))))*0.3+IF(Pathogens!M52=1,2,0)*0.2+IF(VLOOKUP(E$4,Countries!$B$2:$AN$55,12,FALSE)&gt;=2,0.5,0)),0)</f>
        <v>3</v>
      </c>
      <c r="W55" s="62">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c r="X55" s="62">
        <f>ROUND(MAX(1,MIN(5,(6-VLOOKUP(E$4,Countries!$B$2:$AN$55,10,FALSE))*0.5+(6-VLOOKUP(E$4,Countries!$B$2:$AN$55,11,FALSE))*0.4+(IF(AND(Pathogens!N52&gt;=0.5,VLOOKUP(E$4,Countries!$B$2:$AN$55,5,FALSE)&lt;60),5,IF(Pathogens!N52&gt;=0.5,4,IF(Pathogens!N52&gt;=0.3,3,IF(Pathogens!N52&gt;=0.1,2,1)))))*0.1)),0)</f>
        <v>3</v>
      </c>
      <c r="Y55" s="62">
        <f>IF(ISNUMBER(SEARCH("Vaccine-preventable",Pathogens!C52)),2,IF(ISNUMBER(SEARCH("AMR",Pathogens!C52)),5,IF(ISNUMBER(SEARCH("VHF",Pathogens!C52)),4,IF(ISNUMBER(SEARCH("Emerging",Pathogens!C52)),5,IF(ISNUMBER(SEARCH("Mycobacterial",Pathogens!C52)),3,IF(ISNUMBER(SEARCH("Helminth",Pathogens!C52)),3,IF(ISNUMBER(SEARCH("Respiratory",Pathogens!C52)),4,3)))))))</f>
        <v>3</v>
      </c>
      <c r="Z55" s="62">
        <f>IF(ISNUMBER(SEARCH("AMR",Pathogens!C52)),5,IF(ISNUMBER(SEARCH("Mycobacterial",Pathogens!C52)),4,IF(ISNUMBER(SEARCH("Enteric bacterial",Pathogens!C52)),3,IF(ISNUMBER(SEARCH("Bacterial",Pathogens!C52)),3,1))))</f>
        <v>1</v>
      </c>
      <c r="AA5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5" s="62">
        <f>(6-Pathogens!X52)</f>
        <v>1</v>
      </c>
      <c r="AC55" s="62">
        <f>ROUND(MIN(5,MAX(1,0.35*IF(Pathogens!R52=1,5,IF(Pathogens!R52=2,3,1))+0.2*IF(Pathogens!S52=1,5,IF(Pathogens!S52=2,3,1))+0.25*IF(Pathogens!W52=1,IF(VLOOKUP(E$4,Countries!$B$2:$AN$55,38,FALSE)&gt;=3,5,IF(VLOOKUP(E$4,Countries!$B$2:$AN$55,38,FALSE)=2,4,IF(VLOOKUP(E$4,Countries!$B$2:$AN$55,38,FALSE)=1,2,1))),5)+0.2*IF(VLOOKUP(E$4,Countries!$B$2:$AN$55,24,FALSE)&gt;=50,5,IF(VLOOKUP(E$4,Countries!$B$2:$AN$55,24,FALSE)&gt;=25,4,IF(VLOOKUP(E$4,Countries!$B$2:$AN$55,24,FALSE)&gt;=10,3,IF(VLOOKUP(E$4,Countries!$B$2:$AN$55,24,FALSE)&gt;=5,2,1)))))),0)</f>
        <v>3</v>
      </c>
      <c r="AD55" s="62" t="str">
        <f>IFERROR(INDEX(Endemicity!$C$2:$BN$55,MATCH(E$4,Endemicity!$B$2:$B$55,0),MATCH($A55,Endemicity!$C$1:$BN$1,0)),"Sporadic")</f>
        <v>Not present</v>
      </c>
      <c r="AE55" s="62">
        <f>IF(Settings!$B$48="ON",IFERROR(MATCH($AD55,Settings!$B$35:$F$35,0),5),5)</f>
        <v>4</v>
      </c>
      <c r="AF55" s="62">
        <f>ROUND(MIN(5,IF(Pathogens!I52&gt;=500,5,IF(Pathogens!I52&gt;=200,4,IF(Pathogens!I52&gt;=50,3,IF(Pathogens!I52&gt;=10,2,1))))*0.5+IF(Pathogens!J52&gt;=30,5,IF(Pathogens!J52&gt;=10,4,IF(Pathogens!J52&gt;=3,3,IF(Pathogens!J52&gt;=1,2,1))))*0.4+IF(AND(VLOOKUP(F$4,Countries!$B$2:$AN$55,4,FALSE)&gt;=80,Pathogens!N52&gt;=0.5),1,0)*0.1+IF(VLOOKUP(F$4,Countries!$B$2:$AN$55,7,FALSE)&lt;50,0.3,0)),0)</f>
        <v>1</v>
      </c>
      <c r="AG55" s="62">
        <f>ROUND(MIN(5,IF(Pathogens!K52&gt;=8,5,IF(Pathogens!K52&gt;=5,4,IF(Pathogens!K52&gt;=3,3,IF(Pathogens!K52&gt;=1,2,1))))*0.5+IF(Pathogens!L52&gt;=5,5,IF(Pathogens!L52&gt;=3,4,IF(Pathogens!L52&gt;=2,3,IF(Pathogens!L52&gt;=1.2,2,1))))*0.3+IF(Pathogens!M52=1,2,0)*0.2+IF(VLOOKUP(F$4,Countries!$B$2:$AN$55,12,FALSE)&gt;=2,0.5,0)),0)</f>
        <v>3</v>
      </c>
      <c r="AH55" s="62">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c r="AI55" s="62">
        <f>ROUND(MAX(1,MIN(5,(6-VLOOKUP(F$4,Countries!$B$2:$AN$55,10,FALSE))*0.5+(6-VLOOKUP(F$4,Countries!$B$2:$AN$55,11,FALSE))*0.4+(IF(AND(Pathogens!N52&gt;=0.5,VLOOKUP(F$4,Countries!$B$2:$AN$55,5,FALSE)&lt;60),5,IF(Pathogens!N52&gt;=0.5,4,IF(Pathogens!N52&gt;=0.3,3,IF(Pathogens!N52&gt;=0.1,2,1)))))*0.1)),0)</f>
        <v>2</v>
      </c>
      <c r="AJ55" s="62">
        <f>IF(ISNUMBER(SEARCH("Vaccine-preventable",Pathogens!C52)),2,IF(ISNUMBER(SEARCH("AMR",Pathogens!C52)),5,IF(ISNUMBER(SEARCH("VHF",Pathogens!C52)),4,IF(ISNUMBER(SEARCH("Emerging",Pathogens!C52)),5,IF(ISNUMBER(SEARCH("Mycobacterial",Pathogens!C52)),3,IF(ISNUMBER(SEARCH("Helminth",Pathogens!C52)),3,IF(ISNUMBER(SEARCH("Respiratory",Pathogens!C52)),4,3)))))))</f>
        <v>3</v>
      </c>
      <c r="AK55" s="62">
        <f>IF(ISNUMBER(SEARCH("AMR",Pathogens!C52)),5,IF(ISNUMBER(SEARCH("Mycobacterial",Pathogens!C52)),4,IF(ISNUMBER(SEARCH("Enteric bacterial",Pathogens!C52)),3,IF(ISNUMBER(SEARCH("Bacterial",Pathogens!C52)),3,1))))</f>
        <v>1</v>
      </c>
      <c r="AL5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5" s="62">
        <f>(6-Pathogens!X52)</f>
        <v>1</v>
      </c>
      <c r="AN55" s="62">
        <f>ROUND(MIN(5,MAX(1,0.35*IF(Pathogens!R52=1,5,IF(Pathogens!R52=2,3,1))+0.2*IF(Pathogens!S52=1,5,IF(Pathogens!S52=2,3,1))+0.25*IF(Pathogens!W52=1,IF(VLOOKUP(F$4,Countries!$B$2:$AN$55,38,FALSE)&gt;=3,5,IF(VLOOKUP(F$4,Countries!$B$2:$AN$55,38,FALSE)=2,4,IF(VLOOKUP(F$4,Countries!$B$2:$AN$55,38,FALSE)=1,2,1))),5)+0.2*IF(VLOOKUP(F$4,Countries!$B$2:$AN$55,24,FALSE)&gt;=50,5,IF(VLOOKUP(F$4,Countries!$B$2:$AN$55,24,FALSE)&gt;=25,4,IF(VLOOKUP(F$4,Countries!$B$2:$AN$55,24,FALSE)&gt;=10,3,IF(VLOOKUP(F$4,Countries!$B$2:$AN$55,24,FALSE)&gt;=5,2,1)))))),0)</f>
        <v>3</v>
      </c>
      <c r="AO55" s="62" t="str">
        <f>IFERROR(INDEX(Endemicity!$C$2:$BN$55,MATCH(F$4,Endemicity!$B$2:$B$55,0),MATCH($A55,Endemicity!$C$1:$BN$1,0)),"Sporadic")</f>
        <v>Not present</v>
      </c>
      <c r="AP55" s="62">
        <f>IF(Settings!$B$48="ON",IFERROR(MATCH($AO55,Settings!$B$35:$F$35,0),5),5)</f>
        <v>4</v>
      </c>
      <c r="AQ55" s="62">
        <f>ROUND(MIN(5,IF(Pathogens!I52&gt;=500,5,IF(Pathogens!I52&gt;=200,4,IF(Pathogens!I52&gt;=50,3,IF(Pathogens!I52&gt;=10,2,1))))*0.5+IF(Pathogens!J52&gt;=30,5,IF(Pathogens!J52&gt;=10,4,IF(Pathogens!J52&gt;=3,3,IF(Pathogens!J52&gt;=1,2,1))))*0.4+IF(AND(VLOOKUP(G$4,Countries!$B$2:$AN$55,4,FALSE)&gt;=80,Pathogens!N52&gt;=0.5),1,0)*0.1+IF(VLOOKUP(G$4,Countries!$B$2:$AN$55,7,FALSE)&lt;50,0.3,0)),0)</f>
        <v>1</v>
      </c>
      <c r="AR55" s="62">
        <f>ROUND(MIN(5,IF(Pathogens!K52&gt;=8,5,IF(Pathogens!K52&gt;=5,4,IF(Pathogens!K52&gt;=3,3,IF(Pathogens!K52&gt;=1,2,1))))*0.5+IF(Pathogens!L52&gt;=5,5,IF(Pathogens!L52&gt;=3,4,IF(Pathogens!L52&gt;=2,3,IF(Pathogens!L52&gt;=1.2,2,1))))*0.3+IF(Pathogens!M52=1,2,0)*0.2+IF(VLOOKUP(G$4,Countries!$B$2:$AN$55,12,FALSE)&gt;=2,0.5,0)),0)</f>
        <v>3</v>
      </c>
      <c r="AS55" s="62">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c r="AT55" s="62">
        <f>ROUND(MAX(1,MIN(5,(6-VLOOKUP(G$4,Countries!$B$2:$AN$55,10,FALSE))*0.5+(6-VLOOKUP(G$4,Countries!$B$2:$AN$55,11,FALSE))*0.4+(IF(AND(Pathogens!N52&gt;=0.5,VLOOKUP(G$4,Countries!$B$2:$AN$55,5,FALSE)&lt;60),5,IF(Pathogens!N52&gt;=0.5,4,IF(Pathogens!N52&gt;=0.3,3,IF(Pathogens!N52&gt;=0.1,2,1)))))*0.1)),0)</f>
        <v>2</v>
      </c>
      <c r="AU55" s="62">
        <f>IF(ISNUMBER(SEARCH("Vaccine-preventable",Pathogens!C52)),2,IF(ISNUMBER(SEARCH("AMR",Pathogens!C52)),5,IF(ISNUMBER(SEARCH("VHF",Pathogens!C52)),4,IF(ISNUMBER(SEARCH("Emerging",Pathogens!C52)),5,IF(ISNUMBER(SEARCH("Mycobacterial",Pathogens!C52)),3,IF(ISNUMBER(SEARCH("Helminth",Pathogens!C52)),3,IF(ISNUMBER(SEARCH("Respiratory",Pathogens!C52)),4,3)))))))</f>
        <v>3</v>
      </c>
      <c r="AV55" s="62">
        <f>IF(ISNUMBER(SEARCH("AMR",Pathogens!C52)),5,IF(ISNUMBER(SEARCH("Mycobacterial",Pathogens!C52)),4,IF(ISNUMBER(SEARCH("Enteric bacterial",Pathogens!C52)),3,IF(ISNUMBER(SEARCH("Bacterial",Pathogens!C52)),3,1))))</f>
        <v>1</v>
      </c>
      <c r="AW5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5" s="62">
        <f>(6-Pathogens!X52)</f>
        <v>1</v>
      </c>
      <c r="AY55" s="62">
        <f>ROUND(MIN(5,MAX(1,0.35*IF(Pathogens!R52=1,5,IF(Pathogens!R52=2,3,1))+0.2*IF(Pathogens!S52=1,5,IF(Pathogens!S52=2,3,1))+0.25*IF(Pathogens!W52=1,IF(VLOOKUP(G$4,Countries!$B$2:$AN$55,38,FALSE)&gt;=3,5,IF(VLOOKUP(G$4,Countries!$B$2:$AN$55,38,FALSE)=2,4,IF(VLOOKUP(G$4,Countries!$B$2:$AN$55,38,FALSE)=1,2,1))),5)+0.2*IF(VLOOKUP(G$4,Countries!$B$2:$AN$55,24,FALSE)&gt;=50,5,IF(VLOOKUP(G$4,Countries!$B$2:$AN$55,24,FALSE)&gt;=25,4,IF(VLOOKUP(G$4,Countries!$B$2:$AN$55,24,FALSE)&gt;=10,3,IF(VLOOKUP(G$4,Countries!$B$2:$AN$55,24,FALSE)&gt;=5,2,1)))))),0)</f>
        <v>3</v>
      </c>
      <c r="AZ55" s="62" t="str">
        <f>IFERROR(INDEX(Endemicity!$C$2:$BN$55,MATCH(G$4,Endemicity!$B$2:$B$55,0),MATCH($A55,Endemicity!$C$1:$BN$1,0)),"Sporadic")</f>
        <v>Not present</v>
      </c>
      <c r="BA55" s="62">
        <f>IF(Settings!$B$48="ON",IFERROR(MATCH($AZ55,Settings!$B$35:$F$35,0),5),5)</f>
        <v>4</v>
      </c>
    </row>
    <row r="56" customHeight="1" spans="1:53">
      <c r="A56" s="61" t="str">
        <f>Calculator!A85</f>
        <v>ESBL</v>
      </c>
      <c r="B56" s="61" t="str">
        <f>Calculator!B85</f>
        <v>ESBL genes (blaCTX-M)</v>
      </c>
      <c r="C56" s="61" t="str">
        <f>Calculator!C85</f>
        <v>AMR marker</v>
      </c>
      <c r="D56" s="52">
        <f>IFERROR(ROUND(MIN(100,(($J56)*Settings!$C$23*INDEX(Settings!$B$36:$F$44,1,$T56)+($K56)*Settings!$C$24*INDEX(Settings!$B$36:$F$44,2,$T56)+($L56)*Settings!$C$25*INDEX(Settings!$B$36:$F$44,3,$T56)+($M56)*Settings!$C$26*INDEX(Settings!$B$36:$F$44,4,$T56)+($N56)*Settings!$C$27*INDEX(Settings!$B$36:$F$44,5,$T56)+($O56)*Settings!$C$28*INDEX(Settings!$B$36:$F$44,6,$T56)+($P56)*Settings!$C$29*INDEX(Settings!$B$36:$F$44,7,$T56)+($Q56)*Settings!$C$30*INDEX(Settings!$B$36:$F$44,8,$T56)+($R56)*Settings!$C$31*INDEX(Settings!$B$36:$F$44,9,$T56))/INDEX(Settings!$B$45:$F$45,1,$T56)/5*100*IF($S56="Not present",Settings!$B$51,1)),1),"")</f>
        <v>74.5</v>
      </c>
      <c r="E56" s="52">
        <f>IFERROR(ROUND(MIN(100,(($U56)*Settings!$C$23*INDEX(Settings!$B$36:$F$44,1,$AE56)+($V56)*Settings!$C$24*INDEX(Settings!$B$36:$F$44,2,$AE56)+($W56)*Settings!$C$25*INDEX(Settings!$B$36:$F$44,3,$AE56)+($X56)*Settings!$C$26*INDEX(Settings!$B$36:$F$44,4,$AE56)+($Y56)*Settings!$C$27*INDEX(Settings!$B$36:$F$44,5,$AE56)+($Z56)*Settings!$C$28*INDEX(Settings!$B$36:$F$44,6,$AE56)+($AA56)*Settings!$C$29*INDEX(Settings!$B$36:$F$44,7,$AE56)+($AB56)*Settings!$C$30*INDEX(Settings!$B$36:$F$44,8,$AE56)+($AC56)*Settings!$C$31*INDEX(Settings!$B$36:$F$44,9,$AE56))/INDEX(Settings!$B$45:$F$45,1,$AE56)/5*100*IF($AD56="Not present",Settings!$B$51,1)),1),"")</f>
        <v>77.3</v>
      </c>
      <c r="F56" s="52">
        <f>IFERROR(ROUND(MIN(100,(($AF56)*Settings!$C$23*INDEX(Settings!$B$36:$F$44,1,$AP56)+($AG56)*Settings!$C$24*INDEX(Settings!$B$36:$F$44,2,$AP56)+($AH56)*Settings!$C$25*INDEX(Settings!$B$36:$F$44,3,$AP56)+($AI56)*Settings!$C$26*INDEX(Settings!$B$36:$F$44,4,$AP56)+($AJ56)*Settings!$C$27*INDEX(Settings!$B$36:$F$44,5,$AP56)+($AK56)*Settings!$C$28*INDEX(Settings!$B$36:$F$44,6,$AP56)+($AL56)*Settings!$C$29*INDEX(Settings!$B$36:$F$44,7,$AP56)+($AM56)*Settings!$C$30*INDEX(Settings!$B$36:$F$44,8,$AP56)+($AN56)*Settings!$C$31*INDEX(Settings!$B$36:$F$44,9,$AP56))/INDEX(Settings!$B$45:$F$45,1,$AP56)/5*100*IF($AO56="Not present",Settings!$B$51,1)),1),"")</f>
        <v>71.8</v>
      </c>
      <c r="G56" s="52">
        <f>IFERROR(ROUND(MIN(100,(($AQ56)*Settings!$C$23*INDEX(Settings!$B$36:$F$44,1,$BA56)+($AR56)*Settings!$C$24*INDEX(Settings!$B$36:$F$44,2,$BA56)+($AS56)*Settings!$C$25*INDEX(Settings!$B$36:$F$44,3,$BA56)+($AT56)*Settings!$C$26*INDEX(Settings!$B$36:$F$44,4,$BA56)+($AU56)*Settings!$C$27*INDEX(Settings!$B$36:$F$44,5,$BA56)+($AV56)*Settings!$C$28*INDEX(Settings!$B$36:$F$44,6,$BA56)+($AW56)*Settings!$C$29*INDEX(Settings!$B$36:$F$44,7,$BA56)+($AX56)*Settings!$C$30*INDEX(Settings!$B$36:$F$44,8,$BA56)+($AY56)*Settings!$C$31*INDEX(Settings!$B$36:$F$44,9,$BA56))/INDEX(Settings!$B$45:$F$45,1,$BA56)/5*100*IF($AZ56="Not present",Settings!$B$51,1)),1),"")</f>
        <v>73.5</v>
      </c>
      <c r="J56" s="62">
        <f>ROUND(MIN(5,IF(Pathogens!I53&gt;=500,5,IF(Pathogens!I53&gt;=200,4,IF(Pathogens!I53&gt;=50,3,IF(Pathogens!I53&gt;=10,2,1))))*0.5+IF(Pathogens!J53&gt;=30,5,IF(Pathogens!J53&gt;=10,4,IF(Pathogens!J53&gt;=3,3,IF(Pathogens!J53&gt;=1,2,1))))*0.4+IF(AND(VLOOKUP(D$4,Countries!$B$2:$AN$55,4,FALSE)&gt;=80,Pathogens!N53&gt;=0.5),1,0)*0.1+IF(VLOOKUP(D$4,Countries!$B$2:$AN$55,7,FALSE)&lt;50,0.3,0)),0)</f>
        <v>3</v>
      </c>
      <c r="K56" s="62">
        <f>ROUND(MIN(5,IF(Pathogens!K53&gt;=8,5,IF(Pathogens!K53&gt;=5,4,IF(Pathogens!K53&gt;=3,3,IF(Pathogens!K53&gt;=1,2,1))))*0.5+IF(Pathogens!L53&gt;=5,5,IF(Pathogens!L53&gt;=3,4,IF(Pathogens!L53&gt;=2,3,IF(Pathogens!L53&gt;=1.2,2,1))))*0.3+IF(Pathogens!M53=1,2,0)*0.2+IF(VLOOKUP(D$4,Countries!$B$2:$AN$55,12,FALSE)&gt;=2,0.5,0)),0)</f>
        <v>3</v>
      </c>
      <c r="L56" s="62">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c r="M56" s="62">
        <f>ROUND(MAX(1,MIN(5,(6-VLOOKUP(D$4,Countries!$B$2:$AN$55,10,FALSE))*0.5+(6-VLOOKUP(D$4,Countries!$B$2:$AN$55,11,FALSE))*0.4+(IF(AND(Pathogens!N53&gt;=0.5,VLOOKUP(D$4,Countries!$B$2:$AN$55,5,FALSE)&lt;60),5,IF(Pathogens!N53&gt;=0.5,4,IF(Pathogens!N53&gt;=0.3,3,IF(Pathogens!N53&gt;=0.1,2,1)))))*0.1)),0)</f>
        <v>2</v>
      </c>
      <c r="N56" s="62">
        <f>IF(ISNUMBER(SEARCH("Vaccine-preventable",Pathogens!C53)),2,IF(ISNUMBER(SEARCH("AMR",Pathogens!C53)),5,IF(ISNUMBER(SEARCH("VHF",Pathogens!C53)),4,IF(ISNUMBER(SEARCH("Emerging",Pathogens!C53)),5,IF(ISNUMBER(SEARCH("Mycobacterial",Pathogens!C53)),3,IF(ISNUMBER(SEARCH("Helminth",Pathogens!C53)),3,IF(ISNUMBER(SEARCH("Respiratory",Pathogens!C53)),4,3)))))))</f>
        <v>5</v>
      </c>
      <c r="O56" s="62">
        <f>IF(ISNUMBER(SEARCH("AMR",Pathogens!C53)),5,IF(ISNUMBER(SEARCH("Mycobacterial",Pathogens!C53)),4,IF(ISNUMBER(SEARCH("Enteric bacterial",Pathogens!C53)),3,IF(ISNUMBER(SEARCH("Bacterial",Pathogens!C53)),3,1))))</f>
        <v>5</v>
      </c>
      <c r="P5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6" s="62">
        <f>(6-Pathogens!X53)</f>
        <v>4</v>
      </c>
      <c r="R56" s="62">
        <f>ROUND(MIN(5,MAX(1,0.35*IF(Pathogens!R53=1,5,IF(Pathogens!R53=2,3,1))+0.2*IF(Pathogens!S53=1,5,IF(Pathogens!S53=2,3,1))+0.25*IF(Pathogens!W53=1,IF(VLOOKUP(D$4,Countries!$B$2:$AN$55,38,FALSE)&gt;=3,5,IF(VLOOKUP(D$4,Countries!$B$2:$AN$55,38,FALSE)=2,4,IF(VLOOKUP(D$4,Countries!$B$2:$AN$55,38,FALSE)=1,2,1))),5)+0.2*IF(VLOOKUP(D$4,Countries!$B$2:$AN$55,24,FALSE)&gt;=50,5,IF(VLOOKUP(D$4,Countries!$B$2:$AN$55,24,FALSE)&gt;=25,4,IF(VLOOKUP(D$4,Countries!$B$2:$AN$55,24,FALSE)&gt;=10,3,IF(VLOOKUP(D$4,Countries!$B$2:$AN$55,24,FALSE)&gt;=5,2,1)))))),0)</f>
        <v>5</v>
      </c>
      <c r="S56" s="62" t="str">
        <f>IFERROR(INDEX(Endemicity!$C$2:$BN$55,MATCH(D$4,Endemicity!$B$2:$B$55,0),MATCH($A56,Endemicity!$C$1:$BN$1,0)),"Sporadic")</f>
        <v>Endemic</v>
      </c>
      <c r="T56" s="62">
        <f>IF(Settings!$B$48="ON",IFERROR(MATCH($S56,Settings!$B$35:$F$35,0),5),5)</f>
        <v>1</v>
      </c>
      <c r="U56" s="62">
        <f>ROUND(MIN(5,IF(Pathogens!I53&gt;=500,5,IF(Pathogens!I53&gt;=200,4,IF(Pathogens!I53&gt;=50,3,IF(Pathogens!I53&gt;=10,2,1))))*0.5+IF(Pathogens!J53&gt;=30,5,IF(Pathogens!J53&gt;=10,4,IF(Pathogens!J53&gt;=3,3,IF(Pathogens!J53&gt;=1,2,1))))*0.4+IF(AND(VLOOKUP(E$4,Countries!$B$2:$AN$55,4,FALSE)&gt;=80,Pathogens!N53&gt;=0.5),1,0)*0.1+IF(VLOOKUP(E$4,Countries!$B$2:$AN$55,7,FALSE)&lt;50,0.3,0)),0)</f>
        <v>3</v>
      </c>
      <c r="V56" s="62">
        <f>ROUND(MIN(5,IF(Pathogens!K53&gt;=8,5,IF(Pathogens!K53&gt;=5,4,IF(Pathogens!K53&gt;=3,3,IF(Pathogens!K53&gt;=1,2,1))))*0.5+IF(Pathogens!L53&gt;=5,5,IF(Pathogens!L53&gt;=3,4,IF(Pathogens!L53&gt;=2,3,IF(Pathogens!L53&gt;=1.2,2,1))))*0.3+IF(Pathogens!M53=1,2,0)*0.2+IF(VLOOKUP(E$4,Countries!$B$2:$AN$55,12,FALSE)&gt;=2,0.5,0)),0)</f>
        <v>3</v>
      </c>
      <c r="W56" s="62">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c r="X56" s="62">
        <f>ROUND(MAX(1,MIN(5,(6-VLOOKUP(E$4,Countries!$B$2:$AN$55,10,FALSE))*0.5+(6-VLOOKUP(E$4,Countries!$B$2:$AN$55,11,FALSE))*0.4+(IF(AND(Pathogens!N53&gt;=0.5,VLOOKUP(E$4,Countries!$B$2:$AN$55,5,FALSE)&lt;60),5,IF(Pathogens!N53&gt;=0.5,4,IF(Pathogens!N53&gt;=0.3,3,IF(Pathogens!N53&gt;=0.1,2,1)))))*0.1)),0)</f>
        <v>3</v>
      </c>
      <c r="Y56" s="62">
        <f>IF(ISNUMBER(SEARCH("Vaccine-preventable",Pathogens!C53)),2,IF(ISNUMBER(SEARCH("AMR",Pathogens!C53)),5,IF(ISNUMBER(SEARCH("VHF",Pathogens!C53)),4,IF(ISNUMBER(SEARCH("Emerging",Pathogens!C53)),5,IF(ISNUMBER(SEARCH("Mycobacterial",Pathogens!C53)),3,IF(ISNUMBER(SEARCH("Helminth",Pathogens!C53)),3,IF(ISNUMBER(SEARCH("Respiratory",Pathogens!C53)),4,3)))))))</f>
        <v>5</v>
      </c>
      <c r="Z56" s="62">
        <f>IF(ISNUMBER(SEARCH("AMR",Pathogens!C53)),5,IF(ISNUMBER(SEARCH("Mycobacterial",Pathogens!C53)),4,IF(ISNUMBER(SEARCH("Enteric bacterial",Pathogens!C53)),3,IF(ISNUMBER(SEARCH("Bacterial",Pathogens!C53)),3,1))))</f>
        <v>5</v>
      </c>
      <c r="AA5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6" s="62">
        <f>(6-Pathogens!X53)</f>
        <v>4</v>
      </c>
      <c r="AC56" s="62">
        <f>ROUND(MIN(5,MAX(1,0.35*IF(Pathogens!R53=1,5,IF(Pathogens!R53=2,3,1))+0.2*IF(Pathogens!S53=1,5,IF(Pathogens!S53=2,3,1))+0.25*IF(Pathogens!W53=1,IF(VLOOKUP(E$4,Countries!$B$2:$AN$55,38,FALSE)&gt;=3,5,IF(VLOOKUP(E$4,Countries!$B$2:$AN$55,38,FALSE)=2,4,IF(VLOOKUP(E$4,Countries!$B$2:$AN$55,38,FALSE)=1,2,1))),5)+0.2*IF(VLOOKUP(E$4,Countries!$B$2:$AN$55,24,FALSE)&gt;=50,5,IF(VLOOKUP(E$4,Countries!$B$2:$AN$55,24,FALSE)&gt;=25,4,IF(VLOOKUP(E$4,Countries!$B$2:$AN$55,24,FALSE)&gt;=10,3,IF(VLOOKUP(E$4,Countries!$B$2:$AN$55,24,FALSE)&gt;=5,2,1)))))),0)</f>
        <v>4</v>
      </c>
      <c r="AD56" s="62" t="str">
        <f>IFERROR(INDEX(Endemicity!$C$2:$BN$55,MATCH(E$4,Endemicity!$B$2:$B$55,0),MATCH($A56,Endemicity!$C$1:$BN$1,0)),"Sporadic")</f>
        <v>Endemic</v>
      </c>
      <c r="AE56" s="62">
        <f>IF(Settings!$B$48="ON",IFERROR(MATCH($AD56,Settings!$B$35:$F$35,0),5),5)</f>
        <v>1</v>
      </c>
      <c r="AF56" s="62">
        <f>ROUND(MIN(5,IF(Pathogens!I53&gt;=500,5,IF(Pathogens!I53&gt;=200,4,IF(Pathogens!I53&gt;=50,3,IF(Pathogens!I53&gt;=10,2,1))))*0.5+IF(Pathogens!J53&gt;=30,5,IF(Pathogens!J53&gt;=10,4,IF(Pathogens!J53&gt;=3,3,IF(Pathogens!J53&gt;=1,2,1))))*0.4+IF(AND(VLOOKUP(F$4,Countries!$B$2:$AN$55,4,FALSE)&gt;=80,Pathogens!N53&gt;=0.5),1,0)*0.1+IF(VLOOKUP(F$4,Countries!$B$2:$AN$55,7,FALSE)&lt;50,0.3,0)),0)</f>
        <v>3</v>
      </c>
      <c r="AG56" s="62">
        <f>ROUND(MIN(5,IF(Pathogens!K53&gt;=8,5,IF(Pathogens!K53&gt;=5,4,IF(Pathogens!K53&gt;=3,3,IF(Pathogens!K53&gt;=1,2,1))))*0.5+IF(Pathogens!L53&gt;=5,5,IF(Pathogens!L53&gt;=3,4,IF(Pathogens!L53&gt;=2,3,IF(Pathogens!L53&gt;=1.2,2,1))))*0.3+IF(Pathogens!M53=1,2,0)*0.2+IF(VLOOKUP(F$4,Countries!$B$2:$AN$55,12,FALSE)&gt;=2,0.5,0)),0)</f>
        <v>3</v>
      </c>
      <c r="AH56" s="62">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c r="AI56" s="62">
        <f>ROUND(MAX(1,MIN(5,(6-VLOOKUP(F$4,Countries!$B$2:$AN$55,10,FALSE))*0.5+(6-VLOOKUP(F$4,Countries!$B$2:$AN$55,11,FALSE))*0.4+(IF(AND(Pathogens!N53&gt;=0.5,VLOOKUP(F$4,Countries!$B$2:$AN$55,5,FALSE)&lt;60),5,IF(Pathogens!N53&gt;=0.5,4,IF(Pathogens!N53&gt;=0.3,3,IF(Pathogens!N53&gt;=0.1,2,1)))))*0.1)),0)</f>
        <v>2</v>
      </c>
      <c r="AJ56" s="62">
        <f>IF(ISNUMBER(SEARCH("Vaccine-preventable",Pathogens!C53)),2,IF(ISNUMBER(SEARCH("AMR",Pathogens!C53)),5,IF(ISNUMBER(SEARCH("VHF",Pathogens!C53)),4,IF(ISNUMBER(SEARCH("Emerging",Pathogens!C53)),5,IF(ISNUMBER(SEARCH("Mycobacterial",Pathogens!C53)),3,IF(ISNUMBER(SEARCH("Helminth",Pathogens!C53)),3,IF(ISNUMBER(SEARCH("Respiratory",Pathogens!C53)),4,3)))))))</f>
        <v>5</v>
      </c>
      <c r="AK56" s="62">
        <f>IF(ISNUMBER(SEARCH("AMR",Pathogens!C53)),5,IF(ISNUMBER(SEARCH("Mycobacterial",Pathogens!C53)),4,IF(ISNUMBER(SEARCH("Enteric bacterial",Pathogens!C53)),3,IF(ISNUMBER(SEARCH("Bacterial",Pathogens!C53)),3,1))))</f>
        <v>5</v>
      </c>
      <c r="AL5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6" s="62">
        <f>(6-Pathogens!X53)</f>
        <v>4</v>
      </c>
      <c r="AN56" s="62">
        <f>ROUND(MIN(5,MAX(1,0.35*IF(Pathogens!R53=1,5,IF(Pathogens!R53=2,3,1))+0.2*IF(Pathogens!S53=1,5,IF(Pathogens!S53=2,3,1))+0.25*IF(Pathogens!W53=1,IF(VLOOKUP(F$4,Countries!$B$2:$AN$55,38,FALSE)&gt;=3,5,IF(VLOOKUP(F$4,Countries!$B$2:$AN$55,38,FALSE)=2,4,IF(VLOOKUP(F$4,Countries!$B$2:$AN$55,38,FALSE)=1,2,1))),5)+0.2*IF(VLOOKUP(F$4,Countries!$B$2:$AN$55,24,FALSE)&gt;=50,5,IF(VLOOKUP(F$4,Countries!$B$2:$AN$55,24,FALSE)&gt;=25,4,IF(VLOOKUP(F$4,Countries!$B$2:$AN$55,24,FALSE)&gt;=10,3,IF(VLOOKUP(F$4,Countries!$B$2:$AN$55,24,FALSE)&gt;=5,2,1)))))),0)</f>
        <v>4</v>
      </c>
      <c r="AO56" s="62" t="str">
        <f>IFERROR(INDEX(Endemicity!$C$2:$BN$55,MATCH(F$4,Endemicity!$B$2:$B$55,0),MATCH($A56,Endemicity!$C$1:$BN$1,0)),"Sporadic")</f>
        <v>Endemic</v>
      </c>
      <c r="AP56" s="62">
        <f>IF(Settings!$B$48="ON",IFERROR(MATCH($AO56,Settings!$B$35:$F$35,0),5),5)</f>
        <v>1</v>
      </c>
      <c r="AQ56" s="62">
        <f>ROUND(MIN(5,IF(Pathogens!I53&gt;=500,5,IF(Pathogens!I53&gt;=200,4,IF(Pathogens!I53&gt;=50,3,IF(Pathogens!I53&gt;=10,2,1))))*0.5+IF(Pathogens!J53&gt;=30,5,IF(Pathogens!J53&gt;=10,4,IF(Pathogens!J53&gt;=3,3,IF(Pathogens!J53&gt;=1,2,1))))*0.4+IF(AND(VLOOKUP(G$4,Countries!$B$2:$AN$55,4,FALSE)&gt;=80,Pathogens!N53&gt;=0.5),1,0)*0.1+IF(VLOOKUP(G$4,Countries!$B$2:$AN$55,7,FALSE)&lt;50,0.3,0)),0)</f>
        <v>3</v>
      </c>
      <c r="AR56" s="62">
        <f>ROUND(MIN(5,IF(Pathogens!K53&gt;=8,5,IF(Pathogens!K53&gt;=5,4,IF(Pathogens!K53&gt;=3,3,IF(Pathogens!K53&gt;=1,2,1))))*0.5+IF(Pathogens!L53&gt;=5,5,IF(Pathogens!L53&gt;=3,4,IF(Pathogens!L53&gt;=2,3,IF(Pathogens!L53&gt;=1.2,2,1))))*0.3+IF(Pathogens!M53=1,2,0)*0.2+IF(VLOOKUP(G$4,Countries!$B$2:$AN$55,12,FALSE)&gt;=2,0.5,0)),0)</f>
        <v>3</v>
      </c>
      <c r="AS56" s="62">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c r="AT56" s="62">
        <f>ROUND(MAX(1,MIN(5,(6-VLOOKUP(G$4,Countries!$B$2:$AN$55,10,FALSE))*0.5+(6-VLOOKUP(G$4,Countries!$B$2:$AN$55,11,FALSE))*0.4+(IF(AND(Pathogens!N53&gt;=0.5,VLOOKUP(G$4,Countries!$B$2:$AN$55,5,FALSE)&lt;60),5,IF(Pathogens!N53&gt;=0.5,4,IF(Pathogens!N53&gt;=0.3,3,IF(Pathogens!N53&gt;=0.1,2,1)))))*0.1)),0)</f>
        <v>2</v>
      </c>
      <c r="AU56" s="62">
        <f>IF(ISNUMBER(SEARCH("Vaccine-preventable",Pathogens!C53)),2,IF(ISNUMBER(SEARCH("AMR",Pathogens!C53)),5,IF(ISNUMBER(SEARCH("VHF",Pathogens!C53)),4,IF(ISNUMBER(SEARCH("Emerging",Pathogens!C53)),5,IF(ISNUMBER(SEARCH("Mycobacterial",Pathogens!C53)),3,IF(ISNUMBER(SEARCH("Helminth",Pathogens!C53)),3,IF(ISNUMBER(SEARCH("Respiratory",Pathogens!C53)),4,3)))))))</f>
        <v>5</v>
      </c>
      <c r="AV56" s="62">
        <f>IF(ISNUMBER(SEARCH("AMR",Pathogens!C53)),5,IF(ISNUMBER(SEARCH("Mycobacterial",Pathogens!C53)),4,IF(ISNUMBER(SEARCH("Enteric bacterial",Pathogens!C53)),3,IF(ISNUMBER(SEARCH("Bacterial",Pathogens!C53)),3,1))))</f>
        <v>5</v>
      </c>
      <c r="AW5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6" s="62">
        <f>(6-Pathogens!X53)</f>
        <v>4</v>
      </c>
      <c r="AY56" s="62">
        <f>ROUND(MIN(5,MAX(1,0.35*IF(Pathogens!R53=1,5,IF(Pathogens!R53=2,3,1))+0.2*IF(Pathogens!S53=1,5,IF(Pathogens!S53=2,3,1))+0.25*IF(Pathogens!W53=1,IF(VLOOKUP(G$4,Countries!$B$2:$AN$55,38,FALSE)&gt;=3,5,IF(VLOOKUP(G$4,Countries!$B$2:$AN$55,38,FALSE)=2,4,IF(VLOOKUP(G$4,Countries!$B$2:$AN$55,38,FALSE)=1,2,1))),5)+0.2*IF(VLOOKUP(G$4,Countries!$B$2:$AN$55,24,FALSE)&gt;=50,5,IF(VLOOKUP(G$4,Countries!$B$2:$AN$55,24,FALSE)&gt;=25,4,IF(VLOOKUP(G$4,Countries!$B$2:$AN$55,24,FALSE)&gt;=10,3,IF(VLOOKUP(G$4,Countries!$B$2:$AN$55,24,FALSE)&gt;=5,2,1)))))),0)</f>
        <v>4</v>
      </c>
      <c r="AZ56" s="62" t="str">
        <f>IFERROR(INDEX(Endemicity!$C$2:$BN$55,MATCH(G$4,Endemicity!$B$2:$B$55,0),MATCH($A56,Endemicity!$C$1:$BN$1,0)),"Sporadic")</f>
        <v>Endemic</v>
      </c>
      <c r="BA56" s="62">
        <f>IF(Settings!$B$48="ON",IFERROR(MATCH($AZ56,Settings!$B$35:$F$35,0),5),5)</f>
        <v>1</v>
      </c>
    </row>
    <row r="57" customHeight="1" spans="1:53">
      <c r="A57" s="61" t="str">
        <f>Calculator!A86</f>
        <v>CRE</v>
      </c>
      <c r="B57" s="61" t="str">
        <f>Calculator!B86</f>
        <v>Carbapenemase: blaNDM</v>
      </c>
      <c r="C57" s="61" t="str">
        <f>Calculator!C86</f>
        <v>AMR marker</v>
      </c>
      <c r="D57" s="52">
        <f>IFERROR(ROUND(MIN(100,(($J57)*Settings!$C$23*INDEX(Settings!$B$36:$F$44,1,$T57)+($K57)*Settings!$C$24*INDEX(Settings!$B$36:$F$44,2,$T57)+($L57)*Settings!$C$25*INDEX(Settings!$B$36:$F$44,3,$T57)+($M57)*Settings!$C$26*INDEX(Settings!$B$36:$F$44,4,$T57)+($N57)*Settings!$C$27*INDEX(Settings!$B$36:$F$44,5,$T57)+($O57)*Settings!$C$28*INDEX(Settings!$B$36:$F$44,6,$T57)+($P57)*Settings!$C$29*INDEX(Settings!$B$36:$F$44,7,$T57)+($Q57)*Settings!$C$30*INDEX(Settings!$B$36:$F$44,8,$T57)+($R57)*Settings!$C$31*INDEX(Settings!$B$36:$F$44,9,$T57))/INDEX(Settings!$B$45:$F$45,1,$T57)/5*100*IF($S57="Not present",Settings!$B$51,1)),1),"")</f>
        <v>71.8</v>
      </c>
      <c r="E57" s="52">
        <f>IFERROR(ROUND(MIN(100,(($U57)*Settings!$C$23*INDEX(Settings!$B$36:$F$44,1,$AE57)+($V57)*Settings!$C$24*INDEX(Settings!$B$36:$F$44,2,$AE57)+($W57)*Settings!$C$25*INDEX(Settings!$B$36:$F$44,3,$AE57)+($X57)*Settings!$C$26*INDEX(Settings!$B$36:$F$44,4,$AE57)+($Y57)*Settings!$C$27*INDEX(Settings!$B$36:$F$44,5,$AE57)+($Z57)*Settings!$C$28*INDEX(Settings!$B$36:$F$44,6,$AE57)+($AA57)*Settings!$C$29*INDEX(Settings!$B$36:$F$44,7,$AE57)+($AB57)*Settings!$C$30*INDEX(Settings!$B$36:$F$44,8,$AE57)+($AC57)*Settings!$C$31*INDEX(Settings!$B$36:$F$44,9,$AE57))/INDEX(Settings!$B$45:$F$45,1,$AE57)/5*100*IF($AD57="Not present",Settings!$B$51,1)),1),"")</f>
        <v>77.3</v>
      </c>
      <c r="F57" s="52">
        <f>IFERROR(ROUND(MIN(100,(($AF57)*Settings!$C$23*INDEX(Settings!$B$36:$F$44,1,$AP57)+($AG57)*Settings!$C$24*INDEX(Settings!$B$36:$F$44,2,$AP57)+($AH57)*Settings!$C$25*INDEX(Settings!$B$36:$F$44,3,$AP57)+($AI57)*Settings!$C$26*INDEX(Settings!$B$36:$F$44,4,$AP57)+($AJ57)*Settings!$C$27*INDEX(Settings!$B$36:$F$44,5,$AP57)+($AK57)*Settings!$C$28*INDEX(Settings!$B$36:$F$44,6,$AP57)+($AL57)*Settings!$C$29*INDEX(Settings!$B$36:$F$44,7,$AP57)+($AM57)*Settings!$C$30*INDEX(Settings!$B$36:$F$44,8,$AP57)+($AN57)*Settings!$C$31*INDEX(Settings!$B$36:$F$44,9,$AP57))/INDEX(Settings!$B$45:$F$45,1,$AP57)/5*100*IF($AO57="Not present",Settings!$B$51,1)),1),"")</f>
        <v>69</v>
      </c>
      <c r="G57" s="52">
        <f>IFERROR(ROUND(MIN(100,(($AQ57)*Settings!$C$23*INDEX(Settings!$B$36:$F$44,1,$BA57)+($AR57)*Settings!$C$24*INDEX(Settings!$B$36:$F$44,2,$BA57)+($AS57)*Settings!$C$25*INDEX(Settings!$B$36:$F$44,3,$BA57)+($AT57)*Settings!$C$26*INDEX(Settings!$B$36:$F$44,4,$BA57)+($AU57)*Settings!$C$27*INDEX(Settings!$B$36:$F$44,5,$BA57)+($AV57)*Settings!$C$28*INDEX(Settings!$B$36:$F$44,6,$BA57)+($AW57)*Settings!$C$29*INDEX(Settings!$B$36:$F$44,7,$BA57)+($AX57)*Settings!$C$30*INDEX(Settings!$B$36:$F$44,8,$BA57)+($AY57)*Settings!$C$31*INDEX(Settings!$B$36:$F$44,9,$BA57))/INDEX(Settings!$B$45:$F$45,1,$BA57)/5*100*IF($AZ57="Not present",Settings!$B$51,1)),1),"")</f>
        <v>73.5</v>
      </c>
      <c r="J57" s="62">
        <f>ROUND(MIN(5,IF(Pathogens!I54&gt;=500,5,IF(Pathogens!I54&gt;=200,4,IF(Pathogens!I54&gt;=50,3,IF(Pathogens!I54&gt;=10,2,1))))*0.5+IF(Pathogens!J54&gt;=30,5,IF(Pathogens!J54&gt;=10,4,IF(Pathogens!J54&gt;=3,3,IF(Pathogens!J54&gt;=1,2,1))))*0.4+IF(AND(VLOOKUP(D$4,Countries!$B$2:$AN$55,4,FALSE)&gt;=80,Pathogens!N54&gt;=0.5),1,0)*0.1+IF(VLOOKUP(D$4,Countries!$B$2:$AN$55,7,FALSE)&lt;50,0.3,0)),0)</f>
        <v>3</v>
      </c>
      <c r="K57" s="62">
        <f>ROUND(MIN(5,IF(Pathogens!K54&gt;=8,5,IF(Pathogens!K54&gt;=5,4,IF(Pathogens!K54&gt;=3,3,IF(Pathogens!K54&gt;=1,2,1))))*0.5+IF(Pathogens!L54&gt;=5,5,IF(Pathogens!L54&gt;=3,4,IF(Pathogens!L54&gt;=2,3,IF(Pathogens!L54&gt;=1.2,2,1))))*0.3+IF(Pathogens!M54=1,2,0)*0.2+IF(VLOOKUP(D$4,Countries!$B$2:$AN$55,12,FALSE)&gt;=2,0.5,0)),0)</f>
        <v>3</v>
      </c>
      <c r="L57" s="62">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c r="M57" s="62">
        <f>ROUND(MAX(1,MIN(5,(6-VLOOKUP(D$4,Countries!$B$2:$AN$55,10,FALSE))*0.5+(6-VLOOKUP(D$4,Countries!$B$2:$AN$55,11,FALSE))*0.4+(IF(AND(Pathogens!N54&gt;=0.5,VLOOKUP(D$4,Countries!$B$2:$AN$55,5,FALSE)&lt;60),5,IF(Pathogens!N54&gt;=0.5,4,IF(Pathogens!N54&gt;=0.3,3,IF(Pathogens!N54&gt;=0.1,2,1)))))*0.1)),0)</f>
        <v>2</v>
      </c>
      <c r="N57" s="62">
        <f>IF(ISNUMBER(SEARCH("Vaccine-preventable",Pathogens!C54)),2,IF(ISNUMBER(SEARCH("AMR",Pathogens!C54)),5,IF(ISNUMBER(SEARCH("VHF",Pathogens!C54)),4,IF(ISNUMBER(SEARCH("Emerging",Pathogens!C54)),5,IF(ISNUMBER(SEARCH("Mycobacterial",Pathogens!C54)),3,IF(ISNUMBER(SEARCH("Helminth",Pathogens!C54)),3,IF(ISNUMBER(SEARCH("Respiratory",Pathogens!C54)),4,3)))))))</f>
        <v>5</v>
      </c>
      <c r="O57" s="62">
        <f>IF(ISNUMBER(SEARCH("AMR",Pathogens!C54)),5,IF(ISNUMBER(SEARCH("Mycobacterial",Pathogens!C54)),4,IF(ISNUMBER(SEARCH("Enteric bacterial",Pathogens!C54)),3,IF(ISNUMBER(SEARCH("Bacterial",Pathogens!C54)),3,1))))</f>
        <v>5</v>
      </c>
      <c r="P5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7" s="62">
        <f>(6-Pathogens!X54)</f>
        <v>4</v>
      </c>
      <c r="R57" s="62">
        <f>ROUND(MIN(5,MAX(1,0.35*IF(Pathogens!R54=1,5,IF(Pathogens!R54=2,3,1))+0.2*IF(Pathogens!S54=1,5,IF(Pathogens!S54=2,3,1))+0.25*IF(Pathogens!W54=1,IF(VLOOKUP(D$4,Countries!$B$2:$AN$55,38,FALSE)&gt;=3,5,IF(VLOOKUP(D$4,Countries!$B$2:$AN$55,38,FALSE)=2,4,IF(VLOOKUP(D$4,Countries!$B$2:$AN$55,38,FALSE)=1,2,1))),5)+0.2*IF(VLOOKUP(D$4,Countries!$B$2:$AN$55,24,FALSE)&gt;=50,5,IF(VLOOKUP(D$4,Countries!$B$2:$AN$55,24,FALSE)&gt;=25,4,IF(VLOOKUP(D$4,Countries!$B$2:$AN$55,24,FALSE)&gt;=10,3,IF(VLOOKUP(D$4,Countries!$B$2:$AN$55,24,FALSE)&gt;=5,2,1)))))),0)</f>
        <v>4</v>
      </c>
      <c r="S57" s="62" t="str">
        <f>IFERROR(INDEX(Endemicity!$C$2:$BN$55,MATCH(D$4,Endemicity!$B$2:$B$55,0),MATCH($A57,Endemicity!$C$1:$BN$1,0)),"Sporadic")</f>
        <v>Endemic</v>
      </c>
      <c r="T57" s="62">
        <f>IF(Settings!$B$48="ON",IFERROR(MATCH($S57,Settings!$B$35:$F$35,0),5),5)</f>
        <v>1</v>
      </c>
      <c r="U57" s="62">
        <f>ROUND(MIN(5,IF(Pathogens!I54&gt;=500,5,IF(Pathogens!I54&gt;=200,4,IF(Pathogens!I54&gt;=50,3,IF(Pathogens!I54&gt;=10,2,1))))*0.5+IF(Pathogens!J54&gt;=30,5,IF(Pathogens!J54&gt;=10,4,IF(Pathogens!J54&gt;=3,3,IF(Pathogens!J54&gt;=1,2,1))))*0.4+IF(AND(VLOOKUP(E$4,Countries!$B$2:$AN$55,4,FALSE)&gt;=80,Pathogens!N54&gt;=0.5),1,0)*0.1+IF(VLOOKUP(E$4,Countries!$B$2:$AN$55,7,FALSE)&lt;50,0.3,0)),0)</f>
        <v>3</v>
      </c>
      <c r="V57" s="62">
        <f>ROUND(MIN(5,IF(Pathogens!K54&gt;=8,5,IF(Pathogens!K54&gt;=5,4,IF(Pathogens!K54&gt;=3,3,IF(Pathogens!K54&gt;=1,2,1))))*0.5+IF(Pathogens!L54&gt;=5,5,IF(Pathogens!L54&gt;=3,4,IF(Pathogens!L54&gt;=2,3,IF(Pathogens!L54&gt;=1.2,2,1))))*0.3+IF(Pathogens!M54=1,2,0)*0.2+IF(VLOOKUP(E$4,Countries!$B$2:$AN$55,12,FALSE)&gt;=2,0.5,0)),0)</f>
        <v>3</v>
      </c>
      <c r="W57" s="62">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c r="X57" s="62">
        <f>ROUND(MAX(1,MIN(5,(6-VLOOKUP(E$4,Countries!$B$2:$AN$55,10,FALSE))*0.5+(6-VLOOKUP(E$4,Countries!$B$2:$AN$55,11,FALSE))*0.4+(IF(AND(Pathogens!N54&gt;=0.5,VLOOKUP(E$4,Countries!$B$2:$AN$55,5,FALSE)&lt;60),5,IF(Pathogens!N54&gt;=0.5,4,IF(Pathogens!N54&gt;=0.3,3,IF(Pathogens!N54&gt;=0.1,2,1)))))*0.1)),0)</f>
        <v>3</v>
      </c>
      <c r="Y57" s="62">
        <f>IF(ISNUMBER(SEARCH("Vaccine-preventable",Pathogens!C54)),2,IF(ISNUMBER(SEARCH("AMR",Pathogens!C54)),5,IF(ISNUMBER(SEARCH("VHF",Pathogens!C54)),4,IF(ISNUMBER(SEARCH("Emerging",Pathogens!C54)),5,IF(ISNUMBER(SEARCH("Mycobacterial",Pathogens!C54)),3,IF(ISNUMBER(SEARCH("Helminth",Pathogens!C54)),3,IF(ISNUMBER(SEARCH("Respiratory",Pathogens!C54)),4,3)))))))</f>
        <v>5</v>
      </c>
      <c r="Z57" s="62">
        <f>IF(ISNUMBER(SEARCH("AMR",Pathogens!C54)),5,IF(ISNUMBER(SEARCH("Mycobacterial",Pathogens!C54)),4,IF(ISNUMBER(SEARCH("Enteric bacterial",Pathogens!C54)),3,IF(ISNUMBER(SEARCH("Bacterial",Pathogens!C54)),3,1))))</f>
        <v>5</v>
      </c>
      <c r="AA5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7" s="62">
        <f>(6-Pathogens!X54)</f>
        <v>4</v>
      </c>
      <c r="AC57" s="62">
        <f>ROUND(MIN(5,MAX(1,0.35*IF(Pathogens!R54=1,5,IF(Pathogens!R54=2,3,1))+0.2*IF(Pathogens!S54=1,5,IF(Pathogens!S54=2,3,1))+0.25*IF(Pathogens!W54=1,IF(VLOOKUP(E$4,Countries!$B$2:$AN$55,38,FALSE)&gt;=3,5,IF(VLOOKUP(E$4,Countries!$B$2:$AN$55,38,FALSE)=2,4,IF(VLOOKUP(E$4,Countries!$B$2:$AN$55,38,FALSE)=1,2,1))),5)+0.2*IF(VLOOKUP(E$4,Countries!$B$2:$AN$55,24,FALSE)&gt;=50,5,IF(VLOOKUP(E$4,Countries!$B$2:$AN$55,24,FALSE)&gt;=25,4,IF(VLOOKUP(E$4,Countries!$B$2:$AN$55,24,FALSE)&gt;=10,3,IF(VLOOKUP(E$4,Countries!$B$2:$AN$55,24,FALSE)&gt;=5,2,1)))))),0)</f>
        <v>4</v>
      </c>
      <c r="AD57" s="62" t="str">
        <f>IFERROR(INDEX(Endemicity!$C$2:$BN$55,MATCH(E$4,Endemicity!$B$2:$B$55,0),MATCH($A57,Endemicity!$C$1:$BN$1,0)),"Sporadic")</f>
        <v>Endemic</v>
      </c>
      <c r="AE57" s="62">
        <f>IF(Settings!$B$48="ON",IFERROR(MATCH($AD57,Settings!$B$35:$F$35,0),5),5)</f>
        <v>1</v>
      </c>
      <c r="AF57" s="62">
        <f>ROUND(MIN(5,IF(Pathogens!I54&gt;=500,5,IF(Pathogens!I54&gt;=200,4,IF(Pathogens!I54&gt;=50,3,IF(Pathogens!I54&gt;=10,2,1))))*0.5+IF(Pathogens!J54&gt;=30,5,IF(Pathogens!J54&gt;=10,4,IF(Pathogens!J54&gt;=3,3,IF(Pathogens!J54&gt;=1,2,1))))*0.4+IF(AND(VLOOKUP(F$4,Countries!$B$2:$AN$55,4,FALSE)&gt;=80,Pathogens!N54&gt;=0.5),1,0)*0.1+IF(VLOOKUP(F$4,Countries!$B$2:$AN$55,7,FALSE)&lt;50,0.3,0)),0)</f>
        <v>3</v>
      </c>
      <c r="AG57" s="62">
        <f>ROUND(MIN(5,IF(Pathogens!K54&gt;=8,5,IF(Pathogens!K54&gt;=5,4,IF(Pathogens!K54&gt;=3,3,IF(Pathogens!K54&gt;=1,2,1))))*0.5+IF(Pathogens!L54&gt;=5,5,IF(Pathogens!L54&gt;=3,4,IF(Pathogens!L54&gt;=2,3,IF(Pathogens!L54&gt;=1.2,2,1))))*0.3+IF(Pathogens!M54=1,2,0)*0.2+IF(VLOOKUP(F$4,Countries!$B$2:$AN$55,12,FALSE)&gt;=2,0.5,0)),0)</f>
        <v>3</v>
      </c>
      <c r="AH57" s="62">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c r="AI57" s="62">
        <f>ROUND(MAX(1,MIN(5,(6-VLOOKUP(F$4,Countries!$B$2:$AN$55,10,FALSE))*0.5+(6-VLOOKUP(F$4,Countries!$B$2:$AN$55,11,FALSE))*0.4+(IF(AND(Pathogens!N54&gt;=0.5,VLOOKUP(F$4,Countries!$B$2:$AN$55,5,FALSE)&lt;60),5,IF(Pathogens!N54&gt;=0.5,4,IF(Pathogens!N54&gt;=0.3,3,IF(Pathogens!N54&gt;=0.1,2,1)))))*0.1)),0)</f>
        <v>2</v>
      </c>
      <c r="AJ57" s="62">
        <f>IF(ISNUMBER(SEARCH("Vaccine-preventable",Pathogens!C54)),2,IF(ISNUMBER(SEARCH("AMR",Pathogens!C54)),5,IF(ISNUMBER(SEARCH("VHF",Pathogens!C54)),4,IF(ISNUMBER(SEARCH("Emerging",Pathogens!C54)),5,IF(ISNUMBER(SEARCH("Mycobacterial",Pathogens!C54)),3,IF(ISNUMBER(SEARCH("Helminth",Pathogens!C54)),3,IF(ISNUMBER(SEARCH("Respiratory",Pathogens!C54)),4,3)))))))</f>
        <v>5</v>
      </c>
      <c r="AK57" s="62">
        <f>IF(ISNUMBER(SEARCH("AMR",Pathogens!C54)),5,IF(ISNUMBER(SEARCH("Mycobacterial",Pathogens!C54)),4,IF(ISNUMBER(SEARCH("Enteric bacterial",Pathogens!C54)),3,IF(ISNUMBER(SEARCH("Bacterial",Pathogens!C54)),3,1))))</f>
        <v>5</v>
      </c>
      <c r="AL5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7" s="62">
        <f>(6-Pathogens!X54)</f>
        <v>4</v>
      </c>
      <c r="AN57" s="62">
        <f>ROUND(MIN(5,MAX(1,0.35*IF(Pathogens!R54=1,5,IF(Pathogens!R54=2,3,1))+0.2*IF(Pathogens!S54=1,5,IF(Pathogens!S54=2,3,1))+0.25*IF(Pathogens!W54=1,IF(VLOOKUP(F$4,Countries!$B$2:$AN$55,38,FALSE)&gt;=3,5,IF(VLOOKUP(F$4,Countries!$B$2:$AN$55,38,FALSE)=2,4,IF(VLOOKUP(F$4,Countries!$B$2:$AN$55,38,FALSE)=1,2,1))),5)+0.2*IF(VLOOKUP(F$4,Countries!$B$2:$AN$55,24,FALSE)&gt;=50,5,IF(VLOOKUP(F$4,Countries!$B$2:$AN$55,24,FALSE)&gt;=25,4,IF(VLOOKUP(F$4,Countries!$B$2:$AN$55,24,FALSE)&gt;=10,3,IF(VLOOKUP(F$4,Countries!$B$2:$AN$55,24,FALSE)&gt;=5,2,1)))))),0)</f>
        <v>3</v>
      </c>
      <c r="AO57" s="62" t="str">
        <f>IFERROR(INDEX(Endemicity!$C$2:$BN$55,MATCH(F$4,Endemicity!$B$2:$B$55,0),MATCH($A57,Endemicity!$C$1:$BN$1,0)),"Sporadic")</f>
        <v>Endemic</v>
      </c>
      <c r="AP57" s="62">
        <f>IF(Settings!$B$48="ON",IFERROR(MATCH($AO57,Settings!$B$35:$F$35,0),5),5)</f>
        <v>1</v>
      </c>
      <c r="AQ57" s="62">
        <f>ROUND(MIN(5,IF(Pathogens!I54&gt;=500,5,IF(Pathogens!I54&gt;=200,4,IF(Pathogens!I54&gt;=50,3,IF(Pathogens!I54&gt;=10,2,1))))*0.5+IF(Pathogens!J54&gt;=30,5,IF(Pathogens!J54&gt;=10,4,IF(Pathogens!J54&gt;=3,3,IF(Pathogens!J54&gt;=1,2,1))))*0.4+IF(AND(VLOOKUP(G$4,Countries!$B$2:$AN$55,4,FALSE)&gt;=80,Pathogens!N54&gt;=0.5),1,0)*0.1+IF(VLOOKUP(G$4,Countries!$B$2:$AN$55,7,FALSE)&lt;50,0.3,0)),0)</f>
        <v>3</v>
      </c>
      <c r="AR57" s="62">
        <f>ROUND(MIN(5,IF(Pathogens!K54&gt;=8,5,IF(Pathogens!K54&gt;=5,4,IF(Pathogens!K54&gt;=3,3,IF(Pathogens!K54&gt;=1,2,1))))*0.5+IF(Pathogens!L54&gt;=5,5,IF(Pathogens!L54&gt;=3,4,IF(Pathogens!L54&gt;=2,3,IF(Pathogens!L54&gt;=1.2,2,1))))*0.3+IF(Pathogens!M54=1,2,0)*0.2+IF(VLOOKUP(G$4,Countries!$B$2:$AN$55,12,FALSE)&gt;=2,0.5,0)),0)</f>
        <v>3</v>
      </c>
      <c r="AS57" s="62">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c r="AT57" s="62">
        <f>ROUND(MAX(1,MIN(5,(6-VLOOKUP(G$4,Countries!$B$2:$AN$55,10,FALSE))*0.5+(6-VLOOKUP(G$4,Countries!$B$2:$AN$55,11,FALSE))*0.4+(IF(AND(Pathogens!N54&gt;=0.5,VLOOKUP(G$4,Countries!$B$2:$AN$55,5,FALSE)&lt;60),5,IF(Pathogens!N54&gt;=0.5,4,IF(Pathogens!N54&gt;=0.3,3,IF(Pathogens!N54&gt;=0.1,2,1)))))*0.1)),0)</f>
        <v>2</v>
      </c>
      <c r="AU57" s="62">
        <f>IF(ISNUMBER(SEARCH("Vaccine-preventable",Pathogens!C54)),2,IF(ISNUMBER(SEARCH("AMR",Pathogens!C54)),5,IF(ISNUMBER(SEARCH("VHF",Pathogens!C54)),4,IF(ISNUMBER(SEARCH("Emerging",Pathogens!C54)),5,IF(ISNUMBER(SEARCH("Mycobacterial",Pathogens!C54)),3,IF(ISNUMBER(SEARCH("Helminth",Pathogens!C54)),3,IF(ISNUMBER(SEARCH("Respiratory",Pathogens!C54)),4,3)))))))</f>
        <v>5</v>
      </c>
      <c r="AV57" s="62">
        <f>IF(ISNUMBER(SEARCH("AMR",Pathogens!C54)),5,IF(ISNUMBER(SEARCH("Mycobacterial",Pathogens!C54)),4,IF(ISNUMBER(SEARCH("Enteric bacterial",Pathogens!C54)),3,IF(ISNUMBER(SEARCH("Bacterial",Pathogens!C54)),3,1))))</f>
        <v>5</v>
      </c>
      <c r="AW5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7" s="62">
        <f>(6-Pathogens!X54)</f>
        <v>4</v>
      </c>
      <c r="AY57" s="62">
        <f>ROUND(MIN(5,MAX(1,0.35*IF(Pathogens!R54=1,5,IF(Pathogens!R54=2,3,1))+0.2*IF(Pathogens!S54=1,5,IF(Pathogens!S54=2,3,1))+0.25*IF(Pathogens!W54=1,IF(VLOOKUP(G$4,Countries!$B$2:$AN$55,38,FALSE)&gt;=3,5,IF(VLOOKUP(G$4,Countries!$B$2:$AN$55,38,FALSE)=2,4,IF(VLOOKUP(G$4,Countries!$B$2:$AN$55,38,FALSE)=1,2,1))),5)+0.2*IF(VLOOKUP(G$4,Countries!$B$2:$AN$55,24,FALSE)&gt;=50,5,IF(VLOOKUP(G$4,Countries!$B$2:$AN$55,24,FALSE)&gt;=25,4,IF(VLOOKUP(G$4,Countries!$B$2:$AN$55,24,FALSE)&gt;=10,3,IF(VLOOKUP(G$4,Countries!$B$2:$AN$55,24,FALSE)&gt;=5,2,1)))))),0)</f>
        <v>4</v>
      </c>
      <c r="AZ57" s="62" t="str">
        <f>IFERROR(INDEX(Endemicity!$C$2:$BN$55,MATCH(G$4,Endemicity!$B$2:$B$55,0),MATCH($A57,Endemicity!$C$1:$BN$1,0)),"Sporadic")</f>
        <v>Endemic</v>
      </c>
      <c r="BA57" s="62">
        <f>IF(Settings!$B$48="ON",IFERROR(MATCH($AZ57,Settings!$B$35:$F$35,0),5),5)</f>
        <v>1</v>
      </c>
    </row>
    <row r="58" customHeight="1" spans="1:53">
      <c r="A58" s="61" t="str">
        <f>Calculator!A87</f>
        <v>CRE2</v>
      </c>
      <c r="B58" s="61" t="str">
        <f>Calculator!B87</f>
        <v>Carbapenemase: blaKPC</v>
      </c>
      <c r="C58" s="61" t="str">
        <f>Calculator!C87</f>
        <v>AMR marker</v>
      </c>
      <c r="D58" s="52">
        <f>IFERROR(ROUND(MIN(100,(($J58)*Settings!$C$23*INDEX(Settings!$B$36:$F$44,1,$T58)+($K58)*Settings!$C$24*INDEX(Settings!$B$36:$F$44,2,$T58)+($L58)*Settings!$C$25*INDEX(Settings!$B$36:$F$44,3,$T58)+($M58)*Settings!$C$26*INDEX(Settings!$B$36:$F$44,4,$T58)+($N58)*Settings!$C$27*INDEX(Settings!$B$36:$F$44,5,$T58)+($O58)*Settings!$C$28*INDEX(Settings!$B$36:$F$44,6,$T58)+($P58)*Settings!$C$29*INDEX(Settings!$B$36:$F$44,7,$T58)+($Q58)*Settings!$C$30*INDEX(Settings!$B$36:$F$44,8,$T58)+($R58)*Settings!$C$31*INDEX(Settings!$B$36:$F$44,9,$T58))/INDEX(Settings!$B$45:$F$45,1,$T58)/5*100*IF($S58="Not present",Settings!$B$51,1)),1),"")</f>
        <v>68.4</v>
      </c>
      <c r="E58" s="52">
        <f>IFERROR(ROUND(MIN(100,(($U58)*Settings!$C$23*INDEX(Settings!$B$36:$F$44,1,$AE58)+($V58)*Settings!$C$24*INDEX(Settings!$B$36:$F$44,2,$AE58)+($W58)*Settings!$C$25*INDEX(Settings!$B$36:$F$44,3,$AE58)+($X58)*Settings!$C$26*INDEX(Settings!$B$36:$F$44,4,$AE58)+($Y58)*Settings!$C$27*INDEX(Settings!$B$36:$F$44,5,$AE58)+($Z58)*Settings!$C$28*INDEX(Settings!$B$36:$F$44,6,$AE58)+($AA58)*Settings!$C$29*INDEX(Settings!$B$36:$F$44,7,$AE58)+($AB58)*Settings!$C$30*INDEX(Settings!$B$36:$F$44,8,$AE58)+($AC58)*Settings!$C$31*INDEX(Settings!$B$36:$F$44,9,$AE58))/INDEX(Settings!$B$45:$F$45,1,$AE58)/5*100*IF($AD58="Not present",Settings!$B$51,1)),1),"")</f>
        <v>75.1</v>
      </c>
      <c r="F58" s="52">
        <f>IFERROR(ROUND(MIN(100,(($AF58)*Settings!$C$23*INDEX(Settings!$B$36:$F$44,1,$AP58)+($AG58)*Settings!$C$24*INDEX(Settings!$B$36:$F$44,2,$AP58)+($AH58)*Settings!$C$25*INDEX(Settings!$B$36:$F$44,3,$AP58)+($AI58)*Settings!$C$26*INDEX(Settings!$B$36:$F$44,4,$AP58)+($AJ58)*Settings!$C$27*INDEX(Settings!$B$36:$F$44,5,$AP58)+($AK58)*Settings!$C$28*INDEX(Settings!$B$36:$F$44,6,$AP58)+($AL58)*Settings!$C$29*INDEX(Settings!$B$36:$F$44,7,$AP58)+($AM58)*Settings!$C$30*INDEX(Settings!$B$36:$F$44,8,$AP58)+($AN58)*Settings!$C$31*INDEX(Settings!$B$36:$F$44,9,$AP58))/INDEX(Settings!$B$45:$F$45,1,$AP58)/5*100*IF($AO58="Not present",Settings!$B$51,1)),1),"")</f>
        <v>67.3</v>
      </c>
      <c r="G58" s="52">
        <f>IFERROR(ROUND(MIN(100,(($AQ58)*Settings!$C$23*INDEX(Settings!$B$36:$F$44,1,$BA58)+($AR58)*Settings!$C$24*INDEX(Settings!$B$36:$F$44,2,$BA58)+($AS58)*Settings!$C$25*INDEX(Settings!$B$36:$F$44,3,$BA58)+($AT58)*Settings!$C$26*INDEX(Settings!$B$36:$F$44,4,$BA58)+($AU58)*Settings!$C$27*INDEX(Settings!$B$36:$F$44,5,$BA58)+($AV58)*Settings!$C$28*INDEX(Settings!$B$36:$F$44,6,$BA58)+($AW58)*Settings!$C$29*INDEX(Settings!$B$36:$F$44,7,$BA58)+($AX58)*Settings!$C$30*INDEX(Settings!$B$36:$F$44,8,$BA58)+($AY58)*Settings!$C$31*INDEX(Settings!$B$36:$F$44,9,$BA58))/INDEX(Settings!$B$45:$F$45,1,$BA58)/5*100*IF($AZ58="Not present",Settings!$B$51,1)),1),"")</f>
        <v>71.5</v>
      </c>
      <c r="J58" s="62">
        <f>ROUND(MIN(5,IF(Pathogens!I55&gt;=500,5,IF(Pathogens!I55&gt;=200,4,IF(Pathogens!I55&gt;=50,3,IF(Pathogens!I55&gt;=10,2,1))))*0.5+IF(Pathogens!J55&gt;=30,5,IF(Pathogens!J55&gt;=10,4,IF(Pathogens!J55&gt;=3,3,IF(Pathogens!J55&gt;=1,2,1))))*0.4+IF(AND(VLOOKUP(D$4,Countries!$B$2:$AN$55,4,FALSE)&gt;=80,Pathogens!N55&gt;=0.5),1,0)*0.1+IF(VLOOKUP(D$4,Countries!$B$2:$AN$55,7,FALSE)&lt;50,0.3,0)),0)</f>
        <v>2</v>
      </c>
      <c r="K58" s="62">
        <f>ROUND(MIN(5,IF(Pathogens!K55&gt;=8,5,IF(Pathogens!K55&gt;=5,4,IF(Pathogens!K55&gt;=3,3,IF(Pathogens!K55&gt;=1,2,1))))*0.5+IF(Pathogens!L55&gt;=5,5,IF(Pathogens!L55&gt;=3,4,IF(Pathogens!L55&gt;=2,3,IF(Pathogens!L55&gt;=1.2,2,1))))*0.3+IF(Pathogens!M55=1,2,0)*0.2+IF(VLOOKUP(D$4,Countries!$B$2:$AN$55,12,FALSE)&gt;=2,0.5,0)),0)</f>
        <v>3</v>
      </c>
      <c r="L58" s="62">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c r="M58" s="62">
        <f>ROUND(MAX(1,MIN(5,(6-VLOOKUP(D$4,Countries!$B$2:$AN$55,10,FALSE))*0.5+(6-VLOOKUP(D$4,Countries!$B$2:$AN$55,11,FALSE))*0.4+(IF(AND(Pathogens!N55&gt;=0.5,VLOOKUP(D$4,Countries!$B$2:$AN$55,5,FALSE)&lt;60),5,IF(Pathogens!N55&gt;=0.5,4,IF(Pathogens!N55&gt;=0.3,3,IF(Pathogens!N55&gt;=0.1,2,1)))))*0.1)),0)</f>
        <v>2</v>
      </c>
      <c r="N58" s="62">
        <f>IF(ISNUMBER(SEARCH("Vaccine-preventable",Pathogens!C55)),2,IF(ISNUMBER(SEARCH("AMR",Pathogens!C55)),5,IF(ISNUMBER(SEARCH("VHF",Pathogens!C55)),4,IF(ISNUMBER(SEARCH("Emerging",Pathogens!C55)),5,IF(ISNUMBER(SEARCH("Mycobacterial",Pathogens!C55)),3,IF(ISNUMBER(SEARCH("Helminth",Pathogens!C55)),3,IF(ISNUMBER(SEARCH("Respiratory",Pathogens!C55)),4,3)))))))</f>
        <v>5</v>
      </c>
      <c r="O58" s="62">
        <f>IF(ISNUMBER(SEARCH("AMR",Pathogens!C55)),5,IF(ISNUMBER(SEARCH("Mycobacterial",Pathogens!C55)),4,IF(ISNUMBER(SEARCH("Enteric bacterial",Pathogens!C55)),3,IF(ISNUMBER(SEARCH("Bacterial",Pathogens!C55)),3,1))))</f>
        <v>5</v>
      </c>
      <c r="P5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8" s="62">
        <f>(6-Pathogens!X55)</f>
        <v>5</v>
      </c>
      <c r="R58" s="62">
        <f>ROUND(MIN(5,MAX(1,0.35*IF(Pathogens!R55=1,5,IF(Pathogens!R55=2,3,1))+0.2*IF(Pathogens!S55=1,5,IF(Pathogens!S55=2,3,1))+0.25*IF(Pathogens!W55=1,IF(VLOOKUP(D$4,Countries!$B$2:$AN$55,38,FALSE)&gt;=3,5,IF(VLOOKUP(D$4,Countries!$B$2:$AN$55,38,FALSE)=2,4,IF(VLOOKUP(D$4,Countries!$B$2:$AN$55,38,FALSE)=1,2,1))),5)+0.2*IF(VLOOKUP(D$4,Countries!$B$2:$AN$55,24,FALSE)&gt;=50,5,IF(VLOOKUP(D$4,Countries!$B$2:$AN$55,24,FALSE)&gt;=25,4,IF(VLOOKUP(D$4,Countries!$B$2:$AN$55,24,FALSE)&gt;=10,3,IF(VLOOKUP(D$4,Countries!$B$2:$AN$55,24,FALSE)&gt;=5,2,1)))))),0)</f>
        <v>4</v>
      </c>
      <c r="S58" s="62" t="str">
        <f>IFERROR(INDEX(Endemicity!$C$2:$BN$55,MATCH(D$4,Endemicity!$B$2:$B$55,0),MATCH($A58,Endemicity!$C$1:$BN$1,0)),"Sporadic")</f>
        <v>Endemic</v>
      </c>
      <c r="T58" s="62">
        <f>IF(Settings!$B$48="ON",IFERROR(MATCH($S58,Settings!$B$35:$F$35,0),5),5)</f>
        <v>1</v>
      </c>
      <c r="U58" s="62">
        <f>ROUND(MIN(5,IF(Pathogens!I55&gt;=500,5,IF(Pathogens!I55&gt;=200,4,IF(Pathogens!I55&gt;=50,3,IF(Pathogens!I55&gt;=10,2,1))))*0.5+IF(Pathogens!J55&gt;=30,5,IF(Pathogens!J55&gt;=10,4,IF(Pathogens!J55&gt;=3,3,IF(Pathogens!J55&gt;=1,2,1))))*0.4+IF(AND(VLOOKUP(E$4,Countries!$B$2:$AN$55,4,FALSE)&gt;=80,Pathogens!N55&gt;=0.5),1,0)*0.1+IF(VLOOKUP(E$4,Countries!$B$2:$AN$55,7,FALSE)&lt;50,0.3,0)),0)</f>
        <v>2</v>
      </c>
      <c r="V58" s="62">
        <f>ROUND(MIN(5,IF(Pathogens!K55&gt;=8,5,IF(Pathogens!K55&gt;=5,4,IF(Pathogens!K55&gt;=3,3,IF(Pathogens!K55&gt;=1,2,1))))*0.5+IF(Pathogens!L55&gt;=5,5,IF(Pathogens!L55&gt;=3,4,IF(Pathogens!L55&gt;=2,3,IF(Pathogens!L55&gt;=1.2,2,1))))*0.3+IF(Pathogens!M55=1,2,0)*0.2+IF(VLOOKUP(E$4,Countries!$B$2:$AN$55,12,FALSE)&gt;=2,0.5,0)),0)</f>
        <v>3</v>
      </c>
      <c r="W58" s="62">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c r="X58" s="62">
        <f>ROUND(MAX(1,MIN(5,(6-VLOOKUP(E$4,Countries!$B$2:$AN$55,10,FALSE))*0.5+(6-VLOOKUP(E$4,Countries!$B$2:$AN$55,11,FALSE))*0.4+(IF(AND(Pathogens!N55&gt;=0.5,VLOOKUP(E$4,Countries!$B$2:$AN$55,5,FALSE)&lt;60),5,IF(Pathogens!N55&gt;=0.5,4,IF(Pathogens!N55&gt;=0.3,3,IF(Pathogens!N55&gt;=0.1,2,1)))))*0.1)),0)</f>
        <v>3</v>
      </c>
      <c r="Y58" s="62">
        <f>IF(ISNUMBER(SEARCH("Vaccine-preventable",Pathogens!C55)),2,IF(ISNUMBER(SEARCH("AMR",Pathogens!C55)),5,IF(ISNUMBER(SEARCH("VHF",Pathogens!C55)),4,IF(ISNUMBER(SEARCH("Emerging",Pathogens!C55)),5,IF(ISNUMBER(SEARCH("Mycobacterial",Pathogens!C55)),3,IF(ISNUMBER(SEARCH("Helminth",Pathogens!C55)),3,IF(ISNUMBER(SEARCH("Respiratory",Pathogens!C55)),4,3)))))))</f>
        <v>5</v>
      </c>
      <c r="Z58" s="62">
        <f>IF(ISNUMBER(SEARCH("AMR",Pathogens!C55)),5,IF(ISNUMBER(SEARCH("Mycobacterial",Pathogens!C55)),4,IF(ISNUMBER(SEARCH("Enteric bacterial",Pathogens!C55)),3,IF(ISNUMBER(SEARCH("Bacterial",Pathogens!C55)),3,1))))</f>
        <v>5</v>
      </c>
      <c r="AA5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8" s="62">
        <f>(6-Pathogens!X55)</f>
        <v>5</v>
      </c>
      <c r="AC58" s="62">
        <f>ROUND(MIN(5,MAX(1,0.35*IF(Pathogens!R55=1,5,IF(Pathogens!R55=2,3,1))+0.2*IF(Pathogens!S55=1,5,IF(Pathogens!S55=2,3,1))+0.25*IF(Pathogens!W55=1,IF(VLOOKUP(E$4,Countries!$B$2:$AN$55,38,FALSE)&gt;=3,5,IF(VLOOKUP(E$4,Countries!$B$2:$AN$55,38,FALSE)=2,4,IF(VLOOKUP(E$4,Countries!$B$2:$AN$55,38,FALSE)=1,2,1))),5)+0.2*IF(VLOOKUP(E$4,Countries!$B$2:$AN$55,24,FALSE)&gt;=50,5,IF(VLOOKUP(E$4,Countries!$B$2:$AN$55,24,FALSE)&gt;=25,4,IF(VLOOKUP(E$4,Countries!$B$2:$AN$55,24,FALSE)&gt;=10,3,IF(VLOOKUP(E$4,Countries!$B$2:$AN$55,24,FALSE)&gt;=5,2,1)))))),0)</f>
        <v>4</v>
      </c>
      <c r="AD58" s="62" t="str">
        <f>IFERROR(INDEX(Endemicity!$C$2:$BN$55,MATCH(E$4,Endemicity!$B$2:$B$55,0),MATCH($A58,Endemicity!$C$1:$BN$1,0)),"Sporadic")</f>
        <v>Sporadic</v>
      </c>
      <c r="AE58" s="62">
        <f>IF(Settings!$B$48="ON",IFERROR(MATCH($AD58,Settings!$B$35:$F$35,0),5),5)</f>
        <v>2</v>
      </c>
      <c r="AF58" s="62">
        <f>ROUND(MIN(5,IF(Pathogens!I55&gt;=500,5,IF(Pathogens!I55&gt;=200,4,IF(Pathogens!I55&gt;=50,3,IF(Pathogens!I55&gt;=10,2,1))))*0.5+IF(Pathogens!J55&gt;=30,5,IF(Pathogens!J55&gt;=10,4,IF(Pathogens!J55&gt;=3,3,IF(Pathogens!J55&gt;=1,2,1))))*0.4+IF(AND(VLOOKUP(F$4,Countries!$B$2:$AN$55,4,FALSE)&gt;=80,Pathogens!N55&gt;=0.5),1,0)*0.1+IF(VLOOKUP(F$4,Countries!$B$2:$AN$55,7,FALSE)&lt;50,0.3,0)),0)</f>
        <v>2</v>
      </c>
      <c r="AG58" s="62">
        <f>ROUND(MIN(5,IF(Pathogens!K55&gt;=8,5,IF(Pathogens!K55&gt;=5,4,IF(Pathogens!K55&gt;=3,3,IF(Pathogens!K55&gt;=1,2,1))))*0.5+IF(Pathogens!L55&gt;=5,5,IF(Pathogens!L55&gt;=3,4,IF(Pathogens!L55&gt;=2,3,IF(Pathogens!L55&gt;=1.2,2,1))))*0.3+IF(Pathogens!M55=1,2,0)*0.2+IF(VLOOKUP(F$4,Countries!$B$2:$AN$55,12,FALSE)&gt;=2,0.5,0)),0)</f>
        <v>3</v>
      </c>
      <c r="AH58" s="62">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c r="AI58" s="62">
        <f>ROUND(MAX(1,MIN(5,(6-VLOOKUP(F$4,Countries!$B$2:$AN$55,10,FALSE))*0.5+(6-VLOOKUP(F$4,Countries!$B$2:$AN$55,11,FALSE))*0.4+(IF(AND(Pathogens!N55&gt;=0.5,VLOOKUP(F$4,Countries!$B$2:$AN$55,5,FALSE)&lt;60),5,IF(Pathogens!N55&gt;=0.5,4,IF(Pathogens!N55&gt;=0.3,3,IF(Pathogens!N55&gt;=0.1,2,1)))))*0.1)),0)</f>
        <v>2</v>
      </c>
      <c r="AJ58" s="62">
        <f>IF(ISNUMBER(SEARCH("Vaccine-preventable",Pathogens!C55)),2,IF(ISNUMBER(SEARCH("AMR",Pathogens!C55)),5,IF(ISNUMBER(SEARCH("VHF",Pathogens!C55)),4,IF(ISNUMBER(SEARCH("Emerging",Pathogens!C55)),5,IF(ISNUMBER(SEARCH("Mycobacterial",Pathogens!C55)),3,IF(ISNUMBER(SEARCH("Helminth",Pathogens!C55)),3,IF(ISNUMBER(SEARCH("Respiratory",Pathogens!C55)),4,3)))))))</f>
        <v>5</v>
      </c>
      <c r="AK58" s="62">
        <f>IF(ISNUMBER(SEARCH("AMR",Pathogens!C55)),5,IF(ISNUMBER(SEARCH("Mycobacterial",Pathogens!C55)),4,IF(ISNUMBER(SEARCH("Enteric bacterial",Pathogens!C55)),3,IF(ISNUMBER(SEARCH("Bacterial",Pathogens!C55)),3,1))))</f>
        <v>5</v>
      </c>
      <c r="AL5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8" s="62">
        <f>(6-Pathogens!X55)</f>
        <v>5</v>
      </c>
      <c r="AN58" s="62">
        <f>ROUND(MIN(5,MAX(1,0.35*IF(Pathogens!R55=1,5,IF(Pathogens!R55=2,3,1))+0.2*IF(Pathogens!S55=1,5,IF(Pathogens!S55=2,3,1))+0.25*IF(Pathogens!W55=1,IF(VLOOKUP(F$4,Countries!$B$2:$AN$55,38,FALSE)&gt;=3,5,IF(VLOOKUP(F$4,Countries!$B$2:$AN$55,38,FALSE)=2,4,IF(VLOOKUP(F$4,Countries!$B$2:$AN$55,38,FALSE)=1,2,1))),5)+0.2*IF(VLOOKUP(F$4,Countries!$B$2:$AN$55,24,FALSE)&gt;=50,5,IF(VLOOKUP(F$4,Countries!$B$2:$AN$55,24,FALSE)&gt;=25,4,IF(VLOOKUP(F$4,Countries!$B$2:$AN$55,24,FALSE)&gt;=10,3,IF(VLOOKUP(F$4,Countries!$B$2:$AN$55,24,FALSE)&gt;=5,2,1)))))),0)</f>
        <v>3</v>
      </c>
      <c r="AO58" s="62" t="str">
        <f>IFERROR(INDEX(Endemicity!$C$2:$BN$55,MATCH(F$4,Endemicity!$B$2:$B$55,0),MATCH($A58,Endemicity!$C$1:$BN$1,0)),"Sporadic")</f>
        <v>Sporadic</v>
      </c>
      <c r="AP58" s="62">
        <f>IF(Settings!$B$48="ON",IFERROR(MATCH($AO58,Settings!$B$35:$F$35,0),5),5)</f>
        <v>2</v>
      </c>
      <c r="AQ58" s="62">
        <f>ROUND(MIN(5,IF(Pathogens!I55&gt;=500,5,IF(Pathogens!I55&gt;=200,4,IF(Pathogens!I55&gt;=50,3,IF(Pathogens!I55&gt;=10,2,1))))*0.5+IF(Pathogens!J55&gt;=30,5,IF(Pathogens!J55&gt;=10,4,IF(Pathogens!J55&gt;=3,3,IF(Pathogens!J55&gt;=1,2,1))))*0.4+IF(AND(VLOOKUP(G$4,Countries!$B$2:$AN$55,4,FALSE)&gt;=80,Pathogens!N55&gt;=0.5),1,0)*0.1+IF(VLOOKUP(G$4,Countries!$B$2:$AN$55,7,FALSE)&lt;50,0.3,0)),0)</f>
        <v>2</v>
      </c>
      <c r="AR58" s="62">
        <f>ROUND(MIN(5,IF(Pathogens!K55&gt;=8,5,IF(Pathogens!K55&gt;=5,4,IF(Pathogens!K55&gt;=3,3,IF(Pathogens!K55&gt;=1,2,1))))*0.5+IF(Pathogens!L55&gt;=5,5,IF(Pathogens!L55&gt;=3,4,IF(Pathogens!L55&gt;=2,3,IF(Pathogens!L55&gt;=1.2,2,1))))*0.3+IF(Pathogens!M55=1,2,0)*0.2+IF(VLOOKUP(G$4,Countries!$B$2:$AN$55,12,FALSE)&gt;=2,0.5,0)),0)</f>
        <v>3</v>
      </c>
      <c r="AS58" s="62">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c r="AT58" s="62">
        <f>ROUND(MAX(1,MIN(5,(6-VLOOKUP(G$4,Countries!$B$2:$AN$55,10,FALSE))*0.5+(6-VLOOKUP(G$4,Countries!$B$2:$AN$55,11,FALSE))*0.4+(IF(AND(Pathogens!N55&gt;=0.5,VLOOKUP(G$4,Countries!$B$2:$AN$55,5,FALSE)&lt;60),5,IF(Pathogens!N55&gt;=0.5,4,IF(Pathogens!N55&gt;=0.3,3,IF(Pathogens!N55&gt;=0.1,2,1)))))*0.1)),0)</f>
        <v>2</v>
      </c>
      <c r="AU58" s="62">
        <f>IF(ISNUMBER(SEARCH("Vaccine-preventable",Pathogens!C55)),2,IF(ISNUMBER(SEARCH("AMR",Pathogens!C55)),5,IF(ISNUMBER(SEARCH("VHF",Pathogens!C55)),4,IF(ISNUMBER(SEARCH("Emerging",Pathogens!C55)),5,IF(ISNUMBER(SEARCH("Mycobacterial",Pathogens!C55)),3,IF(ISNUMBER(SEARCH("Helminth",Pathogens!C55)),3,IF(ISNUMBER(SEARCH("Respiratory",Pathogens!C55)),4,3)))))))</f>
        <v>5</v>
      </c>
      <c r="AV58" s="62">
        <f>IF(ISNUMBER(SEARCH("AMR",Pathogens!C55)),5,IF(ISNUMBER(SEARCH("Mycobacterial",Pathogens!C55)),4,IF(ISNUMBER(SEARCH("Enteric bacterial",Pathogens!C55)),3,IF(ISNUMBER(SEARCH("Bacterial",Pathogens!C55)),3,1))))</f>
        <v>5</v>
      </c>
      <c r="AW5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8" s="62">
        <f>(6-Pathogens!X55)</f>
        <v>5</v>
      </c>
      <c r="AY58" s="62">
        <f>ROUND(MIN(5,MAX(1,0.35*IF(Pathogens!R55=1,5,IF(Pathogens!R55=2,3,1))+0.2*IF(Pathogens!S55=1,5,IF(Pathogens!S55=2,3,1))+0.25*IF(Pathogens!W55=1,IF(VLOOKUP(G$4,Countries!$B$2:$AN$55,38,FALSE)&gt;=3,5,IF(VLOOKUP(G$4,Countries!$B$2:$AN$55,38,FALSE)=2,4,IF(VLOOKUP(G$4,Countries!$B$2:$AN$55,38,FALSE)=1,2,1))),5)+0.2*IF(VLOOKUP(G$4,Countries!$B$2:$AN$55,24,FALSE)&gt;=50,5,IF(VLOOKUP(G$4,Countries!$B$2:$AN$55,24,FALSE)&gt;=25,4,IF(VLOOKUP(G$4,Countries!$B$2:$AN$55,24,FALSE)&gt;=10,3,IF(VLOOKUP(G$4,Countries!$B$2:$AN$55,24,FALSE)&gt;=5,2,1)))))),0)</f>
        <v>4</v>
      </c>
      <c r="AZ58" s="62" t="str">
        <f>IFERROR(INDEX(Endemicity!$C$2:$BN$55,MATCH(G$4,Endemicity!$B$2:$B$55,0),MATCH($A58,Endemicity!$C$1:$BN$1,0)),"Sporadic")</f>
        <v>Sporadic</v>
      </c>
      <c r="BA58" s="62">
        <f>IF(Settings!$B$48="ON",IFERROR(MATCH($AZ58,Settings!$B$35:$F$35,0),5),5)</f>
        <v>2</v>
      </c>
    </row>
    <row r="59" customHeight="1" spans="1:53">
      <c r="A59" s="61" t="str">
        <f>Calculator!A88</f>
        <v>CRE3</v>
      </c>
      <c r="B59" s="61" t="str">
        <f>Calculator!B88</f>
        <v>Carbapenemase: blaOXA-48</v>
      </c>
      <c r="C59" s="61" t="str">
        <f>Calculator!C88</f>
        <v>AMR marker</v>
      </c>
      <c r="D59" s="52">
        <f>IFERROR(ROUND(MIN(100,(($J59)*Settings!$C$23*INDEX(Settings!$B$36:$F$44,1,$T59)+($K59)*Settings!$C$24*INDEX(Settings!$B$36:$F$44,2,$T59)+($L59)*Settings!$C$25*INDEX(Settings!$B$36:$F$44,3,$T59)+($M59)*Settings!$C$26*INDEX(Settings!$B$36:$F$44,4,$T59)+($N59)*Settings!$C$27*INDEX(Settings!$B$36:$F$44,5,$T59)+($O59)*Settings!$C$28*INDEX(Settings!$B$36:$F$44,6,$T59)+($P59)*Settings!$C$29*INDEX(Settings!$B$36:$F$44,7,$T59)+($Q59)*Settings!$C$30*INDEX(Settings!$B$36:$F$44,8,$T59)+($R59)*Settings!$C$31*INDEX(Settings!$B$36:$F$44,9,$T59))/INDEX(Settings!$B$45:$F$45,1,$T59)/5*100*IF($S59="Not present",Settings!$B$51,1)),1),"")</f>
        <v>72.5</v>
      </c>
      <c r="E59" s="52">
        <f>IFERROR(ROUND(MIN(100,(($U59)*Settings!$C$23*INDEX(Settings!$B$36:$F$44,1,$AE59)+($V59)*Settings!$C$24*INDEX(Settings!$B$36:$F$44,2,$AE59)+($W59)*Settings!$C$25*INDEX(Settings!$B$36:$F$44,3,$AE59)+($X59)*Settings!$C$26*INDEX(Settings!$B$36:$F$44,4,$AE59)+($Y59)*Settings!$C$27*INDEX(Settings!$B$36:$F$44,5,$AE59)+($Z59)*Settings!$C$28*INDEX(Settings!$B$36:$F$44,6,$AE59)+($AA59)*Settings!$C$29*INDEX(Settings!$B$36:$F$44,7,$AE59)+($AB59)*Settings!$C$30*INDEX(Settings!$B$36:$F$44,8,$AE59)+($AC59)*Settings!$C$31*INDEX(Settings!$B$36:$F$44,9,$AE59))/INDEX(Settings!$B$45:$F$45,1,$AE59)/5*100*IF($AD59="Not present",Settings!$B$51,1)),1),"")</f>
        <v>77</v>
      </c>
      <c r="F59" s="52">
        <f>IFERROR(ROUND(MIN(100,(($AF59)*Settings!$C$23*INDEX(Settings!$B$36:$F$44,1,$AP59)+($AG59)*Settings!$C$24*INDEX(Settings!$B$36:$F$44,2,$AP59)+($AH59)*Settings!$C$25*INDEX(Settings!$B$36:$F$44,3,$AP59)+($AI59)*Settings!$C$26*INDEX(Settings!$B$36:$F$44,4,$AP59)+($AJ59)*Settings!$C$27*INDEX(Settings!$B$36:$F$44,5,$AP59)+($AK59)*Settings!$C$28*INDEX(Settings!$B$36:$F$44,6,$AP59)+($AL59)*Settings!$C$29*INDEX(Settings!$B$36:$F$44,7,$AP59)+($AM59)*Settings!$C$30*INDEX(Settings!$B$36:$F$44,8,$AP59)+($AN59)*Settings!$C$31*INDEX(Settings!$B$36:$F$44,9,$AP59))/INDEX(Settings!$B$45:$F$45,1,$AP59)/5*100*IF($AO59="Not present",Settings!$B$51,1)),1),"")</f>
        <v>69.1</v>
      </c>
      <c r="G59" s="52">
        <f>IFERROR(ROUND(MIN(100,(($AQ59)*Settings!$C$23*INDEX(Settings!$B$36:$F$44,1,$BA59)+($AR59)*Settings!$C$24*INDEX(Settings!$B$36:$F$44,2,$BA59)+($AS59)*Settings!$C$25*INDEX(Settings!$B$36:$F$44,3,$BA59)+($AT59)*Settings!$C$26*INDEX(Settings!$B$36:$F$44,4,$BA59)+($AU59)*Settings!$C$27*INDEX(Settings!$B$36:$F$44,5,$BA59)+($AV59)*Settings!$C$28*INDEX(Settings!$B$36:$F$44,6,$BA59)+($AW59)*Settings!$C$29*INDEX(Settings!$B$36:$F$44,7,$BA59)+($AX59)*Settings!$C$30*INDEX(Settings!$B$36:$F$44,8,$BA59)+($AY59)*Settings!$C$31*INDEX(Settings!$B$36:$F$44,9,$BA59))/INDEX(Settings!$B$45:$F$45,1,$BA59)/5*100*IF($AZ59="Not present",Settings!$B$51,1)),1),"")</f>
        <v>73.3</v>
      </c>
      <c r="J59" s="62">
        <f>ROUND(MIN(5,IF(Pathogens!I56&gt;=500,5,IF(Pathogens!I56&gt;=200,4,IF(Pathogens!I56&gt;=50,3,IF(Pathogens!I56&gt;=10,2,1))))*0.5+IF(Pathogens!J56&gt;=30,5,IF(Pathogens!J56&gt;=10,4,IF(Pathogens!J56&gt;=3,3,IF(Pathogens!J56&gt;=1,2,1))))*0.4+IF(AND(VLOOKUP(D$4,Countries!$B$2:$AN$55,4,FALSE)&gt;=80,Pathogens!N56&gt;=0.5),1,0)*0.1+IF(VLOOKUP(D$4,Countries!$B$2:$AN$55,7,FALSE)&lt;50,0.3,0)),0)</f>
        <v>3</v>
      </c>
      <c r="K59" s="62">
        <f>ROUND(MIN(5,IF(Pathogens!K56&gt;=8,5,IF(Pathogens!K56&gt;=5,4,IF(Pathogens!K56&gt;=3,3,IF(Pathogens!K56&gt;=1,2,1))))*0.5+IF(Pathogens!L56&gt;=5,5,IF(Pathogens!L56&gt;=3,4,IF(Pathogens!L56&gt;=2,3,IF(Pathogens!L56&gt;=1.2,2,1))))*0.3+IF(Pathogens!M56=1,2,0)*0.2+IF(VLOOKUP(D$4,Countries!$B$2:$AN$55,12,FALSE)&gt;=2,0.5,0)),0)</f>
        <v>3</v>
      </c>
      <c r="L59" s="62">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c r="M59" s="62">
        <f>ROUND(MAX(1,MIN(5,(6-VLOOKUP(D$4,Countries!$B$2:$AN$55,10,FALSE))*0.5+(6-VLOOKUP(D$4,Countries!$B$2:$AN$55,11,FALSE))*0.4+(IF(AND(Pathogens!N56&gt;=0.5,VLOOKUP(D$4,Countries!$B$2:$AN$55,5,FALSE)&lt;60),5,IF(Pathogens!N56&gt;=0.5,4,IF(Pathogens!N56&gt;=0.3,3,IF(Pathogens!N56&gt;=0.1,2,1)))))*0.1)),0)</f>
        <v>2</v>
      </c>
      <c r="N59" s="62">
        <f>IF(ISNUMBER(SEARCH("Vaccine-preventable",Pathogens!C56)),2,IF(ISNUMBER(SEARCH("AMR",Pathogens!C56)),5,IF(ISNUMBER(SEARCH("VHF",Pathogens!C56)),4,IF(ISNUMBER(SEARCH("Emerging",Pathogens!C56)),5,IF(ISNUMBER(SEARCH("Mycobacterial",Pathogens!C56)),3,IF(ISNUMBER(SEARCH("Helminth",Pathogens!C56)),3,IF(ISNUMBER(SEARCH("Respiratory",Pathogens!C56)),4,3)))))))</f>
        <v>5</v>
      </c>
      <c r="O59" s="62">
        <f>IF(ISNUMBER(SEARCH("AMR",Pathogens!C56)),5,IF(ISNUMBER(SEARCH("Mycobacterial",Pathogens!C56)),4,IF(ISNUMBER(SEARCH("Enteric bacterial",Pathogens!C56)),3,IF(ISNUMBER(SEARCH("Bacterial",Pathogens!C56)),3,1))))</f>
        <v>5</v>
      </c>
      <c r="P59"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59" s="62">
        <f>(6-Pathogens!X56)</f>
        <v>5</v>
      </c>
      <c r="R59" s="62">
        <f>ROUND(MIN(5,MAX(1,0.35*IF(Pathogens!R56=1,5,IF(Pathogens!R56=2,3,1))+0.2*IF(Pathogens!S56=1,5,IF(Pathogens!S56=2,3,1))+0.25*IF(Pathogens!W56=1,IF(VLOOKUP(D$4,Countries!$B$2:$AN$55,38,FALSE)&gt;=3,5,IF(VLOOKUP(D$4,Countries!$B$2:$AN$55,38,FALSE)=2,4,IF(VLOOKUP(D$4,Countries!$B$2:$AN$55,38,FALSE)=1,2,1))),5)+0.2*IF(VLOOKUP(D$4,Countries!$B$2:$AN$55,24,FALSE)&gt;=50,5,IF(VLOOKUP(D$4,Countries!$B$2:$AN$55,24,FALSE)&gt;=25,4,IF(VLOOKUP(D$4,Countries!$B$2:$AN$55,24,FALSE)&gt;=10,3,IF(VLOOKUP(D$4,Countries!$B$2:$AN$55,24,FALSE)&gt;=5,2,1)))))),0)</f>
        <v>4</v>
      </c>
      <c r="S59" s="62" t="str">
        <f>IFERROR(INDEX(Endemicity!$C$2:$BN$55,MATCH(D$4,Endemicity!$B$2:$B$55,0),MATCH($A59,Endemicity!$C$1:$BN$1,0)),"Sporadic")</f>
        <v>Endemic</v>
      </c>
      <c r="T59" s="62">
        <f>IF(Settings!$B$48="ON",IFERROR(MATCH($S59,Settings!$B$35:$F$35,0),5),5)</f>
        <v>1</v>
      </c>
      <c r="U59" s="62">
        <f>ROUND(MIN(5,IF(Pathogens!I56&gt;=500,5,IF(Pathogens!I56&gt;=200,4,IF(Pathogens!I56&gt;=50,3,IF(Pathogens!I56&gt;=10,2,1))))*0.5+IF(Pathogens!J56&gt;=30,5,IF(Pathogens!J56&gt;=10,4,IF(Pathogens!J56&gt;=3,3,IF(Pathogens!J56&gt;=1,2,1))))*0.4+IF(AND(VLOOKUP(E$4,Countries!$B$2:$AN$55,4,FALSE)&gt;=80,Pathogens!N56&gt;=0.5),1,0)*0.1+IF(VLOOKUP(E$4,Countries!$B$2:$AN$55,7,FALSE)&lt;50,0.3,0)),0)</f>
        <v>3</v>
      </c>
      <c r="V59" s="62">
        <f>ROUND(MIN(5,IF(Pathogens!K56&gt;=8,5,IF(Pathogens!K56&gt;=5,4,IF(Pathogens!K56&gt;=3,3,IF(Pathogens!K56&gt;=1,2,1))))*0.5+IF(Pathogens!L56&gt;=5,5,IF(Pathogens!L56&gt;=3,4,IF(Pathogens!L56&gt;=2,3,IF(Pathogens!L56&gt;=1.2,2,1))))*0.3+IF(Pathogens!M56=1,2,0)*0.2+IF(VLOOKUP(E$4,Countries!$B$2:$AN$55,12,FALSE)&gt;=2,0.5,0)),0)</f>
        <v>3</v>
      </c>
      <c r="W59" s="62">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c r="X59" s="62">
        <f>ROUND(MAX(1,MIN(5,(6-VLOOKUP(E$4,Countries!$B$2:$AN$55,10,FALSE))*0.5+(6-VLOOKUP(E$4,Countries!$B$2:$AN$55,11,FALSE))*0.4+(IF(AND(Pathogens!N56&gt;=0.5,VLOOKUP(E$4,Countries!$B$2:$AN$55,5,FALSE)&lt;60),5,IF(Pathogens!N56&gt;=0.5,4,IF(Pathogens!N56&gt;=0.3,3,IF(Pathogens!N56&gt;=0.1,2,1)))))*0.1)),0)</f>
        <v>3</v>
      </c>
      <c r="Y59" s="62">
        <f>IF(ISNUMBER(SEARCH("Vaccine-preventable",Pathogens!C56)),2,IF(ISNUMBER(SEARCH("AMR",Pathogens!C56)),5,IF(ISNUMBER(SEARCH("VHF",Pathogens!C56)),4,IF(ISNUMBER(SEARCH("Emerging",Pathogens!C56)),5,IF(ISNUMBER(SEARCH("Mycobacterial",Pathogens!C56)),3,IF(ISNUMBER(SEARCH("Helminth",Pathogens!C56)),3,IF(ISNUMBER(SEARCH("Respiratory",Pathogens!C56)),4,3)))))))</f>
        <v>5</v>
      </c>
      <c r="Z59" s="62">
        <f>IF(ISNUMBER(SEARCH("AMR",Pathogens!C56)),5,IF(ISNUMBER(SEARCH("Mycobacterial",Pathogens!C56)),4,IF(ISNUMBER(SEARCH("Enteric bacterial",Pathogens!C56)),3,IF(ISNUMBER(SEARCH("Bacterial",Pathogens!C56)),3,1))))</f>
        <v>5</v>
      </c>
      <c r="AA59"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59" s="62">
        <f>(6-Pathogens!X56)</f>
        <v>5</v>
      </c>
      <c r="AC59" s="62">
        <f>ROUND(MIN(5,MAX(1,0.35*IF(Pathogens!R56=1,5,IF(Pathogens!R56=2,3,1))+0.2*IF(Pathogens!S56=1,5,IF(Pathogens!S56=2,3,1))+0.25*IF(Pathogens!W56=1,IF(VLOOKUP(E$4,Countries!$B$2:$AN$55,38,FALSE)&gt;=3,5,IF(VLOOKUP(E$4,Countries!$B$2:$AN$55,38,FALSE)=2,4,IF(VLOOKUP(E$4,Countries!$B$2:$AN$55,38,FALSE)=1,2,1))),5)+0.2*IF(VLOOKUP(E$4,Countries!$B$2:$AN$55,24,FALSE)&gt;=50,5,IF(VLOOKUP(E$4,Countries!$B$2:$AN$55,24,FALSE)&gt;=25,4,IF(VLOOKUP(E$4,Countries!$B$2:$AN$55,24,FALSE)&gt;=10,3,IF(VLOOKUP(E$4,Countries!$B$2:$AN$55,24,FALSE)&gt;=5,2,1)))))),0)</f>
        <v>4</v>
      </c>
      <c r="AD59" s="62" t="str">
        <f>IFERROR(INDEX(Endemicity!$C$2:$BN$55,MATCH(E$4,Endemicity!$B$2:$B$55,0),MATCH($A59,Endemicity!$C$1:$BN$1,0)),"Sporadic")</f>
        <v>Sporadic</v>
      </c>
      <c r="AE59" s="62">
        <f>IF(Settings!$B$48="ON",IFERROR(MATCH($AD59,Settings!$B$35:$F$35,0),5),5)</f>
        <v>2</v>
      </c>
      <c r="AF59" s="62">
        <f>ROUND(MIN(5,IF(Pathogens!I56&gt;=500,5,IF(Pathogens!I56&gt;=200,4,IF(Pathogens!I56&gt;=50,3,IF(Pathogens!I56&gt;=10,2,1))))*0.5+IF(Pathogens!J56&gt;=30,5,IF(Pathogens!J56&gt;=10,4,IF(Pathogens!J56&gt;=3,3,IF(Pathogens!J56&gt;=1,2,1))))*0.4+IF(AND(VLOOKUP(F$4,Countries!$B$2:$AN$55,4,FALSE)&gt;=80,Pathogens!N56&gt;=0.5),1,0)*0.1+IF(VLOOKUP(F$4,Countries!$B$2:$AN$55,7,FALSE)&lt;50,0.3,0)),0)</f>
        <v>3</v>
      </c>
      <c r="AG59" s="62">
        <f>ROUND(MIN(5,IF(Pathogens!K56&gt;=8,5,IF(Pathogens!K56&gt;=5,4,IF(Pathogens!K56&gt;=3,3,IF(Pathogens!K56&gt;=1,2,1))))*0.5+IF(Pathogens!L56&gt;=5,5,IF(Pathogens!L56&gt;=3,4,IF(Pathogens!L56&gt;=2,3,IF(Pathogens!L56&gt;=1.2,2,1))))*0.3+IF(Pathogens!M56=1,2,0)*0.2+IF(VLOOKUP(F$4,Countries!$B$2:$AN$55,12,FALSE)&gt;=2,0.5,0)),0)</f>
        <v>3</v>
      </c>
      <c r="AH59" s="62">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c r="AI59" s="62">
        <f>ROUND(MAX(1,MIN(5,(6-VLOOKUP(F$4,Countries!$B$2:$AN$55,10,FALSE))*0.5+(6-VLOOKUP(F$4,Countries!$B$2:$AN$55,11,FALSE))*0.4+(IF(AND(Pathogens!N56&gt;=0.5,VLOOKUP(F$4,Countries!$B$2:$AN$55,5,FALSE)&lt;60),5,IF(Pathogens!N56&gt;=0.5,4,IF(Pathogens!N56&gt;=0.3,3,IF(Pathogens!N56&gt;=0.1,2,1)))))*0.1)),0)</f>
        <v>2</v>
      </c>
      <c r="AJ59" s="62">
        <f>IF(ISNUMBER(SEARCH("Vaccine-preventable",Pathogens!C56)),2,IF(ISNUMBER(SEARCH("AMR",Pathogens!C56)),5,IF(ISNUMBER(SEARCH("VHF",Pathogens!C56)),4,IF(ISNUMBER(SEARCH("Emerging",Pathogens!C56)),5,IF(ISNUMBER(SEARCH("Mycobacterial",Pathogens!C56)),3,IF(ISNUMBER(SEARCH("Helminth",Pathogens!C56)),3,IF(ISNUMBER(SEARCH("Respiratory",Pathogens!C56)),4,3)))))))</f>
        <v>5</v>
      </c>
      <c r="AK59" s="62">
        <f>IF(ISNUMBER(SEARCH("AMR",Pathogens!C56)),5,IF(ISNUMBER(SEARCH("Mycobacterial",Pathogens!C56)),4,IF(ISNUMBER(SEARCH("Enteric bacterial",Pathogens!C56)),3,IF(ISNUMBER(SEARCH("Bacterial",Pathogens!C56)),3,1))))</f>
        <v>5</v>
      </c>
      <c r="AL59"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59" s="62">
        <f>(6-Pathogens!X56)</f>
        <v>5</v>
      </c>
      <c r="AN59" s="62">
        <f>ROUND(MIN(5,MAX(1,0.35*IF(Pathogens!R56=1,5,IF(Pathogens!R56=2,3,1))+0.2*IF(Pathogens!S56=1,5,IF(Pathogens!S56=2,3,1))+0.25*IF(Pathogens!W56=1,IF(VLOOKUP(F$4,Countries!$B$2:$AN$55,38,FALSE)&gt;=3,5,IF(VLOOKUP(F$4,Countries!$B$2:$AN$55,38,FALSE)=2,4,IF(VLOOKUP(F$4,Countries!$B$2:$AN$55,38,FALSE)=1,2,1))),5)+0.2*IF(VLOOKUP(F$4,Countries!$B$2:$AN$55,24,FALSE)&gt;=50,5,IF(VLOOKUP(F$4,Countries!$B$2:$AN$55,24,FALSE)&gt;=25,4,IF(VLOOKUP(F$4,Countries!$B$2:$AN$55,24,FALSE)&gt;=10,3,IF(VLOOKUP(F$4,Countries!$B$2:$AN$55,24,FALSE)&gt;=5,2,1)))))),0)</f>
        <v>3</v>
      </c>
      <c r="AO59" s="62" t="str">
        <f>IFERROR(INDEX(Endemicity!$C$2:$BN$55,MATCH(F$4,Endemicity!$B$2:$B$55,0),MATCH($A59,Endemicity!$C$1:$BN$1,0)),"Sporadic")</f>
        <v>Sporadic</v>
      </c>
      <c r="AP59" s="62">
        <f>IF(Settings!$B$48="ON",IFERROR(MATCH($AO59,Settings!$B$35:$F$35,0),5),5)</f>
        <v>2</v>
      </c>
      <c r="AQ59" s="62">
        <f>ROUND(MIN(5,IF(Pathogens!I56&gt;=500,5,IF(Pathogens!I56&gt;=200,4,IF(Pathogens!I56&gt;=50,3,IF(Pathogens!I56&gt;=10,2,1))))*0.5+IF(Pathogens!J56&gt;=30,5,IF(Pathogens!J56&gt;=10,4,IF(Pathogens!J56&gt;=3,3,IF(Pathogens!J56&gt;=1,2,1))))*0.4+IF(AND(VLOOKUP(G$4,Countries!$B$2:$AN$55,4,FALSE)&gt;=80,Pathogens!N56&gt;=0.5),1,0)*0.1+IF(VLOOKUP(G$4,Countries!$B$2:$AN$55,7,FALSE)&lt;50,0.3,0)),0)</f>
        <v>3</v>
      </c>
      <c r="AR59" s="62">
        <f>ROUND(MIN(5,IF(Pathogens!K56&gt;=8,5,IF(Pathogens!K56&gt;=5,4,IF(Pathogens!K56&gt;=3,3,IF(Pathogens!K56&gt;=1,2,1))))*0.5+IF(Pathogens!L56&gt;=5,5,IF(Pathogens!L56&gt;=3,4,IF(Pathogens!L56&gt;=2,3,IF(Pathogens!L56&gt;=1.2,2,1))))*0.3+IF(Pathogens!M56=1,2,0)*0.2+IF(VLOOKUP(G$4,Countries!$B$2:$AN$55,12,FALSE)&gt;=2,0.5,0)),0)</f>
        <v>3</v>
      </c>
      <c r="AS59" s="62">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c r="AT59" s="62">
        <f>ROUND(MAX(1,MIN(5,(6-VLOOKUP(G$4,Countries!$B$2:$AN$55,10,FALSE))*0.5+(6-VLOOKUP(G$4,Countries!$B$2:$AN$55,11,FALSE))*0.4+(IF(AND(Pathogens!N56&gt;=0.5,VLOOKUP(G$4,Countries!$B$2:$AN$55,5,FALSE)&lt;60),5,IF(Pathogens!N56&gt;=0.5,4,IF(Pathogens!N56&gt;=0.3,3,IF(Pathogens!N56&gt;=0.1,2,1)))))*0.1)),0)</f>
        <v>2</v>
      </c>
      <c r="AU59" s="62">
        <f>IF(ISNUMBER(SEARCH("Vaccine-preventable",Pathogens!C56)),2,IF(ISNUMBER(SEARCH("AMR",Pathogens!C56)),5,IF(ISNUMBER(SEARCH("VHF",Pathogens!C56)),4,IF(ISNUMBER(SEARCH("Emerging",Pathogens!C56)),5,IF(ISNUMBER(SEARCH("Mycobacterial",Pathogens!C56)),3,IF(ISNUMBER(SEARCH("Helminth",Pathogens!C56)),3,IF(ISNUMBER(SEARCH("Respiratory",Pathogens!C56)),4,3)))))))</f>
        <v>5</v>
      </c>
      <c r="AV59" s="62">
        <f>IF(ISNUMBER(SEARCH("AMR",Pathogens!C56)),5,IF(ISNUMBER(SEARCH("Mycobacterial",Pathogens!C56)),4,IF(ISNUMBER(SEARCH("Enteric bacterial",Pathogens!C56)),3,IF(ISNUMBER(SEARCH("Bacterial",Pathogens!C56)),3,1))))</f>
        <v>5</v>
      </c>
      <c r="AW59"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59" s="62">
        <f>(6-Pathogens!X56)</f>
        <v>5</v>
      </c>
      <c r="AY59" s="62">
        <f>ROUND(MIN(5,MAX(1,0.35*IF(Pathogens!R56=1,5,IF(Pathogens!R56=2,3,1))+0.2*IF(Pathogens!S56=1,5,IF(Pathogens!S56=2,3,1))+0.25*IF(Pathogens!W56=1,IF(VLOOKUP(G$4,Countries!$B$2:$AN$55,38,FALSE)&gt;=3,5,IF(VLOOKUP(G$4,Countries!$B$2:$AN$55,38,FALSE)=2,4,IF(VLOOKUP(G$4,Countries!$B$2:$AN$55,38,FALSE)=1,2,1))),5)+0.2*IF(VLOOKUP(G$4,Countries!$B$2:$AN$55,24,FALSE)&gt;=50,5,IF(VLOOKUP(G$4,Countries!$B$2:$AN$55,24,FALSE)&gt;=25,4,IF(VLOOKUP(G$4,Countries!$B$2:$AN$55,24,FALSE)&gt;=10,3,IF(VLOOKUP(G$4,Countries!$B$2:$AN$55,24,FALSE)&gt;=5,2,1)))))),0)</f>
        <v>4</v>
      </c>
      <c r="AZ59" s="62" t="str">
        <f>IFERROR(INDEX(Endemicity!$C$2:$BN$55,MATCH(G$4,Endemicity!$B$2:$B$55,0),MATCH($A59,Endemicity!$C$1:$BN$1,0)),"Sporadic")</f>
        <v>Sporadic</v>
      </c>
      <c r="BA59" s="62">
        <f>IF(Settings!$B$48="ON",IFERROR(MATCH($AZ59,Settings!$B$35:$F$35,0),5),5)</f>
        <v>2</v>
      </c>
    </row>
    <row r="60" customHeight="1" spans="1:53">
      <c r="A60" s="61" t="str">
        <f>Calculator!A89</f>
        <v>MCR1</v>
      </c>
      <c r="B60" s="61" t="str">
        <f>Calculator!B89</f>
        <v>Colistin resistance: mcr-1</v>
      </c>
      <c r="C60" s="61" t="str">
        <f>Calculator!C89</f>
        <v>AMR marker</v>
      </c>
      <c r="D60" s="52">
        <f>IFERROR(ROUND(MIN(100,(($J60)*Settings!$C$23*INDEX(Settings!$B$36:$F$44,1,$T60)+($K60)*Settings!$C$24*INDEX(Settings!$B$36:$F$44,2,$T60)+($L60)*Settings!$C$25*INDEX(Settings!$B$36:$F$44,3,$T60)+($M60)*Settings!$C$26*INDEX(Settings!$B$36:$F$44,4,$T60)+($N60)*Settings!$C$27*INDEX(Settings!$B$36:$F$44,5,$T60)+($O60)*Settings!$C$28*INDEX(Settings!$B$36:$F$44,6,$T60)+($P60)*Settings!$C$29*INDEX(Settings!$B$36:$F$44,7,$T60)+($Q60)*Settings!$C$30*INDEX(Settings!$B$36:$F$44,8,$T60)+($R60)*Settings!$C$31*INDEX(Settings!$B$36:$F$44,9,$T60))/INDEX(Settings!$B$45:$F$45,1,$T60)/5*100*IF($S60="Not present",Settings!$B$51,1)),1),"")</f>
        <v>68.4</v>
      </c>
      <c r="E60" s="52">
        <f>IFERROR(ROUND(MIN(100,(($U60)*Settings!$C$23*INDEX(Settings!$B$36:$F$44,1,$AE60)+($V60)*Settings!$C$24*INDEX(Settings!$B$36:$F$44,2,$AE60)+($W60)*Settings!$C$25*INDEX(Settings!$B$36:$F$44,3,$AE60)+($X60)*Settings!$C$26*INDEX(Settings!$B$36:$F$44,4,$AE60)+($Y60)*Settings!$C$27*INDEX(Settings!$B$36:$F$44,5,$AE60)+($Z60)*Settings!$C$28*INDEX(Settings!$B$36:$F$44,6,$AE60)+($AA60)*Settings!$C$29*INDEX(Settings!$B$36:$F$44,7,$AE60)+($AB60)*Settings!$C$30*INDEX(Settings!$B$36:$F$44,8,$AE60)+($AC60)*Settings!$C$31*INDEX(Settings!$B$36:$F$44,9,$AE60))/INDEX(Settings!$B$45:$F$45,1,$AE60)/5*100*IF($AD60="Not present",Settings!$B$51,1)),1),"")</f>
        <v>75.1</v>
      </c>
      <c r="F60" s="52">
        <f>IFERROR(ROUND(MIN(100,(($AF60)*Settings!$C$23*INDEX(Settings!$B$36:$F$44,1,$AP60)+($AG60)*Settings!$C$24*INDEX(Settings!$B$36:$F$44,2,$AP60)+($AH60)*Settings!$C$25*INDEX(Settings!$B$36:$F$44,3,$AP60)+($AI60)*Settings!$C$26*INDEX(Settings!$B$36:$F$44,4,$AP60)+($AJ60)*Settings!$C$27*INDEX(Settings!$B$36:$F$44,5,$AP60)+($AK60)*Settings!$C$28*INDEX(Settings!$B$36:$F$44,6,$AP60)+($AL60)*Settings!$C$29*INDEX(Settings!$B$36:$F$44,7,$AP60)+($AM60)*Settings!$C$30*INDEX(Settings!$B$36:$F$44,8,$AP60)+($AN60)*Settings!$C$31*INDEX(Settings!$B$36:$F$44,9,$AP60))/INDEX(Settings!$B$45:$F$45,1,$AP60)/5*100*IF($AO60="Not present",Settings!$B$51,1)),1),"")</f>
        <v>67.3</v>
      </c>
      <c r="G60" s="52">
        <f>IFERROR(ROUND(MIN(100,(($AQ60)*Settings!$C$23*INDEX(Settings!$B$36:$F$44,1,$BA60)+($AR60)*Settings!$C$24*INDEX(Settings!$B$36:$F$44,2,$BA60)+($AS60)*Settings!$C$25*INDEX(Settings!$B$36:$F$44,3,$BA60)+($AT60)*Settings!$C$26*INDEX(Settings!$B$36:$F$44,4,$BA60)+($AU60)*Settings!$C$27*INDEX(Settings!$B$36:$F$44,5,$BA60)+($AV60)*Settings!$C$28*INDEX(Settings!$B$36:$F$44,6,$BA60)+($AW60)*Settings!$C$29*INDEX(Settings!$B$36:$F$44,7,$BA60)+($AX60)*Settings!$C$30*INDEX(Settings!$B$36:$F$44,8,$BA60)+($AY60)*Settings!$C$31*INDEX(Settings!$B$36:$F$44,9,$BA60))/INDEX(Settings!$B$45:$F$45,1,$BA60)/5*100*IF($AZ60="Not present",Settings!$B$51,1)),1),"")</f>
        <v>71.5</v>
      </c>
      <c r="J60" s="62">
        <f>ROUND(MIN(5,IF(Pathogens!I57&gt;=500,5,IF(Pathogens!I57&gt;=200,4,IF(Pathogens!I57&gt;=50,3,IF(Pathogens!I57&gt;=10,2,1))))*0.5+IF(Pathogens!J57&gt;=30,5,IF(Pathogens!J57&gt;=10,4,IF(Pathogens!J57&gt;=3,3,IF(Pathogens!J57&gt;=1,2,1))))*0.4+IF(AND(VLOOKUP(D$4,Countries!$B$2:$AN$55,4,FALSE)&gt;=80,Pathogens!N57&gt;=0.5),1,0)*0.1+IF(VLOOKUP(D$4,Countries!$B$2:$AN$55,7,FALSE)&lt;50,0.3,0)),0)</f>
        <v>2</v>
      </c>
      <c r="K60" s="62">
        <f>ROUND(MIN(5,IF(Pathogens!K57&gt;=8,5,IF(Pathogens!K57&gt;=5,4,IF(Pathogens!K57&gt;=3,3,IF(Pathogens!K57&gt;=1,2,1))))*0.5+IF(Pathogens!L57&gt;=5,5,IF(Pathogens!L57&gt;=3,4,IF(Pathogens!L57&gt;=2,3,IF(Pathogens!L57&gt;=1.2,2,1))))*0.3+IF(Pathogens!M57=1,2,0)*0.2+IF(VLOOKUP(D$4,Countries!$B$2:$AN$55,12,FALSE)&gt;=2,0.5,0)),0)</f>
        <v>3</v>
      </c>
      <c r="L60" s="62">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c r="M60" s="62">
        <f>ROUND(MAX(1,MIN(5,(6-VLOOKUP(D$4,Countries!$B$2:$AN$55,10,FALSE))*0.5+(6-VLOOKUP(D$4,Countries!$B$2:$AN$55,11,FALSE))*0.4+(IF(AND(Pathogens!N57&gt;=0.5,VLOOKUP(D$4,Countries!$B$2:$AN$55,5,FALSE)&lt;60),5,IF(Pathogens!N57&gt;=0.5,4,IF(Pathogens!N57&gt;=0.3,3,IF(Pathogens!N57&gt;=0.1,2,1)))))*0.1)),0)</f>
        <v>2</v>
      </c>
      <c r="N60" s="62">
        <f>IF(ISNUMBER(SEARCH("Vaccine-preventable",Pathogens!C57)),2,IF(ISNUMBER(SEARCH("AMR",Pathogens!C57)),5,IF(ISNUMBER(SEARCH("VHF",Pathogens!C57)),4,IF(ISNUMBER(SEARCH("Emerging",Pathogens!C57)),5,IF(ISNUMBER(SEARCH("Mycobacterial",Pathogens!C57)),3,IF(ISNUMBER(SEARCH("Helminth",Pathogens!C57)),3,IF(ISNUMBER(SEARCH("Respiratory",Pathogens!C57)),4,3)))))))</f>
        <v>5</v>
      </c>
      <c r="O60" s="62">
        <f>IF(ISNUMBER(SEARCH("AMR",Pathogens!C57)),5,IF(ISNUMBER(SEARCH("Mycobacterial",Pathogens!C57)),4,IF(ISNUMBER(SEARCH("Enteric bacterial",Pathogens!C57)),3,IF(ISNUMBER(SEARCH("Bacterial",Pathogens!C57)),3,1))))</f>
        <v>5</v>
      </c>
      <c r="P60"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0" s="62">
        <f>(6-Pathogens!X57)</f>
        <v>5</v>
      </c>
      <c r="R60" s="62">
        <f>ROUND(MIN(5,MAX(1,0.35*IF(Pathogens!R57=1,5,IF(Pathogens!R57=2,3,1))+0.2*IF(Pathogens!S57=1,5,IF(Pathogens!S57=2,3,1))+0.25*IF(Pathogens!W57=1,IF(VLOOKUP(D$4,Countries!$B$2:$AN$55,38,FALSE)&gt;=3,5,IF(VLOOKUP(D$4,Countries!$B$2:$AN$55,38,FALSE)=2,4,IF(VLOOKUP(D$4,Countries!$B$2:$AN$55,38,FALSE)=1,2,1))),5)+0.2*IF(VLOOKUP(D$4,Countries!$B$2:$AN$55,24,FALSE)&gt;=50,5,IF(VLOOKUP(D$4,Countries!$B$2:$AN$55,24,FALSE)&gt;=25,4,IF(VLOOKUP(D$4,Countries!$B$2:$AN$55,24,FALSE)&gt;=10,3,IF(VLOOKUP(D$4,Countries!$B$2:$AN$55,24,FALSE)&gt;=5,2,1)))))),0)</f>
        <v>4</v>
      </c>
      <c r="S60" s="62" t="str">
        <f>IFERROR(INDEX(Endemicity!$C$2:$BN$55,MATCH(D$4,Endemicity!$B$2:$B$55,0),MATCH($A60,Endemicity!$C$1:$BN$1,0)),"Sporadic")</f>
        <v>Endemic</v>
      </c>
      <c r="T60" s="62">
        <f>IF(Settings!$B$48="ON",IFERROR(MATCH($S60,Settings!$B$35:$F$35,0),5),5)</f>
        <v>1</v>
      </c>
      <c r="U60" s="62">
        <f>ROUND(MIN(5,IF(Pathogens!I57&gt;=500,5,IF(Pathogens!I57&gt;=200,4,IF(Pathogens!I57&gt;=50,3,IF(Pathogens!I57&gt;=10,2,1))))*0.5+IF(Pathogens!J57&gt;=30,5,IF(Pathogens!J57&gt;=10,4,IF(Pathogens!J57&gt;=3,3,IF(Pathogens!J57&gt;=1,2,1))))*0.4+IF(AND(VLOOKUP(E$4,Countries!$B$2:$AN$55,4,FALSE)&gt;=80,Pathogens!N57&gt;=0.5),1,0)*0.1+IF(VLOOKUP(E$4,Countries!$B$2:$AN$55,7,FALSE)&lt;50,0.3,0)),0)</f>
        <v>2</v>
      </c>
      <c r="V60" s="62">
        <f>ROUND(MIN(5,IF(Pathogens!K57&gt;=8,5,IF(Pathogens!K57&gt;=5,4,IF(Pathogens!K57&gt;=3,3,IF(Pathogens!K57&gt;=1,2,1))))*0.5+IF(Pathogens!L57&gt;=5,5,IF(Pathogens!L57&gt;=3,4,IF(Pathogens!L57&gt;=2,3,IF(Pathogens!L57&gt;=1.2,2,1))))*0.3+IF(Pathogens!M57=1,2,0)*0.2+IF(VLOOKUP(E$4,Countries!$B$2:$AN$55,12,FALSE)&gt;=2,0.5,0)),0)</f>
        <v>3</v>
      </c>
      <c r="W60" s="62">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c r="X60" s="62">
        <f>ROUND(MAX(1,MIN(5,(6-VLOOKUP(E$4,Countries!$B$2:$AN$55,10,FALSE))*0.5+(6-VLOOKUP(E$4,Countries!$B$2:$AN$55,11,FALSE))*0.4+(IF(AND(Pathogens!N57&gt;=0.5,VLOOKUP(E$4,Countries!$B$2:$AN$55,5,FALSE)&lt;60),5,IF(Pathogens!N57&gt;=0.5,4,IF(Pathogens!N57&gt;=0.3,3,IF(Pathogens!N57&gt;=0.1,2,1)))))*0.1)),0)</f>
        <v>3</v>
      </c>
      <c r="Y60" s="62">
        <f>IF(ISNUMBER(SEARCH("Vaccine-preventable",Pathogens!C57)),2,IF(ISNUMBER(SEARCH("AMR",Pathogens!C57)),5,IF(ISNUMBER(SEARCH("VHF",Pathogens!C57)),4,IF(ISNUMBER(SEARCH("Emerging",Pathogens!C57)),5,IF(ISNUMBER(SEARCH("Mycobacterial",Pathogens!C57)),3,IF(ISNUMBER(SEARCH("Helminth",Pathogens!C57)),3,IF(ISNUMBER(SEARCH("Respiratory",Pathogens!C57)),4,3)))))))</f>
        <v>5</v>
      </c>
      <c r="Z60" s="62">
        <f>IF(ISNUMBER(SEARCH("AMR",Pathogens!C57)),5,IF(ISNUMBER(SEARCH("Mycobacterial",Pathogens!C57)),4,IF(ISNUMBER(SEARCH("Enteric bacterial",Pathogens!C57)),3,IF(ISNUMBER(SEARCH("Bacterial",Pathogens!C57)),3,1))))</f>
        <v>5</v>
      </c>
      <c r="AA60"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0" s="62">
        <f>(6-Pathogens!X57)</f>
        <v>5</v>
      </c>
      <c r="AC60" s="62">
        <f>ROUND(MIN(5,MAX(1,0.35*IF(Pathogens!R57=1,5,IF(Pathogens!R57=2,3,1))+0.2*IF(Pathogens!S57=1,5,IF(Pathogens!S57=2,3,1))+0.25*IF(Pathogens!W57=1,IF(VLOOKUP(E$4,Countries!$B$2:$AN$55,38,FALSE)&gt;=3,5,IF(VLOOKUP(E$4,Countries!$B$2:$AN$55,38,FALSE)=2,4,IF(VLOOKUP(E$4,Countries!$B$2:$AN$55,38,FALSE)=1,2,1))),5)+0.2*IF(VLOOKUP(E$4,Countries!$B$2:$AN$55,24,FALSE)&gt;=50,5,IF(VLOOKUP(E$4,Countries!$B$2:$AN$55,24,FALSE)&gt;=25,4,IF(VLOOKUP(E$4,Countries!$B$2:$AN$55,24,FALSE)&gt;=10,3,IF(VLOOKUP(E$4,Countries!$B$2:$AN$55,24,FALSE)&gt;=5,2,1)))))),0)</f>
        <v>4</v>
      </c>
      <c r="AD60" s="62" t="str">
        <f>IFERROR(INDEX(Endemicity!$C$2:$BN$55,MATCH(E$4,Endemicity!$B$2:$B$55,0),MATCH($A60,Endemicity!$C$1:$BN$1,0)),"Sporadic")</f>
        <v>Sporadic</v>
      </c>
      <c r="AE60" s="62">
        <f>IF(Settings!$B$48="ON",IFERROR(MATCH($AD60,Settings!$B$35:$F$35,0),5),5)</f>
        <v>2</v>
      </c>
      <c r="AF60" s="62">
        <f>ROUND(MIN(5,IF(Pathogens!I57&gt;=500,5,IF(Pathogens!I57&gt;=200,4,IF(Pathogens!I57&gt;=50,3,IF(Pathogens!I57&gt;=10,2,1))))*0.5+IF(Pathogens!J57&gt;=30,5,IF(Pathogens!J57&gt;=10,4,IF(Pathogens!J57&gt;=3,3,IF(Pathogens!J57&gt;=1,2,1))))*0.4+IF(AND(VLOOKUP(F$4,Countries!$B$2:$AN$55,4,FALSE)&gt;=80,Pathogens!N57&gt;=0.5),1,0)*0.1+IF(VLOOKUP(F$4,Countries!$B$2:$AN$55,7,FALSE)&lt;50,0.3,0)),0)</f>
        <v>2</v>
      </c>
      <c r="AG60" s="62">
        <f>ROUND(MIN(5,IF(Pathogens!K57&gt;=8,5,IF(Pathogens!K57&gt;=5,4,IF(Pathogens!K57&gt;=3,3,IF(Pathogens!K57&gt;=1,2,1))))*0.5+IF(Pathogens!L57&gt;=5,5,IF(Pathogens!L57&gt;=3,4,IF(Pathogens!L57&gt;=2,3,IF(Pathogens!L57&gt;=1.2,2,1))))*0.3+IF(Pathogens!M57=1,2,0)*0.2+IF(VLOOKUP(F$4,Countries!$B$2:$AN$55,12,FALSE)&gt;=2,0.5,0)),0)</f>
        <v>3</v>
      </c>
      <c r="AH60" s="62">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c r="AI60" s="62">
        <f>ROUND(MAX(1,MIN(5,(6-VLOOKUP(F$4,Countries!$B$2:$AN$55,10,FALSE))*0.5+(6-VLOOKUP(F$4,Countries!$B$2:$AN$55,11,FALSE))*0.4+(IF(AND(Pathogens!N57&gt;=0.5,VLOOKUP(F$4,Countries!$B$2:$AN$55,5,FALSE)&lt;60),5,IF(Pathogens!N57&gt;=0.5,4,IF(Pathogens!N57&gt;=0.3,3,IF(Pathogens!N57&gt;=0.1,2,1)))))*0.1)),0)</f>
        <v>2</v>
      </c>
      <c r="AJ60" s="62">
        <f>IF(ISNUMBER(SEARCH("Vaccine-preventable",Pathogens!C57)),2,IF(ISNUMBER(SEARCH("AMR",Pathogens!C57)),5,IF(ISNUMBER(SEARCH("VHF",Pathogens!C57)),4,IF(ISNUMBER(SEARCH("Emerging",Pathogens!C57)),5,IF(ISNUMBER(SEARCH("Mycobacterial",Pathogens!C57)),3,IF(ISNUMBER(SEARCH("Helminth",Pathogens!C57)),3,IF(ISNUMBER(SEARCH("Respiratory",Pathogens!C57)),4,3)))))))</f>
        <v>5</v>
      </c>
      <c r="AK60" s="62">
        <f>IF(ISNUMBER(SEARCH("AMR",Pathogens!C57)),5,IF(ISNUMBER(SEARCH("Mycobacterial",Pathogens!C57)),4,IF(ISNUMBER(SEARCH("Enteric bacterial",Pathogens!C57)),3,IF(ISNUMBER(SEARCH("Bacterial",Pathogens!C57)),3,1))))</f>
        <v>5</v>
      </c>
      <c r="AL60"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0" s="62">
        <f>(6-Pathogens!X57)</f>
        <v>5</v>
      </c>
      <c r="AN60" s="62">
        <f>ROUND(MIN(5,MAX(1,0.35*IF(Pathogens!R57=1,5,IF(Pathogens!R57=2,3,1))+0.2*IF(Pathogens!S57=1,5,IF(Pathogens!S57=2,3,1))+0.25*IF(Pathogens!W57=1,IF(VLOOKUP(F$4,Countries!$B$2:$AN$55,38,FALSE)&gt;=3,5,IF(VLOOKUP(F$4,Countries!$B$2:$AN$55,38,FALSE)=2,4,IF(VLOOKUP(F$4,Countries!$B$2:$AN$55,38,FALSE)=1,2,1))),5)+0.2*IF(VLOOKUP(F$4,Countries!$B$2:$AN$55,24,FALSE)&gt;=50,5,IF(VLOOKUP(F$4,Countries!$B$2:$AN$55,24,FALSE)&gt;=25,4,IF(VLOOKUP(F$4,Countries!$B$2:$AN$55,24,FALSE)&gt;=10,3,IF(VLOOKUP(F$4,Countries!$B$2:$AN$55,24,FALSE)&gt;=5,2,1)))))),0)</f>
        <v>3</v>
      </c>
      <c r="AO60" s="62" t="str">
        <f>IFERROR(INDEX(Endemicity!$C$2:$BN$55,MATCH(F$4,Endemicity!$B$2:$B$55,0),MATCH($A60,Endemicity!$C$1:$BN$1,0)),"Sporadic")</f>
        <v>Sporadic</v>
      </c>
      <c r="AP60" s="62">
        <f>IF(Settings!$B$48="ON",IFERROR(MATCH($AO60,Settings!$B$35:$F$35,0),5),5)</f>
        <v>2</v>
      </c>
      <c r="AQ60" s="62">
        <f>ROUND(MIN(5,IF(Pathogens!I57&gt;=500,5,IF(Pathogens!I57&gt;=200,4,IF(Pathogens!I57&gt;=50,3,IF(Pathogens!I57&gt;=10,2,1))))*0.5+IF(Pathogens!J57&gt;=30,5,IF(Pathogens!J57&gt;=10,4,IF(Pathogens!J57&gt;=3,3,IF(Pathogens!J57&gt;=1,2,1))))*0.4+IF(AND(VLOOKUP(G$4,Countries!$B$2:$AN$55,4,FALSE)&gt;=80,Pathogens!N57&gt;=0.5),1,0)*0.1+IF(VLOOKUP(G$4,Countries!$B$2:$AN$55,7,FALSE)&lt;50,0.3,0)),0)</f>
        <v>2</v>
      </c>
      <c r="AR60" s="62">
        <f>ROUND(MIN(5,IF(Pathogens!K57&gt;=8,5,IF(Pathogens!K57&gt;=5,4,IF(Pathogens!K57&gt;=3,3,IF(Pathogens!K57&gt;=1,2,1))))*0.5+IF(Pathogens!L57&gt;=5,5,IF(Pathogens!L57&gt;=3,4,IF(Pathogens!L57&gt;=2,3,IF(Pathogens!L57&gt;=1.2,2,1))))*0.3+IF(Pathogens!M57=1,2,0)*0.2+IF(VLOOKUP(G$4,Countries!$B$2:$AN$55,12,FALSE)&gt;=2,0.5,0)),0)</f>
        <v>3</v>
      </c>
      <c r="AS60" s="62">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c r="AT60" s="62">
        <f>ROUND(MAX(1,MIN(5,(6-VLOOKUP(G$4,Countries!$B$2:$AN$55,10,FALSE))*0.5+(6-VLOOKUP(G$4,Countries!$B$2:$AN$55,11,FALSE))*0.4+(IF(AND(Pathogens!N57&gt;=0.5,VLOOKUP(G$4,Countries!$B$2:$AN$55,5,FALSE)&lt;60),5,IF(Pathogens!N57&gt;=0.5,4,IF(Pathogens!N57&gt;=0.3,3,IF(Pathogens!N57&gt;=0.1,2,1)))))*0.1)),0)</f>
        <v>2</v>
      </c>
      <c r="AU60" s="62">
        <f>IF(ISNUMBER(SEARCH("Vaccine-preventable",Pathogens!C57)),2,IF(ISNUMBER(SEARCH("AMR",Pathogens!C57)),5,IF(ISNUMBER(SEARCH("VHF",Pathogens!C57)),4,IF(ISNUMBER(SEARCH("Emerging",Pathogens!C57)),5,IF(ISNUMBER(SEARCH("Mycobacterial",Pathogens!C57)),3,IF(ISNUMBER(SEARCH("Helminth",Pathogens!C57)),3,IF(ISNUMBER(SEARCH("Respiratory",Pathogens!C57)),4,3)))))))</f>
        <v>5</v>
      </c>
      <c r="AV60" s="62">
        <f>IF(ISNUMBER(SEARCH("AMR",Pathogens!C57)),5,IF(ISNUMBER(SEARCH("Mycobacterial",Pathogens!C57)),4,IF(ISNUMBER(SEARCH("Enteric bacterial",Pathogens!C57)),3,IF(ISNUMBER(SEARCH("Bacterial",Pathogens!C57)),3,1))))</f>
        <v>5</v>
      </c>
      <c r="AW60"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0" s="62">
        <f>(6-Pathogens!X57)</f>
        <v>5</v>
      </c>
      <c r="AY60" s="62">
        <f>ROUND(MIN(5,MAX(1,0.35*IF(Pathogens!R57=1,5,IF(Pathogens!R57=2,3,1))+0.2*IF(Pathogens!S57=1,5,IF(Pathogens!S57=2,3,1))+0.25*IF(Pathogens!W57=1,IF(VLOOKUP(G$4,Countries!$B$2:$AN$55,38,FALSE)&gt;=3,5,IF(VLOOKUP(G$4,Countries!$B$2:$AN$55,38,FALSE)=2,4,IF(VLOOKUP(G$4,Countries!$B$2:$AN$55,38,FALSE)=1,2,1))),5)+0.2*IF(VLOOKUP(G$4,Countries!$B$2:$AN$55,24,FALSE)&gt;=50,5,IF(VLOOKUP(G$4,Countries!$B$2:$AN$55,24,FALSE)&gt;=25,4,IF(VLOOKUP(G$4,Countries!$B$2:$AN$55,24,FALSE)&gt;=10,3,IF(VLOOKUP(G$4,Countries!$B$2:$AN$55,24,FALSE)&gt;=5,2,1)))))),0)</f>
        <v>4</v>
      </c>
      <c r="AZ60" s="62" t="str">
        <f>IFERROR(INDEX(Endemicity!$C$2:$BN$55,MATCH(G$4,Endemicity!$B$2:$B$55,0),MATCH($A60,Endemicity!$C$1:$BN$1,0)),"Sporadic")</f>
        <v>Sporadic</v>
      </c>
      <c r="BA60" s="62">
        <f>IF(Settings!$B$48="ON",IFERROR(MATCH($AZ60,Settings!$B$35:$F$35,0),5),5)</f>
        <v>2</v>
      </c>
    </row>
    <row r="61" customHeight="1" spans="1:53">
      <c r="A61" s="61" t="str">
        <f>Calculator!A90</f>
        <v>VANA</v>
      </c>
      <c r="B61" s="61" t="str">
        <f>Calculator!B90</f>
        <v>Vancomycin resistance: vanA</v>
      </c>
      <c r="C61" s="61" t="str">
        <f>Calculator!C90</f>
        <v>AMR marker</v>
      </c>
      <c r="D61" s="52">
        <f>IFERROR(ROUND(MIN(100,(($J61)*Settings!$C$23*INDEX(Settings!$B$36:$F$44,1,$T61)+($K61)*Settings!$C$24*INDEX(Settings!$B$36:$F$44,2,$T61)+($L61)*Settings!$C$25*INDEX(Settings!$B$36:$F$44,3,$T61)+($M61)*Settings!$C$26*INDEX(Settings!$B$36:$F$44,4,$T61)+($N61)*Settings!$C$27*INDEX(Settings!$B$36:$F$44,5,$T61)+($O61)*Settings!$C$28*INDEX(Settings!$B$36:$F$44,6,$T61)+($P61)*Settings!$C$29*INDEX(Settings!$B$36:$F$44,7,$T61)+($Q61)*Settings!$C$30*INDEX(Settings!$B$36:$F$44,8,$T61)+($R61)*Settings!$C$31*INDEX(Settings!$B$36:$F$44,9,$T61))/INDEX(Settings!$B$45:$F$45,1,$T61)/5*100*IF($S61="Not present",Settings!$B$51,1)),1),"")</f>
        <v>66.2</v>
      </c>
      <c r="E61" s="52">
        <f>IFERROR(ROUND(MIN(100,(($U61)*Settings!$C$23*INDEX(Settings!$B$36:$F$44,1,$AE61)+($V61)*Settings!$C$24*INDEX(Settings!$B$36:$F$44,2,$AE61)+($W61)*Settings!$C$25*INDEX(Settings!$B$36:$F$44,3,$AE61)+($X61)*Settings!$C$26*INDEX(Settings!$B$36:$F$44,4,$AE61)+($Y61)*Settings!$C$27*INDEX(Settings!$B$36:$F$44,5,$AE61)+($Z61)*Settings!$C$28*INDEX(Settings!$B$36:$F$44,6,$AE61)+($AA61)*Settings!$C$29*INDEX(Settings!$B$36:$F$44,7,$AE61)+($AB61)*Settings!$C$30*INDEX(Settings!$B$36:$F$44,8,$AE61)+($AC61)*Settings!$C$31*INDEX(Settings!$B$36:$F$44,9,$AE61))/INDEX(Settings!$B$45:$F$45,1,$AE61)/5*100*IF($AD61="Not present",Settings!$B$51,1)),1),"")</f>
        <v>71.2</v>
      </c>
      <c r="F61" s="52">
        <f>IFERROR(ROUND(MIN(100,(($AF61)*Settings!$C$23*INDEX(Settings!$B$36:$F$44,1,$AP61)+($AG61)*Settings!$C$24*INDEX(Settings!$B$36:$F$44,2,$AP61)+($AH61)*Settings!$C$25*INDEX(Settings!$B$36:$F$44,3,$AP61)+($AI61)*Settings!$C$26*INDEX(Settings!$B$36:$F$44,4,$AP61)+($AJ61)*Settings!$C$27*INDEX(Settings!$B$36:$F$44,5,$AP61)+($AK61)*Settings!$C$28*INDEX(Settings!$B$36:$F$44,6,$AP61)+($AL61)*Settings!$C$29*INDEX(Settings!$B$36:$F$44,7,$AP61)+($AM61)*Settings!$C$30*INDEX(Settings!$B$36:$F$44,8,$AP61)+($AN61)*Settings!$C$31*INDEX(Settings!$B$36:$F$44,9,$AP61))/INDEX(Settings!$B$45:$F$45,1,$AP61)/5*100*IF($AO61="Not present",Settings!$B$51,1)),1),"")</f>
        <v>63.3</v>
      </c>
      <c r="G61" s="52">
        <f>IFERROR(ROUND(MIN(100,(($AQ61)*Settings!$C$23*INDEX(Settings!$B$36:$F$44,1,$BA61)+($AR61)*Settings!$C$24*INDEX(Settings!$B$36:$F$44,2,$BA61)+($AS61)*Settings!$C$25*INDEX(Settings!$B$36:$F$44,3,$BA61)+($AT61)*Settings!$C$26*INDEX(Settings!$B$36:$F$44,4,$BA61)+($AU61)*Settings!$C$27*INDEX(Settings!$B$36:$F$44,5,$BA61)+($AV61)*Settings!$C$28*INDEX(Settings!$B$36:$F$44,6,$BA61)+($AW61)*Settings!$C$29*INDEX(Settings!$B$36:$F$44,7,$BA61)+($AX61)*Settings!$C$30*INDEX(Settings!$B$36:$F$44,8,$BA61)+($AY61)*Settings!$C$31*INDEX(Settings!$B$36:$F$44,9,$BA61))/INDEX(Settings!$B$45:$F$45,1,$BA61)/5*100*IF($AZ61="Not present",Settings!$B$51,1)),1),"")</f>
        <v>67.5</v>
      </c>
      <c r="J61" s="62">
        <f>ROUND(MIN(5,IF(Pathogens!I58&gt;=500,5,IF(Pathogens!I58&gt;=200,4,IF(Pathogens!I58&gt;=50,3,IF(Pathogens!I58&gt;=10,2,1))))*0.5+IF(Pathogens!J58&gt;=30,5,IF(Pathogens!J58&gt;=10,4,IF(Pathogens!J58&gt;=3,3,IF(Pathogens!J58&gt;=1,2,1))))*0.4+IF(AND(VLOOKUP(D$4,Countries!$B$2:$AN$55,4,FALSE)&gt;=80,Pathogens!N58&gt;=0.5),1,0)*0.1+IF(VLOOKUP(D$4,Countries!$B$2:$AN$55,7,FALSE)&lt;50,0.3,0)),0)</f>
        <v>2</v>
      </c>
      <c r="K61" s="62">
        <f>ROUND(MIN(5,IF(Pathogens!K58&gt;=8,5,IF(Pathogens!K58&gt;=5,4,IF(Pathogens!K58&gt;=3,3,IF(Pathogens!K58&gt;=1,2,1))))*0.5+IF(Pathogens!L58&gt;=5,5,IF(Pathogens!L58&gt;=3,4,IF(Pathogens!L58&gt;=2,3,IF(Pathogens!L58&gt;=1.2,2,1))))*0.3+IF(Pathogens!M58=1,2,0)*0.2+IF(VLOOKUP(D$4,Countries!$B$2:$AN$55,12,FALSE)&gt;=2,0.5,0)),0)</f>
        <v>2</v>
      </c>
      <c r="L61" s="62">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c r="M61" s="62">
        <f>ROUND(MAX(1,MIN(5,(6-VLOOKUP(D$4,Countries!$B$2:$AN$55,10,FALSE))*0.5+(6-VLOOKUP(D$4,Countries!$B$2:$AN$55,11,FALSE))*0.4+(IF(AND(Pathogens!N58&gt;=0.5,VLOOKUP(D$4,Countries!$B$2:$AN$55,5,FALSE)&lt;60),5,IF(Pathogens!N58&gt;=0.5,4,IF(Pathogens!N58&gt;=0.3,3,IF(Pathogens!N58&gt;=0.1,2,1)))))*0.1)),0)</f>
        <v>2</v>
      </c>
      <c r="N61" s="62">
        <f>IF(ISNUMBER(SEARCH("Vaccine-preventable",Pathogens!C58)),2,IF(ISNUMBER(SEARCH("AMR",Pathogens!C58)),5,IF(ISNUMBER(SEARCH("VHF",Pathogens!C58)),4,IF(ISNUMBER(SEARCH("Emerging",Pathogens!C58)),5,IF(ISNUMBER(SEARCH("Mycobacterial",Pathogens!C58)),3,IF(ISNUMBER(SEARCH("Helminth",Pathogens!C58)),3,IF(ISNUMBER(SEARCH("Respiratory",Pathogens!C58)),4,3)))))))</f>
        <v>5</v>
      </c>
      <c r="O61" s="62">
        <f>IF(ISNUMBER(SEARCH("AMR",Pathogens!C58)),5,IF(ISNUMBER(SEARCH("Mycobacterial",Pathogens!C58)),4,IF(ISNUMBER(SEARCH("Enteric bacterial",Pathogens!C58)),3,IF(ISNUMBER(SEARCH("Bacterial",Pathogens!C58)),3,1))))</f>
        <v>5</v>
      </c>
      <c r="P61"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1" s="62">
        <f>(6-Pathogens!X58)</f>
        <v>5</v>
      </c>
      <c r="R61" s="62">
        <f>ROUND(MIN(5,MAX(1,0.35*IF(Pathogens!R58=1,5,IF(Pathogens!R58=2,3,1))+0.2*IF(Pathogens!S58=1,5,IF(Pathogens!S58=2,3,1))+0.25*IF(Pathogens!W58=1,IF(VLOOKUP(D$4,Countries!$B$2:$AN$55,38,FALSE)&gt;=3,5,IF(VLOOKUP(D$4,Countries!$B$2:$AN$55,38,FALSE)=2,4,IF(VLOOKUP(D$4,Countries!$B$2:$AN$55,38,FALSE)=1,2,1))),5)+0.2*IF(VLOOKUP(D$4,Countries!$B$2:$AN$55,24,FALSE)&gt;=50,5,IF(VLOOKUP(D$4,Countries!$B$2:$AN$55,24,FALSE)&gt;=25,4,IF(VLOOKUP(D$4,Countries!$B$2:$AN$55,24,FALSE)&gt;=10,3,IF(VLOOKUP(D$4,Countries!$B$2:$AN$55,24,FALSE)&gt;=5,2,1)))))),0)</f>
        <v>4</v>
      </c>
      <c r="S61" s="62" t="str">
        <f>IFERROR(INDEX(Endemicity!$C$2:$BN$55,MATCH(D$4,Endemicity!$B$2:$B$55,0),MATCH($A61,Endemicity!$C$1:$BN$1,0)),"Sporadic")</f>
        <v>Sporadic</v>
      </c>
      <c r="T61" s="62">
        <f>IF(Settings!$B$48="ON",IFERROR(MATCH($S61,Settings!$B$35:$F$35,0),5),5)</f>
        <v>2</v>
      </c>
      <c r="U61" s="62">
        <f>ROUND(MIN(5,IF(Pathogens!I58&gt;=500,5,IF(Pathogens!I58&gt;=200,4,IF(Pathogens!I58&gt;=50,3,IF(Pathogens!I58&gt;=10,2,1))))*0.5+IF(Pathogens!J58&gt;=30,5,IF(Pathogens!J58&gt;=10,4,IF(Pathogens!J58&gt;=3,3,IF(Pathogens!J58&gt;=1,2,1))))*0.4+IF(AND(VLOOKUP(E$4,Countries!$B$2:$AN$55,4,FALSE)&gt;=80,Pathogens!N58&gt;=0.5),1,0)*0.1+IF(VLOOKUP(E$4,Countries!$B$2:$AN$55,7,FALSE)&lt;50,0.3,0)),0)</f>
        <v>2</v>
      </c>
      <c r="V61" s="62">
        <f>ROUND(MIN(5,IF(Pathogens!K58&gt;=8,5,IF(Pathogens!K58&gt;=5,4,IF(Pathogens!K58&gt;=3,3,IF(Pathogens!K58&gt;=1,2,1))))*0.5+IF(Pathogens!L58&gt;=5,5,IF(Pathogens!L58&gt;=3,4,IF(Pathogens!L58&gt;=2,3,IF(Pathogens!L58&gt;=1.2,2,1))))*0.3+IF(Pathogens!M58=1,2,0)*0.2+IF(VLOOKUP(E$4,Countries!$B$2:$AN$55,12,FALSE)&gt;=2,0.5,0)),0)</f>
        <v>2</v>
      </c>
      <c r="W61" s="62">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c r="X61" s="62">
        <f>ROUND(MAX(1,MIN(5,(6-VLOOKUP(E$4,Countries!$B$2:$AN$55,10,FALSE))*0.5+(6-VLOOKUP(E$4,Countries!$B$2:$AN$55,11,FALSE))*0.4+(IF(AND(Pathogens!N58&gt;=0.5,VLOOKUP(E$4,Countries!$B$2:$AN$55,5,FALSE)&lt;60),5,IF(Pathogens!N58&gt;=0.5,4,IF(Pathogens!N58&gt;=0.3,3,IF(Pathogens!N58&gt;=0.1,2,1)))))*0.1)),0)</f>
        <v>3</v>
      </c>
      <c r="Y61" s="62">
        <f>IF(ISNUMBER(SEARCH("Vaccine-preventable",Pathogens!C58)),2,IF(ISNUMBER(SEARCH("AMR",Pathogens!C58)),5,IF(ISNUMBER(SEARCH("VHF",Pathogens!C58)),4,IF(ISNUMBER(SEARCH("Emerging",Pathogens!C58)),5,IF(ISNUMBER(SEARCH("Mycobacterial",Pathogens!C58)),3,IF(ISNUMBER(SEARCH("Helminth",Pathogens!C58)),3,IF(ISNUMBER(SEARCH("Respiratory",Pathogens!C58)),4,3)))))))</f>
        <v>5</v>
      </c>
      <c r="Z61" s="62">
        <f>IF(ISNUMBER(SEARCH("AMR",Pathogens!C58)),5,IF(ISNUMBER(SEARCH("Mycobacterial",Pathogens!C58)),4,IF(ISNUMBER(SEARCH("Enteric bacterial",Pathogens!C58)),3,IF(ISNUMBER(SEARCH("Bacterial",Pathogens!C58)),3,1))))</f>
        <v>5</v>
      </c>
      <c r="AA61"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1" s="62">
        <f>(6-Pathogens!X58)</f>
        <v>5</v>
      </c>
      <c r="AC61" s="62">
        <f>ROUND(MIN(5,MAX(1,0.35*IF(Pathogens!R58=1,5,IF(Pathogens!R58=2,3,1))+0.2*IF(Pathogens!S58=1,5,IF(Pathogens!S58=2,3,1))+0.25*IF(Pathogens!W58=1,IF(VLOOKUP(E$4,Countries!$B$2:$AN$55,38,FALSE)&gt;=3,5,IF(VLOOKUP(E$4,Countries!$B$2:$AN$55,38,FALSE)=2,4,IF(VLOOKUP(E$4,Countries!$B$2:$AN$55,38,FALSE)=1,2,1))),5)+0.2*IF(VLOOKUP(E$4,Countries!$B$2:$AN$55,24,FALSE)&gt;=50,5,IF(VLOOKUP(E$4,Countries!$B$2:$AN$55,24,FALSE)&gt;=25,4,IF(VLOOKUP(E$4,Countries!$B$2:$AN$55,24,FALSE)&gt;=10,3,IF(VLOOKUP(E$4,Countries!$B$2:$AN$55,24,FALSE)&gt;=5,2,1)))))),0)</f>
        <v>4</v>
      </c>
      <c r="AD61" s="62" t="str">
        <f>IFERROR(INDEX(Endemicity!$C$2:$BN$55,MATCH(E$4,Endemicity!$B$2:$B$55,0),MATCH($A61,Endemicity!$C$1:$BN$1,0)),"Sporadic")</f>
        <v>Sporadic</v>
      </c>
      <c r="AE61" s="62">
        <f>IF(Settings!$B$48="ON",IFERROR(MATCH($AD61,Settings!$B$35:$F$35,0),5),5)</f>
        <v>2</v>
      </c>
      <c r="AF61" s="62">
        <f>ROUND(MIN(5,IF(Pathogens!I58&gt;=500,5,IF(Pathogens!I58&gt;=200,4,IF(Pathogens!I58&gt;=50,3,IF(Pathogens!I58&gt;=10,2,1))))*0.5+IF(Pathogens!J58&gt;=30,5,IF(Pathogens!J58&gt;=10,4,IF(Pathogens!J58&gt;=3,3,IF(Pathogens!J58&gt;=1,2,1))))*0.4+IF(AND(VLOOKUP(F$4,Countries!$B$2:$AN$55,4,FALSE)&gt;=80,Pathogens!N58&gt;=0.5),1,0)*0.1+IF(VLOOKUP(F$4,Countries!$B$2:$AN$55,7,FALSE)&lt;50,0.3,0)),0)</f>
        <v>2</v>
      </c>
      <c r="AG61" s="62">
        <f>ROUND(MIN(5,IF(Pathogens!K58&gt;=8,5,IF(Pathogens!K58&gt;=5,4,IF(Pathogens!K58&gt;=3,3,IF(Pathogens!K58&gt;=1,2,1))))*0.5+IF(Pathogens!L58&gt;=5,5,IF(Pathogens!L58&gt;=3,4,IF(Pathogens!L58&gt;=2,3,IF(Pathogens!L58&gt;=1.2,2,1))))*0.3+IF(Pathogens!M58=1,2,0)*0.2+IF(VLOOKUP(F$4,Countries!$B$2:$AN$55,12,FALSE)&gt;=2,0.5,0)),0)</f>
        <v>2</v>
      </c>
      <c r="AH61" s="62">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c r="AI61" s="62">
        <f>ROUND(MAX(1,MIN(5,(6-VLOOKUP(F$4,Countries!$B$2:$AN$55,10,FALSE))*0.5+(6-VLOOKUP(F$4,Countries!$B$2:$AN$55,11,FALSE))*0.4+(IF(AND(Pathogens!N58&gt;=0.5,VLOOKUP(F$4,Countries!$B$2:$AN$55,5,FALSE)&lt;60),5,IF(Pathogens!N58&gt;=0.5,4,IF(Pathogens!N58&gt;=0.3,3,IF(Pathogens!N58&gt;=0.1,2,1)))))*0.1)),0)</f>
        <v>2</v>
      </c>
      <c r="AJ61" s="62">
        <f>IF(ISNUMBER(SEARCH("Vaccine-preventable",Pathogens!C58)),2,IF(ISNUMBER(SEARCH("AMR",Pathogens!C58)),5,IF(ISNUMBER(SEARCH("VHF",Pathogens!C58)),4,IF(ISNUMBER(SEARCH("Emerging",Pathogens!C58)),5,IF(ISNUMBER(SEARCH("Mycobacterial",Pathogens!C58)),3,IF(ISNUMBER(SEARCH("Helminth",Pathogens!C58)),3,IF(ISNUMBER(SEARCH("Respiratory",Pathogens!C58)),4,3)))))))</f>
        <v>5</v>
      </c>
      <c r="AK61" s="62">
        <f>IF(ISNUMBER(SEARCH("AMR",Pathogens!C58)),5,IF(ISNUMBER(SEARCH("Mycobacterial",Pathogens!C58)),4,IF(ISNUMBER(SEARCH("Enteric bacterial",Pathogens!C58)),3,IF(ISNUMBER(SEARCH("Bacterial",Pathogens!C58)),3,1))))</f>
        <v>5</v>
      </c>
      <c r="AL61"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1" s="62">
        <f>(6-Pathogens!X58)</f>
        <v>5</v>
      </c>
      <c r="AN61" s="62">
        <f>ROUND(MIN(5,MAX(1,0.35*IF(Pathogens!R58=1,5,IF(Pathogens!R58=2,3,1))+0.2*IF(Pathogens!S58=1,5,IF(Pathogens!S58=2,3,1))+0.25*IF(Pathogens!W58=1,IF(VLOOKUP(F$4,Countries!$B$2:$AN$55,38,FALSE)&gt;=3,5,IF(VLOOKUP(F$4,Countries!$B$2:$AN$55,38,FALSE)=2,4,IF(VLOOKUP(F$4,Countries!$B$2:$AN$55,38,FALSE)=1,2,1))),5)+0.2*IF(VLOOKUP(F$4,Countries!$B$2:$AN$55,24,FALSE)&gt;=50,5,IF(VLOOKUP(F$4,Countries!$B$2:$AN$55,24,FALSE)&gt;=25,4,IF(VLOOKUP(F$4,Countries!$B$2:$AN$55,24,FALSE)&gt;=10,3,IF(VLOOKUP(F$4,Countries!$B$2:$AN$55,24,FALSE)&gt;=5,2,1)))))),0)</f>
        <v>3</v>
      </c>
      <c r="AO61" s="62" t="str">
        <f>IFERROR(INDEX(Endemicity!$C$2:$BN$55,MATCH(F$4,Endemicity!$B$2:$B$55,0),MATCH($A61,Endemicity!$C$1:$BN$1,0)),"Sporadic")</f>
        <v>Sporadic</v>
      </c>
      <c r="AP61" s="62">
        <f>IF(Settings!$B$48="ON",IFERROR(MATCH($AO61,Settings!$B$35:$F$35,0),5),5)</f>
        <v>2</v>
      </c>
      <c r="AQ61" s="62">
        <f>ROUND(MIN(5,IF(Pathogens!I58&gt;=500,5,IF(Pathogens!I58&gt;=200,4,IF(Pathogens!I58&gt;=50,3,IF(Pathogens!I58&gt;=10,2,1))))*0.5+IF(Pathogens!J58&gt;=30,5,IF(Pathogens!J58&gt;=10,4,IF(Pathogens!J58&gt;=3,3,IF(Pathogens!J58&gt;=1,2,1))))*0.4+IF(AND(VLOOKUP(G$4,Countries!$B$2:$AN$55,4,FALSE)&gt;=80,Pathogens!N58&gt;=0.5),1,0)*0.1+IF(VLOOKUP(G$4,Countries!$B$2:$AN$55,7,FALSE)&lt;50,0.3,0)),0)</f>
        <v>2</v>
      </c>
      <c r="AR61" s="62">
        <f>ROUND(MIN(5,IF(Pathogens!K58&gt;=8,5,IF(Pathogens!K58&gt;=5,4,IF(Pathogens!K58&gt;=3,3,IF(Pathogens!K58&gt;=1,2,1))))*0.5+IF(Pathogens!L58&gt;=5,5,IF(Pathogens!L58&gt;=3,4,IF(Pathogens!L58&gt;=2,3,IF(Pathogens!L58&gt;=1.2,2,1))))*0.3+IF(Pathogens!M58=1,2,0)*0.2+IF(VLOOKUP(G$4,Countries!$B$2:$AN$55,12,FALSE)&gt;=2,0.5,0)),0)</f>
        <v>2</v>
      </c>
      <c r="AS61" s="62">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c r="AT61" s="62">
        <f>ROUND(MAX(1,MIN(5,(6-VLOOKUP(G$4,Countries!$B$2:$AN$55,10,FALSE))*0.5+(6-VLOOKUP(G$4,Countries!$B$2:$AN$55,11,FALSE))*0.4+(IF(AND(Pathogens!N58&gt;=0.5,VLOOKUP(G$4,Countries!$B$2:$AN$55,5,FALSE)&lt;60),5,IF(Pathogens!N58&gt;=0.5,4,IF(Pathogens!N58&gt;=0.3,3,IF(Pathogens!N58&gt;=0.1,2,1)))))*0.1)),0)</f>
        <v>2</v>
      </c>
      <c r="AU61" s="62">
        <f>IF(ISNUMBER(SEARCH("Vaccine-preventable",Pathogens!C58)),2,IF(ISNUMBER(SEARCH("AMR",Pathogens!C58)),5,IF(ISNUMBER(SEARCH("VHF",Pathogens!C58)),4,IF(ISNUMBER(SEARCH("Emerging",Pathogens!C58)),5,IF(ISNUMBER(SEARCH("Mycobacterial",Pathogens!C58)),3,IF(ISNUMBER(SEARCH("Helminth",Pathogens!C58)),3,IF(ISNUMBER(SEARCH("Respiratory",Pathogens!C58)),4,3)))))))</f>
        <v>5</v>
      </c>
      <c r="AV61" s="62">
        <f>IF(ISNUMBER(SEARCH("AMR",Pathogens!C58)),5,IF(ISNUMBER(SEARCH("Mycobacterial",Pathogens!C58)),4,IF(ISNUMBER(SEARCH("Enteric bacterial",Pathogens!C58)),3,IF(ISNUMBER(SEARCH("Bacterial",Pathogens!C58)),3,1))))</f>
        <v>5</v>
      </c>
      <c r="AW61"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1" s="62">
        <f>(6-Pathogens!X58)</f>
        <v>5</v>
      </c>
      <c r="AY61" s="62">
        <f>ROUND(MIN(5,MAX(1,0.35*IF(Pathogens!R58=1,5,IF(Pathogens!R58=2,3,1))+0.2*IF(Pathogens!S58=1,5,IF(Pathogens!S58=2,3,1))+0.25*IF(Pathogens!W58=1,IF(VLOOKUP(G$4,Countries!$B$2:$AN$55,38,FALSE)&gt;=3,5,IF(VLOOKUP(G$4,Countries!$B$2:$AN$55,38,FALSE)=2,4,IF(VLOOKUP(G$4,Countries!$B$2:$AN$55,38,FALSE)=1,2,1))),5)+0.2*IF(VLOOKUP(G$4,Countries!$B$2:$AN$55,24,FALSE)&gt;=50,5,IF(VLOOKUP(G$4,Countries!$B$2:$AN$55,24,FALSE)&gt;=25,4,IF(VLOOKUP(G$4,Countries!$B$2:$AN$55,24,FALSE)&gt;=10,3,IF(VLOOKUP(G$4,Countries!$B$2:$AN$55,24,FALSE)&gt;=5,2,1)))))),0)</f>
        <v>4</v>
      </c>
      <c r="AZ61" s="62" t="str">
        <f>IFERROR(INDEX(Endemicity!$C$2:$BN$55,MATCH(G$4,Endemicity!$B$2:$B$55,0),MATCH($A61,Endemicity!$C$1:$BN$1,0)),"Sporadic")</f>
        <v>Sporadic</v>
      </c>
      <c r="BA61" s="62">
        <f>IF(Settings!$B$48="ON",IFERROR(MATCH($AZ61,Settings!$B$35:$F$35,0),5),5)</f>
        <v>2</v>
      </c>
    </row>
    <row r="62" customHeight="1" spans="1:53">
      <c r="A62" s="61" t="str">
        <f>Calculator!A91</f>
        <v>MECA</v>
      </c>
      <c r="B62" s="61" t="str">
        <f>Calculator!B91</f>
        <v>Methicillin resistance: mecA (MRSA)</v>
      </c>
      <c r="C62" s="61" t="str">
        <f>Calculator!C91</f>
        <v>AMR marker</v>
      </c>
      <c r="D62" s="52">
        <f>IFERROR(ROUND(MIN(100,(($J62)*Settings!$C$23*INDEX(Settings!$B$36:$F$44,1,$T62)+($K62)*Settings!$C$24*INDEX(Settings!$B$36:$F$44,2,$T62)+($L62)*Settings!$C$25*INDEX(Settings!$B$36:$F$44,3,$T62)+($M62)*Settings!$C$26*INDEX(Settings!$B$36:$F$44,4,$T62)+($N62)*Settings!$C$27*INDEX(Settings!$B$36:$F$44,5,$T62)+($O62)*Settings!$C$28*INDEX(Settings!$B$36:$F$44,6,$T62)+($P62)*Settings!$C$29*INDEX(Settings!$B$36:$F$44,7,$T62)+($Q62)*Settings!$C$30*INDEX(Settings!$B$36:$F$44,8,$T62)+($R62)*Settings!$C$31*INDEX(Settings!$B$36:$F$44,9,$T62))/INDEX(Settings!$B$45:$F$45,1,$T62)/5*100*IF($S62="Not present",Settings!$B$51,1)),1),"")</f>
        <v>71.2</v>
      </c>
      <c r="E62" s="52">
        <f>IFERROR(ROUND(MIN(100,(($U62)*Settings!$C$23*INDEX(Settings!$B$36:$F$44,1,$AE62)+($V62)*Settings!$C$24*INDEX(Settings!$B$36:$F$44,2,$AE62)+($W62)*Settings!$C$25*INDEX(Settings!$B$36:$F$44,3,$AE62)+($X62)*Settings!$C$26*INDEX(Settings!$B$36:$F$44,4,$AE62)+($Y62)*Settings!$C$27*INDEX(Settings!$B$36:$F$44,5,$AE62)+($Z62)*Settings!$C$28*INDEX(Settings!$B$36:$F$44,6,$AE62)+($AA62)*Settings!$C$29*INDEX(Settings!$B$36:$F$44,7,$AE62)+($AB62)*Settings!$C$30*INDEX(Settings!$B$36:$F$44,8,$AE62)+($AC62)*Settings!$C$31*INDEX(Settings!$B$36:$F$44,9,$AE62))/INDEX(Settings!$B$45:$F$45,1,$AE62)/5*100*IF($AD62="Not present",Settings!$B$51,1)),1),"")</f>
        <v>74</v>
      </c>
      <c r="F62" s="52">
        <f>IFERROR(ROUND(MIN(100,(($AF62)*Settings!$C$23*INDEX(Settings!$B$36:$F$44,1,$AP62)+($AG62)*Settings!$C$24*INDEX(Settings!$B$36:$F$44,2,$AP62)+($AH62)*Settings!$C$25*INDEX(Settings!$B$36:$F$44,3,$AP62)+($AI62)*Settings!$C$26*INDEX(Settings!$B$36:$F$44,4,$AP62)+($AJ62)*Settings!$C$27*INDEX(Settings!$B$36:$F$44,5,$AP62)+($AK62)*Settings!$C$28*INDEX(Settings!$B$36:$F$44,6,$AP62)+($AL62)*Settings!$C$29*INDEX(Settings!$B$36:$F$44,7,$AP62)+($AM62)*Settings!$C$30*INDEX(Settings!$B$36:$F$44,8,$AP62)+($AN62)*Settings!$C$31*INDEX(Settings!$B$36:$F$44,9,$AP62))/INDEX(Settings!$B$45:$F$45,1,$AP62)/5*100*IF($AO62="Not present",Settings!$B$51,1)),1),"")</f>
        <v>68.5</v>
      </c>
      <c r="G62" s="52">
        <f>IFERROR(ROUND(MIN(100,(($AQ62)*Settings!$C$23*INDEX(Settings!$B$36:$F$44,1,$BA62)+($AR62)*Settings!$C$24*INDEX(Settings!$B$36:$F$44,2,$BA62)+($AS62)*Settings!$C$25*INDEX(Settings!$B$36:$F$44,3,$BA62)+($AT62)*Settings!$C$26*INDEX(Settings!$B$36:$F$44,4,$BA62)+($AU62)*Settings!$C$27*INDEX(Settings!$B$36:$F$44,5,$BA62)+($AV62)*Settings!$C$28*INDEX(Settings!$B$36:$F$44,6,$BA62)+($AW62)*Settings!$C$29*INDEX(Settings!$B$36:$F$44,7,$BA62)+($AX62)*Settings!$C$30*INDEX(Settings!$B$36:$F$44,8,$BA62)+($AY62)*Settings!$C$31*INDEX(Settings!$B$36:$F$44,9,$BA62))/INDEX(Settings!$B$45:$F$45,1,$BA62)/5*100*IF($AZ62="Not present",Settings!$B$51,1)),1),"")</f>
        <v>70.2</v>
      </c>
      <c r="J62" s="62">
        <f>ROUND(MIN(5,IF(Pathogens!I59&gt;=500,5,IF(Pathogens!I59&gt;=200,4,IF(Pathogens!I59&gt;=50,3,IF(Pathogens!I59&gt;=10,2,1))))*0.5+IF(Pathogens!J59&gt;=30,5,IF(Pathogens!J59&gt;=10,4,IF(Pathogens!J59&gt;=3,3,IF(Pathogens!J59&gt;=1,2,1))))*0.4+IF(AND(VLOOKUP(D$4,Countries!$B$2:$AN$55,4,FALSE)&gt;=80,Pathogens!N59&gt;=0.5),1,0)*0.1+IF(VLOOKUP(D$4,Countries!$B$2:$AN$55,7,FALSE)&lt;50,0.3,0)),0)</f>
        <v>3</v>
      </c>
      <c r="K62" s="62">
        <f>ROUND(MIN(5,IF(Pathogens!K59&gt;=8,5,IF(Pathogens!K59&gt;=5,4,IF(Pathogens!K59&gt;=3,3,IF(Pathogens!K59&gt;=1,2,1))))*0.5+IF(Pathogens!L59&gt;=5,5,IF(Pathogens!L59&gt;=3,4,IF(Pathogens!L59&gt;=2,3,IF(Pathogens!L59&gt;=1.2,2,1))))*0.3+IF(Pathogens!M59=1,2,0)*0.2+IF(VLOOKUP(D$4,Countries!$B$2:$AN$55,12,FALSE)&gt;=2,0.5,0)),0)</f>
        <v>3</v>
      </c>
      <c r="L62" s="62">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c r="M62" s="62">
        <f>ROUND(MAX(1,MIN(5,(6-VLOOKUP(D$4,Countries!$B$2:$AN$55,10,FALSE))*0.5+(6-VLOOKUP(D$4,Countries!$B$2:$AN$55,11,FALSE))*0.4+(IF(AND(Pathogens!N59&gt;=0.5,VLOOKUP(D$4,Countries!$B$2:$AN$55,5,FALSE)&lt;60),5,IF(Pathogens!N59&gt;=0.5,4,IF(Pathogens!N59&gt;=0.3,3,IF(Pathogens!N59&gt;=0.1,2,1)))))*0.1)),0)</f>
        <v>2</v>
      </c>
      <c r="N62" s="62">
        <f>IF(ISNUMBER(SEARCH("Vaccine-preventable",Pathogens!C59)),2,IF(ISNUMBER(SEARCH("AMR",Pathogens!C59)),5,IF(ISNUMBER(SEARCH("VHF",Pathogens!C59)),4,IF(ISNUMBER(SEARCH("Emerging",Pathogens!C59)),5,IF(ISNUMBER(SEARCH("Mycobacterial",Pathogens!C59)),3,IF(ISNUMBER(SEARCH("Helminth",Pathogens!C59)),3,IF(ISNUMBER(SEARCH("Respiratory",Pathogens!C59)),4,3)))))))</f>
        <v>5</v>
      </c>
      <c r="O62" s="62">
        <f>IF(ISNUMBER(SEARCH("AMR",Pathogens!C59)),5,IF(ISNUMBER(SEARCH("Mycobacterial",Pathogens!C59)),4,IF(ISNUMBER(SEARCH("Enteric bacterial",Pathogens!C59)),3,IF(ISNUMBER(SEARCH("Bacterial",Pathogens!C59)),3,1))))</f>
        <v>5</v>
      </c>
      <c r="P62"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2" s="62">
        <f>(6-Pathogens!X59)</f>
        <v>4</v>
      </c>
      <c r="R62" s="62">
        <f>ROUND(MIN(5,MAX(1,0.35*IF(Pathogens!R59=1,5,IF(Pathogens!R59=2,3,1))+0.2*IF(Pathogens!S59=1,5,IF(Pathogens!S59=2,3,1))+0.25*IF(Pathogens!W59=1,IF(VLOOKUP(D$4,Countries!$B$2:$AN$55,38,FALSE)&gt;=3,5,IF(VLOOKUP(D$4,Countries!$B$2:$AN$55,38,FALSE)=2,4,IF(VLOOKUP(D$4,Countries!$B$2:$AN$55,38,FALSE)=1,2,1))),5)+0.2*IF(VLOOKUP(D$4,Countries!$B$2:$AN$55,24,FALSE)&gt;=50,5,IF(VLOOKUP(D$4,Countries!$B$2:$AN$55,24,FALSE)&gt;=25,4,IF(VLOOKUP(D$4,Countries!$B$2:$AN$55,24,FALSE)&gt;=10,3,IF(VLOOKUP(D$4,Countries!$B$2:$AN$55,24,FALSE)&gt;=5,2,1)))))),0)</f>
        <v>5</v>
      </c>
      <c r="S62" s="62" t="str">
        <f>IFERROR(INDEX(Endemicity!$C$2:$BN$55,MATCH(D$4,Endemicity!$B$2:$B$55,0),MATCH($A62,Endemicity!$C$1:$BN$1,0)),"Sporadic")</f>
        <v>Endemic</v>
      </c>
      <c r="T62" s="62">
        <f>IF(Settings!$B$48="ON",IFERROR(MATCH($S62,Settings!$B$35:$F$35,0),5),5)</f>
        <v>1</v>
      </c>
      <c r="U62" s="62">
        <f>ROUND(MIN(5,IF(Pathogens!I59&gt;=500,5,IF(Pathogens!I59&gt;=200,4,IF(Pathogens!I59&gt;=50,3,IF(Pathogens!I59&gt;=10,2,1))))*0.5+IF(Pathogens!J59&gt;=30,5,IF(Pathogens!J59&gt;=10,4,IF(Pathogens!J59&gt;=3,3,IF(Pathogens!J59&gt;=1,2,1))))*0.4+IF(AND(VLOOKUP(E$4,Countries!$B$2:$AN$55,4,FALSE)&gt;=80,Pathogens!N59&gt;=0.5),1,0)*0.1+IF(VLOOKUP(E$4,Countries!$B$2:$AN$55,7,FALSE)&lt;50,0.3,0)),0)</f>
        <v>3</v>
      </c>
      <c r="V62" s="62">
        <f>ROUND(MIN(5,IF(Pathogens!K59&gt;=8,5,IF(Pathogens!K59&gt;=5,4,IF(Pathogens!K59&gt;=3,3,IF(Pathogens!K59&gt;=1,2,1))))*0.5+IF(Pathogens!L59&gt;=5,5,IF(Pathogens!L59&gt;=3,4,IF(Pathogens!L59&gt;=2,3,IF(Pathogens!L59&gt;=1.2,2,1))))*0.3+IF(Pathogens!M59=1,2,0)*0.2+IF(VLOOKUP(E$4,Countries!$B$2:$AN$55,12,FALSE)&gt;=2,0.5,0)),0)</f>
        <v>3</v>
      </c>
      <c r="W62" s="62">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c r="X62" s="62">
        <f>ROUND(MAX(1,MIN(5,(6-VLOOKUP(E$4,Countries!$B$2:$AN$55,10,FALSE))*0.5+(6-VLOOKUP(E$4,Countries!$B$2:$AN$55,11,FALSE))*0.4+(IF(AND(Pathogens!N59&gt;=0.5,VLOOKUP(E$4,Countries!$B$2:$AN$55,5,FALSE)&lt;60),5,IF(Pathogens!N59&gt;=0.5,4,IF(Pathogens!N59&gt;=0.3,3,IF(Pathogens!N59&gt;=0.1,2,1)))))*0.1)),0)</f>
        <v>3</v>
      </c>
      <c r="Y62" s="62">
        <f>IF(ISNUMBER(SEARCH("Vaccine-preventable",Pathogens!C59)),2,IF(ISNUMBER(SEARCH("AMR",Pathogens!C59)),5,IF(ISNUMBER(SEARCH("VHF",Pathogens!C59)),4,IF(ISNUMBER(SEARCH("Emerging",Pathogens!C59)),5,IF(ISNUMBER(SEARCH("Mycobacterial",Pathogens!C59)),3,IF(ISNUMBER(SEARCH("Helminth",Pathogens!C59)),3,IF(ISNUMBER(SEARCH("Respiratory",Pathogens!C59)),4,3)))))))</f>
        <v>5</v>
      </c>
      <c r="Z62" s="62">
        <f>IF(ISNUMBER(SEARCH("AMR",Pathogens!C59)),5,IF(ISNUMBER(SEARCH("Mycobacterial",Pathogens!C59)),4,IF(ISNUMBER(SEARCH("Enteric bacterial",Pathogens!C59)),3,IF(ISNUMBER(SEARCH("Bacterial",Pathogens!C59)),3,1))))</f>
        <v>5</v>
      </c>
      <c r="AA62"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2" s="62">
        <f>(6-Pathogens!X59)</f>
        <v>4</v>
      </c>
      <c r="AC62" s="62">
        <f>ROUND(MIN(5,MAX(1,0.35*IF(Pathogens!R59=1,5,IF(Pathogens!R59=2,3,1))+0.2*IF(Pathogens!S59=1,5,IF(Pathogens!S59=2,3,1))+0.25*IF(Pathogens!W59=1,IF(VLOOKUP(E$4,Countries!$B$2:$AN$55,38,FALSE)&gt;=3,5,IF(VLOOKUP(E$4,Countries!$B$2:$AN$55,38,FALSE)=2,4,IF(VLOOKUP(E$4,Countries!$B$2:$AN$55,38,FALSE)=1,2,1))),5)+0.2*IF(VLOOKUP(E$4,Countries!$B$2:$AN$55,24,FALSE)&gt;=50,5,IF(VLOOKUP(E$4,Countries!$B$2:$AN$55,24,FALSE)&gt;=25,4,IF(VLOOKUP(E$4,Countries!$B$2:$AN$55,24,FALSE)&gt;=10,3,IF(VLOOKUP(E$4,Countries!$B$2:$AN$55,24,FALSE)&gt;=5,2,1)))))),0)</f>
        <v>4</v>
      </c>
      <c r="AD62" s="62" t="str">
        <f>IFERROR(INDEX(Endemicity!$C$2:$BN$55,MATCH(E$4,Endemicity!$B$2:$B$55,0),MATCH($A62,Endemicity!$C$1:$BN$1,0)),"Sporadic")</f>
        <v>Endemic</v>
      </c>
      <c r="AE62" s="62">
        <f>IF(Settings!$B$48="ON",IFERROR(MATCH($AD62,Settings!$B$35:$F$35,0),5),5)</f>
        <v>1</v>
      </c>
      <c r="AF62" s="62">
        <f>ROUND(MIN(5,IF(Pathogens!I59&gt;=500,5,IF(Pathogens!I59&gt;=200,4,IF(Pathogens!I59&gt;=50,3,IF(Pathogens!I59&gt;=10,2,1))))*0.5+IF(Pathogens!J59&gt;=30,5,IF(Pathogens!J59&gt;=10,4,IF(Pathogens!J59&gt;=3,3,IF(Pathogens!J59&gt;=1,2,1))))*0.4+IF(AND(VLOOKUP(F$4,Countries!$B$2:$AN$55,4,FALSE)&gt;=80,Pathogens!N59&gt;=0.5),1,0)*0.1+IF(VLOOKUP(F$4,Countries!$B$2:$AN$55,7,FALSE)&lt;50,0.3,0)),0)</f>
        <v>3</v>
      </c>
      <c r="AG62" s="62">
        <f>ROUND(MIN(5,IF(Pathogens!K59&gt;=8,5,IF(Pathogens!K59&gt;=5,4,IF(Pathogens!K59&gt;=3,3,IF(Pathogens!K59&gt;=1,2,1))))*0.5+IF(Pathogens!L59&gt;=5,5,IF(Pathogens!L59&gt;=3,4,IF(Pathogens!L59&gt;=2,3,IF(Pathogens!L59&gt;=1.2,2,1))))*0.3+IF(Pathogens!M59=1,2,0)*0.2+IF(VLOOKUP(F$4,Countries!$B$2:$AN$55,12,FALSE)&gt;=2,0.5,0)),0)</f>
        <v>3</v>
      </c>
      <c r="AH62" s="62">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c r="AI62" s="62">
        <f>ROUND(MAX(1,MIN(5,(6-VLOOKUP(F$4,Countries!$B$2:$AN$55,10,FALSE))*0.5+(6-VLOOKUP(F$4,Countries!$B$2:$AN$55,11,FALSE))*0.4+(IF(AND(Pathogens!N59&gt;=0.5,VLOOKUP(F$4,Countries!$B$2:$AN$55,5,FALSE)&lt;60),5,IF(Pathogens!N59&gt;=0.5,4,IF(Pathogens!N59&gt;=0.3,3,IF(Pathogens!N59&gt;=0.1,2,1)))))*0.1)),0)</f>
        <v>2</v>
      </c>
      <c r="AJ62" s="62">
        <f>IF(ISNUMBER(SEARCH("Vaccine-preventable",Pathogens!C59)),2,IF(ISNUMBER(SEARCH("AMR",Pathogens!C59)),5,IF(ISNUMBER(SEARCH("VHF",Pathogens!C59)),4,IF(ISNUMBER(SEARCH("Emerging",Pathogens!C59)),5,IF(ISNUMBER(SEARCH("Mycobacterial",Pathogens!C59)),3,IF(ISNUMBER(SEARCH("Helminth",Pathogens!C59)),3,IF(ISNUMBER(SEARCH("Respiratory",Pathogens!C59)),4,3)))))))</f>
        <v>5</v>
      </c>
      <c r="AK62" s="62">
        <f>IF(ISNUMBER(SEARCH("AMR",Pathogens!C59)),5,IF(ISNUMBER(SEARCH("Mycobacterial",Pathogens!C59)),4,IF(ISNUMBER(SEARCH("Enteric bacterial",Pathogens!C59)),3,IF(ISNUMBER(SEARCH("Bacterial",Pathogens!C59)),3,1))))</f>
        <v>5</v>
      </c>
      <c r="AL62"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2" s="62">
        <f>(6-Pathogens!X59)</f>
        <v>4</v>
      </c>
      <c r="AN62" s="62">
        <f>ROUND(MIN(5,MAX(1,0.35*IF(Pathogens!R59=1,5,IF(Pathogens!R59=2,3,1))+0.2*IF(Pathogens!S59=1,5,IF(Pathogens!S59=2,3,1))+0.25*IF(Pathogens!W59=1,IF(VLOOKUP(F$4,Countries!$B$2:$AN$55,38,FALSE)&gt;=3,5,IF(VLOOKUP(F$4,Countries!$B$2:$AN$55,38,FALSE)=2,4,IF(VLOOKUP(F$4,Countries!$B$2:$AN$55,38,FALSE)=1,2,1))),5)+0.2*IF(VLOOKUP(F$4,Countries!$B$2:$AN$55,24,FALSE)&gt;=50,5,IF(VLOOKUP(F$4,Countries!$B$2:$AN$55,24,FALSE)&gt;=25,4,IF(VLOOKUP(F$4,Countries!$B$2:$AN$55,24,FALSE)&gt;=10,3,IF(VLOOKUP(F$4,Countries!$B$2:$AN$55,24,FALSE)&gt;=5,2,1)))))),0)</f>
        <v>4</v>
      </c>
      <c r="AO62" s="62" t="str">
        <f>IFERROR(INDEX(Endemicity!$C$2:$BN$55,MATCH(F$4,Endemicity!$B$2:$B$55,0),MATCH($A62,Endemicity!$C$1:$BN$1,0)),"Sporadic")</f>
        <v>Endemic</v>
      </c>
      <c r="AP62" s="62">
        <f>IF(Settings!$B$48="ON",IFERROR(MATCH($AO62,Settings!$B$35:$F$35,0),5),5)</f>
        <v>1</v>
      </c>
      <c r="AQ62" s="62">
        <f>ROUND(MIN(5,IF(Pathogens!I59&gt;=500,5,IF(Pathogens!I59&gt;=200,4,IF(Pathogens!I59&gt;=50,3,IF(Pathogens!I59&gt;=10,2,1))))*0.5+IF(Pathogens!J59&gt;=30,5,IF(Pathogens!J59&gt;=10,4,IF(Pathogens!J59&gt;=3,3,IF(Pathogens!J59&gt;=1,2,1))))*0.4+IF(AND(VLOOKUP(G$4,Countries!$B$2:$AN$55,4,FALSE)&gt;=80,Pathogens!N59&gt;=0.5),1,0)*0.1+IF(VLOOKUP(G$4,Countries!$B$2:$AN$55,7,FALSE)&lt;50,0.3,0)),0)</f>
        <v>3</v>
      </c>
      <c r="AR62" s="62">
        <f>ROUND(MIN(5,IF(Pathogens!K59&gt;=8,5,IF(Pathogens!K59&gt;=5,4,IF(Pathogens!K59&gt;=3,3,IF(Pathogens!K59&gt;=1,2,1))))*0.5+IF(Pathogens!L59&gt;=5,5,IF(Pathogens!L59&gt;=3,4,IF(Pathogens!L59&gt;=2,3,IF(Pathogens!L59&gt;=1.2,2,1))))*0.3+IF(Pathogens!M59=1,2,0)*0.2+IF(VLOOKUP(G$4,Countries!$B$2:$AN$55,12,FALSE)&gt;=2,0.5,0)),0)</f>
        <v>3</v>
      </c>
      <c r="AS62" s="62">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c r="AT62" s="62">
        <f>ROUND(MAX(1,MIN(5,(6-VLOOKUP(G$4,Countries!$B$2:$AN$55,10,FALSE))*0.5+(6-VLOOKUP(G$4,Countries!$B$2:$AN$55,11,FALSE))*0.4+(IF(AND(Pathogens!N59&gt;=0.5,VLOOKUP(G$4,Countries!$B$2:$AN$55,5,FALSE)&lt;60),5,IF(Pathogens!N59&gt;=0.5,4,IF(Pathogens!N59&gt;=0.3,3,IF(Pathogens!N59&gt;=0.1,2,1)))))*0.1)),0)</f>
        <v>2</v>
      </c>
      <c r="AU62" s="62">
        <f>IF(ISNUMBER(SEARCH("Vaccine-preventable",Pathogens!C59)),2,IF(ISNUMBER(SEARCH("AMR",Pathogens!C59)),5,IF(ISNUMBER(SEARCH("VHF",Pathogens!C59)),4,IF(ISNUMBER(SEARCH("Emerging",Pathogens!C59)),5,IF(ISNUMBER(SEARCH("Mycobacterial",Pathogens!C59)),3,IF(ISNUMBER(SEARCH("Helminth",Pathogens!C59)),3,IF(ISNUMBER(SEARCH("Respiratory",Pathogens!C59)),4,3)))))))</f>
        <v>5</v>
      </c>
      <c r="AV62" s="62">
        <f>IF(ISNUMBER(SEARCH("AMR",Pathogens!C59)),5,IF(ISNUMBER(SEARCH("Mycobacterial",Pathogens!C59)),4,IF(ISNUMBER(SEARCH("Enteric bacterial",Pathogens!C59)),3,IF(ISNUMBER(SEARCH("Bacterial",Pathogens!C59)),3,1))))</f>
        <v>5</v>
      </c>
      <c r="AW62"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2" s="62">
        <f>(6-Pathogens!X59)</f>
        <v>4</v>
      </c>
      <c r="AY62" s="62">
        <f>ROUND(MIN(5,MAX(1,0.35*IF(Pathogens!R59=1,5,IF(Pathogens!R59=2,3,1))+0.2*IF(Pathogens!S59=1,5,IF(Pathogens!S59=2,3,1))+0.25*IF(Pathogens!W59=1,IF(VLOOKUP(G$4,Countries!$B$2:$AN$55,38,FALSE)&gt;=3,5,IF(VLOOKUP(G$4,Countries!$B$2:$AN$55,38,FALSE)=2,4,IF(VLOOKUP(G$4,Countries!$B$2:$AN$55,38,FALSE)=1,2,1))),5)+0.2*IF(VLOOKUP(G$4,Countries!$B$2:$AN$55,24,FALSE)&gt;=50,5,IF(VLOOKUP(G$4,Countries!$B$2:$AN$55,24,FALSE)&gt;=25,4,IF(VLOOKUP(G$4,Countries!$B$2:$AN$55,24,FALSE)&gt;=10,3,IF(VLOOKUP(G$4,Countries!$B$2:$AN$55,24,FALSE)&gt;=5,2,1)))))),0)</f>
        <v>4</v>
      </c>
      <c r="AZ62" s="62" t="str">
        <f>IFERROR(INDEX(Endemicity!$C$2:$BN$55,MATCH(G$4,Endemicity!$B$2:$B$55,0),MATCH($A62,Endemicity!$C$1:$BN$1,0)),"Sporadic")</f>
        <v>Endemic</v>
      </c>
      <c r="BA62" s="62">
        <f>IF(Settings!$B$48="ON",IFERROR(MATCH($AZ62,Settings!$B$35:$F$35,0),5),5)</f>
        <v>1</v>
      </c>
    </row>
    <row r="63" customHeight="1" spans="1:53">
      <c r="A63" s="61" t="str">
        <f>Calculator!A92</f>
        <v>BLATEM</v>
      </c>
      <c r="B63" s="61" t="str">
        <f>Calculator!B92</f>
        <v>blaTEM/SHV broad-spectrum BL</v>
      </c>
      <c r="C63" s="61" t="str">
        <f>Calculator!C92</f>
        <v>AMR marker</v>
      </c>
      <c r="D63" s="52">
        <f>IFERROR(ROUND(MIN(100,(($J63)*Settings!$C$23*INDEX(Settings!$B$36:$F$44,1,$T63)+($K63)*Settings!$C$24*INDEX(Settings!$B$36:$F$44,2,$T63)+($L63)*Settings!$C$25*INDEX(Settings!$B$36:$F$44,3,$T63)+($M63)*Settings!$C$26*INDEX(Settings!$B$36:$F$44,4,$T63)+($N63)*Settings!$C$27*INDEX(Settings!$B$36:$F$44,5,$T63)+($O63)*Settings!$C$28*INDEX(Settings!$B$36:$F$44,6,$T63)+($P63)*Settings!$C$29*INDEX(Settings!$B$36:$F$44,7,$T63)+($Q63)*Settings!$C$30*INDEX(Settings!$B$36:$F$44,8,$T63)+($R63)*Settings!$C$31*INDEX(Settings!$B$36:$F$44,9,$T63))/INDEX(Settings!$B$45:$F$45,1,$T63)/5*100*IF($S63="Not present",Settings!$B$51,1)),1),"")</f>
        <v>75.3</v>
      </c>
      <c r="E63" s="52">
        <f>IFERROR(ROUND(MIN(100,(($U63)*Settings!$C$23*INDEX(Settings!$B$36:$F$44,1,$AE63)+($V63)*Settings!$C$24*INDEX(Settings!$B$36:$F$44,2,$AE63)+($W63)*Settings!$C$25*INDEX(Settings!$B$36:$F$44,3,$AE63)+($X63)*Settings!$C$26*INDEX(Settings!$B$36:$F$44,4,$AE63)+($Y63)*Settings!$C$27*INDEX(Settings!$B$36:$F$44,5,$AE63)+($Z63)*Settings!$C$28*INDEX(Settings!$B$36:$F$44,6,$AE63)+($AA63)*Settings!$C$29*INDEX(Settings!$B$36:$F$44,7,$AE63)+($AB63)*Settings!$C$30*INDEX(Settings!$B$36:$F$44,8,$AE63)+($AC63)*Settings!$C$31*INDEX(Settings!$B$36:$F$44,9,$AE63))/INDEX(Settings!$B$45:$F$45,1,$AE63)/5*100*IF($AD63="Not present",Settings!$B$51,1)),1),"")</f>
        <v>78.1</v>
      </c>
      <c r="F63" s="52">
        <f>IFERROR(ROUND(MIN(100,(($AF63)*Settings!$C$23*INDEX(Settings!$B$36:$F$44,1,$AP63)+($AG63)*Settings!$C$24*INDEX(Settings!$B$36:$F$44,2,$AP63)+($AH63)*Settings!$C$25*INDEX(Settings!$B$36:$F$44,3,$AP63)+($AI63)*Settings!$C$26*INDEX(Settings!$B$36:$F$44,4,$AP63)+($AJ63)*Settings!$C$27*INDEX(Settings!$B$36:$F$44,5,$AP63)+($AK63)*Settings!$C$28*INDEX(Settings!$B$36:$F$44,6,$AP63)+($AL63)*Settings!$C$29*INDEX(Settings!$B$36:$F$44,7,$AP63)+($AM63)*Settings!$C$30*INDEX(Settings!$B$36:$F$44,8,$AP63)+($AN63)*Settings!$C$31*INDEX(Settings!$B$36:$F$44,9,$AP63))/INDEX(Settings!$B$45:$F$45,1,$AP63)/5*100*IF($AO63="Not present",Settings!$B$51,1)),1),"")</f>
        <v>72.5</v>
      </c>
      <c r="G63" s="52">
        <f>IFERROR(ROUND(MIN(100,(($AQ63)*Settings!$C$23*INDEX(Settings!$B$36:$F$44,1,$BA63)+($AR63)*Settings!$C$24*INDEX(Settings!$B$36:$F$44,2,$BA63)+($AS63)*Settings!$C$25*INDEX(Settings!$B$36:$F$44,3,$BA63)+($AT63)*Settings!$C$26*INDEX(Settings!$B$36:$F$44,4,$BA63)+($AU63)*Settings!$C$27*INDEX(Settings!$B$36:$F$44,5,$BA63)+($AV63)*Settings!$C$28*INDEX(Settings!$B$36:$F$44,6,$BA63)+($AW63)*Settings!$C$29*INDEX(Settings!$B$36:$F$44,7,$BA63)+($AX63)*Settings!$C$30*INDEX(Settings!$B$36:$F$44,8,$BA63)+($AY63)*Settings!$C$31*INDEX(Settings!$B$36:$F$44,9,$BA63))/INDEX(Settings!$B$45:$F$45,1,$BA63)/5*100*IF($AZ63="Not present",Settings!$B$51,1)),1),"")</f>
        <v>74.3</v>
      </c>
      <c r="J63" s="62">
        <f>ROUND(MIN(5,IF(Pathogens!I60&gt;=500,5,IF(Pathogens!I60&gt;=200,4,IF(Pathogens!I60&gt;=50,3,IF(Pathogens!I60&gt;=10,2,1))))*0.5+IF(Pathogens!J60&gt;=30,5,IF(Pathogens!J60&gt;=10,4,IF(Pathogens!J60&gt;=3,3,IF(Pathogens!J60&gt;=1,2,1))))*0.4+IF(AND(VLOOKUP(D$4,Countries!$B$2:$AN$55,4,FALSE)&gt;=80,Pathogens!N60&gt;=0.5),1,0)*0.1+IF(VLOOKUP(D$4,Countries!$B$2:$AN$55,7,FALSE)&lt;50,0.3,0)),0)</f>
        <v>3</v>
      </c>
      <c r="K63" s="62">
        <f>ROUND(MIN(5,IF(Pathogens!K60&gt;=8,5,IF(Pathogens!K60&gt;=5,4,IF(Pathogens!K60&gt;=3,3,IF(Pathogens!K60&gt;=1,2,1))))*0.5+IF(Pathogens!L60&gt;=5,5,IF(Pathogens!L60&gt;=3,4,IF(Pathogens!L60&gt;=2,3,IF(Pathogens!L60&gt;=1.2,2,1))))*0.3+IF(Pathogens!M60=1,2,0)*0.2+IF(VLOOKUP(D$4,Countries!$B$2:$AN$55,12,FALSE)&gt;=2,0.5,0)),0)</f>
        <v>3</v>
      </c>
      <c r="L63" s="62">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c r="M63" s="62">
        <f>ROUND(MAX(1,MIN(5,(6-VLOOKUP(D$4,Countries!$B$2:$AN$55,10,FALSE))*0.5+(6-VLOOKUP(D$4,Countries!$B$2:$AN$55,11,FALSE))*0.4+(IF(AND(Pathogens!N60&gt;=0.5,VLOOKUP(D$4,Countries!$B$2:$AN$55,5,FALSE)&lt;60),5,IF(Pathogens!N60&gt;=0.5,4,IF(Pathogens!N60&gt;=0.3,3,IF(Pathogens!N60&gt;=0.1,2,1)))))*0.1)),0)</f>
        <v>2</v>
      </c>
      <c r="N63" s="62">
        <f>IF(ISNUMBER(SEARCH("Vaccine-preventable",Pathogens!C60)),2,IF(ISNUMBER(SEARCH("AMR",Pathogens!C60)),5,IF(ISNUMBER(SEARCH("VHF",Pathogens!C60)),4,IF(ISNUMBER(SEARCH("Emerging",Pathogens!C60)),5,IF(ISNUMBER(SEARCH("Mycobacterial",Pathogens!C60)),3,IF(ISNUMBER(SEARCH("Helminth",Pathogens!C60)),3,IF(ISNUMBER(SEARCH("Respiratory",Pathogens!C60)),4,3)))))))</f>
        <v>5</v>
      </c>
      <c r="O63" s="62">
        <f>IF(ISNUMBER(SEARCH("AMR",Pathogens!C60)),5,IF(ISNUMBER(SEARCH("Mycobacterial",Pathogens!C60)),4,IF(ISNUMBER(SEARCH("Enteric bacterial",Pathogens!C60)),3,IF(ISNUMBER(SEARCH("Bacterial",Pathogens!C60)),3,1))))</f>
        <v>5</v>
      </c>
      <c r="P63"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3" s="62">
        <f>(6-Pathogens!X60)</f>
        <v>5</v>
      </c>
      <c r="R63" s="62">
        <f>ROUND(MIN(5,MAX(1,0.35*IF(Pathogens!R60=1,5,IF(Pathogens!R60=2,3,1))+0.2*IF(Pathogens!S60=1,5,IF(Pathogens!S60=2,3,1))+0.25*IF(Pathogens!W60=1,IF(VLOOKUP(D$4,Countries!$B$2:$AN$55,38,FALSE)&gt;=3,5,IF(VLOOKUP(D$4,Countries!$B$2:$AN$55,38,FALSE)=2,4,IF(VLOOKUP(D$4,Countries!$B$2:$AN$55,38,FALSE)=1,2,1))),5)+0.2*IF(VLOOKUP(D$4,Countries!$B$2:$AN$55,24,FALSE)&gt;=50,5,IF(VLOOKUP(D$4,Countries!$B$2:$AN$55,24,FALSE)&gt;=25,4,IF(VLOOKUP(D$4,Countries!$B$2:$AN$55,24,FALSE)&gt;=10,3,IF(VLOOKUP(D$4,Countries!$B$2:$AN$55,24,FALSE)&gt;=5,2,1)))))),0)</f>
        <v>5</v>
      </c>
      <c r="S63" s="62" t="str">
        <f>IFERROR(INDEX(Endemicity!$C$2:$BN$55,MATCH(D$4,Endemicity!$B$2:$B$55,0),MATCH($A63,Endemicity!$C$1:$BN$1,0)),"Sporadic")</f>
        <v>Endemic</v>
      </c>
      <c r="T63" s="62">
        <f>IF(Settings!$B$48="ON",IFERROR(MATCH($S63,Settings!$B$35:$F$35,0),5),5)</f>
        <v>1</v>
      </c>
      <c r="U63" s="62">
        <f>ROUND(MIN(5,IF(Pathogens!I60&gt;=500,5,IF(Pathogens!I60&gt;=200,4,IF(Pathogens!I60&gt;=50,3,IF(Pathogens!I60&gt;=10,2,1))))*0.5+IF(Pathogens!J60&gt;=30,5,IF(Pathogens!J60&gt;=10,4,IF(Pathogens!J60&gt;=3,3,IF(Pathogens!J60&gt;=1,2,1))))*0.4+IF(AND(VLOOKUP(E$4,Countries!$B$2:$AN$55,4,FALSE)&gt;=80,Pathogens!N60&gt;=0.5),1,0)*0.1+IF(VLOOKUP(E$4,Countries!$B$2:$AN$55,7,FALSE)&lt;50,0.3,0)),0)</f>
        <v>3</v>
      </c>
      <c r="V63" s="62">
        <f>ROUND(MIN(5,IF(Pathogens!K60&gt;=8,5,IF(Pathogens!K60&gt;=5,4,IF(Pathogens!K60&gt;=3,3,IF(Pathogens!K60&gt;=1,2,1))))*0.5+IF(Pathogens!L60&gt;=5,5,IF(Pathogens!L60&gt;=3,4,IF(Pathogens!L60&gt;=2,3,IF(Pathogens!L60&gt;=1.2,2,1))))*0.3+IF(Pathogens!M60=1,2,0)*0.2+IF(VLOOKUP(E$4,Countries!$B$2:$AN$55,12,FALSE)&gt;=2,0.5,0)),0)</f>
        <v>3</v>
      </c>
      <c r="W63" s="62">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c r="X63" s="62">
        <f>ROUND(MAX(1,MIN(5,(6-VLOOKUP(E$4,Countries!$B$2:$AN$55,10,FALSE))*0.5+(6-VLOOKUP(E$4,Countries!$B$2:$AN$55,11,FALSE))*0.4+(IF(AND(Pathogens!N60&gt;=0.5,VLOOKUP(E$4,Countries!$B$2:$AN$55,5,FALSE)&lt;60),5,IF(Pathogens!N60&gt;=0.5,4,IF(Pathogens!N60&gt;=0.3,3,IF(Pathogens!N60&gt;=0.1,2,1)))))*0.1)),0)</f>
        <v>3</v>
      </c>
      <c r="Y63" s="62">
        <f>IF(ISNUMBER(SEARCH("Vaccine-preventable",Pathogens!C60)),2,IF(ISNUMBER(SEARCH("AMR",Pathogens!C60)),5,IF(ISNUMBER(SEARCH("VHF",Pathogens!C60)),4,IF(ISNUMBER(SEARCH("Emerging",Pathogens!C60)),5,IF(ISNUMBER(SEARCH("Mycobacterial",Pathogens!C60)),3,IF(ISNUMBER(SEARCH("Helminth",Pathogens!C60)),3,IF(ISNUMBER(SEARCH("Respiratory",Pathogens!C60)),4,3)))))))</f>
        <v>5</v>
      </c>
      <c r="Z63" s="62">
        <f>IF(ISNUMBER(SEARCH("AMR",Pathogens!C60)),5,IF(ISNUMBER(SEARCH("Mycobacterial",Pathogens!C60)),4,IF(ISNUMBER(SEARCH("Enteric bacterial",Pathogens!C60)),3,IF(ISNUMBER(SEARCH("Bacterial",Pathogens!C60)),3,1))))</f>
        <v>5</v>
      </c>
      <c r="AA63"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3" s="62">
        <f>(6-Pathogens!X60)</f>
        <v>5</v>
      </c>
      <c r="AC63" s="62">
        <f>ROUND(MIN(5,MAX(1,0.35*IF(Pathogens!R60=1,5,IF(Pathogens!R60=2,3,1))+0.2*IF(Pathogens!S60=1,5,IF(Pathogens!S60=2,3,1))+0.25*IF(Pathogens!W60=1,IF(VLOOKUP(E$4,Countries!$B$2:$AN$55,38,FALSE)&gt;=3,5,IF(VLOOKUP(E$4,Countries!$B$2:$AN$55,38,FALSE)=2,4,IF(VLOOKUP(E$4,Countries!$B$2:$AN$55,38,FALSE)=1,2,1))),5)+0.2*IF(VLOOKUP(E$4,Countries!$B$2:$AN$55,24,FALSE)&gt;=50,5,IF(VLOOKUP(E$4,Countries!$B$2:$AN$55,24,FALSE)&gt;=25,4,IF(VLOOKUP(E$4,Countries!$B$2:$AN$55,24,FALSE)&gt;=10,3,IF(VLOOKUP(E$4,Countries!$B$2:$AN$55,24,FALSE)&gt;=5,2,1)))))),0)</f>
        <v>4</v>
      </c>
      <c r="AD63" s="62" t="str">
        <f>IFERROR(INDEX(Endemicity!$C$2:$BN$55,MATCH(E$4,Endemicity!$B$2:$B$55,0),MATCH($A63,Endemicity!$C$1:$BN$1,0)),"Sporadic")</f>
        <v>Endemic</v>
      </c>
      <c r="AE63" s="62">
        <f>IF(Settings!$B$48="ON",IFERROR(MATCH($AD63,Settings!$B$35:$F$35,0),5),5)</f>
        <v>1</v>
      </c>
      <c r="AF63" s="62">
        <f>ROUND(MIN(5,IF(Pathogens!I60&gt;=500,5,IF(Pathogens!I60&gt;=200,4,IF(Pathogens!I60&gt;=50,3,IF(Pathogens!I60&gt;=10,2,1))))*0.5+IF(Pathogens!J60&gt;=30,5,IF(Pathogens!J60&gt;=10,4,IF(Pathogens!J60&gt;=3,3,IF(Pathogens!J60&gt;=1,2,1))))*0.4+IF(AND(VLOOKUP(F$4,Countries!$B$2:$AN$55,4,FALSE)&gt;=80,Pathogens!N60&gt;=0.5),1,0)*0.1+IF(VLOOKUP(F$4,Countries!$B$2:$AN$55,7,FALSE)&lt;50,0.3,0)),0)</f>
        <v>3</v>
      </c>
      <c r="AG63" s="62">
        <f>ROUND(MIN(5,IF(Pathogens!K60&gt;=8,5,IF(Pathogens!K60&gt;=5,4,IF(Pathogens!K60&gt;=3,3,IF(Pathogens!K60&gt;=1,2,1))))*0.5+IF(Pathogens!L60&gt;=5,5,IF(Pathogens!L60&gt;=3,4,IF(Pathogens!L60&gt;=2,3,IF(Pathogens!L60&gt;=1.2,2,1))))*0.3+IF(Pathogens!M60=1,2,0)*0.2+IF(VLOOKUP(F$4,Countries!$B$2:$AN$55,12,FALSE)&gt;=2,0.5,0)),0)</f>
        <v>3</v>
      </c>
      <c r="AH63" s="62">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c r="AI63" s="62">
        <f>ROUND(MAX(1,MIN(5,(6-VLOOKUP(F$4,Countries!$B$2:$AN$55,10,FALSE))*0.5+(6-VLOOKUP(F$4,Countries!$B$2:$AN$55,11,FALSE))*0.4+(IF(AND(Pathogens!N60&gt;=0.5,VLOOKUP(F$4,Countries!$B$2:$AN$55,5,FALSE)&lt;60),5,IF(Pathogens!N60&gt;=0.5,4,IF(Pathogens!N60&gt;=0.3,3,IF(Pathogens!N60&gt;=0.1,2,1)))))*0.1)),0)</f>
        <v>2</v>
      </c>
      <c r="AJ63" s="62">
        <f>IF(ISNUMBER(SEARCH("Vaccine-preventable",Pathogens!C60)),2,IF(ISNUMBER(SEARCH("AMR",Pathogens!C60)),5,IF(ISNUMBER(SEARCH("VHF",Pathogens!C60)),4,IF(ISNUMBER(SEARCH("Emerging",Pathogens!C60)),5,IF(ISNUMBER(SEARCH("Mycobacterial",Pathogens!C60)),3,IF(ISNUMBER(SEARCH("Helminth",Pathogens!C60)),3,IF(ISNUMBER(SEARCH("Respiratory",Pathogens!C60)),4,3)))))))</f>
        <v>5</v>
      </c>
      <c r="AK63" s="62">
        <f>IF(ISNUMBER(SEARCH("AMR",Pathogens!C60)),5,IF(ISNUMBER(SEARCH("Mycobacterial",Pathogens!C60)),4,IF(ISNUMBER(SEARCH("Enteric bacterial",Pathogens!C60)),3,IF(ISNUMBER(SEARCH("Bacterial",Pathogens!C60)),3,1))))</f>
        <v>5</v>
      </c>
      <c r="AL63"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3" s="62">
        <f>(6-Pathogens!X60)</f>
        <v>5</v>
      </c>
      <c r="AN63" s="62">
        <f>ROUND(MIN(5,MAX(1,0.35*IF(Pathogens!R60=1,5,IF(Pathogens!R60=2,3,1))+0.2*IF(Pathogens!S60=1,5,IF(Pathogens!S60=2,3,1))+0.25*IF(Pathogens!W60=1,IF(VLOOKUP(F$4,Countries!$B$2:$AN$55,38,FALSE)&gt;=3,5,IF(VLOOKUP(F$4,Countries!$B$2:$AN$55,38,FALSE)=2,4,IF(VLOOKUP(F$4,Countries!$B$2:$AN$55,38,FALSE)=1,2,1))),5)+0.2*IF(VLOOKUP(F$4,Countries!$B$2:$AN$55,24,FALSE)&gt;=50,5,IF(VLOOKUP(F$4,Countries!$B$2:$AN$55,24,FALSE)&gt;=25,4,IF(VLOOKUP(F$4,Countries!$B$2:$AN$55,24,FALSE)&gt;=10,3,IF(VLOOKUP(F$4,Countries!$B$2:$AN$55,24,FALSE)&gt;=5,2,1)))))),0)</f>
        <v>4</v>
      </c>
      <c r="AO63" s="62" t="str">
        <f>IFERROR(INDEX(Endemicity!$C$2:$BN$55,MATCH(F$4,Endemicity!$B$2:$B$55,0),MATCH($A63,Endemicity!$C$1:$BN$1,0)),"Sporadic")</f>
        <v>Endemic</v>
      </c>
      <c r="AP63" s="62">
        <f>IF(Settings!$B$48="ON",IFERROR(MATCH($AO63,Settings!$B$35:$F$35,0),5),5)</f>
        <v>1</v>
      </c>
      <c r="AQ63" s="62">
        <f>ROUND(MIN(5,IF(Pathogens!I60&gt;=500,5,IF(Pathogens!I60&gt;=200,4,IF(Pathogens!I60&gt;=50,3,IF(Pathogens!I60&gt;=10,2,1))))*0.5+IF(Pathogens!J60&gt;=30,5,IF(Pathogens!J60&gt;=10,4,IF(Pathogens!J60&gt;=3,3,IF(Pathogens!J60&gt;=1,2,1))))*0.4+IF(AND(VLOOKUP(G$4,Countries!$B$2:$AN$55,4,FALSE)&gt;=80,Pathogens!N60&gt;=0.5),1,0)*0.1+IF(VLOOKUP(G$4,Countries!$B$2:$AN$55,7,FALSE)&lt;50,0.3,0)),0)</f>
        <v>3</v>
      </c>
      <c r="AR63" s="62">
        <f>ROUND(MIN(5,IF(Pathogens!K60&gt;=8,5,IF(Pathogens!K60&gt;=5,4,IF(Pathogens!K60&gt;=3,3,IF(Pathogens!K60&gt;=1,2,1))))*0.5+IF(Pathogens!L60&gt;=5,5,IF(Pathogens!L60&gt;=3,4,IF(Pathogens!L60&gt;=2,3,IF(Pathogens!L60&gt;=1.2,2,1))))*0.3+IF(Pathogens!M60=1,2,0)*0.2+IF(VLOOKUP(G$4,Countries!$B$2:$AN$55,12,FALSE)&gt;=2,0.5,0)),0)</f>
        <v>3</v>
      </c>
      <c r="AS63" s="62">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c r="AT63" s="62">
        <f>ROUND(MAX(1,MIN(5,(6-VLOOKUP(G$4,Countries!$B$2:$AN$55,10,FALSE))*0.5+(6-VLOOKUP(G$4,Countries!$B$2:$AN$55,11,FALSE))*0.4+(IF(AND(Pathogens!N60&gt;=0.5,VLOOKUP(G$4,Countries!$B$2:$AN$55,5,FALSE)&lt;60),5,IF(Pathogens!N60&gt;=0.5,4,IF(Pathogens!N60&gt;=0.3,3,IF(Pathogens!N60&gt;=0.1,2,1)))))*0.1)),0)</f>
        <v>2</v>
      </c>
      <c r="AU63" s="62">
        <f>IF(ISNUMBER(SEARCH("Vaccine-preventable",Pathogens!C60)),2,IF(ISNUMBER(SEARCH("AMR",Pathogens!C60)),5,IF(ISNUMBER(SEARCH("VHF",Pathogens!C60)),4,IF(ISNUMBER(SEARCH("Emerging",Pathogens!C60)),5,IF(ISNUMBER(SEARCH("Mycobacterial",Pathogens!C60)),3,IF(ISNUMBER(SEARCH("Helminth",Pathogens!C60)),3,IF(ISNUMBER(SEARCH("Respiratory",Pathogens!C60)),4,3)))))))</f>
        <v>5</v>
      </c>
      <c r="AV63" s="62">
        <f>IF(ISNUMBER(SEARCH("AMR",Pathogens!C60)),5,IF(ISNUMBER(SEARCH("Mycobacterial",Pathogens!C60)),4,IF(ISNUMBER(SEARCH("Enteric bacterial",Pathogens!C60)),3,IF(ISNUMBER(SEARCH("Bacterial",Pathogens!C60)),3,1))))</f>
        <v>5</v>
      </c>
      <c r="AW63"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3" s="62">
        <f>(6-Pathogens!X60)</f>
        <v>5</v>
      </c>
      <c r="AY63" s="62">
        <f>ROUND(MIN(5,MAX(1,0.35*IF(Pathogens!R60=1,5,IF(Pathogens!R60=2,3,1))+0.2*IF(Pathogens!S60=1,5,IF(Pathogens!S60=2,3,1))+0.25*IF(Pathogens!W60=1,IF(VLOOKUP(G$4,Countries!$B$2:$AN$55,38,FALSE)&gt;=3,5,IF(VLOOKUP(G$4,Countries!$B$2:$AN$55,38,FALSE)=2,4,IF(VLOOKUP(G$4,Countries!$B$2:$AN$55,38,FALSE)=1,2,1))),5)+0.2*IF(VLOOKUP(G$4,Countries!$B$2:$AN$55,24,FALSE)&gt;=50,5,IF(VLOOKUP(G$4,Countries!$B$2:$AN$55,24,FALSE)&gt;=25,4,IF(VLOOKUP(G$4,Countries!$B$2:$AN$55,24,FALSE)&gt;=10,3,IF(VLOOKUP(G$4,Countries!$B$2:$AN$55,24,FALSE)&gt;=5,2,1)))))),0)</f>
        <v>4</v>
      </c>
      <c r="AZ63" s="62" t="str">
        <f>IFERROR(INDEX(Endemicity!$C$2:$BN$55,MATCH(G$4,Endemicity!$B$2:$B$55,0),MATCH($A63,Endemicity!$C$1:$BN$1,0)),"Sporadic")</f>
        <v>Endemic</v>
      </c>
      <c r="BA63" s="62">
        <f>IF(Settings!$B$48="ON",IFERROR(MATCH($AZ63,Settings!$B$35:$F$35,0),5),5)</f>
        <v>1</v>
      </c>
    </row>
    <row r="64" customHeight="1" spans="1:53">
      <c r="A64" s="61" t="str">
        <f>Calculator!A93</f>
        <v>HEPB</v>
      </c>
      <c r="B64" s="61" t="str">
        <f>Calculator!B93</f>
        <v>Hepatitis B virus</v>
      </c>
      <c r="C64" s="61" t="str">
        <f>Calculator!C93</f>
        <v>Bloodborne viral</v>
      </c>
      <c r="D64" s="52">
        <f>IFERROR(ROUND(MIN(100,(($J64)*Settings!$C$23*INDEX(Settings!$B$36:$F$44,1,$T64)+($K64)*Settings!$C$24*INDEX(Settings!$B$36:$F$44,2,$T64)+($L64)*Settings!$C$25*INDEX(Settings!$B$36:$F$44,3,$T64)+($M64)*Settings!$C$26*INDEX(Settings!$B$36:$F$44,4,$T64)+($N64)*Settings!$C$27*INDEX(Settings!$B$36:$F$44,5,$T64)+($O64)*Settings!$C$28*INDEX(Settings!$B$36:$F$44,6,$T64)+($P64)*Settings!$C$29*INDEX(Settings!$B$36:$F$44,7,$T64)+($Q64)*Settings!$C$30*INDEX(Settings!$B$36:$F$44,8,$T64)+($R64)*Settings!$C$31*INDEX(Settings!$B$36:$F$44,9,$T64))/INDEX(Settings!$B$45:$F$45,1,$T64)/5*100*IF($S64="Not present",Settings!$B$51,1)),1),"")</f>
        <v>55.2</v>
      </c>
      <c r="E64" s="52">
        <f>IFERROR(ROUND(MIN(100,(($U64)*Settings!$C$23*INDEX(Settings!$B$36:$F$44,1,$AE64)+($V64)*Settings!$C$24*INDEX(Settings!$B$36:$F$44,2,$AE64)+($W64)*Settings!$C$25*INDEX(Settings!$B$36:$F$44,3,$AE64)+($X64)*Settings!$C$26*INDEX(Settings!$B$36:$F$44,4,$AE64)+($Y64)*Settings!$C$27*INDEX(Settings!$B$36:$F$44,5,$AE64)+($Z64)*Settings!$C$28*INDEX(Settings!$B$36:$F$44,6,$AE64)+($AA64)*Settings!$C$29*INDEX(Settings!$B$36:$F$44,7,$AE64)+($AB64)*Settings!$C$30*INDEX(Settings!$B$36:$F$44,8,$AE64)+($AC64)*Settings!$C$31*INDEX(Settings!$B$36:$F$44,9,$AE64))/INDEX(Settings!$B$45:$F$45,1,$AE64)/5*100*IF($AD64="Not present",Settings!$B$51,1)),1),"")</f>
        <v>58.8</v>
      </c>
      <c r="F64" s="52">
        <f>IFERROR(ROUND(MIN(100,(($AF64)*Settings!$C$23*INDEX(Settings!$B$36:$F$44,1,$AP64)+($AG64)*Settings!$C$24*INDEX(Settings!$B$36:$F$44,2,$AP64)+($AH64)*Settings!$C$25*INDEX(Settings!$B$36:$F$44,3,$AP64)+($AI64)*Settings!$C$26*INDEX(Settings!$B$36:$F$44,4,$AP64)+($AJ64)*Settings!$C$27*INDEX(Settings!$B$36:$F$44,5,$AP64)+($AK64)*Settings!$C$28*INDEX(Settings!$B$36:$F$44,6,$AP64)+($AL64)*Settings!$C$29*INDEX(Settings!$B$36:$F$44,7,$AP64)+($AM64)*Settings!$C$30*INDEX(Settings!$B$36:$F$44,8,$AP64)+($AN64)*Settings!$C$31*INDEX(Settings!$B$36:$F$44,9,$AP64))/INDEX(Settings!$B$45:$F$45,1,$AP64)/5*100*IF($AO64="Not present",Settings!$B$51,1)),1),"")</f>
        <v>55.2</v>
      </c>
      <c r="G64" s="52">
        <f>IFERROR(ROUND(MIN(100,(($AQ64)*Settings!$C$23*INDEX(Settings!$B$36:$F$44,1,$BA64)+($AR64)*Settings!$C$24*INDEX(Settings!$B$36:$F$44,2,$BA64)+($AS64)*Settings!$C$25*INDEX(Settings!$B$36:$F$44,3,$BA64)+($AT64)*Settings!$C$26*INDEX(Settings!$B$36:$F$44,4,$BA64)+($AU64)*Settings!$C$27*INDEX(Settings!$B$36:$F$44,5,$BA64)+($AV64)*Settings!$C$28*INDEX(Settings!$B$36:$F$44,6,$BA64)+($AW64)*Settings!$C$29*INDEX(Settings!$B$36:$F$44,7,$BA64)+($AX64)*Settings!$C$30*INDEX(Settings!$B$36:$F$44,8,$BA64)+($AY64)*Settings!$C$31*INDEX(Settings!$B$36:$F$44,9,$BA64))/INDEX(Settings!$B$45:$F$45,1,$BA64)/5*100*IF($AZ64="Not present",Settings!$B$51,1)),1),"")</f>
        <v>57</v>
      </c>
      <c r="J64" s="62">
        <f>ROUND(MIN(5,IF(Pathogens!I61&gt;=500,5,IF(Pathogens!I61&gt;=200,4,IF(Pathogens!I61&gt;=50,3,IF(Pathogens!I61&gt;=10,2,1))))*0.5+IF(Pathogens!J61&gt;=30,5,IF(Pathogens!J61&gt;=10,4,IF(Pathogens!J61&gt;=3,3,IF(Pathogens!J61&gt;=1,2,1))))*0.4+IF(AND(VLOOKUP(D$4,Countries!$B$2:$AN$55,4,FALSE)&gt;=80,Pathogens!N61&gt;=0.5),1,0)*0.1+IF(VLOOKUP(D$4,Countries!$B$2:$AN$55,7,FALSE)&lt;50,0.3,0)),0)</f>
        <v>3</v>
      </c>
      <c r="K64" s="62">
        <f>ROUND(MIN(5,IF(Pathogens!K61&gt;=8,5,IF(Pathogens!K61&gt;=5,4,IF(Pathogens!K61&gt;=3,3,IF(Pathogens!K61&gt;=1,2,1))))*0.5+IF(Pathogens!L61&gt;=5,5,IF(Pathogens!L61&gt;=3,4,IF(Pathogens!L61&gt;=2,3,IF(Pathogens!L61&gt;=1.2,2,1))))*0.3+IF(Pathogens!M61=1,2,0)*0.2+IF(VLOOKUP(D$4,Countries!$B$2:$AN$55,12,FALSE)&gt;=2,0.5,0)),0)</f>
        <v>3</v>
      </c>
      <c r="L64" s="62">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c r="M64" s="62">
        <f>ROUND(MAX(1,MIN(5,(6-VLOOKUP(D$4,Countries!$B$2:$AN$55,10,FALSE))*0.5+(6-VLOOKUP(D$4,Countries!$B$2:$AN$55,11,FALSE))*0.4+(IF(AND(Pathogens!N61&gt;=0.5,VLOOKUP(D$4,Countries!$B$2:$AN$55,5,FALSE)&lt;60),5,IF(Pathogens!N61&gt;=0.5,4,IF(Pathogens!N61&gt;=0.3,3,IF(Pathogens!N61&gt;=0.1,2,1)))))*0.1)),0)</f>
        <v>2</v>
      </c>
      <c r="N64" s="62">
        <f>IF(ISNUMBER(SEARCH("Vaccine-preventable",Pathogens!C61)),2,IF(ISNUMBER(SEARCH("AMR",Pathogens!C61)),5,IF(ISNUMBER(SEARCH("VHF",Pathogens!C61)),4,IF(ISNUMBER(SEARCH("Emerging",Pathogens!C61)),5,IF(ISNUMBER(SEARCH("Mycobacterial",Pathogens!C61)),3,IF(ISNUMBER(SEARCH("Helminth",Pathogens!C61)),3,IF(ISNUMBER(SEARCH("Respiratory",Pathogens!C61)),4,3)))))))</f>
        <v>3</v>
      </c>
      <c r="O64" s="62">
        <f>IF(ISNUMBER(SEARCH("AMR",Pathogens!C61)),5,IF(ISNUMBER(SEARCH("Mycobacterial",Pathogens!C61)),4,IF(ISNUMBER(SEARCH("Enteric bacterial",Pathogens!C61)),3,IF(ISNUMBER(SEARCH("Bacterial",Pathogens!C61)),3,1))))</f>
        <v>1</v>
      </c>
      <c r="P64"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4" s="62">
        <f>(6-Pathogens!X61)</f>
        <v>3</v>
      </c>
      <c r="R64" s="62">
        <f>ROUND(MIN(5,MAX(1,0.35*IF(Pathogens!R61=1,5,IF(Pathogens!R61=2,3,1))+0.2*IF(Pathogens!S61=1,5,IF(Pathogens!S61=2,3,1))+0.25*IF(Pathogens!W61=1,IF(VLOOKUP(D$4,Countries!$B$2:$AN$55,38,FALSE)&gt;=3,5,IF(VLOOKUP(D$4,Countries!$B$2:$AN$55,38,FALSE)=2,4,IF(VLOOKUP(D$4,Countries!$B$2:$AN$55,38,FALSE)=1,2,1))),5)+0.2*IF(VLOOKUP(D$4,Countries!$B$2:$AN$55,24,FALSE)&gt;=50,5,IF(VLOOKUP(D$4,Countries!$B$2:$AN$55,24,FALSE)&gt;=25,4,IF(VLOOKUP(D$4,Countries!$B$2:$AN$55,24,FALSE)&gt;=10,3,IF(VLOOKUP(D$4,Countries!$B$2:$AN$55,24,FALSE)&gt;=5,2,1)))))),0)</f>
        <v>4</v>
      </c>
      <c r="S64" s="62" t="str">
        <f>IFERROR(INDEX(Endemicity!$C$2:$BN$55,MATCH(D$4,Endemicity!$B$2:$B$55,0),MATCH($A64,Endemicity!$C$1:$BN$1,0)),"Sporadic")</f>
        <v>Endemic</v>
      </c>
      <c r="T64" s="62">
        <f>IF(Settings!$B$48="ON",IFERROR(MATCH($S64,Settings!$B$35:$F$35,0),5),5)</f>
        <v>1</v>
      </c>
      <c r="U64" s="62">
        <f>ROUND(MIN(5,IF(Pathogens!I61&gt;=500,5,IF(Pathogens!I61&gt;=200,4,IF(Pathogens!I61&gt;=50,3,IF(Pathogens!I61&gt;=10,2,1))))*0.5+IF(Pathogens!J61&gt;=30,5,IF(Pathogens!J61&gt;=10,4,IF(Pathogens!J61&gt;=3,3,IF(Pathogens!J61&gt;=1,2,1))))*0.4+IF(AND(VLOOKUP(E$4,Countries!$B$2:$AN$55,4,FALSE)&gt;=80,Pathogens!N61&gt;=0.5),1,0)*0.1+IF(VLOOKUP(E$4,Countries!$B$2:$AN$55,7,FALSE)&lt;50,0.3,0)),0)</f>
        <v>3</v>
      </c>
      <c r="V64" s="62">
        <f>ROUND(MIN(5,IF(Pathogens!K61&gt;=8,5,IF(Pathogens!K61&gt;=5,4,IF(Pathogens!K61&gt;=3,3,IF(Pathogens!K61&gt;=1,2,1))))*0.5+IF(Pathogens!L61&gt;=5,5,IF(Pathogens!L61&gt;=3,4,IF(Pathogens!L61&gt;=2,3,IF(Pathogens!L61&gt;=1.2,2,1))))*0.3+IF(Pathogens!M61=1,2,0)*0.2+IF(VLOOKUP(E$4,Countries!$B$2:$AN$55,12,FALSE)&gt;=2,0.5,0)),0)</f>
        <v>3</v>
      </c>
      <c r="W64" s="62">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c r="X64" s="62">
        <f>ROUND(MAX(1,MIN(5,(6-VLOOKUP(E$4,Countries!$B$2:$AN$55,10,FALSE))*0.5+(6-VLOOKUP(E$4,Countries!$B$2:$AN$55,11,FALSE))*0.4+(IF(AND(Pathogens!N61&gt;=0.5,VLOOKUP(E$4,Countries!$B$2:$AN$55,5,FALSE)&lt;60),5,IF(Pathogens!N61&gt;=0.5,4,IF(Pathogens!N61&gt;=0.3,3,IF(Pathogens!N61&gt;=0.1,2,1)))))*0.1)),0)</f>
        <v>2</v>
      </c>
      <c r="Y64" s="62">
        <f>IF(ISNUMBER(SEARCH("Vaccine-preventable",Pathogens!C61)),2,IF(ISNUMBER(SEARCH("AMR",Pathogens!C61)),5,IF(ISNUMBER(SEARCH("VHF",Pathogens!C61)),4,IF(ISNUMBER(SEARCH("Emerging",Pathogens!C61)),5,IF(ISNUMBER(SEARCH("Mycobacterial",Pathogens!C61)),3,IF(ISNUMBER(SEARCH("Helminth",Pathogens!C61)),3,IF(ISNUMBER(SEARCH("Respiratory",Pathogens!C61)),4,3)))))))</f>
        <v>3</v>
      </c>
      <c r="Z64" s="62">
        <f>IF(ISNUMBER(SEARCH("AMR",Pathogens!C61)),5,IF(ISNUMBER(SEARCH("Mycobacterial",Pathogens!C61)),4,IF(ISNUMBER(SEARCH("Enteric bacterial",Pathogens!C61)),3,IF(ISNUMBER(SEARCH("Bacterial",Pathogens!C61)),3,1))))</f>
        <v>1</v>
      </c>
      <c r="AA64"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4" s="62">
        <f>(6-Pathogens!X61)</f>
        <v>3</v>
      </c>
      <c r="AC64" s="62">
        <f>ROUND(MIN(5,MAX(1,0.35*IF(Pathogens!R61=1,5,IF(Pathogens!R61=2,3,1))+0.2*IF(Pathogens!S61=1,5,IF(Pathogens!S61=2,3,1))+0.25*IF(Pathogens!W61=1,IF(VLOOKUP(E$4,Countries!$B$2:$AN$55,38,FALSE)&gt;=3,5,IF(VLOOKUP(E$4,Countries!$B$2:$AN$55,38,FALSE)=2,4,IF(VLOOKUP(E$4,Countries!$B$2:$AN$55,38,FALSE)=1,2,1))),5)+0.2*IF(VLOOKUP(E$4,Countries!$B$2:$AN$55,24,FALSE)&gt;=50,5,IF(VLOOKUP(E$4,Countries!$B$2:$AN$55,24,FALSE)&gt;=25,4,IF(VLOOKUP(E$4,Countries!$B$2:$AN$55,24,FALSE)&gt;=10,3,IF(VLOOKUP(E$4,Countries!$B$2:$AN$55,24,FALSE)&gt;=5,2,1)))))),0)</f>
        <v>4</v>
      </c>
      <c r="AD64" s="62" t="str">
        <f>IFERROR(INDEX(Endemicity!$C$2:$BN$55,MATCH(E$4,Endemicity!$B$2:$B$55,0),MATCH($A64,Endemicity!$C$1:$BN$1,0)),"Sporadic")</f>
        <v>Endemic</v>
      </c>
      <c r="AE64" s="62">
        <f>IF(Settings!$B$48="ON",IFERROR(MATCH($AD64,Settings!$B$35:$F$35,0),5),5)</f>
        <v>1</v>
      </c>
      <c r="AF64" s="62">
        <f>ROUND(MIN(5,IF(Pathogens!I61&gt;=500,5,IF(Pathogens!I61&gt;=200,4,IF(Pathogens!I61&gt;=50,3,IF(Pathogens!I61&gt;=10,2,1))))*0.5+IF(Pathogens!J61&gt;=30,5,IF(Pathogens!J61&gt;=10,4,IF(Pathogens!J61&gt;=3,3,IF(Pathogens!J61&gt;=1,2,1))))*0.4+IF(AND(VLOOKUP(F$4,Countries!$B$2:$AN$55,4,FALSE)&gt;=80,Pathogens!N61&gt;=0.5),1,0)*0.1+IF(VLOOKUP(F$4,Countries!$B$2:$AN$55,7,FALSE)&lt;50,0.3,0)),0)</f>
        <v>3</v>
      </c>
      <c r="AG64" s="62">
        <f>ROUND(MIN(5,IF(Pathogens!K61&gt;=8,5,IF(Pathogens!K61&gt;=5,4,IF(Pathogens!K61&gt;=3,3,IF(Pathogens!K61&gt;=1,2,1))))*0.5+IF(Pathogens!L61&gt;=5,5,IF(Pathogens!L61&gt;=3,4,IF(Pathogens!L61&gt;=2,3,IF(Pathogens!L61&gt;=1.2,2,1))))*0.3+IF(Pathogens!M61=1,2,0)*0.2+IF(VLOOKUP(F$4,Countries!$B$2:$AN$55,12,FALSE)&gt;=2,0.5,0)),0)</f>
        <v>3</v>
      </c>
      <c r="AH64" s="62">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c r="AI64" s="62">
        <f>ROUND(MAX(1,MIN(5,(6-VLOOKUP(F$4,Countries!$B$2:$AN$55,10,FALSE))*0.5+(6-VLOOKUP(F$4,Countries!$B$2:$AN$55,11,FALSE))*0.4+(IF(AND(Pathogens!N61&gt;=0.5,VLOOKUP(F$4,Countries!$B$2:$AN$55,5,FALSE)&lt;60),5,IF(Pathogens!N61&gt;=0.5,4,IF(Pathogens!N61&gt;=0.3,3,IF(Pathogens!N61&gt;=0.1,2,1)))))*0.1)),0)</f>
        <v>2</v>
      </c>
      <c r="AJ64" s="62">
        <f>IF(ISNUMBER(SEARCH("Vaccine-preventable",Pathogens!C61)),2,IF(ISNUMBER(SEARCH("AMR",Pathogens!C61)),5,IF(ISNUMBER(SEARCH("VHF",Pathogens!C61)),4,IF(ISNUMBER(SEARCH("Emerging",Pathogens!C61)),5,IF(ISNUMBER(SEARCH("Mycobacterial",Pathogens!C61)),3,IF(ISNUMBER(SEARCH("Helminth",Pathogens!C61)),3,IF(ISNUMBER(SEARCH("Respiratory",Pathogens!C61)),4,3)))))))</f>
        <v>3</v>
      </c>
      <c r="AK64" s="62">
        <f>IF(ISNUMBER(SEARCH("AMR",Pathogens!C61)),5,IF(ISNUMBER(SEARCH("Mycobacterial",Pathogens!C61)),4,IF(ISNUMBER(SEARCH("Enteric bacterial",Pathogens!C61)),3,IF(ISNUMBER(SEARCH("Bacterial",Pathogens!C61)),3,1))))</f>
        <v>1</v>
      </c>
      <c r="AL64"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4" s="62">
        <f>(6-Pathogens!X61)</f>
        <v>3</v>
      </c>
      <c r="AN64" s="62">
        <f>ROUND(MIN(5,MAX(1,0.35*IF(Pathogens!R61=1,5,IF(Pathogens!R61=2,3,1))+0.2*IF(Pathogens!S61=1,5,IF(Pathogens!S61=2,3,1))+0.25*IF(Pathogens!W61=1,IF(VLOOKUP(F$4,Countries!$B$2:$AN$55,38,FALSE)&gt;=3,5,IF(VLOOKUP(F$4,Countries!$B$2:$AN$55,38,FALSE)=2,4,IF(VLOOKUP(F$4,Countries!$B$2:$AN$55,38,FALSE)=1,2,1))),5)+0.2*IF(VLOOKUP(F$4,Countries!$B$2:$AN$55,24,FALSE)&gt;=50,5,IF(VLOOKUP(F$4,Countries!$B$2:$AN$55,24,FALSE)&gt;=25,4,IF(VLOOKUP(F$4,Countries!$B$2:$AN$55,24,FALSE)&gt;=10,3,IF(VLOOKUP(F$4,Countries!$B$2:$AN$55,24,FALSE)&gt;=5,2,1)))))),0)</f>
        <v>4</v>
      </c>
      <c r="AO64" s="62" t="str">
        <f>IFERROR(INDEX(Endemicity!$C$2:$BN$55,MATCH(F$4,Endemicity!$B$2:$B$55,0),MATCH($A64,Endemicity!$C$1:$BN$1,0)),"Sporadic")</f>
        <v>Endemic</v>
      </c>
      <c r="AP64" s="62">
        <f>IF(Settings!$B$48="ON",IFERROR(MATCH($AO64,Settings!$B$35:$F$35,0),5),5)</f>
        <v>1</v>
      </c>
      <c r="AQ64" s="62">
        <f>ROUND(MIN(5,IF(Pathogens!I61&gt;=500,5,IF(Pathogens!I61&gt;=200,4,IF(Pathogens!I61&gt;=50,3,IF(Pathogens!I61&gt;=10,2,1))))*0.5+IF(Pathogens!J61&gt;=30,5,IF(Pathogens!J61&gt;=10,4,IF(Pathogens!J61&gt;=3,3,IF(Pathogens!J61&gt;=1,2,1))))*0.4+IF(AND(VLOOKUP(G$4,Countries!$B$2:$AN$55,4,FALSE)&gt;=80,Pathogens!N61&gt;=0.5),1,0)*0.1+IF(VLOOKUP(G$4,Countries!$B$2:$AN$55,7,FALSE)&lt;50,0.3,0)),0)</f>
        <v>3</v>
      </c>
      <c r="AR64" s="62">
        <f>ROUND(MIN(5,IF(Pathogens!K61&gt;=8,5,IF(Pathogens!K61&gt;=5,4,IF(Pathogens!K61&gt;=3,3,IF(Pathogens!K61&gt;=1,2,1))))*0.5+IF(Pathogens!L61&gt;=5,5,IF(Pathogens!L61&gt;=3,4,IF(Pathogens!L61&gt;=2,3,IF(Pathogens!L61&gt;=1.2,2,1))))*0.3+IF(Pathogens!M61=1,2,0)*0.2+IF(VLOOKUP(G$4,Countries!$B$2:$AN$55,12,FALSE)&gt;=2,0.5,0)),0)</f>
        <v>3</v>
      </c>
      <c r="AS64" s="62">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c r="AT64" s="62">
        <f>ROUND(MAX(1,MIN(5,(6-VLOOKUP(G$4,Countries!$B$2:$AN$55,10,FALSE))*0.5+(6-VLOOKUP(G$4,Countries!$B$2:$AN$55,11,FALSE))*0.4+(IF(AND(Pathogens!N61&gt;=0.5,VLOOKUP(G$4,Countries!$B$2:$AN$55,5,FALSE)&lt;60),5,IF(Pathogens!N61&gt;=0.5,4,IF(Pathogens!N61&gt;=0.3,3,IF(Pathogens!N61&gt;=0.1,2,1)))))*0.1)),0)</f>
        <v>2</v>
      </c>
      <c r="AU64" s="62">
        <f>IF(ISNUMBER(SEARCH("Vaccine-preventable",Pathogens!C61)),2,IF(ISNUMBER(SEARCH("AMR",Pathogens!C61)),5,IF(ISNUMBER(SEARCH("VHF",Pathogens!C61)),4,IF(ISNUMBER(SEARCH("Emerging",Pathogens!C61)),5,IF(ISNUMBER(SEARCH("Mycobacterial",Pathogens!C61)),3,IF(ISNUMBER(SEARCH("Helminth",Pathogens!C61)),3,IF(ISNUMBER(SEARCH("Respiratory",Pathogens!C61)),4,3)))))))</f>
        <v>3</v>
      </c>
      <c r="AV64" s="62">
        <f>IF(ISNUMBER(SEARCH("AMR",Pathogens!C61)),5,IF(ISNUMBER(SEARCH("Mycobacterial",Pathogens!C61)),4,IF(ISNUMBER(SEARCH("Enteric bacterial",Pathogens!C61)),3,IF(ISNUMBER(SEARCH("Bacterial",Pathogens!C61)),3,1))))</f>
        <v>1</v>
      </c>
      <c r="AW64"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4" s="62">
        <f>(6-Pathogens!X61)</f>
        <v>3</v>
      </c>
      <c r="AY64" s="62">
        <f>ROUND(MIN(5,MAX(1,0.35*IF(Pathogens!R61=1,5,IF(Pathogens!R61=2,3,1))+0.2*IF(Pathogens!S61=1,5,IF(Pathogens!S61=2,3,1))+0.25*IF(Pathogens!W61=1,IF(VLOOKUP(G$4,Countries!$B$2:$AN$55,38,FALSE)&gt;=3,5,IF(VLOOKUP(G$4,Countries!$B$2:$AN$55,38,FALSE)=2,4,IF(VLOOKUP(G$4,Countries!$B$2:$AN$55,38,FALSE)=1,2,1))),5)+0.2*IF(VLOOKUP(G$4,Countries!$B$2:$AN$55,24,FALSE)&gt;=50,5,IF(VLOOKUP(G$4,Countries!$B$2:$AN$55,24,FALSE)&gt;=25,4,IF(VLOOKUP(G$4,Countries!$B$2:$AN$55,24,FALSE)&gt;=10,3,IF(VLOOKUP(G$4,Countries!$B$2:$AN$55,24,FALSE)&gt;=5,2,1)))))),0)</f>
        <v>4</v>
      </c>
      <c r="AZ64" s="62" t="str">
        <f>IFERROR(INDEX(Endemicity!$C$2:$BN$55,MATCH(G$4,Endemicity!$B$2:$B$55,0),MATCH($A64,Endemicity!$C$1:$BN$1,0)),"Sporadic")</f>
        <v>Endemic</v>
      </c>
      <c r="BA64" s="62">
        <f>IF(Settings!$B$48="ON",IFERROR(MATCH($AZ64,Settings!$B$35:$F$35,0),5),5)</f>
        <v>1</v>
      </c>
    </row>
    <row r="65" customHeight="1" spans="1:53">
      <c r="A65" s="61" t="str">
        <f>Calculator!A94</f>
        <v>HIV</v>
      </c>
      <c r="B65" s="61" t="str">
        <f>Calculator!B94</f>
        <v>HIV-1</v>
      </c>
      <c r="C65" s="61" t="str">
        <f>Calculator!C94</f>
        <v>Bloodborne viral</v>
      </c>
      <c r="D65" s="52">
        <f>IFERROR(ROUND(MIN(100,(($J65)*Settings!$C$23*INDEX(Settings!$B$36:$F$44,1,$T65)+($K65)*Settings!$C$24*INDEX(Settings!$B$36:$F$44,2,$T65)+($L65)*Settings!$C$25*INDEX(Settings!$B$36:$F$44,3,$T65)+($M65)*Settings!$C$26*INDEX(Settings!$B$36:$F$44,4,$T65)+($N65)*Settings!$C$27*INDEX(Settings!$B$36:$F$44,5,$T65)+($O65)*Settings!$C$28*INDEX(Settings!$B$36:$F$44,6,$T65)+($P65)*Settings!$C$29*INDEX(Settings!$B$36:$F$44,7,$T65)+($Q65)*Settings!$C$30*INDEX(Settings!$B$36:$F$44,8,$T65)+($R65)*Settings!$C$31*INDEX(Settings!$B$36:$F$44,9,$T65))/INDEX(Settings!$B$45:$F$45,1,$T65)/5*100*IF($S65="Not present",Settings!$B$51,1)),1),"")</f>
        <v>48.6</v>
      </c>
      <c r="E65" s="52">
        <f>IFERROR(ROUND(MIN(100,(($U65)*Settings!$C$23*INDEX(Settings!$B$36:$F$44,1,$AE65)+($V65)*Settings!$C$24*INDEX(Settings!$B$36:$F$44,2,$AE65)+($W65)*Settings!$C$25*INDEX(Settings!$B$36:$F$44,3,$AE65)+($X65)*Settings!$C$26*INDEX(Settings!$B$36:$F$44,4,$AE65)+($Y65)*Settings!$C$27*INDEX(Settings!$B$36:$F$44,5,$AE65)+($Z65)*Settings!$C$28*INDEX(Settings!$B$36:$F$44,6,$AE65)+($AA65)*Settings!$C$29*INDEX(Settings!$B$36:$F$44,7,$AE65)+($AB65)*Settings!$C$30*INDEX(Settings!$B$36:$F$44,8,$AE65)+($AC65)*Settings!$C$31*INDEX(Settings!$B$36:$F$44,9,$AE65))/INDEX(Settings!$B$45:$F$45,1,$AE65)/5*100*IF($AD65="Not present",Settings!$B$51,1)),1),"")</f>
        <v>52.2</v>
      </c>
      <c r="F65" s="52">
        <f>IFERROR(ROUND(MIN(100,(($AF65)*Settings!$C$23*INDEX(Settings!$B$36:$F$44,1,$AP65)+($AG65)*Settings!$C$24*INDEX(Settings!$B$36:$F$44,2,$AP65)+($AH65)*Settings!$C$25*INDEX(Settings!$B$36:$F$44,3,$AP65)+($AI65)*Settings!$C$26*INDEX(Settings!$B$36:$F$44,4,$AP65)+($AJ65)*Settings!$C$27*INDEX(Settings!$B$36:$F$44,5,$AP65)+($AK65)*Settings!$C$28*INDEX(Settings!$B$36:$F$44,6,$AP65)+($AL65)*Settings!$C$29*INDEX(Settings!$B$36:$F$44,7,$AP65)+($AM65)*Settings!$C$30*INDEX(Settings!$B$36:$F$44,8,$AP65)+($AN65)*Settings!$C$31*INDEX(Settings!$B$36:$F$44,9,$AP65))/INDEX(Settings!$B$45:$F$45,1,$AP65)/5*100*IF($AO65="Not present",Settings!$B$51,1)),1),"")</f>
        <v>48.6</v>
      </c>
      <c r="G65" s="52">
        <f>IFERROR(ROUND(MIN(100,(($AQ65)*Settings!$C$23*INDEX(Settings!$B$36:$F$44,1,$BA65)+($AR65)*Settings!$C$24*INDEX(Settings!$B$36:$F$44,2,$BA65)+($AS65)*Settings!$C$25*INDEX(Settings!$B$36:$F$44,3,$BA65)+($AT65)*Settings!$C$26*INDEX(Settings!$B$36:$F$44,4,$BA65)+($AU65)*Settings!$C$27*INDEX(Settings!$B$36:$F$44,5,$BA65)+($AV65)*Settings!$C$28*INDEX(Settings!$B$36:$F$44,6,$BA65)+($AW65)*Settings!$C$29*INDEX(Settings!$B$36:$F$44,7,$BA65)+($AX65)*Settings!$C$30*INDEX(Settings!$B$36:$F$44,8,$BA65)+($AY65)*Settings!$C$31*INDEX(Settings!$B$36:$F$44,9,$BA65))/INDEX(Settings!$B$45:$F$45,1,$BA65)/5*100*IF($AZ65="Not present",Settings!$B$51,1)),1),"")</f>
        <v>50.4</v>
      </c>
      <c r="J65" s="62">
        <f>ROUND(MIN(5,IF(Pathogens!I62&gt;=500,5,IF(Pathogens!I62&gt;=200,4,IF(Pathogens!I62&gt;=50,3,IF(Pathogens!I62&gt;=10,2,1))))*0.5+IF(Pathogens!J62&gt;=30,5,IF(Pathogens!J62&gt;=10,4,IF(Pathogens!J62&gt;=3,3,IF(Pathogens!J62&gt;=1,2,1))))*0.4+IF(AND(VLOOKUP(D$4,Countries!$B$2:$AN$55,4,FALSE)&gt;=80,Pathogens!N62&gt;=0.5),1,0)*0.1+IF(VLOOKUP(D$4,Countries!$B$2:$AN$55,7,FALSE)&lt;50,0.3,0)),0)</f>
        <v>3</v>
      </c>
      <c r="K65" s="62">
        <f>ROUND(MIN(5,IF(Pathogens!K62&gt;=8,5,IF(Pathogens!K62&gt;=5,4,IF(Pathogens!K62&gt;=3,3,IF(Pathogens!K62&gt;=1,2,1))))*0.5+IF(Pathogens!L62&gt;=5,5,IF(Pathogens!L62&gt;=3,4,IF(Pathogens!L62&gt;=2,3,IF(Pathogens!L62&gt;=1.2,2,1))))*0.3+IF(Pathogens!M62=1,2,0)*0.2+IF(VLOOKUP(D$4,Countries!$B$2:$AN$55,12,FALSE)&gt;=2,0.5,0)),0)</f>
        <v>2</v>
      </c>
      <c r="L65" s="62">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c r="M65" s="62">
        <f>ROUND(MAX(1,MIN(5,(6-VLOOKUP(D$4,Countries!$B$2:$AN$55,10,FALSE))*0.5+(6-VLOOKUP(D$4,Countries!$B$2:$AN$55,11,FALSE))*0.4+(IF(AND(Pathogens!N62&gt;=0.5,VLOOKUP(D$4,Countries!$B$2:$AN$55,5,FALSE)&lt;60),5,IF(Pathogens!N62&gt;=0.5,4,IF(Pathogens!N62&gt;=0.3,3,IF(Pathogens!N62&gt;=0.1,2,1)))))*0.1)),0)</f>
        <v>2</v>
      </c>
      <c r="N65" s="62">
        <f>IF(ISNUMBER(SEARCH("Vaccine-preventable",Pathogens!C62)),2,IF(ISNUMBER(SEARCH("AMR",Pathogens!C62)),5,IF(ISNUMBER(SEARCH("VHF",Pathogens!C62)),4,IF(ISNUMBER(SEARCH("Emerging",Pathogens!C62)),5,IF(ISNUMBER(SEARCH("Mycobacterial",Pathogens!C62)),3,IF(ISNUMBER(SEARCH("Helminth",Pathogens!C62)),3,IF(ISNUMBER(SEARCH("Respiratory",Pathogens!C62)),4,3)))))))</f>
        <v>3</v>
      </c>
      <c r="O65" s="62">
        <f>IF(ISNUMBER(SEARCH("AMR",Pathogens!C62)),5,IF(ISNUMBER(SEARCH("Mycobacterial",Pathogens!C62)),4,IF(ISNUMBER(SEARCH("Enteric bacterial",Pathogens!C62)),3,IF(ISNUMBER(SEARCH("Bacterial",Pathogens!C62)),3,1))))</f>
        <v>1</v>
      </c>
      <c r="P65"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5" s="62">
        <f>(6-Pathogens!X62)</f>
        <v>1</v>
      </c>
      <c r="R65" s="62">
        <f>ROUND(MIN(5,MAX(1,0.35*IF(Pathogens!R62=1,5,IF(Pathogens!R62=2,3,1))+0.2*IF(Pathogens!S62=1,5,IF(Pathogens!S62=2,3,1))+0.25*IF(Pathogens!W62=1,IF(VLOOKUP(D$4,Countries!$B$2:$AN$55,38,FALSE)&gt;=3,5,IF(VLOOKUP(D$4,Countries!$B$2:$AN$55,38,FALSE)=2,4,IF(VLOOKUP(D$4,Countries!$B$2:$AN$55,38,FALSE)=1,2,1))),5)+0.2*IF(VLOOKUP(D$4,Countries!$B$2:$AN$55,24,FALSE)&gt;=50,5,IF(VLOOKUP(D$4,Countries!$B$2:$AN$55,24,FALSE)&gt;=25,4,IF(VLOOKUP(D$4,Countries!$B$2:$AN$55,24,FALSE)&gt;=10,3,IF(VLOOKUP(D$4,Countries!$B$2:$AN$55,24,FALSE)&gt;=5,2,1)))))),0)</f>
        <v>4</v>
      </c>
      <c r="S65" s="62" t="str">
        <f>IFERROR(INDEX(Endemicity!$C$2:$BN$55,MATCH(D$4,Endemicity!$B$2:$B$55,0),MATCH($A65,Endemicity!$C$1:$BN$1,0)),"Sporadic")</f>
        <v>Endemic</v>
      </c>
      <c r="T65" s="62">
        <f>IF(Settings!$B$48="ON",IFERROR(MATCH($S65,Settings!$B$35:$F$35,0),5),5)</f>
        <v>1</v>
      </c>
      <c r="U65" s="62">
        <f>ROUND(MIN(5,IF(Pathogens!I62&gt;=500,5,IF(Pathogens!I62&gt;=200,4,IF(Pathogens!I62&gt;=50,3,IF(Pathogens!I62&gt;=10,2,1))))*0.5+IF(Pathogens!J62&gt;=30,5,IF(Pathogens!J62&gt;=10,4,IF(Pathogens!J62&gt;=3,3,IF(Pathogens!J62&gt;=1,2,1))))*0.4+IF(AND(VLOOKUP(E$4,Countries!$B$2:$AN$55,4,FALSE)&gt;=80,Pathogens!N62&gt;=0.5),1,0)*0.1+IF(VLOOKUP(E$4,Countries!$B$2:$AN$55,7,FALSE)&lt;50,0.3,0)),0)</f>
        <v>3</v>
      </c>
      <c r="V65" s="62">
        <f>ROUND(MIN(5,IF(Pathogens!K62&gt;=8,5,IF(Pathogens!K62&gt;=5,4,IF(Pathogens!K62&gt;=3,3,IF(Pathogens!K62&gt;=1,2,1))))*0.5+IF(Pathogens!L62&gt;=5,5,IF(Pathogens!L62&gt;=3,4,IF(Pathogens!L62&gt;=2,3,IF(Pathogens!L62&gt;=1.2,2,1))))*0.3+IF(Pathogens!M62=1,2,0)*0.2+IF(VLOOKUP(E$4,Countries!$B$2:$AN$55,12,FALSE)&gt;=2,0.5,0)),0)</f>
        <v>2</v>
      </c>
      <c r="W65" s="62">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c r="X65" s="62">
        <f>ROUND(MAX(1,MIN(5,(6-VLOOKUP(E$4,Countries!$B$2:$AN$55,10,FALSE))*0.5+(6-VLOOKUP(E$4,Countries!$B$2:$AN$55,11,FALSE))*0.4+(IF(AND(Pathogens!N62&gt;=0.5,VLOOKUP(E$4,Countries!$B$2:$AN$55,5,FALSE)&lt;60),5,IF(Pathogens!N62&gt;=0.5,4,IF(Pathogens!N62&gt;=0.3,3,IF(Pathogens!N62&gt;=0.1,2,1)))))*0.1)),0)</f>
        <v>2</v>
      </c>
      <c r="Y65" s="62">
        <f>IF(ISNUMBER(SEARCH("Vaccine-preventable",Pathogens!C62)),2,IF(ISNUMBER(SEARCH("AMR",Pathogens!C62)),5,IF(ISNUMBER(SEARCH("VHF",Pathogens!C62)),4,IF(ISNUMBER(SEARCH("Emerging",Pathogens!C62)),5,IF(ISNUMBER(SEARCH("Mycobacterial",Pathogens!C62)),3,IF(ISNUMBER(SEARCH("Helminth",Pathogens!C62)),3,IF(ISNUMBER(SEARCH("Respiratory",Pathogens!C62)),4,3)))))))</f>
        <v>3</v>
      </c>
      <c r="Z65" s="62">
        <f>IF(ISNUMBER(SEARCH("AMR",Pathogens!C62)),5,IF(ISNUMBER(SEARCH("Mycobacterial",Pathogens!C62)),4,IF(ISNUMBER(SEARCH("Enteric bacterial",Pathogens!C62)),3,IF(ISNUMBER(SEARCH("Bacterial",Pathogens!C62)),3,1))))</f>
        <v>1</v>
      </c>
      <c r="AA65"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5" s="62">
        <f>(6-Pathogens!X62)</f>
        <v>1</v>
      </c>
      <c r="AC65" s="62">
        <f>ROUND(MIN(5,MAX(1,0.35*IF(Pathogens!R62=1,5,IF(Pathogens!R62=2,3,1))+0.2*IF(Pathogens!S62=1,5,IF(Pathogens!S62=2,3,1))+0.25*IF(Pathogens!W62=1,IF(VLOOKUP(E$4,Countries!$B$2:$AN$55,38,FALSE)&gt;=3,5,IF(VLOOKUP(E$4,Countries!$B$2:$AN$55,38,FALSE)=2,4,IF(VLOOKUP(E$4,Countries!$B$2:$AN$55,38,FALSE)=1,2,1))),5)+0.2*IF(VLOOKUP(E$4,Countries!$B$2:$AN$55,24,FALSE)&gt;=50,5,IF(VLOOKUP(E$4,Countries!$B$2:$AN$55,24,FALSE)&gt;=25,4,IF(VLOOKUP(E$4,Countries!$B$2:$AN$55,24,FALSE)&gt;=10,3,IF(VLOOKUP(E$4,Countries!$B$2:$AN$55,24,FALSE)&gt;=5,2,1)))))),0)</f>
        <v>4</v>
      </c>
      <c r="AD65" s="62" t="str">
        <f>IFERROR(INDEX(Endemicity!$C$2:$BN$55,MATCH(E$4,Endemicity!$B$2:$B$55,0),MATCH($A65,Endemicity!$C$1:$BN$1,0)),"Sporadic")</f>
        <v>Endemic</v>
      </c>
      <c r="AE65" s="62">
        <f>IF(Settings!$B$48="ON",IFERROR(MATCH($AD65,Settings!$B$35:$F$35,0),5),5)</f>
        <v>1</v>
      </c>
      <c r="AF65" s="62">
        <f>ROUND(MIN(5,IF(Pathogens!I62&gt;=500,5,IF(Pathogens!I62&gt;=200,4,IF(Pathogens!I62&gt;=50,3,IF(Pathogens!I62&gt;=10,2,1))))*0.5+IF(Pathogens!J62&gt;=30,5,IF(Pathogens!J62&gt;=10,4,IF(Pathogens!J62&gt;=3,3,IF(Pathogens!J62&gt;=1,2,1))))*0.4+IF(AND(VLOOKUP(F$4,Countries!$B$2:$AN$55,4,FALSE)&gt;=80,Pathogens!N62&gt;=0.5),1,0)*0.1+IF(VLOOKUP(F$4,Countries!$B$2:$AN$55,7,FALSE)&lt;50,0.3,0)),0)</f>
        <v>3</v>
      </c>
      <c r="AG65" s="62">
        <f>ROUND(MIN(5,IF(Pathogens!K62&gt;=8,5,IF(Pathogens!K62&gt;=5,4,IF(Pathogens!K62&gt;=3,3,IF(Pathogens!K62&gt;=1,2,1))))*0.5+IF(Pathogens!L62&gt;=5,5,IF(Pathogens!L62&gt;=3,4,IF(Pathogens!L62&gt;=2,3,IF(Pathogens!L62&gt;=1.2,2,1))))*0.3+IF(Pathogens!M62=1,2,0)*0.2+IF(VLOOKUP(F$4,Countries!$B$2:$AN$55,12,FALSE)&gt;=2,0.5,0)),0)</f>
        <v>2</v>
      </c>
      <c r="AH65" s="62">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c r="AI65" s="62">
        <f>ROUND(MAX(1,MIN(5,(6-VLOOKUP(F$4,Countries!$B$2:$AN$55,10,FALSE))*0.5+(6-VLOOKUP(F$4,Countries!$B$2:$AN$55,11,FALSE))*0.4+(IF(AND(Pathogens!N62&gt;=0.5,VLOOKUP(F$4,Countries!$B$2:$AN$55,5,FALSE)&lt;60),5,IF(Pathogens!N62&gt;=0.5,4,IF(Pathogens!N62&gt;=0.3,3,IF(Pathogens!N62&gt;=0.1,2,1)))))*0.1)),0)</f>
        <v>2</v>
      </c>
      <c r="AJ65" s="62">
        <f>IF(ISNUMBER(SEARCH("Vaccine-preventable",Pathogens!C62)),2,IF(ISNUMBER(SEARCH("AMR",Pathogens!C62)),5,IF(ISNUMBER(SEARCH("VHF",Pathogens!C62)),4,IF(ISNUMBER(SEARCH("Emerging",Pathogens!C62)),5,IF(ISNUMBER(SEARCH("Mycobacterial",Pathogens!C62)),3,IF(ISNUMBER(SEARCH("Helminth",Pathogens!C62)),3,IF(ISNUMBER(SEARCH("Respiratory",Pathogens!C62)),4,3)))))))</f>
        <v>3</v>
      </c>
      <c r="AK65" s="62">
        <f>IF(ISNUMBER(SEARCH("AMR",Pathogens!C62)),5,IF(ISNUMBER(SEARCH("Mycobacterial",Pathogens!C62)),4,IF(ISNUMBER(SEARCH("Enteric bacterial",Pathogens!C62)),3,IF(ISNUMBER(SEARCH("Bacterial",Pathogens!C62)),3,1))))</f>
        <v>1</v>
      </c>
      <c r="AL65"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5" s="62">
        <f>(6-Pathogens!X62)</f>
        <v>1</v>
      </c>
      <c r="AN65" s="62">
        <f>ROUND(MIN(5,MAX(1,0.35*IF(Pathogens!R62=1,5,IF(Pathogens!R62=2,3,1))+0.2*IF(Pathogens!S62=1,5,IF(Pathogens!S62=2,3,1))+0.25*IF(Pathogens!W62=1,IF(VLOOKUP(F$4,Countries!$B$2:$AN$55,38,FALSE)&gt;=3,5,IF(VLOOKUP(F$4,Countries!$B$2:$AN$55,38,FALSE)=2,4,IF(VLOOKUP(F$4,Countries!$B$2:$AN$55,38,FALSE)=1,2,1))),5)+0.2*IF(VLOOKUP(F$4,Countries!$B$2:$AN$55,24,FALSE)&gt;=50,5,IF(VLOOKUP(F$4,Countries!$B$2:$AN$55,24,FALSE)&gt;=25,4,IF(VLOOKUP(F$4,Countries!$B$2:$AN$55,24,FALSE)&gt;=10,3,IF(VLOOKUP(F$4,Countries!$B$2:$AN$55,24,FALSE)&gt;=5,2,1)))))),0)</f>
        <v>4</v>
      </c>
      <c r="AO65" s="62" t="str">
        <f>IFERROR(INDEX(Endemicity!$C$2:$BN$55,MATCH(F$4,Endemicity!$B$2:$B$55,0),MATCH($A65,Endemicity!$C$1:$BN$1,0)),"Sporadic")</f>
        <v>Endemic</v>
      </c>
      <c r="AP65" s="62">
        <f>IF(Settings!$B$48="ON",IFERROR(MATCH($AO65,Settings!$B$35:$F$35,0),5),5)</f>
        <v>1</v>
      </c>
      <c r="AQ65" s="62">
        <f>ROUND(MIN(5,IF(Pathogens!I62&gt;=500,5,IF(Pathogens!I62&gt;=200,4,IF(Pathogens!I62&gt;=50,3,IF(Pathogens!I62&gt;=10,2,1))))*0.5+IF(Pathogens!J62&gt;=30,5,IF(Pathogens!J62&gt;=10,4,IF(Pathogens!J62&gt;=3,3,IF(Pathogens!J62&gt;=1,2,1))))*0.4+IF(AND(VLOOKUP(G$4,Countries!$B$2:$AN$55,4,FALSE)&gt;=80,Pathogens!N62&gt;=0.5),1,0)*0.1+IF(VLOOKUP(G$4,Countries!$B$2:$AN$55,7,FALSE)&lt;50,0.3,0)),0)</f>
        <v>3</v>
      </c>
      <c r="AR65" s="62">
        <f>ROUND(MIN(5,IF(Pathogens!K62&gt;=8,5,IF(Pathogens!K62&gt;=5,4,IF(Pathogens!K62&gt;=3,3,IF(Pathogens!K62&gt;=1,2,1))))*0.5+IF(Pathogens!L62&gt;=5,5,IF(Pathogens!L62&gt;=3,4,IF(Pathogens!L62&gt;=2,3,IF(Pathogens!L62&gt;=1.2,2,1))))*0.3+IF(Pathogens!M62=1,2,0)*0.2+IF(VLOOKUP(G$4,Countries!$B$2:$AN$55,12,FALSE)&gt;=2,0.5,0)),0)</f>
        <v>2</v>
      </c>
      <c r="AS65" s="62">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c r="AT65" s="62">
        <f>ROUND(MAX(1,MIN(5,(6-VLOOKUP(G$4,Countries!$B$2:$AN$55,10,FALSE))*0.5+(6-VLOOKUP(G$4,Countries!$B$2:$AN$55,11,FALSE))*0.4+(IF(AND(Pathogens!N62&gt;=0.5,VLOOKUP(G$4,Countries!$B$2:$AN$55,5,FALSE)&lt;60),5,IF(Pathogens!N62&gt;=0.5,4,IF(Pathogens!N62&gt;=0.3,3,IF(Pathogens!N62&gt;=0.1,2,1)))))*0.1)),0)</f>
        <v>2</v>
      </c>
      <c r="AU65" s="62">
        <f>IF(ISNUMBER(SEARCH("Vaccine-preventable",Pathogens!C62)),2,IF(ISNUMBER(SEARCH("AMR",Pathogens!C62)),5,IF(ISNUMBER(SEARCH("VHF",Pathogens!C62)),4,IF(ISNUMBER(SEARCH("Emerging",Pathogens!C62)),5,IF(ISNUMBER(SEARCH("Mycobacterial",Pathogens!C62)),3,IF(ISNUMBER(SEARCH("Helminth",Pathogens!C62)),3,IF(ISNUMBER(SEARCH("Respiratory",Pathogens!C62)),4,3)))))))</f>
        <v>3</v>
      </c>
      <c r="AV65" s="62">
        <f>IF(ISNUMBER(SEARCH("AMR",Pathogens!C62)),5,IF(ISNUMBER(SEARCH("Mycobacterial",Pathogens!C62)),4,IF(ISNUMBER(SEARCH("Enteric bacterial",Pathogens!C62)),3,IF(ISNUMBER(SEARCH("Bacterial",Pathogens!C62)),3,1))))</f>
        <v>1</v>
      </c>
      <c r="AW65"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5" s="62">
        <f>(6-Pathogens!X62)</f>
        <v>1</v>
      </c>
      <c r="AY65" s="62">
        <f>ROUND(MIN(5,MAX(1,0.35*IF(Pathogens!R62=1,5,IF(Pathogens!R62=2,3,1))+0.2*IF(Pathogens!S62=1,5,IF(Pathogens!S62=2,3,1))+0.25*IF(Pathogens!W62=1,IF(VLOOKUP(G$4,Countries!$B$2:$AN$55,38,FALSE)&gt;=3,5,IF(VLOOKUP(G$4,Countries!$B$2:$AN$55,38,FALSE)=2,4,IF(VLOOKUP(G$4,Countries!$B$2:$AN$55,38,FALSE)=1,2,1))),5)+0.2*IF(VLOOKUP(G$4,Countries!$B$2:$AN$55,24,FALSE)&gt;=50,5,IF(VLOOKUP(G$4,Countries!$B$2:$AN$55,24,FALSE)&gt;=25,4,IF(VLOOKUP(G$4,Countries!$B$2:$AN$55,24,FALSE)&gt;=10,3,IF(VLOOKUP(G$4,Countries!$B$2:$AN$55,24,FALSE)&gt;=5,2,1)))))),0)</f>
        <v>4</v>
      </c>
      <c r="AZ65" s="62" t="str">
        <f>IFERROR(INDEX(Endemicity!$C$2:$BN$55,MATCH(G$4,Endemicity!$B$2:$B$55,0),MATCH($A65,Endemicity!$C$1:$BN$1,0)),"Sporadic")</f>
        <v>Endemic</v>
      </c>
      <c r="BA65" s="62">
        <f>IF(Settings!$B$48="ON",IFERROR(MATCH($AZ65,Settings!$B$35:$F$35,0),5),5)</f>
        <v>1</v>
      </c>
    </row>
    <row r="66" customHeight="1" spans="1:53">
      <c r="A66" s="61" t="str">
        <f>Calculator!A95</f>
        <v>ZIKAR</v>
      </c>
      <c r="B66" s="61" t="str">
        <f>Calculator!B95</f>
        <v>Rabies virus (env. proxy)</v>
      </c>
      <c r="C66" s="61" t="str">
        <f>Calculator!C95</f>
        <v>Zoonotic viral</v>
      </c>
      <c r="D66" s="52">
        <f>IFERROR(ROUND(MIN(100,(($J66)*Settings!$C$23*INDEX(Settings!$B$36:$F$44,1,$T66)+($K66)*Settings!$C$24*INDEX(Settings!$B$36:$F$44,2,$T66)+($L66)*Settings!$C$25*INDEX(Settings!$B$36:$F$44,3,$T66)+($M66)*Settings!$C$26*INDEX(Settings!$B$36:$F$44,4,$T66)+($N66)*Settings!$C$27*INDEX(Settings!$B$36:$F$44,5,$T66)+($O66)*Settings!$C$28*INDEX(Settings!$B$36:$F$44,6,$T66)+($P66)*Settings!$C$29*INDEX(Settings!$B$36:$F$44,7,$T66)+($Q66)*Settings!$C$30*INDEX(Settings!$B$36:$F$44,8,$T66)+($R66)*Settings!$C$31*INDEX(Settings!$B$36:$F$44,9,$T66))/INDEX(Settings!$B$45:$F$45,1,$T66)/5*100*IF($S66="Not present",Settings!$B$51,1)),1),"")</f>
        <v>47.4</v>
      </c>
      <c r="E66" s="52">
        <f>IFERROR(ROUND(MIN(100,(($U66)*Settings!$C$23*INDEX(Settings!$B$36:$F$44,1,$AE66)+($V66)*Settings!$C$24*INDEX(Settings!$B$36:$F$44,2,$AE66)+($W66)*Settings!$C$25*INDEX(Settings!$B$36:$F$44,3,$AE66)+($X66)*Settings!$C$26*INDEX(Settings!$B$36:$F$44,4,$AE66)+($Y66)*Settings!$C$27*INDEX(Settings!$B$36:$F$44,5,$AE66)+($Z66)*Settings!$C$28*INDEX(Settings!$B$36:$F$44,6,$AE66)+($AA66)*Settings!$C$29*INDEX(Settings!$B$36:$F$44,7,$AE66)+($AB66)*Settings!$C$30*INDEX(Settings!$B$36:$F$44,8,$AE66)+($AC66)*Settings!$C$31*INDEX(Settings!$B$36:$F$44,9,$AE66))/INDEX(Settings!$B$45:$F$45,1,$AE66)/5*100*IF($AD66="Not present",Settings!$B$51,1)),1),"")</f>
        <v>50.9</v>
      </c>
      <c r="F66" s="52">
        <f>IFERROR(ROUND(MIN(100,(($AF66)*Settings!$C$23*INDEX(Settings!$B$36:$F$44,1,$AP66)+($AG66)*Settings!$C$24*INDEX(Settings!$B$36:$F$44,2,$AP66)+($AH66)*Settings!$C$25*INDEX(Settings!$B$36:$F$44,3,$AP66)+($AI66)*Settings!$C$26*INDEX(Settings!$B$36:$F$44,4,$AP66)+($AJ66)*Settings!$C$27*INDEX(Settings!$B$36:$F$44,5,$AP66)+($AK66)*Settings!$C$28*INDEX(Settings!$B$36:$F$44,6,$AP66)+($AL66)*Settings!$C$29*INDEX(Settings!$B$36:$F$44,7,$AP66)+($AM66)*Settings!$C$30*INDEX(Settings!$B$36:$F$44,8,$AP66)+($AN66)*Settings!$C$31*INDEX(Settings!$B$36:$F$44,9,$AP66))/INDEX(Settings!$B$45:$F$45,1,$AP66)/5*100*IF($AO66="Not present",Settings!$B$51,1)),1),"")</f>
        <v>47.4</v>
      </c>
      <c r="G66" s="52">
        <f>IFERROR(ROUND(MIN(100,(($AQ66)*Settings!$C$23*INDEX(Settings!$B$36:$F$44,1,$BA66)+($AR66)*Settings!$C$24*INDEX(Settings!$B$36:$F$44,2,$BA66)+($AS66)*Settings!$C$25*INDEX(Settings!$B$36:$F$44,3,$BA66)+($AT66)*Settings!$C$26*INDEX(Settings!$B$36:$F$44,4,$BA66)+($AU66)*Settings!$C$27*INDEX(Settings!$B$36:$F$44,5,$BA66)+($AV66)*Settings!$C$28*INDEX(Settings!$B$36:$F$44,6,$BA66)+($AW66)*Settings!$C$29*INDEX(Settings!$B$36:$F$44,7,$BA66)+($AX66)*Settings!$C$30*INDEX(Settings!$B$36:$F$44,8,$BA66)+($AY66)*Settings!$C$31*INDEX(Settings!$B$36:$F$44,9,$BA66))/INDEX(Settings!$B$45:$F$45,1,$BA66)/5*100*IF($AZ66="Not present",Settings!$B$51,1)),1),"")</f>
        <v>49.1</v>
      </c>
      <c r="J66" s="62">
        <f>ROUND(MIN(5,IF(Pathogens!I63&gt;=500,5,IF(Pathogens!I63&gt;=200,4,IF(Pathogens!I63&gt;=50,3,IF(Pathogens!I63&gt;=10,2,1))))*0.5+IF(Pathogens!J63&gt;=30,5,IF(Pathogens!J63&gt;=10,4,IF(Pathogens!J63&gt;=3,3,IF(Pathogens!J63&gt;=1,2,1))))*0.4+IF(AND(VLOOKUP(D$4,Countries!$B$2:$AN$55,4,FALSE)&gt;=80,Pathogens!N63&gt;=0.5),1,0)*0.1+IF(VLOOKUP(D$4,Countries!$B$2:$AN$55,7,FALSE)&lt;50,0.3,0)),0)</f>
        <v>3</v>
      </c>
      <c r="K66" s="62">
        <f>ROUND(MIN(5,IF(Pathogens!K63&gt;=8,5,IF(Pathogens!K63&gt;=5,4,IF(Pathogens!K63&gt;=3,3,IF(Pathogens!K63&gt;=1,2,1))))*0.5+IF(Pathogens!L63&gt;=5,5,IF(Pathogens!L63&gt;=3,4,IF(Pathogens!L63&gt;=2,3,IF(Pathogens!L63&gt;=1.2,2,1))))*0.3+IF(Pathogens!M63=1,2,0)*0.2+IF(VLOOKUP(D$4,Countries!$B$2:$AN$55,12,FALSE)&gt;=2,0.5,0)),0)</f>
        <v>2</v>
      </c>
      <c r="L66" s="62">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c r="M66" s="62">
        <f>ROUND(MAX(1,MIN(5,(6-VLOOKUP(D$4,Countries!$B$2:$AN$55,10,FALSE))*0.5+(6-VLOOKUP(D$4,Countries!$B$2:$AN$55,11,FALSE))*0.4+(IF(AND(Pathogens!N63&gt;=0.5,VLOOKUP(D$4,Countries!$B$2:$AN$55,5,FALSE)&lt;60),5,IF(Pathogens!N63&gt;=0.5,4,IF(Pathogens!N63&gt;=0.3,3,IF(Pathogens!N63&gt;=0.1,2,1)))))*0.1)),0)</f>
        <v>2</v>
      </c>
      <c r="N66" s="62">
        <f>IF(ISNUMBER(SEARCH("Vaccine-preventable",Pathogens!C63)),2,IF(ISNUMBER(SEARCH("AMR",Pathogens!C63)),5,IF(ISNUMBER(SEARCH("VHF",Pathogens!C63)),4,IF(ISNUMBER(SEARCH("Emerging",Pathogens!C63)),5,IF(ISNUMBER(SEARCH("Mycobacterial",Pathogens!C63)),3,IF(ISNUMBER(SEARCH("Helminth",Pathogens!C63)),3,IF(ISNUMBER(SEARCH("Respiratory",Pathogens!C63)),4,3)))))))</f>
        <v>3</v>
      </c>
      <c r="O66" s="62">
        <f>IF(ISNUMBER(SEARCH("AMR",Pathogens!C63)),5,IF(ISNUMBER(SEARCH("Mycobacterial",Pathogens!C63)),4,IF(ISNUMBER(SEARCH("Enteric bacterial",Pathogens!C63)),3,IF(ISNUMBER(SEARCH("Bacterial",Pathogens!C63)),3,1))))</f>
        <v>1</v>
      </c>
      <c r="P66"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6" s="62">
        <f>(6-Pathogens!X63)</f>
        <v>3</v>
      </c>
      <c r="R66" s="62">
        <f>ROUND(MIN(5,MAX(1,0.35*IF(Pathogens!R63=1,5,IF(Pathogens!R63=2,3,1))+0.2*IF(Pathogens!S63=1,5,IF(Pathogens!S63=2,3,1))+0.25*IF(Pathogens!W63=1,IF(VLOOKUP(D$4,Countries!$B$2:$AN$55,38,FALSE)&gt;=3,5,IF(VLOOKUP(D$4,Countries!$B$2:$AN$55,38,FALSE)=2,4,IF(VLOOKUP(D$4,Countries!$B$2:$AN$55,38,FALSE)=1,2,1))),5)+0.2*IF(VLOOKUP(D$4,Countries!$B$2:$AN$55,24,FALSE)&gt;=50,5,IF(VLOOKUP(D$4,Countries!$B$2:$AN$55,24,FALSE)&gt;=25,4,IF(VLOOKUP(D$4,Countries!$B$2:$AN$55,24,FALSE)&gt;=10,3,IF(VLOOKUP(D$4,Countries!$B$2:$AN$55,24,FALSE)&gt;=5,2,1)))))),0)</f>
        <v>3</v>
      </c>
      <c r="S66" s="62" t="str">
        <f>IFERROR(INDEX(Endemicity!$C$2:$BN$55,MATCH(D$4,Endemicity!$B$2:$B$55,0),MATCH($A66,Endemicity!$C$1:$BN$1,0)),"Sporadic")</f>
        <v>Endemic</v>
      </c>
      <c r="T66" s="62">
        <f>IF(Settings!$B$48="ON",IFERROR(MATCH($S66,Settings!$B$35:$F$35,0),5),5)</f>
        <v>1</v>
      </c>
      <c r="U66" s="62">
        <f>ROUND(MIN(5,IF(Pathogens!I63&gt;=500,5,IF(Pathogens!I63&gt;=200,4,IF(Pathogens!I63&gt;=50,3,IF(Pathogens!I63&gt;=10,2,1))))*0.5+IF(Pathogens!J63&gt;=30,5,IF(Pathogens!J63&gt;=10,4,IF(Pathogens!J63&gt;=3,3,IF(Pathogens!J63&gt;=1,2,1))))*0.4+IF(AND(VLOOKUP(E$4,Countries!$B$2:$AN$55,4,FALSE)&gt;=80,Pathogens!N63&gt;=0.5),1,0)*0.1+IF(VLOOKUP(E$4,Countries!$B$2:$AN$55,7,FALSE)&lt;50,0.3,0)),0)</f>
        <v>3</v>
      </c>
      <c r="V66" s="62">
        <f>ROUND(MIN(5,IF(Pathogens!K63&gt;=8,5,IF(Pathogens!K63&gt;=5,4,IF(Pathogens!K63&gt;=3,3,IF(Pathogens!K63&gt;=1,2,1))))*0.5+IF(Pathogens!L63&gt;=5,5,IF(Pathogens!L63&gt;=3,4,IF(Pathogens!L63&gt;=2,3,IF(Pathogens!L63&gt;=1.2,2,1))))*0.3+IF(Pathogens!M63=1,2,0)*0.2+IF(VLOOKUP(E$4,Countries!$B$2:$AN$55,12,FALSE)&gt;=2,0.5,0)),0)</f>
        <v>2</v>
      </c>
      <c r="W66" s="62">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c r="X66" s="62">
        <f>ROUND(MAX(1,MIN(5,(6-VLOOKUP(E$4,Countries!$B$2:$AN$55,10,FALSE))*0.5+(6-VLOOKUP(E$4,Countries!$B$2:$AN$55,11,FALSE))*0.4+(IF(AND(Pathogens!N63&gt;=0.5,VLOOKUP(E$4,Countries!$B$2:$AN$55,5,FALSE)&lt;60),5,IF(Pathogens!N63&gt;=0.5,4,IF(Pathogens!N63&gt;=0.3,3,IF(Pathogens!N63&gt;=0.1,2,1)))))*0.1)),0)</f>
        <v>2</v>
      </c>
      <c r="Y66" s="62">
        <f>IF(ISNUMBER(SEARCH("Vaccine-preventable",Pathogens!C63)),2,IF(ISNUMBER(SEARCH("AMR",Pathogens!C63)),5,IF(ISNUMBER(SEARCH("VHF",Pathogens!C63)),4,IF(ISNUMBER(SEARCH("Emerging",Pathogens!C63)),5,IF(ISNUMBER(SEARCH("Mycobacterial",Pathogens!C63)),3,IF(ISNUMBER(SEARCH("Helminth",Pathogens!C63)),3,IF(ISNUMBER(SEARCH("Respiratory",Pathogens!C63)),4,3)))))))</f>
        <v>3</v>
      </c>
      <c r="Z66" s="62">
        <f>IF(ISNUMBER(SEARCH("AMR",Pathogens!C63)),5,IF(ISNUMBER(SEARCH("Mycobacterial",Pathogens!C63)),4,IF(ISNUMBER(SEARCH("Enteric bacterial",Pathogens!C63)),3,IF(ISNUMBER(SEARCH("Bacterial",Pathogens!C63)),3,1))))</f>
        <v>1</v>
      </c>
      <c r="AA66"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6" s="62">
        <f>(6-Pathogens!X63)</f>
        <v>3</v>
      </c>
      <c r="AC66" s="62">
        <f>ROUND(MIN(5,MAX(1,0.35*IF(Pathogens!R63=1,5,IF(Pathogens!R63=2,3,1))+0.2*IF(Pathogens!S63=1,5,IF(Pathogens!S63=2,3,1))+0.25*IF(Pathogens!W63=1,IF(VLOOKUP(E$4,Countries!$B$2:$AN$55,38,FALSE)&gt;=3,5,IF(VLOOKUP(E$4,Countries!$B$2:$AN$55,38,FALSE)=2,4,IF(VLOOKUP(E$4,Countries!$B$2:$AN$55,38,FALSE)=1,2,1))),5)+0.2*IF(VLOOKUP(E$4,Countries!$B$2:$AN$55,24,FALSE)&gt;=50,5,IF(VLOOKUP(E$4,Countries!$B$2:$AN$55,24,FALSE)&gt;=25,4,IF(VLOOKUP(E$4,Countries!$B$2:$AN$55,24,FALSE)&gt;=10,3,IF(VLOOKUP(E$4,Countries!$B$2:$AN$55,24,FALSE)&gt;=5,2,1)))))),0)</f>
        <v>3</v>
      </c>
      <c r="AD66" s="62" t="str">
        <f>IFERROR(INDEX(Endemicity!$C$2:$BN$55,MATCH(E$4,Endemicity!$B$2:$B$55,0),MATCH($A66,Endemicity!$C$1:$BN$1,0)),"Sporadic")</f>
        <v>Endemic</v>
      </c>
      <c r="AE66" s="62">
        <f>IF(Settings!$B$48="ON",IFERROR(MATCH($AD66,Settings!$B$35:$F$35,0),5),5)</f>
        <v>1</v>
      </c>
      <c r="AF66" s="62">
        <f>ROUND(MIN(5,IF(Pathogens!I63&gt;=500,5,IF(Pathogens!I63&gt;=200,4,IF(Pathogens!I63&gt;=50,3,IF(Pathogens!I63&gt;=10,2,1))))*0.5+IF(Pathogens!J63&gt;=30,5,IF(Pathogens!J63&gt;=10,4,IF(Pathogens!J63&gt;=3,3,IF(Pathogens!J63&gt;=1,2,1))))*0.4+IF(AND(VLOOKUP(F$4,Countries!$B$2:$AN$55,4,FALSE)&gt;=80,Pathogens!N63&gt;=0.5),1,0)*0.1+IF(VLOOKUP(F$4,Countries!$B$2:$AN$55,7,FALSE)&lt;50,0.3,0)),0)</f>
        <v>3</v>
      </c>
      <c r="AG66" s="62">
        <f>ROUND(MIN(5,IF(Pathogens!K63&gt;=8,5,IF(Pathogens!K63&gt;=5,4,IF(Pathogens!K63&gt;=3,3,IF(Pathogens!K63&gt;=1,2,1))))*0.5+IF(Pathogens!L63&gt;=5,5,IF(Pathogens!L63&gt;=3,4,IF(Pathogens!L63&gt;=2,3,IF(Pathogens!L63&gt;=1.2,2,1))))*0.3+IF(Pathogens!M63=1,2,0)*0.2+IF(VLOOKUP(F$4,Countries!$B$2:$AN$55,12,FALSE)&gt;=2,0.5,0)),0)</f>
        <v>2</v>
      </c>
      <c r="AH66" s="62">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c r="AI66" s="62">
        <f>ROUND(MAX(1,MIN(5,(6-VLOOKUP(F$4,Countries!$B$2:$AN$55,10,FALSE))*0.5+(6-VLOOKUP(F$4,Countries!$B$2:$AN$55,11,FALSE))*0.4+(IF(AND(Pathogens!N63&gt;=0.5,VLOOKUP(F$4,Countries!$B$2:$AN$55,5,FALSE)&lt;60),5,IF(Pathogens!N63&gt;=0.5,4,IF(Pathogens!N63&gt;=0.3,3,IF(Pathogens!N63&gt;=0.1,2,1)))))*0.1)),0)</f>
        <v>2</v>
      </c>
      <c r="AJ66" s="62">
        <f>IF(ISNUMBER(SEARCH("Vaccine-preventable",Pathogens!C63)),2,IF(ISNUMBER(SEARCH("AMR",Pathogens!C63)),5,IF(ISNUMBER(SEARCH("VHF",Pathogens!C63)),4,IF(ISNUMBER(SEARCH("Emerging",Pathogens!C63)),5,IF(ISNUMBER(SEARCH("Mycobacterial",Pathogens!C63)),3,IF(ISNUMBER(SEARCH("Helminth",Pathogens!C63)),3,IF(ISNUMBER(SEARCH("Respiratory",Pathogens!C63)),4,3)))))))</f>
        <v>3</v>
      </c>
      <c r="AK66" s="62">
        <f>IF(ISNUMBER(SEARCH("AMR",Pathogens!C63)),5,IF(ISNUMBER(SEARCH("Mycobacterial",Pathogens!C63)),4,IF(ISNUMBER(SEARCH("Enteric bacterial",Pathogens!C63)),3,IF(ISNUMBER(SEARCH("Bacterial",Pathogens!C63)),3,1))))</f>
        <v>1</v>
      </c>
      <c r="AL66"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6" s="62">
        <f>(6-Pathogens!X63)</f>
        <v>3</v>
      </c>
      <c r="AN66" s="62">
        <f>ROUND(MIN(5,MAX(1,0.35*IF(Pathogens!R63=1,5,IF(Pathogens!R63=2,3,1))+0.2*IF(Pathogens!S63=1,5,IF(Pathogens!S63=2,3,1))+0.25*IF(Pathogens!W63=1,IF(VLOOKUP(F$4,Countries!$B$2:$AN$55,38,FALSE)&gt;=3,5,IF(VLOOKUP(F$4,Countries!$B$2:$AN$55,38,FALSE)=2,4,IF(VLOOKUP(F$4,Countries!$B$2:$AN$55,38,FALSE)=1,2,1))),5)+0.2*IF(VLOOKUP(F$4,Countries!$B$2:$AN$55,24,FALSE)&gt;=50,5,IF(VLOOKUP(F$4,Countries!$B$2:$AN$55,24,FALSE)&gt;=25,4,IF(VLOOKUP(F$4,Countries!$B$2:$AN$55,24,FALSE)&gt;=10,3,IF(VLOOKUP(F$4,Countries!$B$2:$AN$55,24,FALSE)&gt;=5,2,1)))))),0)</f>
        <v>3</v>
      </c>
      <c r="AO66" s="62" t="str">
        <f>IFERROR(INDEX(Endemicity!$C$2:$BN$55,MATCH(F$4,Endemicity!$B$2:$B$55,0),MATCH($A66,Endemicity!$C$1:$BN$1,0)),"Sporadic")</f>
        <v>Endemic</v>
      </c>
      <c r="AP66" s="62">
        <f>IF(Settings!$B$48="ON",IFERROR(MATCH($AO66,Settings!$B$35:$F$35,0),5),5)</f>
        <v>1</v>
      </c>
      <c r="AQ66" s="62">
        <f>ROUND(MIN(5,IF(Pathogens!I63&gt;=500,5,IF(Pathogens!I63&gt;=200,4,IF(Pathogens!I63&gt;=50,3,IF(Pathogens!I63&gt;=10,2,1))))*0.5+IF(Pathogens!J63&gt;=30,5,IF(Pathogens!J63&gt;=10,4,IF(Pathogens!J63&gt;=3,3,IF(Pathogens!J63&gt;=1,2,1))))*0.4+IF(AND(VLOOKUP(G$4,Countries!$B$2:$AN$55,4,FALSE)&gt;=80,Pathogens!N63&gt;=0.5),1,0)*0.1+IF(VLOOKUP(G$4,Countries!$B$2:$AN$55,7,FALSE)&lt;50,0.3,0)),0)</f>
        <v>3</v>
      </c>
      <c r="AR66" s="62">
        <f>ROUND(MIN(5,IF(Pathogens!K63&gt;=8,5,IF(Pathogens!K63&gt;=5,4,IF(Pathogens!K63&gt;=3,3,IF(Pathogens!K63&gt;=1,2,1))))*0.5+IF(Pathogens!L63&gt;=5,5,IF(Pathogens!L63&gt;=3,4,IF(Pathogens!L63&gt;=2,3,IF(Pathogens!L63&gt;=1.2,2,1))))*0.3+IF(Pathogens!M63=1,2,0)*0.2+IF(VLOOKUP(G$4,Countries!$B$2:$AN$55,12,FALSE)&gt;=2,0.5,0)),0)</f>
        <v>2</v>
      </c>
      <c r="AS66" s="62">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c r="AT66" s="62">
        <f>ROUND(MAX(1,MIN(5,(6-VLOOKUP(G$4,Countries!$B$2:$AN$55,10,FALSE))*0.5+(6-VLOOKUP(G$4,Countries!$B$2:$AN$55,11,FALSE))*0.4+(IF(AND(Pathogens!N63&gt;=0.5,VLOOKUP(G$4,Countries!$B$2:$AN$55,5,FALSE)&lt;60),5,IF(Pathogens!N63&gt;=0.5,4,IF(Pathogens!N63&gt;=0.3,3,IF(Pathogens!N63&gt;=0.1,2,1)))))*0.1)),0)</f>
        <v>2</v>
      </c>
      <c r="AU66" s="62">
        <f>IF(ISNUMBER(SEARCH("Vaccine-preventable",Pathogens!C63)),2,IF(ISNUMBER(SEARCH("AMR",Pathogens!C63)),5,IF(ISNUMBER(SEARCH("VHF",Pathogens!C63)),4,IF(ISNUMBER(SEARCH("Emerging",Pathogens!C63)),5,IF(ISNUMBER(SEARCH("Mycobacterial",Pathogens!C63)),3,IF(ISNUMBER(SEARCH("Helminth",Pathogens!C63)),3,IF(ISNUMBER(SEARCH("Respiratory",Pathogens!C63)),4,3)))))))</f>
        <v>3</v>
      </c>
      <c r="AV66" s="62">
        <f>IF(ISNUMBER(SEARCH("AMR",Pathogens!C63)),5,IF(ISNUMBER(SEARCH("Mycobacterial",Pathogens!C63)),4,IF(ISNUMBER(SEARCH("Enteric bacterial",Pathogens!C63)),3,IF(ISNUMBER(SEARCH("Bacterial",Pathogens!C63)),3,1))))</f>
        <v>1</v>
      </c>
      <c r="AW66"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6" s="62">
        <f>(6-Pathogens!X63)</f>
        <v>3</v>
      </c>
      <c r="AY66" s="62">
        <f>ROUND(MIN(5,MAX(1,0.35*IF(Pathogens!R63=1,5,IF(Pathogens!R63=2,3,1))+0.2*IF(Pathogens!S63=1,5,IF(Pathogens!S63=2,3,1))+0.25*IF(Pathogens!W63=1,IF(VLOOKUP(G$4,Countries!$B$2:$AN$55,38,FALSE)&gt;=3,5,IF(VLOOKUP(G$4,Countries!$B$2:$AN$55,38,FALSE)=2,4,IF(VLOOKUP(G$4,Countries!$B$2:$AN$55,38,FALSE)=1,2,1))),5)+0.2*IF(VLOOKUP(G$4,Countries!$B$2:$AN$55,24,FALSE)&gt;=50,5,IF(VLOOKUP(G$4,Countries!$B$2:$AN$55,24,FALSE)&gt;=25,4,IF(VLOOKUP(G$4,Countries!$B$2:$AN$55,24,FALSE)&gt;=10,3,IF(VLOOKUP(G$4,Countries!$B$2:$AN$55,24,FALSE)&gt;=5,2,1)))))),0)</f>
        <v>3</v>
      </c>
      <c r="AZ66" s="62" t="str">
        <f>IFERROR(INDEX(Endemicity!$C$2:$BN$55,MATCH(G$4,Endemicity!$B$2:$B$55,0),MATCH($A66,Endemicity!$C$1:$BN$1,0)),"Sporadic")</f>
        <v>Endemic</v>
      </c>
      <c r="BA66" s="62">
        <f>IF(Settings!$B$48="ON",IFERROR(MATCH($AZ66,Settings!$B$35:$F$35,0),5),5)</f>
        <v>1</v>
      </c>
    </row>
    <row r="67" customHeight="1" spans="1:53">
      <c r="A67" s="61" t="str">
        <f>Calculator!A96</f>
        <v>ANTH</v>
      </c>
      <c r="B67" s="61" t="str">
        <f>Calculator!B96</f>
        <v>Bacillus anthracis (spores)</v>
      </c>
      <c r="C67" s="61" t="str">
        <f>Calculator!C96</f>
        <v>Bacterial zoonotic</v>
      </c>
      <c r="D67" s="52">
        <f>IFERROR(ROUND(MIN(100,(($J67)*Settings!$C$23*INDEX(Settings!$B$36:$F$44,1,$T67)+($K67)*Settings!$C$24*INDEX(Settings!$B$36:$F$44,2,$T67)+($L67)*Settings!$C$25*INDEX(Settings!$B$36:$F$44,3,$T67)+($M67)*Settings!$C$26*INDEX(Settings!$B$36:$F$44,4,$T67)+($N67)*Settings!$C$27*INDEX(Settings!$B$36:$F$44,5,$T67)+($O67)*Settings!$C$28*INDEX(Settings!$B$36:$F$44,6,$T67)+($P67)*Settings!$C$29*INDEX(Settings!$B$36:$F$44,7,$T67)+($Q67)*Settings!$C$30*INDEX(Settings!$B$36:$F$44,8,$T67)+($R67)*Settings!$C$31*INDEX(Settings!$B$36:$F$44,9,$T67))/INDEX(Settings!$B$45:$F$45,1,$T67)/5*100*IF($S67="Not present",Settings!$B$51,1)),1),"")</f>
        <v>56.9</v>
      </c>
      <c r="E67" s="52">
        <f>IFERROR(ROUND(MIN(100,(($U67)*Settings!$C$23*INDEX(Settings!$B$36:$F$44,1,$AE67)+($V67)*Settings!$C$24*INDEX(Settings!$B$36:$F$44,2,$AE67)+($W67)*Settings!$C$25*INDEX(Settings!$B$36:$F$44,3,$AE67)+($X67)*Settings!$C$26*INDEX(Settings!$B$36:$F$44,4,$AE67)+($Y67)*Settings!$C$27*INDEX(Settings!$B$36:$F$44,5,$AE67)+($Z67)*Settings!$C$28*INDEX(Settings!$B$36:$F$44,6,$AE67)+($AA67)*Settings!$C$29*INDEX(Settings!$B$36:$F$44,7,$AE67)+($AB67)*Settings!$C$30*INDEX(Settings!$B$36:$F$44,8,$AE67)+($AC67)*Settings!$C$31*INDEX(Settings!$B$36:$F$44,9,$AE67))/INDEX(Settings!$B$45:$F$45,1,$AE67)/5*100*IF($AD67="Not present",Settings!$B$51,1)),1),"")</f>
        <v>62.5</v>
      </c>
      <c r="F67" s="52">
        <f>IFERROR(ROUND(MIN(100,(($AF67)*Settings!$C$23*INDEX(Settings!$B$36:$F$44,1,$AP67)+($AG67)*Settings!$C$24*INDEX(Settings!$B$36:$F$44,2,$AP67)+($AH67)*Settings!$C$25*INDEX(Settings!$B$36:$F$44,3,$AP67)+($AI67)*Settings!$C$26*INDEX(Settings!$B$36:$F$44,4,$AP67)+($AJ67)*Settings!$C$27*INDEX(Settings!$B$36:$F$44,5,$AP67)+($AK67)*Settings!$C$28*INDEX(Settings!$B$36:$F$44,6,$AP67)+($AL67)*Settings!$C$29*INDEX(Settings!$B$36:$F$44,7,$AP67)+($AM67)*Settings!$C$30*INDEX(Settings!$B$36:$F$44,8,$AP67)+($AN67)*Settings!$C$31*INDEX(Settings!$B$36:$F$44,9,$AP67))/INDEX(Settings!$B$45:$F$45,1,$AP67)/5*100*IF($AO67="Not present",Settings!$B$51,1)),1),"")</f>
        <v>56.9</v>
      </c>
      <c r="G67" s="52">
        <f>IFERROR(ROUND(MIN(100,(($AQ67)*Settings!$C$23*INDEX(Settings!$B$36:$F$44,1,$BA67)+($AR67)*Settings!$C$24*INDEX(Settings!$B$36:$F$44,2,$BA67)+($AS67)*Settings!$C$25*INDEX(Settings!$B$36:$F$44,3,$BA67)+($AT67)*Settings!$C$26*INDEX(Settings!$B$36:$F$44,4,$BA67)+($AU67)*Settings!$C$27*INDEX(Settings!$B$36:$F$44,5,$BA67)+($AV67)*Settings!$C$28*INDEX(Settings!$B$36:$F$44,6,$BA67)+($AW67)*Settings!$C$29*INDEX(Settings!$B$36:$F$44,7,$BA67)+($AX67)*Settings!$C$30*INDEX(Settings!$B$36:$F$44,8,$BA67)+($AY67)*Settings!$C$31*INDEX(Settings!$B$36:$F$44,9,$BA67))/INDEX(Settings!$B$45:$F$45,1,$BA67)/5*100*IF($AZ67="Not present",Settings!$B$51,1)),1),"")</f>
        <v>58.7</v>
      </c>
      <c r="J67" s="62">
        <f>ROUND(MIN(5,IF(Pathogens!I64&gt;=500,5,IF(Pathogens!I64&gt;=200,4,IF(Pathogens!I64&gt;=50,3,IF(Pathogens!I64&gt;=10,2,1))))*0.5+IF(Pathogens!J64&gt;=30,5,IF(Pathogens!J64&gt;=10,4,IF(Pathogens!J64&gt;=3,3,IF(Pathogens!J64&gt;=1,2,1))))*0.4+IF(AND(VLOOKUP(D$4,Countries!$B$2:$AN$55,4,FALSE)&gt;=80,Pathogens!N64&gt;=0.5),1,0)*0.1+IF(VLOOKUP(D$4,Countries!$B$2:$AN$55,7,FALSE)&lt;50,0.3,0)),0)</f>
        <v>3</v>
      </c>
      <c r="K67" s="62">
        <f>ROUND(MIN(5,IF(Pathogens!K64&gt;=8,5,IF(Pathogens!K64&gt;=5,4,IF(Pathogens!K64&gt;=3,3,IF(Pathogens!K64&gt;=1,2,1))))*0.5+IF(Pathogens!L64&gt;=5,5,IF(Pathogens!L64&gt;=3,4,IF(Pathogens!L64&gt;=2,3,IF(Pathogens!L64&gt;=1.2,2,1))))*0.3+IF(Pathogens!M64=1,2,0)*0.2+IF(VLOOKUP(D$4,Countries!$B$2:$AN$55,12,FALSE)&gt;=2,0.5,0)),0)</f>
        <v>2</v>
      </c>
      <c r="L67" s="62">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c r="M67" s="62">
        <f>ROUND(MAX(1,MIN(5,(6-VLOOKUP(D$4,Countries!$B$2:$AN$55,10,FALSE))*0.5+(6-VLOOKUP(D$4,Countries!$B$2:$AN$55,11,FALSE))*0.4+(IF(AND(Pathogens!N64&gt;=0.5,VLOOKUP(D$4,Countries!$B$2:$AN$55,5,FALSE)&lt;60),5,IF(Pathogens!N64&gt;=0.5,4,IF(Pathogens!N64&gt;=0.3,3,IF(Pathogens!N64&gt;=0.1,2,1)))))*0.1)),0)</f>
        <v>2</v>
      </c>
      <c r="N67" s="62">
        <f>IF(ISNUMBER(SEARCH("Vaccine-preventable",Pathogens!C64)),2,IF(ISNUMBER(SEARCH("AMR",Pathogens!C64)),5,IF(ISNUMBER(SEARCH("VHF",Pathogens!C64)),4,IF(ISNUMBER(SEARCH("Emerging",Pathogens!C64)),5,IF(ISNUMBER(SEARCH("Mycobacterial",Pathogens!C64)),3,IF(ISNUMBER(SEARCH("Helminth",Pathogens!C64)),3,IF(ISNUMBER(SEARCH("Respiratory",Pathogens!C64)),4,3)))))))</f>
        <v>3</v>
      </c>
      <c r="O67" s="62">
        <f>IF(ISNUMBER(SEARCH("AMR",Pathogens!C64)),5,IF(ISNUMBER(SEARCH("Mycobacterial",Pathogens!C64)),4,IF(ISNUMBER(SEARCH("Enteric bacterial",Pathogens!C64)),3,IF(ISNUMBER(SEARCH("Bacterial",Pathogens!C64)),3,1))))</f>
        <v>3</v>
      </c>
      <c r="P67"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7" s="62">
        <f>(6-Pathogens!X64)</f>
        <v>4</v>
      </c>
      <c r="R67" s="62">
        <f>ROUND(MIN(5,MAX(1,0.35*IF(Pathogens!R64=1,5,IF(Pathogens!R64=2,3,1))+0.2*IF(Pathogens!S64=1,5,IF(Pathogens!S64=2,3,1))+0.25*IF(Pathogens!W64=1,IF(VLOOKUP(D$4,Countries!$B$2:$AN$55,38,FALSE)&gt;=3,5,IF(VLOOKUP(D$4,Countries!$B$2:$AN$55,38,FALSE)=2,4,IF(VLOOKUP(D$4,Countries!$B$2:$AN$55,38,FALSE)=1,2,1))),5)+0.2*IF(VLOOKUP(D$4,Countries!$B$2:$AN$55,24,FALSE)&gt;=50,5,IF(VLOOKUP(D$4,Countries!$B$2:$AN$55,24,FALSE)&gt;=25,4,IF(VLOOKUP(D$4,Countries!$B$2:$AN$55,24,FALSE)&gt;=10,3,IF(VLOOKUP(D$4,Countries!$B$2:$AN$55,24,FALSE)&gt;=5,2,1)))))),0)</f>
        <v>3</v>
      </c>
      <c r="S67" s="62" t="str">
        <f>IFERROR(INDEX(Endemicity!$C$2:$BN$55,MATCH(D$4,Endemicity!$B$2:$B$55,0),MATCH($A67,Endemicity!$C$1:$BN$1,0)),"Sporadic")</f>
        <v>Endemic</v>
      </c>
      <c r="T67" s="62">
        <f>IF(Settings!$B$48="ON",IFERROR(MATCH($S67,Settings!$B$35:$F$35,0),5),5)</f>
        <v>1</v>
      </c>
      <c r="U67" s="62">
        <f>ROUND(MIN(5,IF(Pathogens!I64&gt;=500,5,IF(Pathogens!I64&gt;=200,4,IF(Pathogens!I64&gt;=50,3,IF(Pathogens!I64&gt;=10,2,1))))*0.5+IF(Pathogens!J64&gt;=30,5,IF(Pathogens!J64&gt;=10,4,IF(Pathogens!J64&gt;=3,3,IF(Pathogens!J64&gt;=1,2,1))))*0.4+IF(AND(VLOOKUP(E$4,Countries!$B$2:$AN$55,4,FALSE)&gt;=80,Pathogens!N64&gt;=0.5),1,0)*0.1+IF(VLOOKUP(E$4,Countries!$B$2:$AN$55,7,FALSE)&lt;50,0.3,0)),0)</f>
        <v>3</v>
      </c>
      <c r="V67" s="62">
        <f>ROUND(MIN(5,IF(Pathogens!K64&gt;=8,5,IF(Pathogens!K64&gt;=5,4,IF(Pathogens!K64&gt;=3,3,IF(Pathogens!K64&gt;=1,2,1))))*0.5+IF(Pathogens!L64&gt;=5,5,IF(Pathogens!L64&gt;=3,4,IF(Pathogens!L64&gt;=2,3,IF(Pathogens!L64&gt;=1.2,2,1))))*0.3+IF(Pathogens!M64=1,2,0)*0.2+IF(VLOOKUP(E$4,Countries!$B$2:$AN$55,12,FALSE)&gt;=2,0.5,0)),0)</f>
        <v>2</v>
      </c>
      <c r="W67" s="62">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c r="X67" s="62">
        <f>ROUND(MAX(1,MIN(5,(6-VLOOKUP(E$4,Countries!$B$2:$AN$55,10,FALSE))*0.5+(6-VLOOKUP(E$4,Countries!$B$2:$AN$55,11,FALSE))*0.4+(IF(AND(Pathogens!N64&gt;=0.5,VLOOKUP(E$4,Countries!$B$2:$AN$55,5,FALSE)&lt;60),5,IF(Pathogens!N64&gt;=0.5,4,IF(Pathogens!N64&gt;=0.3,3,IF(Pathogens!N64&gt;=0.1,2,1)))))*0.1)),0)</f>
        <v>3</v>
      </c>
      <c r="Y67" s="62">
        <f>IF(ISNUMBER(SEARCH("Vaccine-preventable",Pathogens!C64)),2,IF(ISNUMBER(SEARCH("AMR",Pathogens!C64)),5,IF(ISNUMBER(SEARCH("VHF",Pathogens!C64)),4,IF(ISNUMBER(SEARCH("Emerging",Pathogens!C64)),5,IF(ISNUMBER(SEARCH("Mycobacterial",Pathogens!C64)),3,IF(ISNUMBER(SEARCH("Helminth",Pathogens!C64)),3,IF(ISNUMBER(SEARCH("Respiratory",Pathogens!C64)),4,3)))))))</f>
        <v>3</v>
      </c>
      <c r="Z67" s="62">
        <f>IF(ISNUMBER(SEARCH("AMR",Pathogens!C64)),5,IF(ISNUMBER(SEARCH("Mycobacterial",Pathogens!C64)),4,IF(ISNUMBER(SEARCH("Enteric bacterial",Pathogens!C64)),3,IF(ISNUMBER(SEARCH("Bacterial",Pathogens!C64)),3,1))))</f>
        <v>3</v>
      </c>
      <c r="AA67"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7" s="62">
        <f>(6-Pathogens!X64)</f>
        <v>4</v>
      </c>
      <c r="AC67" s="62">
        <f>ROUND(MIN(5,MAX(1,0.35*IF(Pathogens!R64=1,5,IF(Pathogens!R64=2,3,1))+0.2*IF(Pathogens!S64=1,5,IF(Pathogens!S64=2,3,1))+0.25*IF(Pathogens!W64=1,IF(VLOOKUP(E$4,Countries!$B$2:$AN$55,38,FALSE)&gt;=3,5,IF(VLOOKUP(E$4,Countries!$B$2:$AN$55,38,FALSE)=2,4,IF(VLOOKUP(E$4,Countries!$B$2:$AN$55,38,FALSE)=1,2,1))),5)+0.2*IF(VLOOKUP(E$4,Countries!$B$2:$AN$55,24,FALSE)&gt;=50,5,IF(VLOOKUP(E$4,Countries!$B$2:$AN$55,24,FALSE)&gt;=25,4,IF(VLOOKUP(E$4,Countries!$B$2:$AN$55,24,FALSE)&gt;=10,3,IF(VLOOKUP(E$4,Countries!$B$2:$AN$55,24,FALSE)&gt;=5,2,1)))))),0)</f>
        <v>3</v>
      </c>
      <c r="AD67" s="62" t="str">
        <f>IFERROR(INDEX(Endemicity!$C$2:$BN$55,MATCH(E$4,Endemicity!$B$2:$B$55,0),MATCH($A67,Endemicity!$C$1:$BN$1,0)),"Sporadic")</f>
        <v>Endemic</v>
      </c>
      <c r="AE67" s="62">
        <f>IF(Settings!$B$48="ON",IFERROR(MATCH($AD67,Settings!$B$35:$F$35,0),5),5)</f>
        <v>1</v>
      </c>
      <c r="AF67" s="62">
        <f>ROUND(MIN(5,IF(Pathogens!I64&gt;=500,5,IF(Pathogens!I64&gt;=200,4,IF(Pathogens!I64&gt;=50,3,IF(Pathogens!I64&gt;=10,2,1))))*0.5+IF(Pathogens!J64&gt;=30,5,IF(Pathogens!J64&gt;=10,4,IF(Pathogens!J64&gt;=3,3,IF(Pathogens!J64&gt;=1,2,1))))*0.4+IF(AND(VLOOKUP(F$4,Countries!$B$2:$AN$55,4,FALSE)&gt;=80,Pathogens!N64&gt;=0.5),1,0)*0.1+IF(VLOOKUP(F$4,Countries!$B$2:$AN$55,7,FALSE)&lt;50,0.3,0)),0)</f>
        <v>3</v>
      </c>
      <c r="AG67" s="62">
        <f>ROUND(MIN(5,IF(Pathogens!K64&gt;=8,5,IF(Pathogens!K64&gt;=5,4,IF(Pathogens!K64&gt;=3,3,IF(Pathogens!K64&gt;=1,2,1))))*0.5+IF(Pathogens!L64&gt;=5,5,IF(Pathogens!L64&gt;=3,4,IF(Pathogens!L64&gt;=2,3,IF(Pathogens!L64&gt;=1.2,2,1))))*0.3+IF(Pathogens!M64=1,2,0)*0.2+IF(VLOOKUP(F$4,Countries!$B$2:$AN$55,12,FALSE)&gt;=2,0.5,0)),0)</f>
        <v>2</v>
      </c>
      <c r="AH67" s="62">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c r="AI67" s="62">
        <f>ROUND(MAX(1,MIN(5,(6-VLOOKUP(F$4,Countries!$B$2:$AN$55,10,FALSE))*0.5+(6-VLOOKUP(F$4,Countries!$B$2:$AN$55,11,FALSE))*0.4+(IF(AND(Pathogens!N64&gt;=0.5,VLOOKUP(F$4,Countries!$B$2:$AN$55,5,FALSE)&lt;60),5,IF(Pathogens!N64&gt;=0.5,4,IF(Pathogens!N64&gt;=0.3,3,IF(Pathogens!N64&gt;=0.1,2,1)))))*0.1)),0)</f>
        <v>2</v>
      </c>
      <c r="AJ67" s="62">
        <f>IF(ISNUMBER(SEARCH("Vaccine-preventable",Pathogens!C64)),2,IF(ISNUMBER(SEARCH("AMR",Pathogens!C64)),5,IF(ISNUMBER(SEARCH("VHF",Pathogens!C64)),4,IF(ISNUMBER(SEARCH("Emerging",Pathogens!C64)),5,IF(ISNUMBER(SEARCH("Mycobacterial",Pathogens!C64)),3,IF(ISNUMBER(SEARCH("Helminth",Pathogens!C64)),3,IF(ISNUMBER(SEARCH("Respiratory",Pathogens!C64)),4,3)))))))</f>
        <v>3</v>
      </c>
      <c r="AK67" s="62">
        <f>IF(ISNUMBER(SEARCH("AMR",Pathogens!C64)),5,IF(ISNUMBER(SEARCH("Mycobacterial",Pathogens!C64)),4,IF(ISNUMBER(SEARCH("Enteric bacterial",Pathogens!C64)),3,IF(ISNUMBER(SEARCH("Bacterial",Pathogens!C64)),3,1))))</f>
        <v>3</v>
      </c>
      <c r="AL67"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7" s="62">
        <f>(6-Pathogens!X64)</f>
        <v>4</v>
      </c>
      <c r="AN67" s="62">
        <f>ROUND(MIN(5,MAX(1,0.35*IF(Pathogens!R64=1,5,IF(Pathogens!R64=2,3,1))+0.2*IF(Pathogens!S64=1,5,IF(Pathogens!S64=2,3,1))+0.25*IF(Pathogens!W64=1,IF(VLOOKUP(F$4,Countries!$B$2:$AN$55,38,FALSE)&gt;=3,5,IF(VLOOKUP(F$4,Countries!$B$2:$AN$55,38,FALSE)=2,4,IF(VLOOKUP(F$4,Countries!$B$2:$AN$55,38,FALSE)=1,2,1))),5)+0.2*IF(VLOOKUP(F$4,Countries!$B$2:$AN$55,24,FALSE)&gt;=50,5,IF(VLOOKUP(F$4,Countries!$B$2:$AN$55,24,FALSE)&gt;=25,4,IF(VLOOKUP(F$4,Countries!$B$2:$AN$55,24,FALSE)&gt;=10,3,IF(VLOOKUP(F$4,Countries!$B$2:$AN$55,24,FALSE)&gt;=5,2,1)))))),0)</f>
        <v>3</v>
      </c>
      <c r="AO67" s="62" t="str">
        <f>IFERROR(INDEX(Endemicity!$C$2:$BN$55,MATCH(F$4,Endemicity!$B$2:$B$55,0),MATCH($A67,Endemicity!$C$1:$BN$1,0)),"Sporadic")</f>
        <v>Endemic</v>
      </c>
      <c r="AP67" s="62">
        <f>IF(Settings!$B$48="ON",IFERROR(MATCH($AO67,Settings!$B$35:$F$35,0),5),5)</f>
        <v>1</v>
      </c>
      <c r="AQ67" s="62">
        <f>ROUND(MIN(5,IF(Pathogens!I64&gt;=500,5,IF(Pathogens!I64&gt;=200,4,IF(Pathogens!I64&gt;=50,3,IF(Pathogens!I64&gt;=10,2,1))))*0.5+IF(Pathogens!J64&gt;=30,5,IF(Pathogens!J64&gt;=10,4,IF(Pathogens!J64&gt;=3,3,IF(Pathogens!J64&gt;=1,2,1))))*0.4+IF(AND(VLOOKUP(G$4,Countries!$B$2:$AN$55,4,FALSE)&gt;=80,Pathogens!N64&gt;=0.5),1,0)*0.1+IF(VLOOKUP(G$4,Countries!$B$2:$AN$55,7,FALSE)&lt;50,0.3,0)),0)</f>
        <v>3</v>
      </c>
      <c r="AR67" s="62">
        <f>ROUND(MIN(5,IF(Pathogens!K64&gt;=8,5,IF(Pathogens!K64&gt;=5,4,IF(Pathogens!K64&gt;=3,3,IF(Pathogens!K64&gt;=1,2,1))))*0.5+IF(Pathogens!L64&gt;=5,5,IF(Pathogens!L64&gt;=3,4,IF(Pathogens!L64&gt;=2,3,IF(Pathogens!L64&gt;=1.2,2,1))))*0.3+IF(Pathogens!M64=1,2,0)*0.2+IF(VLOOKUP(G$4,Countries!$B$2:$AN$55,12,FALSE)&gt;=2,0.5,0)),0)</f>
        <v>2</v>
      </c>
      <c r="AS67" s="62">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c r="AT67" s="62">
        <f>ROUND(MAX(1,MIN(5,(6-VLOOKUP(G$4,Countries!$B$2:$AN$55,10,FALSE))*0.5+(6-VLOOKUP(G$4,Countries!$B$2:$AN$55,11,FALSE))*0.4+(IF(AND(Pathogens!N64&gt;=0.5,VLOOKUP(G$4,Countries!$B$2:$AN$55,5,FALSE)&lt;60),5,IF(Pathogens!N64&gt;=0.5,4,IF(Pathogens!N64&gt;=0.3,3,IF(Pathogens!N64&gt;=0.1,2,1)))))*0.1)),0)</f>
        <v>2</v>
      </c>
      <c r="AU67" s="62">
        <f>IF(ISNUMBER(SEARCH("Vaccine-preventable",Pathogens!C64)),2,IF(ISNUMBER(SEARCH("AMR",Pathogens!C64)),5,IF(ISNUMBER(SEARCH("VHF",Pathogens!C64)),4,IF(ISNUMBER(SEARCH("Emerging",Pathogens!C64)),5,IF(ISNUMBER(SEARCH("Mycobacterial",Pathogens!C64)),3,IF(ISNUMBER(SEARCH("Helminth",Pathogens!C64)),3,IF(ISNUMBER(SEARCH("Respiratory",Pathogens!C64)),4,3)))))))</f>
        <v>3</v>
      </c>
      <c r="AV67" s="62">
        <f>IF(ISNUMBER(SEARCH("AMR",Pathogens!C64)),5,IF(ISNUMBER(SEARCH("Mycobacterial",Pathogens!C64)),4,IF(ISNUMBER(SEARCH("Enteric bacterial",Pathogens!C64)),3,IF(ISNUMBER(SEARCH("Bacterial",Pathogens!C64)),3,1))))</f>
        <v>3</v>
      </c>
      <c r="AW67"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7" s="62">
        <f>(6-Pathogens!X64)</f>
        <v>4</v>
      </c>
      <c r="AY67" s="62">
        <f>ROUND(MIN(5,MAX(1,0.35*IF(Pathogens!R64=1,5,IF(Pathogens!R64=2,3,1))+0.2*IF(Pathogens!S64=1,5,IF(Pathogens!S64=2,3,1))+0.25*IF(Pathogens!W64=1,IF(VLOOKUP(G$4,Countries!$B$2:$AN$55,38,FALSE)&gt;=3,5,IF(VLOOKUP(G$4,Countries!$B$2:$AN$55,38,FALSE)=2,4,IF(VLOOKUP(G$4,Countries!$B$2:$AN$55,38,FALSE)=1,2,1))),5)+0.2*IF(VLOOKUP(G$4,Countries!$B$2:$AN$55,24,FALSE)&gt;=50,5,IF(VLOOKUP(G$4,Countries!$B$2:$AN$55,24,FALSE)&gt;=25,4,IF(VLOOKUP(G$4,Countries!$B$2:$AN$55,24,FALSE)&gt;=10,3,IF(VLOOKUP(G$4,Countries!$B$2:$AN$55,24,FALSE)&gt;=5,2,1)))))),0)</f>
        <v>3</v>
      </c>
      <c r="AZ67" s="62" t="str">
        <f>IFERROR(INDEX(Endemicity!$C$2:$BN$55,MATCH(G$4,Endemicity!$B$2:$B$55,0),MATCH($A67,Endemicity!$C$1:$BN$1,0)),"Sporadic")</f>
        <v>Endemic</v>
      </c>
      <c r="BA67" s="62">
        <f>IF(Settings!$B$48="ON",IFERROR(MATCH($AZ67,Settings!$B$35:$F$35,0),5),5)</f>
        <v>1</v>
      </c>
    </row>
    <row r="68" customHeight="1" spans="1:53">
      <c r="A68" s="61" t="str">
        <f>Calculator!A97</f>
        <v>LEISH</v>
      </c>
      <c r="B68" s="61" t="str">
        <f>Calculator!B97</f>
        <v>Leishmania spp.</v>
      </c>
      <c r="C68" s="61" t="str">
        <f>Calculator!C97</f>
        <v>Protozoan vectorborne</v>
      </c>
      <c r="D68" s="52">
        <f>IFERROR(ROUND(MIN(100,(($J68)*Settings!$C$23*INDEX(Settings!$B$36:$F$44,1,$T68)+($K68)*Settings!$C$24*INDEX(Settings!$B$36:$F$44,2,$T68)+($L68)*Settings!$C$25*INDEX(Settings!$B$36:$F$44,3,$T68)+($M68)*Settings!$C$26*INDEX(Settings!$B$36:$F$44,4,$T68)+($N68)*Settings!$C$27*INDEX(Settings!$B$36:$F$44,5,$T68)+($O68)*Settings!$C$28*INDEX(Settings!$B$36:$F$44,6,$T68)+($P68)*Settings!$C$29*INDEX(Settings!$B$36:$F$44,7,$T68)+($Q68)*Settings!$C$30*INDEX(Settings!$B$36:$F$44,8,$T68)+($R68)*Settings!$C$31*INDEX(Settings!$B$36:$F$44,9,$T68))/INDEX(Settings!$B$45:$F$45,1,$T68)/5*100*IF($S68="Not present",Settings!$B$51,1)),1),"")</f>
        <v>49.9</v>
      </c>
      <c r="E68" s="52">
        <f>IFERROR(ROUND(MIN(100,(($U68)*Settings!$C$23*INDEX(Settings!$B$36:$F$44,1,$AE68)+($V68)*Settings!$C$24*INDEX(Settings!$B$36:$F$44,2,$AE68)+($W68)*Settings!$C$25*INDEX(Settings!$B$36:$F$44,3,$AE68)+($X68)*Settings!$C$26*INDEX(Settings!$B$36:$F$44,4,$AE68)+($Y68)*Settings!$C$27*INDEX(Settings!$B$36:$F$44,5,$AE68)+($Z68)*Settings!$C$28*INDEX(Settings!$B$36:$F$44,6,$AE68)+($AA68)*Settings!$C$29*INDEX(Settings!$B$36:$F$44,7,$AE68)+($AB68)*Settings!$C$30*INDEX(Settings!$B$36:$F$44,8,$AE68)+($AC68)*Settings!$C$31*INDEX(Settings!$B$36:$F$44,9,$AE68))/INDEX(Settings!$B$45:$F$45,1,$AE68)/5*100*IF($AD68="Not present",Settings!$B$51,1)),1),"")</f>
        <v>51.5</v>
      </c>
      <c r="F68" s="52">
        <f>IFERROR(ROUND(MIN(100,(($AF68)*Settings!$C$23*INDEX(Settings!$B$36:$F$44,1,$AP68)+($AG68)*Settings!$C$24*INDEX(Settings!$B$36:$F$44,2,$AP68)+($AH68)*Settings!$C$25*INDEX(Settings!$B$36:$F$44,3,$AP68)+($AI68)*Settings!$C$26*INDEX(Settings!$B$36:$F$44,4,$AP68)+($AJ68)*Settings!$C$27*INDEX(Settings!$B$36:$F$44,5,$AP68)+($AK68)*Settings!$C$28*INDEX(Settings!$B$36:$F$44,6,$AP68)+($AL68)*Settings!$C$29*INDEX(Settings!$B$36:$F$44,7,$AP68)+($AM68)*Settings!$C$30*INDEX(Settings!$B$36:$F$44,8,$AP68)+($AN68)*Settings!$C$31*INDEX(Settings!$B$36:$F$44,9,$AP68))/INDEX(Settings!$B$45:$F$45,1,$AP68)/5*100*IF($AO68="Not present",Settings!$B$51,1)),1),"")</f>
        <v>48.8</v>
      </c>
      <c r="G68" s="52">
        <f>IFERROR(ROUND(MIN(100,(($AQ68)*Settings!$C$23*INDEX(Settings!$B$36:$F$44,1,$BA68)+($AR68)*Settings!$C$24*INDEX(Settings!$B$36:$F$44,2,$BA68)+($AS68)*Settings!$C$25*INDEX(Settings!$B$36:$F$44,3,$BA68)+($AT68)*Settings!$C$26*INDEX(Settings!$B$36:$F$44,4,$BA68)+($AU68)*Settings!$C$27*INDEX(Settings!$B$36:$F$44,5,$BA68)+($AV68)*Settings!$C$28*INDEX(Settings!$B$36:$F$44,6,$BA68)+($AW68)*Settings!$C$29*INDEX(Settings!$B$36:$F$44,7,$BA68)+($AX68)*Settings!$C$30*INDEX(Settings!$B$36:$F$44,8,$BA68)+($AY68)*Settings!$C$31*INDEX(Settings!$B$36:$F$44,9,$BA68))/INDEX(Settings!$B$45:$F$45,1,$BA68)/5*100*IF($AZ68="Not present",Settings!$B$51,1)),1),"")</f>
        <v>51.7</v>
      </c>
      <c r="J68" s="62">
        <f>ROUND(MIN(5,IF(Pathogens!I65&gt;=500,5,IF(Pathogens!I65&gt;=200,4,IF(Pathogens!I65&gt;=50,3,IF(Pathogens!I65&gt;=10,2,1))))*0.5+IF(Pathogens!J65&gt;=30,5,IF(Pathogens!J65&gt;=10,4,IF(Pathogens!J65&gt;=3,3,IF(Pathogens!J65&gt;=1,2,1))))*0.4+IF(AND(VLOOKUP(D$4,Countries!$B$2:$AN$55,4,FALSE)&gt;=80,Pathogens!N65&gt;=0.5),1,0)*0.1+IF(VLOOKUP(D$4,Countries!$B$2:$AN$55,7,FALSE)&lt;50,0.3,0)),0)</f>
        <v>3</v>
      </c>
      <c r="K68" s="62">
        <f>ROUND(MIN(5,IF(Pathogens!K65&gt;=8,5,IF(Pathogens!K65&gt;=5,4,IF(Pathogens!K65&gt;=3,3,IF(Pathogens!K65&gt;=1,2,1))))*0.5+IF(Pathogens!L65&gt;=5,5,IF(Pathogens!L65&gt;=3,4,IF(Pathogens!L65&gt;=2,3,IF(Pathogens!L65&gt;=1.2,2,1))))*0.3+IF(Pathogens!M65=1,2,0)*0.2+IF(VLOOKUP(D$4,Countries!$B$2:$AN$55,12,FALSE)&gt;=2,0.5,0)),0)</f>
        <v>3</v>
      </c>
      <c r="L68" s="62">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c r="M68" s="62">
        <f>ROUND(MAX(1,MIN(5,(6-VLOOKUP(D$4,Countries!$B$2:$AN$55,10,FALSE))*0.5+(6-VLOOKUP(D$4,Countries!$B$2:$AN$55,11,FALSE))*0.4+(IF(AND(Pathogens!N65&gt;=0.5,VLOOKUP(D$4,Countries!$B$2:$AN$55,5,FALSE)&lt;60),5,IF(Pathogens!N65&gt;=0.5,4,IF(Pathogens!N65&gt;=0.3,3,IF(Pathogens!N65&gt;=0.1,2,1)))))*0.1)),0)</f>
        <v>2</v>
      </c>
      <c r="N68" s="62">
        <f>IF(ISNUMBER(SEARCH("Vaccine-preventable",Pathogens!C65)),2,IF(ISNUMBER(SEARCH("AMR",Pathogens!C65)),5,IF(ISNUMBER(SEARCH("VHF",Pathogens!C65)),4,IF(ISNUMBER(SEARCH("Emerging",Pathogens!C65)),5,IF(ISNUMBER(SEARCH("Mycobacterial",Pathogens!C65)),3,IF(ISNUMBER(SEARCH("Helminth",Pathogens!C65)),3,IF(ISNUMBER(SEARCH("Respiratory",Pathogens!C65)),4,3)))))))</f>
        <v>3</v>
      </c>
      <c r="O68" s="62">
        <f>IF(ISNUMBER(SEARCH("AMR",Pathogens!C65)),5,IF(ISNUMBER(SEARCH("Mycobacterial",Pathogens!C65)),4,IF(ISNUMBER(SEARCH("Enteric bacterial",Pathogens!C65)),3,IF(ISNUMBER(SEARCH("Bacterial",Pathogens!C65)),3,1))))</f>
        <v>1</v>
      </c>
      <c r="P68" s="62">
        <f>ROUND(MIN(5,IF(VLOOKUP(D$4,Countries!$B$2:$AN$55,4,FALSE)&gt;=80,5,IF(VLOOKUP(D$4,Countries!$B$2:$AN$55,4,FALSE)&gt;=50,4,IF(VLOOKUP(D$4,Countries!$B$2:$AN$55,4,FALSE)&gt;=30,3,IF(VLOOKUP(D$4,Countries!$B$2:$AN$55,4,FALSE)&gt;=15,2,1))))*0.4+IF(VLOOKUP(D$4,Countries!$B$2:$AN$55,5,FALSE)&lt;25,5,IF(VLOOKUP(D$4,Countries!$B$2:$AN$55,5,FALSE)&lt;40,4,IF(VLOOKUP(D$4,Countries!$B$2:$AN$55,5,FALSE)&lt;60,3,IF(VLOOKUP(D$4,Countries!$B$2:$AN$55,5,FALSE)&lt;80,2,1))))*0.35+IF(VLOOKUP(D$4,Countries!$B$2:$AN$55,13,FALSE)&gt;=100,5,IF(VLOOKUP(D$4,Countries!$B$2:$AN$55,13,FALSE)&gt;=85,4,IF(VLOOKUP(D$4,Countries!$B$2:$AN$55,13,FALSE)&gt;=70,3,IF(VLOOKUP(D$4,Countries!$B$2:$AN$55,13,FALSE)&gt;=50,2,1))))*0.25),0)</f>
        <v>3</v>
      </c>
      <c r="Q68" s="62">
        <f>(6-Pathogens!X65)</f>
        <v>4</v>
      </c>
      <c r="R68" s="62">
        <f>ROUND(MIN(5,MAX(1,0.35*IF(Pathogens!R65=1,5,IF(Pathogens!R65=2,3,1))+0.2*IF(Pathogens!S65=1,5,IF(Pathogens!S65=2,3,1))+0.25*IF(Pathogens!W65=1,IF(VLOOKUP(D$4,Countries!$B$2:$AN$55,38,FALSE)&gt;=3,5,IF(VLOOKUP(D$4,Countries!$B$2:$AN$55,38,FALSE)=2,4,IF(VLOOKUP(D$4,Countries!$B$2:$AN$55,38,FALSE)=1,2,1))),5)+0.2*IF(VLOOKUP(D$4,Countries!$B$2:$AN$55,24,FALSE)&gt;=50,5,IF(VLOOKUP(D$4,Countries!$B$2:$AN$55,24,FALSE)&gt;=25,4,IF(VLOOKUP(D$4,Countries!$B$2:$AN$55,24,FALSE)&gt;=10,3,IF(VLOOKUP(D$4,Countries!$B$2:$AN$55,24,FALSE)&gt;=5,2,1)))))),0)</f>
        <v>3</v>
      </c>
      <c r="S68" s="62" t="str">
        <f>IFERROR(INDEX(Endemicity!$C$2:$BN$55,MATCH(D$4,Endemicity!$B$2:$B$55,0),MATCH($A68,Endemicity!$C$1:$BN$1,0)),"Sporadic")</f>
        <v>Endemic</v>
      </c>
      <c r="T68" s="62">
        <f>IF(Settings!$B$48="ON",IFERROR(MATCH($S68,Settings!$B$35:$F$35,0),5),5)</f>
        <v>1</v>
      </c>
      <c r="U68" s="62">
        <f>ROUND(MIN(5,IF(Pathogens!I65&gt;=500,5,IF(Pathogens!I65&gt;=200,4,IF(Pathogens!I65&gt;=50,3,IF(Pathogens!I65&gt;=10,2,1))))*0.5+IF(Pathogens!J65&gt;=30,5,IF(Pathogens!J65&gt;=10,4,IF(Pathogens!J65&gt;=3,3,IF(Pathogens!J65&gt;=1,2,1))))*0.4+IF(AND(VLOOKUP(E$4,Countries!$B$2:$AN$55,4,FALSE)&gt;=80,Pathogens!N65&gt;=0.5),1,0)*0.1+IF(VLOOKUP(E$4,Countries!$B$2:$AN$55,7,FALSE)&lt;50,0.3,0)),0)</f>
        <v>3</v>
      </c>
      <c r="V68" s="62">
        <f>ROUND(MIN(5,IF(Pathogens!K65&gt;=8,5,IF(Pathogens!K65&gt;=5,4,IF(Pathogens!K65&gt;=3,3,IF(Pathogens!K65&gt;=1,2,1))))*0.5+IF(Pathogens!L65&gt;=5,5,IF(Pathogens!L65&gt;=3,4,IF(Pathogens!L65&gt;=2,3,IF(Pathogens!L65&gt;=1.2,2,1))))*0.3+IF(Pathogens!M65=1,2,0)*0.2+IF(VLOOKUP(E$4,Countries!$B$2:$AN$55,12,FALSE)&gt;=2,0.5,0)),0)</f>
        <v>3</v>
      </c>
      <c r="W68" s="62">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c r="X68" s="62">
        <f>ROUND(MAX(1,MIN(5,(6-VLOOKUP(E$4,Countries!$B$2:$AN$55,10,FALSE))*0.5+(6-VLOOKUP(E$4,Countries!$B$2:$AN$55,11,FALSE))*0.4+(IF(AND(Pathogens!N65&gt;=0.5,VLOOKUP(E$4,Countries!$B$2:$AN$55,5,FALSE)&lt;60),5,IF(Pathogens!N65&gt;=0.5,4,IF(Pathogens!N65&gt;=0.3,3,IF(Pathogens!N65&gt;=0.1,2,1)))))*0.1)),0)</f>
        <v>2</v>
      </c>
      <c r="Y68" s="62">
        <f>IF(ISNUMBER(SEARCH("Vaccine-preventable",Pathogens!C65)),2,IF(ISNUMBER(SEARCH("AMR",Pathogens!C65)),5,IF(ISNUMBER(SEARCH("VHF",Pathogens!C65)),4,IF(ISNUMBER(SEARCH("Emerging",Pathogens!C65)),5,IF(ISNUMBER(SEARCH("Mycobacterial",Pathogens!C65)),3,IF(ISNUMBER(SEARCH("Helminth",Pathogens!C65)),3,IF(ISNUMBER(SEARCH("Respiratory",Pathogens!C65)),4,3)))))))</f>
        <v>3</v>
      </c>
      <c r="Z68" s="62">
        <f>IF(ISNUMBER(SEARCH("AMR",Pathogens!C65)),5,IF(ISNUMBER(SEARCH("Mycobacterial",Pathogens!C65)),4,IF(ISNUMBER(SEARCH("Enteric bacterial",Pathogens!C65)),3,IF(ISNUMBER(SEARCH("Bacterial",Pathogens!C65)),3,1))))</f>
        <v>1</v>
      </c>
      <c r="AA68" s="62">
        <f>ROUND(MIN(5,IF(VLOOKUP(E$4,Countries!$B$2:$AN$55,4,FALSE)&gt;=80,5,IF(VLOOKUP(E$4,Countries!$B$2:$AN$55,4,FALSE)&gt;=50,4,IF(VLOOKUP(E$4,Countries!$B$2:$AN$55,4,FALSE)&gt;=30,3,IF(VLOOKUP(E$4,Countries!$B$2:$AN$55,4,FALSE)&gt;=15,2,1))))*0.4+IF(VLOOKUP(E$4,Countries!$B$2:$AN$55,5,FALSE)&lt;25,5,IF(VLOOKUP(E$4,Countries!$B$2:$AN$55,5,FALSE)&lt;40,4,IF(VLOOKUP(E$4,Countries!$B$2:$AN$55,5,FALSE)&lt;60,3,IF(VLOOKUP(E$4,Countries!$B$2:$AN$55,5,FALSE)&lt;80,2,1))))*0.35+IF(VLOOKUP(E$4,Countries!$B$2:$AN$55,13,FALSE)&gt;=100,5,IF(VLOOKUP(E$4,Countries!$B$2:$AN$55,13,FALSE)&gt;=85,4,IF(VLOOKUP(E$4,Countries!$B$2:$AN$55,13,FALSE)&gt;=70,3,IF(VLOOKUP(E$4,Countries!$B$2:$AN$55,13,FALSE)&gt;=50,2,1))))*0.25),0)</f>
        <v>5</v>
      </c>
      <c r="AB68" s="62">
        <f>(6-Pathogens!X65)</f>
        <v>4</v>
      </c>
      <c r="AC68" s="62">
        <f>ROUND(MIN(5,MAX(1,0.35*IF(Pathogens!R65=1,5,IF(Pathogens!R65=2,3,1))+0.2*IF(Pathogens!S65=1,5,IF(Pathogens!S65=2,3,1))+0.25*IF(Pathogens!W65=1,IF(VLOOKUP(E$4,Countries!$B$2:$AN$55,38,FALSE)&gt;=3,5,IF(VLOOKUP(E$4,Countries!$B$2:$AN$55,38,FALSE)=2,4,IF(VLOOKUP(E$4,Countries!$B$2:$AN$55,38,FALSE)=1,2,1))),5)+0.2*IF(VLOOKUP(E$4,Countries!$B$2:$AN$55,24,FALSE)&gt;=50,5,IF(VLOOKUP(E$4,Countries!$B$2:$AN$55,24,FALSE)&gt;=25,4,IF(VLOOKUP(E$4,Countries!$B$2:$AN$55,24,FALSE)&gt;=10,3,IF(VLOOKUP(E$4,Countries!$B$2:$AN$55,24,FALSE)&gt;=5,2,1)))))),0)</f>
        <v>3</v>
      </c>
      <c r="AD68" s="62" t="str">
        <f>IFERROR(INDEX(Endemicity!$C$2:$BN$55,MATCH(E$4,Endemicity!$B$2:$B$55,0),MATCH($A68,Endemicity!$C$1:$BN$1,0)),"Sporadic")</f>
        <v>Sporadic</v>
      </c>
      <c r="AE68" s="62">
        <f>IF(Settings!$B$48="ON",IFERROR(MATCH($AD68,Settings!$B$35:$F$35,0),5),5)</f>
        <v>2</v>
      </c>
      <c r="AF68" s="62">
        <f>ROUND(MIN(5,IF(Pathogens!I65&gt;=500,5,IF(Pathogens!I65&gt;=200,4,IF(Pathogens!I65&gt;=50,3,IF(Pathogens!I65&gt;=10,2,1))))*0.5+IF(Pathogens!J65&gt;=30,5,IF(Pathogens!J65&gt;=10,4,IF(Pathogens!J65&gt;=3,3,IF(Pathogens!J65&gt;=1,2,1))))*0.4+IF(AND(VLOOKUP(F$4,Countries!$B$2:$AN$55,4,FALSE)&gt;=80,Pathogens!N65&gt;=0.5),1,0)*0.1+IF(VLOOKUP(F$4,Countries!$B$2:$AN$55,7,FALSE)&lt;50,0.3,0)),0)</f>
        <v>3</v>
      </c>
      <c r="AG68" s="62">
        <f>ROUND(MIN(5,IF(Pathogens!K65&gt;=8,5,IF(Pathogens!K65&gt;=5,4,IF(Pathogens!K65&gt;=3,3,IF(Pathogens!K65&gt;=1,2,1))))*0.5+IF(Pathogens!L65&gt;=5,5,IF(Pathogens!L65&gt;=3,4,IF(Pathogens!L65&gt;=2,3,IF(Pathogens!L65&gt;=1.2,2,1))))*0.3+IF(Pathogens!M65=1,2,0)*0.2+IF(VLOOKUP(F$4,Countries!$B$2:$AN$55,12,FALSE)&gt;=2,0.5,0)),0)</f>
        <v>3</v>
      </c>
      <c r="AH68" s="62">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c r="AI68" s="62">
        <f>ROUND(MAX(1,MIN(5,(6-VLOOKUP(F$4,Countries!$B$2:$AN$55,10,FALSE))*0.5+(6-VLOOKUP(F$4,Countries!$B$2:$AN$55,11,FALSE))*0.4+(IF(AND(Pathogens!N65&gt;=0.5,VLOOKUP(F$4,Countries!$B$2:$AN$55,5,FALSE)&lt;60),5,IF(Pathogens!N65&gt;=0.5,4,IF(Pathogens!N65&gt;=0.3,3,IF(Pathogens!N65&gt;=0.1,2,1)))))*0.1)),0)</f>
        <v>2</v>
      </c>
      <c r="AJ68" s="62">
        <f>IF(ISNUMBER(SEARCH("Vaccine-preventable",Pathogens!C65)),2,IF(ISNUMBER(SEARCH("AMR",Pathogens!C65)),5,IF(ISNUMBER(SEARCH("VHF",Pathogens!C65)),4,IF(ISNUMBER(SEARCH("Emerging",Pathogens!C65)),5,IF(ISNUMBER(SEARCH("Mycobacterial",Pathogens!C65)),3,IF(ISNUMBER(SEARCH("Helminth",Pathogens!C65)),3,IF(ISNUMBER(SEARCH("Respiratory",Pathogens!C65)),4,3)))))))</f>
        <v>3</v>
      </c>
      <c r="AK68" s="62">
        <f>IF(ISNUMBER(SEARCH("AMR",Pathogens!C65)),5,IF(ISNUMBER(SEARCH("Mycobacterial",Pathogens!C65)),4,IF(ISNUMBER(SEARCH("Enteric bacterial",Pathogens!C65)),3,IF(ISNUMBER(SEARCH("Bacterial",Pathogens!C65)),3,1))))</f>
        <v>1</v>
      </c>
      <c r="AL68" s="62">
        <f>ROUND(MIN(5,IF(VLOOKUP(F$4,Countries!$B$2:$AN$55,4,FALSE)&gt;=80,5,IF(VLOOKUP(F$4,Countries!$B$2:$AN$55,4,FALSE)&gt;=50,4,IF(VLOOKUP(F$4,Countries!$B$2:$AN$55,4,FALSE)&gt;=30,3,IF(VLOOKUP(F$4,Countries!$B$2:$AN$55,4,FALSE)&gt;=15,2,1))))*0.4+IF(VLOOKUP(F$4,Countries!$B$2:$AN$55,5,FALSE)&lt;25,5,IF(VLOOKUP(F$4,Countries!$B$2:$AN$55,5,FALSE)&lt;40,4,IF(VLOOKUP(F$4,Countries!$B$2:$AN$55,5,FALSE)&lt;60,3,IF(VLOOKUP(F$4,Countries!$B$2:$AN$55,5,FALSE)&lt;80,2,1))))*0.35+IF(VLOOKUP(F$4,Countries!$B$2:$AN$55,13,FALSE)&gt;=100,5,IF(VLOOKUP(F$4,Countries!$B$2:$AN$55,13,FALSE)&gt;=85,4,IF(VLOOKUP(F$4,Countries!$B$2:$AN$55,13,FALSE)&gt;=70,3,IF(VLOOKUP(F$4,Countries!$B$2:$AN$55,13,FALSE)&gt;=50,2,1))))*0.25),0)</f>
        <v>3</v>
      </c>
      <c r="AM68" s="62">
        <f>(6-Pathogens!X65)</f>
        <v>4</v>
      </c>
      <c r="AN68" s="62">
        <f>ROUND(MIN(5,MAX(1,0.35*IF(Pathogens!R65=1,5,IF(Pathogens!R65=2,3,1))+0.2*IF(Pathogens!S65=1,5,IF(Pathogens!S65=2,3,1))+0.25*IF(Pathogens!W65=1,IF(VLOOKUP(F$4,Countries!$B$2:$AN$55,38,FALSE)&gt;=3,5,IF(VLOOKUP(F$4,Countries!$B$2:$AN$55,38,FALSE)=2,4,IF(VLOOKUP(F$4,Countries!$B$2:$AN$55,38,FALSE)=1,2,1))),5)+0.2*IF(VLOOKUP(F$4,Countries!$B$2:$AN$55,24,FALSE)&gt;=50,5,IF(VLOOKUP(F$4,Countries!$B$2:$AN$55,24,FALSE)&gt;=25,4,IF(VLOOKUP(F$4,Countries!$B$2:$AN$55,24,FALSE)&gt;=10,3,IF(VLOOKUP(F$4,Countries!$B$2:$AN$55,24,FALSE)&gt;=5,2,1)))))),0)</f>
        <v>3</v>
      </c>
      <c r="AO68" s="62" t="str">
        <f>IFERROR(INDEX(Endemicity!$C$2:$BN$55,MATCH(F$4,Endemicity!$B$2:$B$55,0),MATCH($A68,Endemicity!$C$1:$BN$1,0)),"Sporadic")</f>
        <v>Sporadic</v>
      </c>
      <c r="AP68" s="62">
        <f>IF(Settings!$B$48="ON",IFERROR(MATCH($AO68,Settings!$B$35:$F$35,0),5),5)</f>
        <v>2</v>
      </c>
      <c r="AQ68" s="62">
        <f>ROUND(MIN(5,IF(Pathogens!I65&gt;=500,5,IF(Pathogens!I65&gt;=200,4,IF(Pathogens!I65&gt;=50,3,IF(Pathogens!I65&gt;=10,2,1))))*0.5+IF(Pathogens!J65&gt;=30,5,IF(Pathogens!J65&gt;=10,4,IF(Pathogens!J65&gt;=3,3,IF(Pathogens!J65&gt;=1,2,1))))*0.4+IF(AND(VLOOKUP(G$4,Countries!$B$2:$AN$55,4,FALSE)&gt;=80,Pathogens!N65&gt;=0.5),1,0)*0.1+IF(VLOOKUP(G$4,Countries!$B$2:$AN$55,7,FALSE)&lt;50,0.3,0)),0)</f>
        <v>3</v>
      </c>
      <c r="AR68" s="62">
        <f>ROUND(MIN(5,IF(Pathogens!K65&gt;=8,5,IF(Pathogens!K65&gt;=5,4,IF(Pathogens!K65&gt;=3,3,IF(Pathogens!K65&gt;=1,2,1))))*0.5+IF(Pathogens!L65&gt;=5,5,IF(Pathogens!L65&gt;=3,4,IF(Pathogens!L65&gt;=2,3,IF(Pathogens!L65&gt;=1.2,2,1))))*0.3+IF(Pathogens!M65=1,2,0)*0.2+IF(VLOOKUP(G$4,Countries!$B$2:$AN$55,12,FALSE)&gt;=2,0.5,0)),0)</f>
        <v>3</v>
      </c>
      <c r="AS68" s="62">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c r="AT68" s="62">
        <f>ROUND(MAX(1,MIN(5,(6-VLOOKUP(G$4,Countries!$B$2:$AN$55,10,FALSE))*0.5+(6-VLOOKUP(G$4,Countries!$B$2:$AN$55,11,FALSE))*0.4+(IF(AND(Pathogens!N65&gt;=0.5,VLOOKUP(G$4,Countries!$B$2:$AN$55,5,FALSE)&lt;60),5,IF(Pathogens!N65&gt;=0.5,4,IF(Pathogens!N65&gt;=0.3,3,IF(Pathogens!N65&gt;=0.1,2,1)))))*0.1)),0)</f>
        <v>2</v>
      </c>
      <c r="AU68" s="62">
        <f>IF(ISNUMBER(SEARCH("Vaccine-preventable",Pathogens!C65)),2,IF(ISNUMBER(SEARCH("AMR",Pathogens!C65)),5,IF(ISNUMBER(SEARCH("VHF",Pathogens!C65)),4,IF(ISNUMBER(SEARCH("Emerging",Pathogens!C65)),5,IF(ISNUMBER(SEARCH("Mycobacterial",Pathogens!C65)),3,IF(ISNUMBER(SEARCH("Helminth",Pathogens!C65)),3,IF(ISNUMBER(SEARCH("Respiratory",Pathogens!C65)),4,3)))))))</f>
        <v>3</v>
      </c>
      <c r="AV68" s="62">
        <f>IF(ISNUMBER(SEARCH("AMR",Pathogens!C65)),5,IF(ISNUMBER(SEARCH("Mycobacterial",Pathogens!C65)),4,IF(ISNUMBER(SEARCH("Enteric bacterial",Pathogens!C65)),3,IF(ISNUMBER(SEARCH("Bacterial",Pathogens!C65)),3,1))))</f>
        <v>1</v>
      </c>
      <c r="AW68" s="62">
        <f>ROUND(MIN(5,IF(VLOOKUP(G$4,Countries!$B$2:$AN$55,4,FALSE)&gt;=80,5,IF(VLOOKUP(G$4,Countries!$B$2:$AN$55,4,FALSE)&gt;=50,4,IF(VLOOKUP(G$4,Countries!$B$2:$AN$55,4,FALSE)&gt;=30,3,IF(VLOOKUP(G$4,Countries!$B$2:$AN$55,4,FALSE)&gt;=15,2,1))))*0.4+IF(VLOOKUP(G$4,Countries!$B$2:$AN$55,5,FALSE)&lt;25,5,IF(VLOOKUP(G$4,Countries!$B$2:$AN$55,5,FALSE)&lt;40,4,IF(VLOOKUP(G$4,Countries!$B$2:$AN$55,5,FALSE)&lt;60,3,IF(VLOOKUP(G$4,Countries!$B$2:$AN$55,5,FALSE)&lt;80,2,1))))*0.35+IF(VLOOKUP(G$4,Countries!$B$2:$AN$55,13,FALSE)&gt;=100,5,IF(VLOOKUP(G$4,Countries!$B$2:$AN$55,13,FALSE)&gt;=85,4,IF(VLOOKUP(G$4,Countries!$B$2:$AN$55,13,FALSE)&gt;=70,3,IF(VLOOKUP(G$4,Countries!$B$2:$AN$55,13,FALSE)&gt;=50,2,1))))*0.25),0)</f>
        <v>4</v>
      </c>
      <c r="AX68" s="62">
        <f>(6-Pathogens!X65)</f>
        <v>4</v>
      </c>
      <c r="AY68" s="62">
        <f>ROUND(MIN(5,MAX(1,0.35*IF(Pathogens!R65=1,5,IF(Pathogens!R65=2,3,1))+0.2*IF(Pathogens!S65=1,5,IF(Pathogens!S65=2,3,1))+0.25*IF(Pathogens!W65=1,IF(VLOOKUP(G$4,Countries!$B$2:$AN$55,38,FALSE)&gt;=3,5,IF(VLOOKUP(G$4,Countries!$B$2:$AN$55,38,FALSE)=2,4,IF(VLOOKUP(G$4,Countries!$B$2:$AN$55,38,FALSE)=1,2,1))),5)+0.2*IF(VLOOKUP(G$4,Countries!$B$2:$AN$55,24,FALSE)&gt;=50,5,IF(VLOOKUP(G$4,Countries!$B$2:$AN$55,24,FALSE)&gt;=25,4,IF(VLOOKUP(G$4,Countries!$B$2:$AN$55,24,FALSE)&gt;=10,3,IF(VLOOKUP(G$4,Countries!$B$2:$AN$55,24,FALSE)&gt;=5,2,1)))))),0)</f>
        <v>3</v>
      </c>
      <c r="AZ68" s="62" t="str">
        <f>IFERROR(INDEX(Endemicity!$C$2:$BN$55,MATCH(G$4,Endemicity!$B$2:$B$55,0),MATCH($A68,Endemicity!$C$1:$BN$1,0)),"Sporadic")</f>
        <v>Endemic</v>
      </c>
      <c r="BA68" s="62">
        <f>IF(Settings!$B$48="ON",IFERROR(MATCH($AZ68,Settings!$B$35:$F$35,0),5),5)</f>
        <v>1</v>
      </c>
    </row>
    <row r="70" customHeight="1" spans="1:53">
      <c r="A70" s="63" t="s">
        <v>374</v>
      </c>
      <c r="B70" s="58"/>
    </row>
    <row r="71" customHeight="1" spans="1:53">
      <c r="A71" s="57"/>
      <c r="B71" s="58"/>
    </row>
  </sheetData>
  <mergeCells count="2">
    <mergeCell ref="A1:G1"/>
    <mergeCell ref="A2:G2"/>
  </mergeCells>
  <conditionalFormatting sqref="D5:G68">
    <cfRule type="colorScale" priority="2">
      <colorScale>
        <cfvo type="num" val="0"/>
        <cfvo type="num" val="50"/>
        <cfvo type="num" val="100"/>
        <color rgb="FFF8696B"/>
        <color rgb="FFFFEB84"/>
        <color rgb="FF63BE7B"/>
      </colorScale>
    </cfRule>
    <cfRule type="colorScale" priority="2">
      <colorScale>
        <cfvo type="num" val="20"/>
        <cfvo type="num" val="55"/>
        <cfvo type="num" val="85"/>
        <color rgb="FFF8696B"/>
        <color rgb="FFFFEB84"/>
        <color rgb="FF63BE7B"/>
      </colorScale>
    </cfRule>
  </conditionalFormatting>
  <dataValidations count="1">
    <dataValidation type="list" errorTitle="Invalid country" error="Pick a country from the dropdown" sqref="D4:G4">
      <formula1>Countries!$B$2:$B$55</formula1>
    </dataValidation>
  </dataValidations>
  <pageMargins left="0.75" right="0.75" top="1" bottom="1" header="0.511811023622047" footer="0.511811023622047"/>
  <pageSetup paperSize="9" orientation="portrait"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1"/>
  <sheetViews>
    <sheetView workbookViewId="0">
      <pane ySplit="5" topLeftCell="A6" activePane="bottomLeft" state="frozen"/>
      <selection/>
      <selection pane="bottomLeft" activeCell="O14" sqref="O14"/>
    </sheetView>
  </sheetViews>
  <sheetFormatPr defaultColWidth="8.5" defaultRowHeight="15" customHeight="1"/>
  <cols>
    <col min="1" max="1" width="11.0703125" customWidth="1"/>
    <col min="2" max="2" width="17.0546875" customWidth="1"/>
    <col min="3" max="3" width="32" customWidth="1"/>
    <col min="4" max="4" width="24" customWidth="1"/>
    <col min="5" max="5" width="11.1640625" style="30" customWidth="1"/>
    <col min="6" max="6" width="26" style="30" customWidth="1"/>
    <col min="7" max="7" width="14" style="30" customWidth="1"/>
    <col min="8" max="8" width="12" style="30" hidden="1" customWidth="1"/>
    <col min="9" max="9" width="20" style="30" customWidth="1"/>
    <col min="10" max="10" width="12" style="30" customWidth="1"/>
    <col min="14" max="14" width="13" style="5" hidden="1" customWidth="1"/>
  </cols>
  <sheetData>
    <row r="1" ht="17.25" customHeight="1" spans="1:14">
      <c r="A1" s="43" t="s">
        <v>375</v>
      </c>
      <c r="E1"/>
      <c r="F1"/>
    </row>
    <row r="2" ht="30" customHeight="1" spans="1:14">
      <c r="A2" s="44" t="s">
        <v>376</v>
      </c>
      <c r="E2"/>
      <c r="F2"/>
    </row>
    <row r="3" customHeight="1" spans="1:14">
      <c r="A3" t="s">
        <v>117</v>
      </c>
      <c r="B3" s="45" t="str">
        <f>Calculator!B3</f>
        <v>Kenya</v>
      </c>
      <c r="D3" t="s">
        <v>377</v>
      </c>
      <c r="E3" s="46" t="str">
        <f ca="1">TEXT(TODAY(),"yyyy-mm-dd")</f>
        <v>2026-08-04</v>
      </c>
    </row>
    <row r="4" ht="16.8" spans="1:14">
      <c r="A4" t="s">
        <v>318</v>
      </c>
      <c r="B4" s="47" t="str">
        <f>Calculator!B4</f>
        <v>Pilot (Pathway A)</v>
      </c>
      <c r="D4" t="s">
        <v>378</v>
      </c>
      <c r="E4" s="48">
        <f>COUNTIF($J$6:$J$69,"YES")</f>
        <v>32</v>
      </c>
    </row>
    <row r="5" ht="27.75" customHeight="1" spans="1:14">
      <c r="A5" s="49" t="s">
        <v>379</v>
      </c>
      <c r="B5" s="49" t="s">
        <v>147</v>
      </c>
      <c r="C5" s="49" t="s">
        <v>148</v>
      </c>
      <c r="D5" s="49" t="s">
        <v>149</v>
      </c>
      <c r="E5" s="50" t="s">
        <v>380</v>
      </c>
      <c r="F5" s="50" t="s">
        <v>381</v>
      </c>
      <c r="G5" s="31" t="s">
        <v>382</v>
      </c>
      <c r="H5" s="31" t="s">
        <v>383</v>
      </c>
      <c r="I5" s="31" t="s">
        <v>167</v>
      </c>
      <c r="J5" s="31" t="s">
        <v>384</v>
      </c>
      <c r="N5" s="51" t="s">
        <v>385</v>
      </c>
    </row>
    <row r="6" customHeight="1" spans="1:14">
      <c r="A6" s="52">
        <v>1</v>
      </c>
      <c r="B6" s="53" t="str">
        <f>IFERROR(INDEX(Calculator!$A$34:$A$97,MATCH(LARGE($N$6:$N$69,1),$N$6:$N$69,0)),"")</f>
        <v>BLATEM</v>
      </c>
      <c r="C6" s="54" t="str">
        <f>IFERROR(INDEX(Calculator!$B$34:$B$97,MATCH(LARGE($N$6:$N$69,1),$N$6:$N$69,0)),"")</f>
        <v>blaTEM/SHV broad-spectrum BL</v>
      </c>
      <c r="D6" s="54" t="str">
        <f>IFERROR(INDEX(Calculator!$C$34:$C$97,MATCH(LARGE($N$6:$N$69,1),$N$6:$N$69,0)),"")</f>
        <v>AMR marker</v>
      </c>
      <c r="E6" s="53">
        <f>IFERROR(INDEX(Calculator!$R$34:$R$97,MATCH(LARGE($N$6:$N$69,1),$N$6:$N$69,0)),"")</f>
        <v>75.3</v>
      </c>
      <c r="F6" s="53" t="str">
        <f>IFERROR(INDEX(Calculator!$S$34:$S$97,MATCH(LARGE($N$6:$N$69,1),$N$6:$N$69,0)),"")</f>
        <v>Tier 1 — Always-on</v>
      </c>
      <c r="G6" s="55" t="str">
        <f>IFERROR(INDEX(Calculator!$M$34:$M$97,MATCH(LARGE($N$6:$N$69,1),$N$6:$N$69,0)),"")</f>
        <v>Endemic</v>
      </c>
      <c r="H6" s="55">
        <f>IFERROR(INDEX(Calculator!$T$34:$T$97,MATCH(LARGE($N$6:$N$69,1),$N$6:$N$69,0)),"")</f>
        <v>91</v>
      </c>
      <c r="I6" s="55" t="str">
        <f>IFERROR(INDEX(Calculator!$U$34:$U$97,MATCH(LARGE($N$6:$N$69,1),$N$6:$N$69,0)),"")</f>
        <v>Do now</v>
      </c>
      <c r="J6" s="56" t="str">
        <f t="shared" ref="J6:J37" si="0">IF($I6="Do now","YES","")</f>
        <v>YES</v>
      </c>
      <c r="N6" s="51">
        <f>Calculator!$R$34+0.064-IF(Calculator!$M$34="Not present",200,0)</f>
        <v>73.264</v>
      </c>
    </row>
    <row r="7" customHeight="1" spans="1:14">
      <c r="A7" s="52">
        <v>2</v>
      </c>
      <c r="B7" s="53" t="str">
        <f>IFERROR(INDEX(Calculator!$A$34:$A$97,MATCH(LARGE($N$6:$N$69,2),$N$6:$N$69,0)),"")</f>
        <v>ESBL</v>
      </c>
      <c r="C7" s="54" t="str">
        <f>IFERROR(INDEX(Calculator!$B$34:$B$97,MATCH(LARGE($N$6:$N$69,2),$N$6:$N$69,0)),"")</f>
        <v>ESBL genes (blaCTX-M)</v>
      </c>
      <c r="D7" s="54" t="str">
        <f>IFERROR(INDEX(Calculator!$C$34:$C$97,MATCH(LARGE($N$6:$N$69,2),$N$6:$N$69,0)),"")</f>
        <v>AMR marker</v>
      </c>
      <c r="E7" s="53">
        <f>IFERROR(INDEX(Calculator!$R$34:$R$97,MATCH(LARGE($N$6:$N$69,2),$N$6:$N$69,0)),"")</f>
        <v>74.5</v>
      </c>
      <c r="F7" s="53" t="str">
        <f>IFERROR(INDEX(Calculator!$S$34:$S$97,MATCH(LARGE($N$6:$N$69,2),$N$6:$N$69,0)),"")</f>
        <v>Tier 1 — Always-on</v>
      </c>
      <c r="G7" s="55" t="str">
        <f>IFERROR(INDEX(Calculator!$M$34:$M$97,MATCH(LARGE($N$6:$N$69,2),$N$6:$N$69,0)),"")</f>
        <v>Endemic</v>
      </c>
      <c r="H7" s="55">
        <f>IFERROR(INDEX(Calculator!$T$34:$T$97,MATCH(LARGE($N$6:$N$69,2),$N$6:$N$69,0)),"")</f>
        <v>91</v>
      </c>
      <c r="I7" s="55" t="str">
        <f>IFERROR(INDEX(Calculator!$U$34:$U$97,MATCH(LARGE($N$6:$N$69,2),$N$6:$N$69,0)),"")</f>
        <v>Do now</v>
      </c>
      <c r="J7" s="56" t="str">
        <f t="shared" si="0"/>
        <v>YES</v>
      </c>
      <c r="N7" s="51">
        <f>Calculator!$R$35+0.063-IF(Calculator!$M$35="Not present",200,0)</f>
        <v>59.063</v>
      </c>
    </row>
    <row r="8" customHeight="1" spans="1:14">
      <c r="A8" s="52">
        <v>3</v>
      </c>
      <c r="B8" s="53" t="str">
        <f>IFERROR(INDEX(Calculator!$A$34:$A$97,MATCH(LARGE($N$6:$N$69,3),$N$6:$N$69,0)),"")</f>
        <v>ADENO</v>
      </c>
      <c r="C8" s="54" t="str">
        <f>IFERROR(INDEX(Calculator!$B$34:$B$97,MATCH(LARGE($N$6:$N$69,3),$N$6:$N$69,0)),"")</f>
        <v>Adenovirus (resp + enteric)</v>
      </c>
      <c r="D8" s="54" t="str">
        <f>IFERROR(INDEX(Calculator!$C$34:$C$97,MATCH(LARGE($N$6:$N$69,3),$N$6:$N$69,0)),"")</f>
        <v>Respiratory/enteric viral</v>
      </c>
      <c r="E8" s="53">
        <f>IFERROR(INDEX(Calculator!$R$34:$R$97,MATCH(LARGE($N$6:$N$69,3),$N$6:$N$69,0)),"")</f>
        <v>73.6</v>
      </c>
      <c r="F8" s="53" t="str">
        <f>IFERROR(INDEX(Calculator!$S$34:$S$97,MATCH(LARGE($N$6:$N$69,3),$N$6:$N$69,0)),"")</f>
        <v>Tier 1 — Always-on</v>
      </c>
      <c r="G8" s="55" t="str">
        <f>IFERROR(INDEX(Calculator!$M$34:$M$97,MATCH(LARGE($N$6:$N$69,3),$N$6:$N$69,0)),"")</f>
        <v>Endemic</v>
      </c>
      <c r="H8" s="55">
        <f>IFERROR(INDEX(Calculator!$T$34:$T$97,MATCH(LARGE($N$6:$N$69,3),$N$6:$N$69,0)),"")</f>
        <v>91</v>
      </c>
      <c r="I8" s="55" t="str">
        <f>IFERROR(INDEX(Calculator!$U$34:$U$97,MATCH(LARGE($N$6:$N$69,3),$N$6:$N$69,0)),"")</f>
        <v>Do now</v>
      </c>
      <c r="J8" s="56" t="str">
        <f t="shared" si="0"/>
        <v>YES</v>
      </c>
      <c r="N8" s="51">
        <f>Calculator!$R$36+0.062-IF(Calculator!$M$36="Not present",200,0)</f>
        <v>56.062</v>
      </c>
    </row>
    <row r="9" customHeight="1" spans="1:14">
      <c r="A9" s="52">
        <v>4</v>
      </c>
      <c r="B9" s="53" t="str">
        <f>IFERROR(INDEX(Calculator!$A$34:$A$97,MATCH(LARGE($N$6:$N$69,4),$N$6:$N$69,0)),"")</f>
        <v>POLIO</v>
      </c>
      <c r="C9" s="54" t="str">
        <f>IFERROR(INDEX(Calculator!$B$34:$B$97,MATCH(LARGE($N$6:$N$69,4),$N$6:$N$69,0)),"")</f>
        <v>Poliovirus (WPV1, cVDPV2)</v>
      </c>
      <c r="D9" s="54" t="str">
        <f>IFERROR(INDEX(Calculator!$C$34:$C$97,MATCH(LARGE($N$6:$N$69,4),$N$6:$N$69,0)),"")</f>
        <v>Vaccine-preventable viral</v>
      </c>
      <c r="E9" s="53">
        <f>IFERROR(INDEX(Calculator!$R$34:$R$97,MATCH(LARGE($N$6:$N$69,4),$N$6:$N$69,0)),"")</f>
        <v>73.2</v>
      </c>
      <c r="F9" s="53" t="str">
        <f>IFERROR(INDEX(Calculator!$S$34:$S$97,MATCH(LARGE($N$6:$N$69,4),$N$6:$N$69,0)),"")</f>
        <v>Tier 1 — Always-on</v>
      </c>
      <c r="G9" s="55" t="str">
        <f>IFERROR(INDEX(Calculator!$M$34:$M$97,MATCH(LARGE($N$6:$N$69,4),$N$6:$N$69,0)),"")</f>
        <v>Sporadic</v>
      </c>
      <c r="H9" s="55">
        <f>IFERROR(INDEX(Calculator!$T$34:$T$97,MATCH(LARGE($N$6:$N$69,4),$N$6:$N$69,0)),"")</f>
        <v>91</v>
      </c>
      <c r="I9" s="55" t="str">
        <f>IFERROR(INDEX(Calculator!$U$34:$U$97,MATCH(LARGE($N$6:$N$69,4),$N$6:$N$69,0)),"")</f>
        <v>Do now</v>
      </c>
      <c r="J9" s="56" t="str">
        <f t="shared" si="0"/>
        <v>YES</v>
      </c>
      <c r="N9" s="51">
        <f>Calculator!$R$37+0.061-IF(Calculator!$M$37="Not present",200,0)</f>
        <v>53.761</v>
      </c>
    </row>
    <row r="10" customHeight="1" spans="1:14">
      <c r="A10" s="52">
        <v>5</v>
      </c>
      <c r="B10" s="53" t="str">
        <f>IFERROR(INDEX(Calculator!$A$34:$A$97,MATCH(LARGE($N$6:$N$69,5),$N$6:$N$69,0)),"")</f>
        <v>CRE3</v>
      </c>
      <c r="C10" s="54" t="str">
        <f>IFERROR(INDEX(Calculator!$B$34:$B$97,MATCH(LARGE($N$6:$N$69,5),$N$6:$N$69,0)),"")</f>
        <v>Carbapenemase: blaOXA-48</v>
      </c>
      <c r="D10" s="54" t="str">
        <f>IFERROR(INDEX(Calculator!$C$34:$C$97,MATCH(LARGE($N$6:$N$69,5),$N$6:$N$69,0)),"")</f>
        <v>AMR marker</v>
      </c>
      <c r="E10" s="53">
        <f>IFERROR(INDEX(Calculator!$R$34:$R$97,MATCH(LARGE($N$6:$N$69,5),$N$6:$N$69,0)),"")</f>
        <v>72.5</v>
      </c>
      <c r="F10" s="53" t="str">
        <f>IFERROR(INDEX(Calculator!$S$34:$S$97,MATCH(LARGE($N$6:$N$69,5),$N$6:$N$69,0)),"")</f>
        <v>Tier 1 — Always-on</v>
      </c>
      <c r="G10" s="55" t="str">
        <f>IFERROR(INDEX(Calculator!$M$34:$M$97,MATCH(LARGE($N$6:$N$69,5),$N$6:$N$69,0)),"")</f>
        <v>Endemic</v>
      </c>
      <c r="H10" s="55">
        <f>IFERROR(INDEX(Calculator!$T$34:$T$97,MATCH(LARGE($N$6:$N$69,5),$N$6:$N$69,0)),"")</f>
        <v>79</v>
      </c>
      <c r="I10" s="55" t="str">
        <f>IFERROR(INDEX(Calculator!$U$34:$U$97,MATCH(LARGE($N$6:$N$69,5),$N$6:$N$69,0)),"")</f>
        <v>Do now</v>
      </c>
      <c r="J10" s="56" t="str">
        <f t="shared" si="0"/>
        <v>YES</v>
      </c>
      <c r="N10" s="51">
        <f>Calculator!$R$38+0.06-IF(Calculator!$M$38="Not present",200,0)</f>
        <v>52.96</v>
      </c>
    </row>
    <row r="11" customHeight="1" spans="1:14">
      <c r="A11" s="52">
        <v>6</v>
      </c>
      <c r="B11" s="53" t="str">
        <f>IFERROR(INDEX(Calculator!$A$34:$A$97,MATCH(LARGE($N$6:$N$69,6),$N$6:$N$69,0)),"")</f>
        <v>CRE</v>
      </c>
      <c r="C11" s="54" t="str">
        <f>IFERROR(INDEX(Calculator!$B$34:$B$97,MATCH(LARGE($N$6:$N$69,6),$N$6:$N$69,0)),"")</f>
        <v>Carbapenemase: blaNDM</v>
      </c>
      <c r="D11" s="54" t="str">
        <f>IFERROR(INDEX(Calculator!$C$34:$C$97,MATCH(LARGE($N$6:$N$69,6),$N$6:$N$69,0)),"")</f>
        <v>AMR marker</v>
      </c>
      <c r="E11" s="53">
        <f>IFERROR(INDEX(Calculator!$R$34:$R$97,MATCH(LARGE($N$6:$N$69,6),$N$6:$N$69,0)),"")</f>
        <v>71.8</v>
      </c>
      <c r="F11" s="53" t="str">
        <f>IFERROR(INDEX(Calculator!$S$34:$S$97,MATCH(LARGE($N$6:$N$69,6),$N$6:$N$69,0)),"")</f>
        <v>Tier 1 — Always-on</v>
      </c>
      <c r="G11" s="55" t="str">
        <f>IFERROR(INDEX(Calculator!$M$34:$M$97,MATCH(LARGE($N$6:$N$69,6),$N$6:$N$69,0)),"")</f>
        <v>Endemic</v>
      </c>
      <c r="H11" s="55">
        <f>IFERROR(INDEX(Calculator!$T$34:$T$97,MATCH(LARGE($N$6:$N$69,6),$N$6:$N$69,0)),"")</f>
        <v>79</v>
      </c>
      <c r="I11" s="55" t="str">
        <f>IFERROR(INDEX(Calculator!$U$34:$U$97,MATCH(LARGE($N$6:$N$69,6),$N$6:$N$69,0)),"")</f>
        <v>Do now</v>
      </c>
      <c r="J11" s="56" t="str">
        <f t="shared" si="0"/>
        <v>YES</v>
      </c>
      <c r="N11" s="51">
        <f>Calculator!$R$39+0.059-IF(Calculator!$M$39="Not present",200,0)</f>
        <v>50.359</v>
      </c>
    </row>
    <row r="12" customHeight="1" spans="1:14">
      <c r="A12" s="52">
        <v>7</v>
      </c>
      <c r="B12" s="53" t="str">
        <f>IFERROR(INDEX(Calculator!$A$34:$A$97,MATCH(LARGE($N$6:$N$69,7),$N$6:$N$69,0)),"")</f>
        <v>MECA</v>
      </c>
      <c r="C12" s="54" t="str">
        <f>IFERROR(INDEX(Calculator!$B$34:$B$97,MATCH(LARGE($N$6:$N$69,7),$N$6:$N$69,0)),"")</f>
        <v>Methicillin resistance: mecA (MRSA)</v>
      </c>
      <c r="D12" s="54" t="str">
        <f>IFERROR(INDEX(Calculator!$C$34:$C$97,MATCH(LARGE($N$6:$N$69,7),$N$6:$N$69,0)),"")</f>
        <v>AMR marker</v>
      </c>
      <c r="E12" s="53">
        <f>IFERROR(INDEX(Calculator!$R$34:$R$97,MATCH(LARGE($N$6:$N$69,7),$N$6:$N$69,0)),"")</f>
        <v>71.2</v>
      </c>
      <c r="F12" s="53" t="str">
        <f>IFERROR(INDEX(Calculator!$S$34:$S$97,MATCH(LARGE($N$6:$N$69,7),$N$6:$N$69,0)),"")</f>
        <v>Tier 1 — Always-on</v>
      </c>
      <c r="G12" s="55" t="str">
        <f>IFERROR(INDEX(Calculator!$M$34:$M$97,MATCH(LARGE($N$6:$N$69,7),$N$6:$N$69,0)),"")</f>
        <v>Endemic</v>
      </c>
      <c r="H12" s="55">
        <f>IFERROR(INDEX(Calculator!$T$34:$T$97,MATCH(LARGE($N$6:$N$69,7),$N$6:$N$69,0)),"")</f>
        <v>91</v>
      </c>
      <c r="I12" s="55" t="str">
        <f>IFERROR(INDEX(Calculator!$U$34:$U$97,MATCH(LARGE($N$6:$N$69,7),$N$6:$N$69,0)),"")</f>
        <v>Do now</v>
      </c>
      <c r="J12" s="56" t="str">
        <f t="shared" si="0"/>
        <v>YES</v>
      </c>
      <c r="N12" s="51">
        <f>Calculator!$R$40+0.058-IF(Calculator!$M$40="Not present",200,0)</f>
        <v>59.258</v>
      </c>
    </row>
    <row r="13" customHeight="1" spans="1:14">
      <c r="A13" s="52">
        <v>8</v>
      </c>
      <c r="B13" s="53" t="str">
        <f>IFERROR(INDEX(Calculator!$A$34:$A$97,MATCH(LARGE($N$6:$N$69,8),$N$6:$N$69,0)),"")</f>
        <v>MTB</v>
      </c>
      <c r="C13" s="54" t="str">
        <f>IFERROR(INDEX(Calculator!$B$34:$B$97,MATCH(LARGE($N$6:$N$69,8),$N$6:$N$69,0)),"")</f>
        <v>Mycobacterium tuberculosis</v>
      </c>
      <c r="D13" s="54" t="str">
        <f>IFERROR(INDEX(Calculator!$C$34:$C$97,MATCH(LARGE($N$6:$N$69,8),$N$6:$N$69,0)),"")</f>
        <v>Mycobacterial</v>
      </c>
      <c r="E13" s="53">
        <f>IFERROR(INDEX(Calculator!$R$34:$R$97,MATCH(LARGE($N$6:$N$69,8),$N$6:$N$69,0)),"")</f>
        <v>70.3</v>
      </c>
      <c r="F13" s="53" t="str">
        <f>IFERROR(INDEX(Calculator!$S$34:$S$97,MATCH(LARGE($N$6:$N$69,8),$N$6:$N$69,0)),"")</f>
        <v>Tier 1 — Always-on</v>
      </c>
      <c r="G13" s="55" t="str">
        <f>IFERROR(INDEX(Calculator!$M$34:$M$97,MATCH(LARGE($N$6:$N$69,8),$N$6:$N$69,0)),"")</f>
        <v>Endemic</v>
      </c>
      <c r="H13" s="55">
        <f>IFERROR(INDEX(Calculator!$T$34:$T$97,MATCH(LARGE($N$6:$N$69,8),$N$6:$N$69,0)),"")</f>
        <v>79</v>
      </c>
      <c r="I13" s="55" t="str">
        <f>IFERROR(INDEX(Calculator!$U$34:$U$97,MATCH(LARGE($N$6:$N$69,8),$N$6:$N$69,0)),"")</f>
        <v>Do now</v>
      </c>
      <c r="J13" s="56" t="str">
        <f t="shared" si="0"/>
        <v>YES</v>
      </c>
      <c r="N13" s="51">
        <f>Calculator!$R$41+0.057-IF(Calculator!$M$41="Not present",200,0)</f>
        <v>47.957</v>
      </c>
    </row>
    <row r="14" customHeight="1" spans="1:14">
      <c r="A14" s="52">
        <v>9</v>
      </c>
      <c r="B14" s="53" t="str">
        <f>IFERROR(INDEX(Calculator!$A$34:$A$97,MATCH(LARGE($N$6:$N$69,9),$N$6:$N$69,0)),"")</f>
        <v>SARS2</v>
      </c>
      <c r="C14" s="54" t="str">
        <f>IFERROR(INDEX(Calculator!$B$34:$B$97,MATCH(LARGE($N$6:$N$69,9),$N$6:$N$69,0)),"")</f>
        <v>SARS-CoV-2</v>
      </c>
      <c r="D14" s="54" t="str">
        <f>IFERROR(INDEX(Calculator!$C$34:$C$97,MATCH(LARGE($N$6:$N$69,9),$N$6:$N$69,0)),"")</f>
        <v>Respiratory viral</v>
      </c>
      <c r="E14" s="53">
        <f>IFERROR(INDEX(Calculator!$R$34:$R$97,MATCH(LARGE($N$6:$N$69,9),$N$6:$N$69,0)),"")</f>
        <v>69.9</v>
      </c>
      <c r="F14" s="53" t="str">
        <f>IFERROR(INDEX(Calculator!$S$34:$S$97,MATCH(LARGE($N$6:$N$69,9),$N$6:$N$69,0)),"")</f>
        <v>Tier 2 — Seasonal/Regional</v>
      </c>
      <c r="G14" s="55" t="str">
        <f>IFERROR(INDEX(Calculator!$M$34:$M$97,MATCH(LARGE($N$6:$N$69,9),$N$6:$N$69,0)),"")</f>
        <v>Endemic</v>
      </c>
      <c r="H14" s="55">
        <f>IFERROR(INDEX(Calculator!$T$34:$T$97,MATCH(LARGE($N$6:$N$69,9),$N$6:$N$69,0)),"")</f>
        <v>91</v>
      </c>
      <c r="I14" s="55" t="str">
        <f>IFERROR(INDEX(Calculator!$U$34:$U$97,MATCH(LARGE($N$6:$N$69,9),$N$6:$N$69,0)),"")</f>
        <v>Do now</v>
      </c>
      <c r="J14" s="56" t="str">
        <f t="shared" si="0"/>
        <v>YES</v>
      </c>
      <c r="N14" s="51">
        <f>Calculator!$R$42+0.056-IF(Calculator!$M$42="Not present",200,0)</f>
        <v>51.556</v>
      </c>
    </row>
    <row r="15" customHeight="1" spans="1:14">
      <c r="A15" s="52">
        <v>10</v>
      </c>
      <c r="B15" s="53" t="str">
        <f>IFERROR(INDEX(Calculator!$A$34:$A$97,MATCH(LARGE($N$6:$N$69,10),$N$6:$N$69,0)),"")</f>
        <v>LASV</v>
      </c>
      <c r="C15" s="54" t="str">
        <f>IFERROR(INDEX(Calculator!$B$34:$B$97,MATCH(LARGE($N$6:$N$69,10),$N$6:$N$69,0)),"")</f>
        <v>Lassa virus</v>
      </c>
      <c r="D15" s="54" t="str">
        <f>IFERROR(INDEX(Calculator!$C$34:$C$97,MATCH(LARGE($N$6:$N$69,10),$N$6:$N$69,0)),"")</f>
        <v>VHF/zoonotic</v>
      </c>
      <c r="E15" s="53">
        <f>IFERROR(INDEX(Calculator!$R$34:$R$97,MATCH(LARGE($N$6:$N$69,10),$N$6:$N$69,0)),"")</f>
        <v>69.5</v>
      </c>
      <c r="F15" s="53" t="str">
        <f>IFERROR(INDEX(Calculator!$S$34:$S$97,MATCH(LARGE($N$6:$N$69,10),$N$6:$N$69,0)),"")</f>
        <v>Tier 2 — Seasonal/Regional</v>
      </c>
      <c r="G15" s="55" t="str">
        <f>IFERROR(INDEX(Calculator!$M$34:$M$97,MATCH(LARGE($N$6:$N$69,10),$N$6:$N$69,0)),"")</f>
        <v>Emerging</v>
      </c>
      <c r="H15" s="55">
        <f>IFERROR(INDEX(Calculator!$T$34:$T$97,MATCH(LARGE($N$6:$N$69,10),$N$6:$N$69,0)),"")</f>
        <v>79</v>
      </c>
      <c r="I15" s="55" t="str">
        <f>IFERROR(INDEX(Calculator!$U$34:$U$97,MATCH(LARGE($N$6:$N$69,10),$N$6:$N$69,0)),"")</f>
        <v>Do now</v>
      </c>
      <c r="J15" s="56" t="str">
        <f t="shared" si="0"/>
        <v>YES</v>
      </c>
      <c r="N15" s="51">
        <f>Calculator!$R$43+0.055-IF(Calculator!$M$43="Not present",200,0)</f>
        <v>53.855</v>
      </c>
    </row>
    <row r="16" customHeight="1" spans="1:14">
      <c r="A16" s="52">
        <v>11</v>
      </c>
      <c r="B16" s="53" t="str">
        <f>IFERROR(INDEX(Calculator!$A$34:$A$97,MATCH(LARGE($N$6:$N$69,11),$N$6:$N$69,0)),"")</f>
        <v>ECOLI</v>
      </c>
      <c r="C16" s="54" t="str">
        <f>IFERROR(INDEX(Calculator!$B$34:$B$97,MATCH(LARGE($N$6:$N$69,11),$N$6:$N$69,0)),"")</f>
        <v>Pathogenic E. coli (ETEC/EPEC/EHEC)</v>
      </c>
      <c r="D16" s="54" t="str">
        <f>IFERROR(INDEX(Calculator!$C$34:$C$97,MATCH(LARGE($N$6:$N$69,11),$N$6:$N$69,0)),"")</f>
        <v>Enteric bacterial</v>
      </c>
      <c r="E16" s="53">
        <f>IFERROR(INDEX(Calculator!$R$34:$R$97,MATCH(LARGE($N$6:$N$69,11),$N$6:$N$69,0)),"")</f>
        <v>69.3</v>
      </c>
      <c r="F16" s="53" t="str">
        <f>IFERROR(INDEX(Calculator!$S$34:$S$97,MATCH(LARGE($N$6:$N$69,11),$N$6:$N$69,0)),"")</f>
        <v>Tier 2 — Seasonal/Regional</v>
      </c>
      <c r="G16" s="55" t="str">
        <f>IFERROR(INDEX(Calculator!$M$34:$M$97,MATCH(LARGE($N$6:$N$69,11),$N$6:$N$69,0)),"")</f>
        <v>Endemic</v>
      </c>
      <c r="H16" s="55">
        <f>IFERROR(INDEX(Calculator!$T$34:$T$97,MATCH(LARGE($N$6:$N$69,11),$N$6:$N$69,0)),"")</f>
        <v>91</v>
      </c>
      <c r="I16" s="55" t="str">
        <f>IFERROR(INDEX(Calculator!$U$34:$U$97,MATCH(LARGE($N$6:$N$69,11),$N$6:$N$69,0)),"")</f>
        <v>Do now</v>
      </c>
      <c r="J16" s="56" t="str">
        <f t="shared" si="0"/>
        <v>YES</v>
      </c>
      <c r="N16" s="51">
        <f>Calculator!$R$44+0.054-IF(Calculator!$M$44="Not present",200,0)</f>
        <v>67.954</v>
      </c>
    </row>
    <row r="17" customHeight="1" spans="1:14">
      <c r="A17" s="52">
        <v>12</v>
      </c>
      <c r="B17" s="53" t="str">
        <f>IFERROR(INDEX(Calculator!$A$34:$A$97,MATCH(LARGE($N$6:$N$69,12),$N$6:$N$69,0)),"")</f>
        <v>STYPHI</v>
      </c>
      <c r="C17" s="54" t="str">
        <f>IFERROR(INDEX(Calculator!$B$34:$B$97,MATCH(LARGE($N$6:$N$69,12),$N$6:$N$69,0)),"")</f>
        <v>Salmonella Typhi</v>
      </c>
      <c r="D17" s="54" t="str">
        <f>IFERROR(INDEX(Calculator!$C$34:$C$97,MATCH(LARGE($N$6:$N$69,12),$N$6:$N$69,0)),"")</f>
        <v>Enteric bacterial</v>
      </c>
      <c r="E17" s="53">
        <f>IFERROR(INDEX(Calculator!$R$34:$R$97,MATCH(LARGE($N$6:$N$69,12),$N$6:$N$69,0)),"")</f>
        <v>68.6</v>
      </c>
      <c r="F17" s="53" t="str">
        <f>IFERROR(INDEX(Calculator!$S$34:$S$97,MATCH(LARGE($N$6:$N$69,12),$N$6:$N$69,0)),"")</f>
        <v>Tier 2 — Seasonal/Regional</v>
      </c>
      <c r="G17" s="55" t="str">
        <f>IFERROR(INDEX(Calculator!$M$34:$M$97,MATCH(LARGE($N$6:$N$69,12),$N$6:$N$69,0)),"")</f>
        <v>Endemic</v>
      </c>
      <c r="H17" s="55">
        <f>IFERROR(INDEX(Calculator!$T$34:$T$97,MATCH(LARGE($N$6:$N$69,12),$N$6:$N$69,0)),"")</f>
        <v>91</v>
      </c>
      <c r="I17" s="55" t="str">
        <f>IFERROR(INDEX(Calculator!$U$34:$U$97,MATCH(LARGE($N$6:$N$69,12),$N$6:$N$69,0)),"")</f>
        <v>Do now</v>
      </c>
      <c r="J17" s="56" t="str">
        <f t="shared" si="0"/>
        <v>YES</v>
      </c>
      <c r="N17" s="51">
        <f>Calculator!$R$45+0.053-IF(Calculator!$M$45="Not present",200,0)</f>
        <v>61.153</v>
      </c>
    </row>
    <row r="18" customHeight="1" spans="1:14">
      <c r="A18" s="52">
        <v>13</v>
      </c>
      <c r="B18" s="53" t="str">
        <f>IFERROR(INDEX(Calculator!$A$34:$A$97,MATCH(LARGE($N$6:$N$69,13),$N$6:$N$69,0)),"")</f>
        <v>SHIG</v>
      </c>
      <c r="C18" s="54" t="str">
        <f>IFERROR(INDEX(Calculator!$B$34:$B$97,MATCH(LARGE($N$6:$N$69,13),$N$6:$N$69,0)),"")</f>
        <v>Shigella spp.</v>
      </c>
      <c r="D18" s="54" t="str">
        <f>IFERROR(INDEX(Calculator!$C$34:$C$97,MATCH(LARGE($N$6:$N$69,13),$N$6:$N$69,0)),"")</f>
        <v>Enteric bacterial</v>
      </c>
      <c r="E18" s="53">
        <f>IFERROR(INDEX(Calculator!$R$34:$R$97,MATCH(LARGE($N$6:$N$69,13),$N$6:$N$69,0)),"")</f>
        <v>68.6</v>
      </c>
      <c r="F18" s="53" t="str">
        <f>IFERROR(INDEX(Calculator!$S$34:$S$97,MATCH(LARGE($N$6:$N$69,13),$N$6:$N$69,0)),"")</f>
        <v>Tier 2 — Seasonal/Regional</v>
      </c>
      <c r="G18" s="55" t="str">
        <f>IFERROR(INDEX(Calculator!$M$34:$M$97,MATCH(LARGE($N$6:$N$69,13),$N$6:$N$69,0)),"")</f>
        <v>Endemic</v>
      </c>
      <c r="H18" s="55">
        <f>IFERROR(INDEX(Calculator!$T$34:$T$97,MATCH(LARGE($N$6:$N$69,13),$N$6:$N$69,0)),"")</f>
        <v>91</v>
      </c>
      <c r="I18" s="55" t="str">
        <f>IFERROR(INDEX(Calculator!$U$34:$U$97,MATCH(LARGE($N$6:$N$69,13),$N$6:$N$69,0)),"")</f>
        <v>Do now</v>
      </c>
      <c r="J18" s="56" t="str">
        <f t="shared" si="0"/>
        <v>YES</v>
      </c>
      <c r="N18" s="51">
        <f>Calculator!$R$46+0.052-IF(Calculator!$M$46="Not present",200,0)</f>
        <v>69.552</v>
      </c>
    </row>
    <row r="19" customHeight="1" spans="1:14">
      <c r="A19" s="52">
        <v>14</v>
      </c>
      <c r="B19" s="53" t="str">
        <f>IFERROR(INDEX(Calculator!$A$34:$A$97,MATCH(LARGE($N$6:$N$69,14),$N$6:$N$69,0)),"")</f>
        <v>CRE2</v>
      </c>
      <c r="C19" s="54" t="str">
        <f>IFERROR(INDEX(Calculator!$B$34:$B$97,MATCH(LARGE($N$6:$N$69,14),$N$6:$N$69,0)),"")</f>
        <v>Carbapenemase: blaKPC</v>
      </c>
      <c r="D19" s="54" t="str">
        <f>IFERROR(INDEX(Calculator!$C$34:$C$97,MATCH(LARGE($N$6:$N$69,14),$N$6:$N$69,0)),"")</f>
        <v>AMR marker</v>
      </c>
      <c r="E19" s="53">
        <f>IFERROR(INDEX(Calculator!$R$34:$R$97,MATCH(LARGE($N$6:$N$69,14),$N$6:$N$69,0)),"")</f>
        <v>68.4</v>
      </c>
      <c r="F19" s="53" t="str">
        <f>IFERROR(INDEX(Calculator!$S$34:$S$97,MATCH(LARGE($N$6:$N$69,14),$N$6:$N$69,0)),"")</f>
        <v>Tier 2 — Seasonal/Regional</v>
      </c>
      <c r="G19" s="55" t="str">
        <f>IFERROR(INDEX(Calculator!$M$34:$M$97,MATCH(LARGE($N$6:$N$69,14),$N$6:$N$69,0)),"")</f>
        <v>Endemic</v>
      </c>
      <c r="H19" s="55">
        <f>IFERROR(INDEX(Calculator!$T$34:$T$97,MATCH(LARGE($N$6:$N$69,14),$N$6:$N$69,0)),"")</f>
        <v>79</v>
      </c>
      <c r="I19" s="55" t="str">
        <f>IFERROR(INDEX(Calculator!$U$34:$U$97,MATCH(LARGE($N$6:$N$69,14),$N$6:$N$69,0)),"")</f>
        <v>Do now</v>
      </c>
      <c r="J19" s="56" t="str">
        <f t="shared" si="0"/>
        <v>YES</v>
      </c>
      <c r="N19" s="51">
        <f>Calculator!$R$47+0.051-IF(Calculator!$M$47="Not present",200,0)</f>
        <v>64.351</v>
      </c>
    </row>
    <row r="20" customHeight="1" spans="1:14">
      <c r="A20" s="52">
        <v>15</v>
      </c>
      <c r="B20" s="53" t="str">
        <f>IFERROR(INDEX(Calculator!$A$34:$A$97,MATCH(LARGE($N$6:$N$69,15),$N$6:$N$69,0)),"")</f>
        <v>MCR1</v>
      </c>
      <c r="C20" s="54" t="str">
        <f>IFERROR(INDEX(Calculator!$B$34:$B$97,MATCH(LARGE($N$6:$N$69,15),$N$6:$N$69,0)),"")</f>
        <v>Colistin resistance: mcr-1</v>
      </c>
      <c r="D20" s="54" t="str">
        <f>IFERROR(INDEX(Calculator!$C$34:$C$97,MATCH(LARGE($N$6:$N$69,15),$N$6:$N$69,0)),"")</f>
        <v>AMR marker</v>
      </c>
      <c r="E20" s="53">
        <f>IFERROR(INDEX(Calculator!$R$34:$R$97,MATCH(LARGE($N$6:$N$69,15),$N$6:$N$69,0)),"")</f>
        <v>68.4</v>
      </c>
      <c r="F20" s="53" t="str">
        <f>IFERROR(INDEX(Calculator!$S$34:$S$97,MATCH(LARGE($N$6:$N$69,15),$N$6:$N$69,0)),"")</f>
        <v>Tier 2 — Seasonal/Regional</v>
      </c>
      <c r="G20" s="55" t="str">
        <f>IFERROR(INDEX(Calculator!$M$34:$M$97,MATCH(LARGE($N$6:$N$69,15),$N$6:$N$69,0)),"")</f>
        <v>Endemic</v>
      </c>
      <c r="H20" s="55">
        <f>IFERROR(INDEX(Calculator!$T$34:$T$97,MATCH(LARGE($N$6:$N$69,15),$N$6:$N$69,0)),"")</f>
        <v>79</v>
      </c>
      <c r="I20" s="55" t="str">
        <f>IFERROR(INDEX(Calculator!$U$34:$U$97,MATCH(LARGE($N$6:$N$69,15),$N$6:$N$69,0)),"")</f>
        <v>Do now</v>
      </c>
      <c r="J20" s="56" t="str">
        <f t="shared" si="0"/>
        <v>YES</v>
      </c>
      <c r="N20" s="51">
        <f>Calculator!$R$48+0.05-IF(Calculator!$M$48="Not present",200,0)</f>
        <v>69.95</v>
      </c>
    </row>
    <row r="21" customHeight="1" spans="1:14">
      <c r="A21" s="52">
        <v>16</v>
      </c>
      <c r="B21" s="53" t="str">
        <f>IFERROR(INDEX(Calculator!$A$34:$A$97,MATCH(LARGE($N$6:$N$69,16),$N$6:$N$69,0)),"")</f>
        <v>LEPTO</v>
      </c>
      <c r="C21" s="54" t="str">
        <f>IFERROR(INDEX(Calculator!$B$34:$B$97,MATCH(LARGE($N$6:$N$69,16),$N$6:$N$69,0)),"")</f>
        <v>Leptospira spp.</v>
      </c>
      <c r="D21" s="54" t="str">
        <f>IFERROR(INDEX(Calculator!$C$34:$C$97,MATCH(LARGE($N$6:$N$69,16),$N$6:$N$69,0)),"")</f>
        <v>Bacterial zoonotic</v>
      </c>
      <c r="E21" s="53">
        <f>IFERROR(INDEX(Calculator!$R$34:$R$97,MATCH(LARGE($N$6:$N$69,16),$N$6:$N$69,0)),"")</f>
        <v>68.1</v>
      </c>
      <c r="F21" s="53" t="str">
        <f>IFERROR(INDEX(Calculator!$S$34:$S$97,MATCH(LARGE($N$6:$N$69,16),$N$6:$N$69,0)),"")</f>
        <v>Tier 2 — Seasonal/Regional</v>
      </c>
      <c r="G21" s="55" t="str">
        <f>IFERROR(INDEX(Calculator!$M$34:$M$97,MATCH(LARGE($N$6:$N$69,16),$N$6:$N$69,0)),"")</f>
        <v>Endemic</v>
      </c>
      <c r="H21" s="55">
        <f>IFERROR(INDEX(Calculator!$T$34:$T$97,MATCH(LARGE($N$6:$N$69,16),$N$6:$N$69,0)),"")</f>
        <v>79</v>
      </c>
      <c r="I21" s="55" t="str">
        <f>IFERROR(INDEX(Calculator!$U$34:$U$97,MATCH(LARGE($N$6:$N$69,16),$N$6:$N$69,0)),"")</f>
        <v>Do now</v>
      </c>
      <c r="J21" s="56" t="str">
        <f t="shared" si="0"/>
        <v>YES</v>
      </c>
      <c r="N21" s="51">
        <f>Calculator!$R$49+0.049-IF(Calculator!$M$49="Not present",200,0)</f>
        <v>61.749</v>
      </c>
    </row>
    <row r="22" customHeight="1" spans="1:14">
      <c r="A22" s="52">
        <v>17</v>
      </c>
      <c r="B22" s="53" t="str">
        <f>IFERROR(INDEX(Calculator!$A$34:$A$97,MATCH(LARGE($N$6:$N$69,17),$N$6:$N$69,0)),"")</f>
        <v>EBOV</v>
      </c>
      <c r="C22" s="54" t="str">
        <f>IFERROR(INDEX(Calculator!$B$34:$B$97,MATCH(LARGE($N$6:$N$69,17),$N$6:$N$69,0)),"")</f>
        <v>Ebola virus (Zaire/Sudan)</v>
      </c>
      <c r="D22" s="54" t="str">
        <f>IFERROR(INDEX(Calculator!$C$34:$C$97,MATCH(LARGE($N$6:$N$69,17),$N$6:$N$69,0)),"")</f>
        <v>VHF/zoonotic</v>
      </c>
      <c r="E22" s="53">
        <f>IFERROR(INDEX(Calculator!$R$34:$R$97,MATCH(LARGE($N$6:$N$69,17),$N$6:$N$69,0)),"")</f>
        <v>67.9</v>
      </c>
      <c r="F22" s="53" t="str">
        <f>IFERROR(INDEX(Calculator!$S$34:$S$97,MATCH(LARGE($N$6:$N$69,17),$N$6:$N$69,0)),"")</f>
        <v>Tier 2 — Seasonal/Regional</v>
      </c>
      <c r="G22" s="55" t="str">
        <f>IFERROR(INDEX(Calculator!$M$34:$M$97,MATCH(LARGE($N$6:$N$69,17),$N$6:$N$69,0)),"")</f>
        <v>Sporadic</v>
      </c>
      <c r="H22" s="55">
        <f>IFERROR(INDEX(Calculator!$T$34:$T$97,MATCH(LARGE($N$6:$N$69,17),$N$6:$N$69,0)),"")</f>
        <v>79</v>
      </c>
      <c r="I22" s="55" t="str">
        <f>IFERROR(INDEX(Calculator!$U$34:$U$97,MATCH(LARGE($N$6:$N$69,17),$N$6:$N$69,0)),"")</f>
        <v>Do now</v>
      </c>
      <c r="J22" s="56" t="str">
        <f t="shared" si="0"/>
        <v>YES</v>
      </c>
      <c r="N22" s="51">
        <f>Calculator!$R$50+0.048-IF(Calculator!$M$50="Not present",200,0)</f>
        <v>65.548</v>
      </c>
    </row>
    <row r="23" customHeight="1" spans="1:14">
      <c r="A23" s="52">
        <v>18</v>
      </c>
      <c r="B23" s="53" t="str">
        <f>IFERROR(INDEX(Calculator!$A$34:$A$97,MATCH(LARGE($N$6:$N$69,18),$N$6:$N$69,0)),"")</f>
        <v>NORO</v>
      </c>
      <c r="C23" s="54" t="str">
        <f>IFERROR(INDEX(Calculator!$B$34:$B$97,MATCH(LARGE($N$6:$N$69,18),$N$6:$N$69,0)),"")</f>
        <v>Norovirus GI/GII</v>
      </c>
      <c r="D23" s="54" t="str">
        <f>IFERROR(INDEX(Calculator!$C$34:$C$97,MATCH(LARGE($N$6:$N$69,18),$N$6:$N$69,0)),"")</f>
        <v>Enteric viral</v>
      </c>
      <c r="E23" s="53">
        <f>IFERROR(INDEX(Calculator!$R$34:$R$97,MATCH(LARGE($N$6:$N$69,18),$N$6:$N$69,0)),"")</f>
        <v>67.9</v>
      </c>
      <c r="F23" s="53" t="str">
        <f>IFERROR(INDEX(Calculator!$S$34:$S$97,MATCH(LARGE($N$6:$N$69,18),$N$6:$N$69,0)),"")</f>
        <v>Tier 2 — Seasonal/Regional</v>
      </c>
      <c r="G23" s="55" t="str">
        <f>IFERROR(INDEX(Calculator!$M$34:$M$97,MATCH(LARGE($N$6:$N$69,18),$N$6:$N$69,0)),"")</f>
        <v>Endemic</v>
      </c>
      <c r="H23" s="55">
        <f>IFERROR(INDEX(Calculator!$T$34:$T$97,MATCH(LARGE($N$6:$N$69,18),$N$6:$N$69,0)),"")</f>
        <v>91</v>
      </c>
      <c r="I23" s="55" t="str">
        <f>IFERROR(INDEX(Calculator!$U$34:$U$97,MATCH(LARGE($N$6:$N$69,18),$N$6:$N$69,0)),"")</f>
        <v>Do now</v>
      </c>
      <c r="J23" s="56" t="str">
        <f t="shared" si="0"/>
        <v>YES</v>
      </c>
      <c r="N23" s="51">
        <f>Calculator!$R$51+0.047-IF(Calculator!$M$51="Not present",200,0)</f>
        <v>67.447</v>
      </c>
    </row>
    <row r="24" customHeight="1" spans="1:14">
      <c r="A24" s="52">
        <v>19</v>
      </c>
      <c r="B24" s="53" t="str">
        <f>IFERROR(INDEX(Calculator!$A$34:$A$97,MATCH(LARGE($N$6:$N$69,19),$N$6:$N$69,0)),"")</f>
        <v>H5N1</v>
      </c>
      <c r="C24" s="54" t="str">
        <f>IFERROR(INDEX(Calculator!$B$34:$B$97,MATCH(LARGE($N$6:$N$69,19),$N$6:$N$69,0)),"")</f>
        <v>Influenza A H5N1 (avian)</v>
      </c>
      <c r="D24" s="54" t="str">
        <f>IFERROR(INDEX(Calculator!$C$34:$C$97,MATCH(LARGE($N$6:$N$69,19),$N$6:$N$69,0)),"")</f>
        <v>Respiratory viral/zoonotic</v>
      </c>
      <c r="E24" s="53">
        <f>IFERROR(INDEX(Calculator!$R$34:$R$97,MATCH(LARGE($N$6:$N$69,19),$N$6:$N$69,0)),"")</f>
        <v>67.4</v>
      </c>
      <c r="F24" s="53" t="str">
        <f>IFERROR(INDEX(Calculator!$S$34:$S$97,MATCH(LARGE($N$6:$N$69,19),$N$6:$N$69,0)),"")</f>
        <v>Tier 2 — Seasonal/Regional</v>
      </c>
      <c r="G24" s="55" t="str">
        <f>IFERROR(INDEX(Calculator!$M$34:$M$97,MATCH(LARGE($N$6:$N$69,19),$N$6:$N$69,0)),"")</f>
        <v>Emerging</v>
      </c>
      <c r="H24" s="55">
        <f>IFERROR(INDEX(Calculator!$T$34:$T$97,MATCH(LARGE($N$6:$N$69,19),$N$6:$N$69,0)),"")</f>
        <v>79</v>
      </c>
      <c r="I24" s="55" t="str">
        <f>IFERROR(INDEX(Calculator!$U$34:$U$97,MATCH(LARGE($N$6:$N$69,19),$N$6:$N$69,0)),"")</f>
        <v>Do now</v>
      </c>
      <c r="J24" s="56" t="str">
        <f t="shared" si="0"/>
        <v>YES</v>
      </c>
      <c r="N24" s="51">
        <f>Calculator!$R$52+0.046-IF(Calculator!$M$52="Not present",200,0)</f>
        <v>66.246</v>
      </c>
    </row>
    <row r="25" customHeight="1" spans="1:14">
      <c r="A25" s="52">
        <v>20</v>
      </c>
      <c r="B25" s="53" t="str">
        <f>IFERROR(INDEX(Calculator!$A$34:$A$97,MATCH(LARGE($N$6:$N$69,20),$N$6:$N$69,0)),"")</f>
        <v>ENTV</v>
      </c>
      <c r="C25" s="54" t="str">
        <f>IFERROR(INDEX(Calculator!$B$34:$B$97,MATCH(LARGE($N$6:$N$69,20),$N$6:$N$69,0)),"")</f>
        <v>Enteroviruses (non-polio)</v>
      </c>
      <c r="D25" s="54" t="str">
        <f>IFERROR(INDEX(Calculator!$C$34:$C$97,MATCH(LARGE($N$6:$N$69,20),$N$6:$N$69,0)),"")</f>
        <v>Enteric viral</v>
      </c>
      <c r="E25" s="53">
        <f>IFERROR(INDEX(Calculator!$R$34:$R$97,MATCH(LARGE($N$6:$N$69,20),$N$6:$N$69,0)),"")</f>
        <v>67.1</v>
      </c>
      <c r="F25" s="53" t="str">
        <f>IFERROR(INDEX(Calculator!$S$34:$S$97,MATCH(LARGE($N$6:$N$69,20),$N$6:$N$69,0)),"")</f>
        <v>Tier 2 — Seasonal/Regional</v>
      </c>
      <c r="G25" s="55" t="str">
        <f>IFERROR(INDEX(Calculator!$M$34:$M$97,MATCH(LARGE($N$6:$N$69,20),$N$6:$N$69,0)),"")</f>
        <v>Endemic</v>
      </c>
      <c r="H25" s="55">
        <f>IFERROR(INDEX(Calculator!$T$34:$T$97,MATCH(LARGE($N$6:$N$69,20),$N$6:$N$69,0)),"")</f>
        <v>91</v>
      </c>
      <c r="I25" s="55" t="str">
        <f>IFERROR(INDEX(Calculator!$U$34:$U$97,MATCH(LARGE($N$6:$N$69,20),$N$6:$N$69,0)),"")</f>
        <v>Do now</v>
      </c>
      <c r="J25" s="56" t="str">
        <f t="shared" si="0"/>
        <v>YES</v>
      </c>
      <c r="N25" s="51">
        <f>Calculator!$R$53+0.045-IF(Calculator!$M$53="Not present",200,0)</f>
        <v>73.645</v>
      </c>
    </row>
    <row r="26" customHeight="1" spans="1:14">
      <c r="A26" s="52">
        <v>21</v>
      </c>
      <c r="B26" s="53" t="str">
        <f>IFERROR(INDEX(Calculator!$A$34:$A$97,MATCH(LARGE($N$6:$N$69,21),$N$6:$N$69,0)),"")</f>
        <v>CRYPT</v>
      </c>
      <c r="C26" s="54" t="str">
        <f>IFERROR(INDEX(Calculator!$B$34:$B$97,MATCH(LARGE($N$6:$N$69,21),$N$6:$N$69,0)),"")</f>
        <v>Cryptosporidium spp.</v>
      </c>
      <c r="D26" s="54" t="str">
        <f>IFERROR(INDEX(Calculator!$C$34:$C$97,MATCH(LARGE($N$6:$N$69,21),$N$6:$N$69,0)),"")</f>
        <v>Enteric protozoan</v>
      </c>
      <c r="E26" s="53">
        <f>IFERROR(INDEX(Calculator!$R$34:$R$97,MATCH(LARGE($N$6:$N$69,21),$N$6:$N$69,0)),"")</f>
        <v>67.1</v>
      </c>
      <c r="F26" s="53" t="str">
        <f>IFERROR(INDEX(Calculator!$S$34:$S$97,MATCH(LARGE($N$6:$N$69,21),$N$6:$N$69,0)),"")</f>
        <v>Tier 2 — Seasonal/Regional</v>
      </c>
      <c r="G26" s="55" t="str">
        <f>IFERROR(INDEX(Calculator!$M$34:$M$97,MATCH(LARGE($N$6:$N$69,21),$N$6:$N$69,0)),"")</f>
        <v>Endemic</v>
      </c>
      <c r="H26" s="55">
        <f>IFERROR(INDEX(Calculator!$T$34:$T$97,MATCH(LARGE($N$6:$N$69,21),$N$6:$N$69,0)),"")</f>
        <v>91</v>
      </c>
      <c r="I26" s="55" t="str">
        <f>IFERROR(INDEX(Calculator!$U$34:$U$97,MATCH(LARGE($N$6:$N$69,21),$N$6:$N$69,0)),"")</f>
        <v>Do now</v>
      </c>
      <c r="J26" s="56" t="str">
        <f t="shared" si="0"/>
        <v>YES</v>
      </c>
      <c r="N26" s="51">
        <f>Calculator!$R$54+0.044-IF(Calculator!$M$54="Not present",200,0)</f>
        <v>-179.256</v>
      </c>
    </row>
    <row r="27" customHeight="1" spans="1:14">
      <c r="A27" s="52">
        <v>22</v>
      </c>
      <c r="B27" s="53" t="str">
        <f>IFERROR(INDEX(Calculator!$A$34:$A$97,MATCH(LARGE($N$6:$N$69,22),$N$6:$N$69,0)),"")</f>
        <v>GIA</v>
      </c>
      <c r="C27" s="54" t="str">
        <f>IFERROR(INDEX(Calculator!$B$34:$B$97,MATCH(LARGE($N$6:$N$69,22),$N$6:$N$69,0)),"")</f>
        <v>Giardia duodenalis</v>
      </c>
      <c r="D27" s="54" t="str">
        <f>IFERROR(INDEX(Calculator!$C$34:$C$97,MATCH(LARGE($N$6:$N$69,22),$N$6:$N$69,0)),"")</f>
        <v>Enteric protozoan</v>
      </c>
      <c r="E27" s="53">
        <f>IFERROR(INDEX(Calculator!$R$34:$R$97,MATCH(LARGE($N$6:$N$69,22),$N$6:$N$69,0)),"")</f>
        <v>67.1</v>
      </c>
      <c r="F27" s="53" t="str">
        <f>IFERROR(INDEX(Calculator!$S$34:$S$97,MATCH(LARGE($N$6:$N$69,22),$N$6:$N$69,0)),"")</f>
        <v>Tier 2 — Seasonal/Regional</v>
      </c>
      <c r="G27" s="55" t="str">
        <f>IFERROR(INDEX(Calculator!$M$34:$M$97,MATCH(LARGE($N$6:$N$69,22),$N$6:$N$69,0)),"")</f>
        <v>Endemic</v>
      </c>
      <c r="H27" s="55">
        <f>IFERROR(INDEX(Calculator!$T$34:$T$97,MATCH(LARGE($N$6:$N$69,22),$N$6:$N$69,0)),"")</f>
        <v>91</v>
      </c>
      <c r="I27" s="55" t="str">
        <f>IFERROR(INDEX(Calculator!$U$34:$U$97,MATCH(LARGE($N$6:$N$69,22),$N$6:$N$69,0)),"")</f>
        <v>Do now</v>
      </c>
      <c r="J27" s="56" t="str">
        <f t="shared" si="0"/>
        <v>YES</v>
      </c>
      <c r="N27" s="51">
        <f>Calculator!$R$55+0.043-IF(Calculator!$M$55="Not present",200,0)</f>
        <v>66.343</v>
      </c>
    </row>
    <row r="28" customHeight="1" spans="1:14">
      <c r="A28" s="52">
        <v>23</v>
      </c>
      <c r="B28" s="53" t="str">
        <f>IFERROR(INDEX(Calculator!$A$34:$A$97,MATCH(LARGE($N$6:$N$69,23),$N$6:$N$69,0)),"")</f>
        <v>SCHISTO</v>
      </c>
      <c r="C28" s="54" t="str">
        <f>IFERROR(INDEX(Calculator!$B$34:$B$97,MATCH(LARGE($N$6:$N$69,23),$N$6:$N$69,0)),"")</f>
        <v>Schistosoma spp.</v>
      </c>
      <c r="D28" s="54" t="str">
        <f>IFERROR(INDEX(Calculator!$C$34:$C$97,MATCH(LARGE($N$6:$N$69,23),$N$6:$N$69,0)),"")</f>
        <v>Helminth</v>
      </c>
      <c r="E28" s="53">
        <f>IFERROR(INDEX(Calculator!$R$34:$R$97,MATCH(LARGE($N$6:$N$69,23),$N$6:$N$69,0)),"")</f>
        <v>66.9</v>
      </c>
      <c r="F28" s="53" t="str">
        <f>IFERROR(INDEX(Calculator!$S$34:$S$97,MATCH(LARGE($N$6:$N$69,23),$N$6:$N$69,0)),"")</f>
        <v>Tier 2 — Seasonal/Regional</v>
      </c>
      <c r="G28" s="55" t="str">
        <f>IFERROR(INDEX(Calculator!$M$34:$M$97,MATCH(LARGE($N$6:$N$69,23),$N$6:$N$69,0)),"")</f>
        <v>Endemic</v>
      </c>
      <c r="H28" s="55">
        <f>IFERROR(INDEX(Calculator!$T$34:$T$97,MATCH(LARGE($N$6:$N$69,23),$N$6:$N$69,0)),"")</f>
        <v>79</v>
      </c>
      <c r="I28" s="55" t="str">
        <f>IFERROR(INDEX(Calculator!$U$34:$U$97,MATCH(LARGE($N$6:$N$69,23),$N$6:$N$69,0)),"")</f>
        <v>Do now</v>
      </c>
      <c r="J28" s="56" t="str">
        <f t="shared" si="0"/>
        <v>YES</v>
      </c>
      <c r="N28" s="51">
        <f>Calculator!$R$56+0.042-IF(Calculator!$M$56="Not present",200,0)</f>
        <v>66.642</v>
      </c>
    </row>
    <row r="29" customHeight="1" spans="1:14">
      <c r="A29" s="52">
        <v>24</v>
      </c>
      <c r="B29" s="53" t="str">
        <f>IFERROR(INDEX(Calculator!$A$34:$A$97,MATCH(LARGE($N$6:$N$69,24),$N$6:$N$69,0)),"")</f>
        <v>HEPE</v>
      </c>
      <c r="C29" s="54" t="str">
        <f>IFERROR(INDEX(Calculator!$B$34:$B$97,MATCH(LARGE($N$6:$N$69,24),$N$6:$N$69,0)),"")</f>
        <v>Hepatitis E virus</v>
      </c>
      <c r="D29" s="54" t="str">
        <f>IFERROR(INDEX(Calculator!$C$34:$C$97,MATCH(LARGE($N$6:$N$69,24),$N$6:$N$69,0)),"")</f>
        <v>Enteric viral</v>
      </c>
      <c r="E29" s="53">
        <f>IFERROR(INDEX(Calculator!$R$34:$R$97,MATCH(LARGE($N$6:$N$69,24),$N$6:$N$69,0)),"")</f>
        <v>66.6</v>
      </c>
      <c r="F29" s="53" t="str">
        <f>IFERROR(INDEX(Calculator!$S$34:$S$97,MATCH(LARGE($N$6:$N$69,24),$N$6:$N$69,0)),"")</f>
        <v>Tier 2 — Seasonal/Regional</v>
      </c>
      <c r="G29" s="55" t="str">
        <f>IFERROR(INDEX(Calculator!$M$34:$M$97,MATCH(LARGE($N$6:$N$69,24),$N$6:$N$69,0)),"")</f>
        <v>Endemic</v>
      </c>
      <c r="H29" s="55">
        <f>IFERROR(INDEX(Calculator!$T$34:$T$97,MATCH(LARGE($N$6:$N$69,24),$N$6:$N$69,0)),"")</f>
        <v>79</v>
      </c>
      <c r="I29" s="55" t="str">
        <f>IFERROR(INDEX(Calculator!$U$34:$U$97,MATCH(LARGE($N$6:$N$69,24),$N$6:$N$69,0)),"")</f>
        <v>Do now</v>
      </c>
      <c r="J29" s="56" t="str">
        <f t="shared" si="0"/>
        <v>YES</v>
      </c>
      <c r="N29" s="51">
        <f>Calculator!$R$57+0.041-IF(Calculator!$M$57="Not present",200,0)</f>
        <v>67.941</v>
      </c>
    </row>
    <row r="30" customHeight="1" spans="1:14">
      <c r="A30" s="52">
        <v>25</v>
      </c>
      <c r="B30" s="53" t="str">
        <f>IFERROR(INDEX(Calculator!$A$34:$A$97,MATCH(LARGE($N$6:$N$69,25),$N$6:$N$69,0)),"")</f>
        <v>INTS</v>
      </c>
      <c r="C30" s="54" t="str">
        <f>IFERROR(INDEX(Calculator!$B$34:$B$97,MATCH(LARGE($N$6:$N$69,25),$N$6:$N$69,0)),"")</f>
        <v>Invasive non-typhoidal Salmonella</v>
      </c>
      <c r="D30" s="54" t="str">
        <f>IFERROR(INDEX(Calculator!$C$34:$C$97,MATCH(LARGE($N$6:$N$69,25),$N$6:$N$69,0)),"")</f>
        <v>Enteric bacterial</v>
      </c>
      <c r="E30" s="53">
        <f>IFERROR(INDEX(Calculator!$R$34:$R$97,MATCH(LARGE($N$6:$N$69,25),$N$6:$N$69,0)),"")</f>
        <v>66.6</v>
      </c>
      <c r="F30" s="53" t="str">
        <f>IFERROR(INDEX(Calculator!$S$34:$S$97,MATCH(LARGE($N$6:$N$69,25),$N$6:$N$69,0)),"")</f>
        <v>Tier 2 — Seasonal/Regional</v>
      </c>
      <c r="G30" s="55" t="str">
        <f>IFERROR(INDEX(Calculator!$M$34:$M$97,MATCH(LARGE($N$6:$N$69,25),$N$6:$N$69,0)),"")</f>
        <v>Endemic</v>
      </c>
      <c r="H30" s="55">
        <f>IFERROR(INDEX(Calculator!$T$34:$T$97,MATCH(LARGE($N$6:$N$69,25),$N$6:$N$69,0)),"")</f>
        <v>79</v>
      </c>
      <c r="I30" s="55" t="str">
        <f>IFERROR(INDEX(Calculator!$U$34:$U$97,MATCH(LARGE($N$6:$N$69,25),$N$6:$N$69,0)),"")</f>
        <v>Do now</v>
      </c>
      <c r="J30" s="56" t="str">
        <f t="shared" si="0"/>
        <v>YES</v>
      </c>
      <c r="N30" s="51">
        <f>Calculator!$R$58+0.04-IF(Calculator!$M$58="Not present",200,0)</f>
        <v>66.44</v>
      </c>
    </row>
    <row r="31" customHeight="1" spans="1:14">
      <c r="A31" s="52">
        <v>26</v>
      </c>
      <c r="B31" s="53" t="str">
        <f>IFERROR(INDEX(Calculator!$A$34:$A$97,MATCH(LARGE($N$6:$N$69,26),$N$6:$N$69,0)),"")</f>
        <v>CDIFF</v>
      </c>
      <c r="C31" s="54" t="str">
        <f>IFERROR(INDEX(Calculator!$B$34:$B$97,MATCH(LARGE($N$6:$N$69,26),$N$6:$N$69,0)),"")</f>
        <v>Clostridioides difficile</v>
      </c>
      <c r="D31" s="54" t="str">
        <f>IFERROR(INDEX(Calculator!$C$34:$C$97,MATCH(LARGE($N$6:$N$69,26),$N$6:$N$69,0)),"")</f>
        <v>Enteric bacterial</v>
      </c>
      <c r="E31" s="53">
        <f>IFERROR(INDEX(Calculator!$R$34:$R$97,MATCH(LARGE($N$6:$N$69,26),$N$6:$N$69,0)),"")</f>
        <v>66.5</v>
      </c>
      <c r="F31" s="53" t="str">
        <f>IFERROR(INDEX(Calculator!$S$34:$S$97,MATCH(LARGE($N$6:$N$69,26),$N$6:$N$69,0)),"")</f>
        <v>Tier 2 — Seasonal/Regional</v>
      </c>
      <c r="G31" s="55" t="str">
        <f>IFERROR(INDEX(Calculator!$M$34:$M$97,MATCH(LARGE($N$6:$N$69,26),$N$6:$N$69,0)),"")</f>
        <v>Sporadic</v>
      </c>
      <c r="H31" s="55">
        <f>IFERROR(INDEX(Calculator!$T$34:$T$97,MATCH(LARGE($N$6:$N$69,26),$N$6:$N$69,0)),"")</f>
        <v>79</v>
      </c>
      <c r="I31" s="55" t="str">
        <f>IFERROR(INDEX(Calculator!$U$34:$U$97,MATCH(LARGE($N$6:$N$69,26),$N$6:$N$69,0)),"")</f>
        <v>Do now</v>
      </c>
      <c r="J31" s="56" t="str">
        <f t="shared" si="0"/>
        <v>YES</v>
      </c>
      <c r="N31" s="51">
        <f>Calculator!$R$59+0.039-IF(Calculator!$M$59="Not present",200,0)</f>
        <v>59.239</v>
      </c>
    </row>
    <row r="32" customHeight="1" spans="1:14">
      <c r="A32" s="52">
        <v>27</v>
      </c>
      <c r="B32" s="53" t="str">
        <f>IFERROR(INDEX(Calculator!$A$34:$A$97,MATCH(LARGE($N$6:$N$69,27),$N$6:$N$69,0)),"")</f>
        <v>ROTA</v>
      </c>
      <c r="C32" s="54" t="str">
        <f>IFERROR(INDEX(Calculator!$B$34:$B$97,MATCH(LARGE($N$6:$N$69,27),$N$6:$N$69,0)),"")</f>
        <v>Rotavirus A</v>
      </c>
      <c r="D32" s="54" t="str">
        <f>IFERROR(INDEX(Calculator!$C$34:$C$97,MATCH(LARGE($N$6:$N$69,27),$N$6:$N$69,0)),"")</f>
        <v>Enteric viral</v>
      </c>
      <c r="E32" s="53">
        <f>IFERROR(INDEX(Calculator!$R$34:$R$97,MATCH(LARGE($N$6:$N$69,27),$N$6:$N$69,0)),"")</f>
        <v>66.4</v>
      </c>
      <c r="F32" s="53" t="str">
        <f>IFERROR(INDEX(Calculator!$S$34:$S$97,MATCH(LARGE($N$6:$N$69,27),$N$6:$N$69,0)),"")</f>
        <v>Tier 2 — Seasonal/Regional</v>
      </c>
      <c r="G32" s="55" t="str">
        <f>IFERROR(INDEX(Calculator!$M$34:$M$97,MATCH(LARGE($N$6:$N$69,27),$N$6:$N$69,0)),"")</f>
        <v>Endemic</v>
      </c>
      <c r="H32" s="55">
        <f>IFERROR(INDEX(Calculator!$T$34:$T$97,MATCH(LARGE($N$6:$N$69,27),$N$6:$N$69,0)),"")</f>
        <v>91</v>
      </c>
      <c r="I32" s="55" t="str">
        <f>IFERROR(INDEX(Calculator!$U$34:$U$97,MATCH(LARGE($N$6:$N$69,27),$N$6:$N$69,0)),"")</f>
        <v>Do now</v>
      </c>
      <c r="J32" s="56" t="str">
        <f t="shared" si="0"/>
        <v>YES</v>
      </c>
      <c r="N32" s="51">
        <f>Calculator!$R$60+0.038-IF(Calculator!$M$60="Not present",200,0)</f>
        <v>59.238</v>
      </c>
    </row>
    <row r="33" customHeight="1" spans="1:14">
      <c r="A33" s="52">
        <v>28</v>
      </c>
      <c r="B33" s="53" t="str">
        <f>IFERROR(INDEX(Calculator!$A$34:$A$97,MATCH(LARGE($N$6:$N$69,28),$N$6:$N$69,0)),"")</f>
        <v>STH</v>
      </c>
      <c r="C33" s="54" t="str">
        <f>IFERROR(INDEX(Calculator!$B$34:$B$97,MATCH(LARGE($N$6:$N$69,28),$N$6:$N$69,0)),"")</f>
        <v>Soil-transmitted helminths</v>
      </c>
      <c r="D33" s="54" t="str">
        <f>IFERROR(INDEX(Calculator!$C$34:$C$97,MATCH(LARGE($N$6:$N$69,28),$N$6:$N$69,0)),"")</f>
        <v>Helminth</v>
      </c>
      <c r="E33" s="53">
        <f>IFERROR(INDEX(Calculator!$R$34:$R$97,MATCH(LARGE($N$6:$N$69,28),$N$6:$N$69,0)),"")</f>
        <v>66.4</v>
      </c>
      <c r="F33" s="53" t="str">
        <f>IFERROR(INDEX(Calculator!$S$34:$S$97,MATCH(LARGE($N$6:$N$69,28),$N$6:$N$69,0)),"")</f>
        <v>Tier 2 — Seasonal/Regional</v>
      </c>
      <c r="G33" s="55" t="str">
        <f>IFERROR(INDEX(Calculator!$M$34:$M$97,MATCH(LARGE($N$6:$N$69,28),$N$6:$N$69,0)),"")</f>
        <v>Endemic</v>
      </c>
      <c r="H33" s="55">
        <f>IFERROR(INDEX(Calculator!$T$34:$T$97,MATCH(LARGE($N$6:$N$69,28),$N$6:$N$69,0)),"")</f>
        <v>91</v>
      </c>
      <c r="I33" s="55" t="str">
        <f>IFERROR(INDEX(Calculator!$U$34:$U$97,MATCH(LARGE($N$6:$N$69,28),$N$6:$N$69,0)),"")</f>
        <v>Do now</v>
      </c>
      <c r="J33" s="56" t="str">
        <f t="shared" si="0"/>
        <v>YES</v>
      </c>
      <c r="N33" s="51">
        <f>Calculator!$R$61+0.037-IF(Calculator!$M$61="Not present",200,0)</f>
        <v>67.137</v>
      </c>
    </row>
    <row r="34" customHeight="1" spans="1:14">
      <c r="A34" s="52">
        <v>29</v>
      </c>
      <c r="B34" s="53" t="str">
        <f>IFERROR(INDEX(Calculator!$A$34:$A$97,MATCH(LARGE($N$6:$N$69,29),$N$6:$N$69,0)),"")</f>
        <v>HEPA</v>
      </c>
      <c r="C34" s="54" t="str">
        <f>IFERROR(INDEX(Calculator!$B$34:$B$97,MATCH(LARGE($N$6:$N$69,29),$N$6:$N$69,0)),"")</f>
        <v>Hepatitis A virus</v>
      </c>
      <c r="D34" s="54" t="str">
        <f>IFERROR(INDEX(Calculator!$C$34:$C$97,MATCH(LARGE($N$6:$N$69,29),$N$6:$N$69,0)),"")</f>
        <v>Enteric viral</v>
      </c>
      <c r="E34" s="53">
        <f>IFERROR(INDEX(Calculator!$R$34:$R$97,MATCH(LARGE($N$6:$N$69,29),$N$6:$N$69,0)),"")</f>
        <v>66.3</v>
      </c>
      <c r="F34" s="53" t="str">
        <f>IFERROR(INDEX(Calculator!$S$34:$S$97,MATCH(LARGE($N$6:$N$69,29),$N$6:$N$69,0)),"")</f>
        <v>Tier 2 — Seasonal/Regional</v>
      </c>
      <c r="G34" s="55" t="str">
        <f>IFERROR(INDEX(Calculator!$M$34:$M$97,MATCH(LARGE($N$6:$N$69,29),$N$6:$N$69,0)),"")</f>
        <v>Endemic</v>
      </c>
      <c r="H34" s="55">
        <f>IFERROR(INDEX(Calculator!$T$34:$T$97,MATCH(LARGE($N$6:$N$69,29),$N$6:$N$69,0)),"")</f>
        <v>91</v>
      </c>
      <c r="I34" s="55" t="str">
        <f>IFERROR(INDEX(Calculator!$U$34:$U$97,MATCH(LARGE($N$6:$N$69,29),$N$6:$N$69,0)),"")</f>
        <v>Do now</v>
      </c>
      <c r="J34" s="56" t="str">
        <f t="shared" si="0"/>
        <v>YES</v>
      </c>
      <c r="N34" s="51">
        <f>Calculator!$R$62+0.036-IF(Calculator!$M$62="Not present",200,0)</f>
        <v>59.236</v>
      </c>
    </row>
    <row r="35" customHeight="1" spans="1:14">
      <c r="A35" s="52">
        <v>30</v>
      </c>
      <c r="B35" s="53" t="str">
        <f>IFERROR(INDEX(Calculator!$A$34:$A$97,MATCH(LARGE($N$6:$N$69,30),$N$6:$N$69,0)),"")</f>
        <v>RSV</v>
      </c>
      <c r="C35" s="54" t="str">
        <f>IFERROR(INDEX(Calculator!$B$34:$B$97,MATCH(LARGE($N$6:$N$69,30),$N$6:$N$69,0)),"")</f>
        <v>Respiratory syncytial virus</v>
      </c>
      <c r="D35" s="54" t="str">
        <f>IFERROR(INDEX(Calculator!$C$34:$C$97,MATCH(LARGE($N$6:$N$69,30),$N$6:$N$69,0)),"")</f>
        <v>Respiratory viral</v>
      </c>
      <c r="E35" s="53">
        <f>IFERROR(INDEX(Calculator!$R$34:$R$97,MATCH(LARGE($N$6:$N$69,30),$N$6:$N$69,0)),"")</f>
        <v>66.2</v>
      </c>
      <c r="F35" s="53" t="str">
        <f>IFERROR(INDEX(Calculator!$S$34:$S$97,MATCH(LARGE($N$6:$N$69,30),$N$6:$N$69,0)),"")</f>
        <v>Tier 2 — Seasonal/Regional</v>
      </c>
      <c r="G35" s="55" t="str">
        <f>IFERROR(INDEX(Calculator!$M$34:$M$97,MATCH(LARGE($N$6:$N$69,30),$N$6:$N$69,0)),"")</f>
        <v>Endemic</v>
      </c>
      <c r="H35" s="55">
        <f>IFERROR(INDEX(Calculator!$T$34:$T$97,MATCH(LARGE($N$6:$N$69,30),$N$6:$N$69,0)),"")</f>
        <v>91</v>
      </c>
      <c r="I35" s="55" t="str">
        <f>IFERROR(INDEX(Calculator!$U$34:$U$97,MATCH(LARGE($N$6:$N$69,30),$N$6:$N$69,0)),"")</f>
        <v>Do now</v>
      </c>
      <c r="J35" s="56" t="str">
        <f t="shared" si="0"/>
        <v>YES</v>
      </c>
      <c r="N35" s="51">
        <f>Calculator!$R$63+0.035-IF(Calculator!$M$63="Not present",200,0)</f>
        <v>63.835</v>
      </c>
    </row>
    <row r="36" customHeight="1" spans="1:14">
      <c r="A36" s="52">
        <v>31</v>
      </c>
      <c r="B36" s="53" t="str">
        <f>IFERROR(INDEX(Calculator!$A$34:$A$97,MATCH(LARGE($N$6:$N$69,31),$N$6:$N$69,0)),"")</f>
        <v>VANA</v>
      </c>
      <c r="C36" s="54" t="str">
        <f>IFERROR(INDEX(Calculator!$B$34:$B$97,MATCH(LARGE($N$6:$N$69,31),$N$6:$N$69,0)),"")</f>
        <v>Vancomycin resistance: vanA</v>
      </c>
      <c r="D36" s="54" t="str">
        <f>IFERROR(INDEX(Calculator!$C$34:$C$97,MATCH(LARGE($N$6:$N$69,31),$N$6:$N$69,0)),"")</f>
        <v>AMR marker</v>
      </c>
      <c r="E36" s="53">
        <f>IFERROR(INDEX(Calculator!$R$34:$R$97,MATCH(LARGE($N$6:$N$69,31),$N$6:$N$69,0)),"")</f>
        <v>66.2</v>
      </c>
      <c r="F36" s="53" t="str">
        <f>IFERROR(INDEX(Calculator!$S$34:$S$97,MATCH(LARGE($N$6:$N$69,31),$N$6:$N$69,0)),"")</f>
        <v>Tier 2 — Seasonal/Regional</v>
      </c>
      <c r="G36" s="55" t="str">
        <f>IFERROR(INDEX(Calculator!$M$34:$M$97,MATCH(LARGE($N$6:$N$69,31),$N$6:$N$69,0)),"")</f>
        <v>Sporadic</v>
      </c>
      <c r="H36" s="55">
        <f>IFERROR(INDEX(Calculator!$T$34:$T$97,MATCH(LARGE($N$6:$N$69,31),$N$6:$N$69,0)),"")</f>
        <v>79</v>
      </c>
      <c r="I36" s="55" t="str">
        <f>IFERROR(INDEX(Calculator!$U$34:$U$97,MATCH(LARGE($N$6:$N$69,31),$N$6:$N$69,0)),"")</f>
        <v>Do now</v>
      </c>
      <c r="J36" s="56" t="str">
        <f t="shared" si="0"/>
        <v>YES</v>
      </c>
      <c r="N36" s="51">
        <f>Calculator!$R$64+0.034-IF(Calculator!$M$64="Not present",200,0)</f>
        <v>64.734</v>
      </c>
    </row>
    <row r="37" customHeight="1" spans="1:14">
      <c r="A37" s="52">
        <v>32</v>
      </c>
      <c r="B37" s="53" t="str">
        <f>IFERROR(INDEX(Calculator!$A$34:$A$97,MATCH(LARGE($N$6:$N$69,32),$N$6:$N$69,0)),"")</f>
        <v>FLUA</v>
      </c>
      <c r="C37" s="54" t="str">
        <f>IFERROR(INDEX(Calculator!$B$34:$B$97,MATCH(LARGE($N$6:$N$69,32),$N$6:$N$69,0)),"")</f>
        <v>Influenza A (H1N1, H3N2)</v>
      </c>
      <c r="D37" s="54" t="str">
        <f>IFERROR(INDEX(Calculator!$C$34:$C$97,MATCH(LARGE($N$6:$N$69,32),$N$6:$N$69,0)),"")</f>
        <v>Respiratory viral</v>
      </c>
      <c r="E37" s="53">
        <f>IFERROR(INDEX(Calculator!$R$34:$R$97,MATCH(LARGE($N$6:$N$69,32),$N$6:$N$69,0)),"")</f>
        <v>65.5</v>
      </c>
      <c r="F37" s="53" t="str">
        <f>IFERROR(INDEX(Calculator!$S$34:$S$97,MATCH(LARGE($N$6:$N$69,32),$N$6:$N$69,0)),"")</f>
        <v>Tier 2 — Seasonal/Regional</v>
      </c>
      <c r="G37" s="55" t="str">
        <f>IFERROR(INDEX(Calculator!$M$34:$M$97,MATCH(LARGE($N$6:$N$69,32),$N$6:$N$69,0)),"")</f>
        <v>Endemic</v>
      </c>
      <c r="H37" s="55">
        <f>IFERROR(INDEX(Calculator!$T$34:$T$97,MATCH(LARGE($N$6:$N$69,32),$N$6:$N$69,0)),"")</f>
        <v>91</v>
      </c>
      <c r="I37" s="55" t="str">
        <f>IFERROR(INDEX(Calculator!$U$34:$U$97,MATCH(LARGE($N$6:$N$69,32),$N$6:$N$69,0)),"")</f>
        <v>Do now</v>
      </c>
      <c r="J37" s="56" t="str">
        <f t="shared" si="0"/>
        <v>YES</v>
      </c>
      <c r="N37" s="51">
        <f>Calculator!$R$65+0.033-IF(Calculator!$M$65="Not present",200,0)</f>
        <v>68.633</v>
      </c>
    </row>
    <row r="38" customHeight="1" spans="1:14">
      <c r="A38" s="52">
        <v>33</v>
      </c>
      <c r="B38" s="53" t="str">
        <f>IFERROR(INDEX(Calculator!$A$34:$A$97,MATCH(LARGE($N$6:$N$69,33),$N$6:$N$69,0)),"")</f>
        <v>VPAR</v>
      </c>
      <c r="C38" s="54" t="str">
        <f>IFERROR(INDEX(Calculator!$B$34:$B$97,MATCH(LARGE($N$6:$N$69,33),$N$6:$N$69,0)),"")</f>
        <v>Vibrio parahaemolyticus</v>
      </c>
      <c r="D38" s="54" t="str">
        <f>IFERROR(INDEX(Calculator!$C$34:$C$97,MATCH(LARGE($N$6:$N$69,33),$N$6:$N$69,0)),"")</f>
        <v>Enteric bacterial</v>
      </c>
      <c r="E38" s="53">
        <f>IFERROR(INDEX(Calculator!$R$34:$R$97,MATCH(LARGE($N$6:$N$69,33),$N$6:$N$69,0)),"")</f>
        <v>64.7</v>
      </c>
      <c r="F38" s="53" t="str">
        <f>IFERROR(INDEX(Calculator!$S$34:$S$97,MATCH(LARGE($N$6:$N$69,33),$N$6:$N$69,0)),"")</f>
        <v>Tier 2 — Seasonal/Regional</v>
      </c>
      <c r="G38" s="55" t="str">
        <f>IFERROR(INDEX(Calculator!$M$34:$M$97,MATCH(LARGE($N$6:$N$69,33),$N$6:$N$69,0)),"")</f>
        <v>Sporadic</v>
      </c>
      <c r="H38" s="55">
        <f>IFERROR(INDEX(Calculator!$T$34:$T$97,MATCH(LARGE($N$6:$N$69,33),$N$6:$N$69,0)),"")</f>
        <v>79</v>
      </c>
      <c r="I38" s="55" t="str">
        <f>IFERROR(INDEX(Calculator!$U$34:$U$97,MATCH(LARGE($N$6:$N$69,33),$N$6:$N$69,0)),"")</f>
        <v>Low-cost add-on</v>
      </c>
      <c r="J38" s="56" t="str">
        <f t="shared" ref="J38:J69" si="1">IF($I38="Do now","YES","")</f>
        <v/>
      </c>
      <c r="N38" s="51">
        <f>Calculator!$R$66+0.032-IF(Calculator!$M$66="Not present",200,0)</f>
        <v>60.732</v>
      </c>
    </row>
    <row r="39" customHeight="1" spans="1:14">
      <c r="A39" s="52">
        <v>34</v>
      </c>
      <c r="B39" s="53" t="str">
        <f>IFERROR(INDEX(Calculator!$A$34:$A$97,MATCH(LARGE($N$6:$N$69,34),$N$6:$N$69,0)),"")</f>
        <v>PLAGUE</v>
      </c>
      <c r="C39" s="54" t="str">
        <f>IFERROR(INDEX(Calculator!$B$34:$B$97,MATCH(LARGE($N$6:$N$69,34),$N$6:$N$69,0)),"")</f>
        <v>Yersinia pestis</v>
      </c>
      <c r="D39" s="54" t="str">
        <f>IFERROR(INDEX(Calculator!$C$34:$C$97,MATCH(LARGE($N$6:$N$69,34),$N$6:$N$69,0)),"")</f>
        <v>Bacterial zoonotic</v>
      </c>
      <c r="E39" s="53">
        <f>IFERROR(INDEX(Calculator!$R$34:$R$97,MATCH(LARGE($N$6:$N$69,34),$N$6:$N$69,0)),"")</f>
        <v>64.5</v>
      </c>
      <c r="F39" s="53" t="str">
        <f>IFERROR(INDEX(Calculator!$S$34:$S$97,MATCH(LARGE($N$6:$N$69,34),$N$6:$N$69,0)),"")</f>
        <v>Tier 2 — Seasonal/Regional</v>
      </c>
      <c r="G39" s="55" t="str">
        <f>IFERROR(INDEX(Calculator!$M$34:$M$97,MATCH(LARGE($N$6:$N$69,34),$N$6:$N$69,0)),"")</f>
        <v>Sporadic</v>
      </c>
      <c r="H39" s="55">
        <f>IFERROR(INDEX(Calculator!$T$34:$T$97,MATCH(LARGE($N$6:$N$69,34),$N$6:$N$69,0)),"")</f>
        <v>79</v>
      </c>
      <c r="I39" s="55" t="str">
        <f>IFERROR(INDEX(Calculator!$U$34:$U$97,MATCH(LARGE($N$6:$N$69,34),$N$6:$N$69,0)),"")</f>
        <v>Low-cost add-on</v>
      </c>
      <c r="J39" s="56" t="str">
        <f t="shared" si="1"/>
        <v/>
      </c>
      <c r="N39" s="51">
        <f>Calculator!$R$67+0.031-IF(Calculator!$M$67="Not present",200,0)</f>
        <v>66.631</v>
      </c>
    </row>
    <row r="40" customHeight="1" spans="1:14">
      <c r="A40" s="52">
        <v>35</v>
      </c>
      <c r="B40" s="53" t="str">
        <f>IFERROR(INDEX(Calculator!$A$34:$A$97,MATCH(LARGE($N$6:$N$69,35),$N$6:$N$69,0)),"")</f>
        <v>MPOX</v>
      </c>
      <c r="C40" s="54" t="str">
        <f>IFERROR(INDEX(Calculator!$B$34:$B$97,MATCH(LARGE($N$6:$N$69,35),$N$6:$N$69,0)),"")</f>
        <v>Monkeypox virus (clade I/II)</v>
      </c>
      <c r="D40" s="54" t="str">
        <f>IFERROR(INDEX(Calculator!$C$34:$C$97,MATCH(LARGE($N$6:$N$69,35),$N$6:$N$69,0)),"")</f>
        <v>Emerging viral</v>
      </c>
      <c r="E40" s="53">
        <f>IFERROR(INDEX(Calculator!$R$34:$R$97,MATCH(LARGE($N$6:$N$69,35),$N$6:$N$69,0)),"")</f>
        <v>64.3</v>
      </c>
      <c r="F40" s="53" t="str">
        <f>IFERROR(INDEX(Calculator!$S$34:$S$97,MATCH(LARGE($N$6:$N$69,35),$N$6:$N$69,0)),"")</f>
        <v>Tier 2 — Seasonal/Regional</v>
      </c>
      <c r="G40" s="55" t="str">
        <f>IFERROR(INDEX(Calculator!$M$34:$M$97,MATCH(LARGE($N$6:$N$69,35),$N$6:$N$69,0)),"")</f>
        <v>Endemic</v>
      </c>
      <c r="H40" s="55">
        <f>IFERROR(INDEX(Calculator!$T$34:$T$97,MATCH(LARGE($N$6:$N$69,35),$N$6:$N$69,0)),"")</f>
        <v>79</v>
      </c>
      <c r="I40" s="55" t="str">
        <f>IFERROR(INDEX(Calculator!$U$34:$U$97,MATCH(LARGE($N$6:$N$69,35),$N$6:$N$69,0)),"")</f>
        <v>Low-cost add-on</v>
      </c>
      <c r="J40" s="56" t="str">
        <f t="shared" si="1"/>
        <v/>
      </c>
      <c r="N40" s="51">
        <f>Calculator!$R$68+0.03-IF(Calculator!$M$68="Not present",200,0)</f>
        <v>68.63</v>
      </c>
    </row>
    <row r="41" customHeight="1" spans="1:14">
      <c r="A41" s="52">
        <v>36</v>
      </c>
      <c r="B41" s="53" t="str">
        <f>IFERROR(INDEX(Calculator!$A$34:$A$97,MATCH(LARGE($N$6:$N$69,36),$N$6:$N$69,0)),"")</f>
        <v>CAMP</v>
      </c>
      <c r="C41" s="54" t="str">
        <f>IFERROR(INDEX(Calculator!$B$34:$B$97,MATCH(LARGE($N$6:$N$69,36),$N$6:$N$69,0)),"")</f>
        <v>Campylobacter jejuni/coli</v>
      </c>
      <c r="D41" s="54" t="str">
        <f>IFERROR(INDEX(Calculator!$C$34:$C$97,MATCH(LARGE($N$6:$N$69,36),$N$6:$N$69,0)),"")</f>
        <v>Enteric bacterial</v>
      </c>
      <c r="E41" s="53">
        <f>IFERROR(INDEX(Calculator!$R$34:$R$97,MATCH(LARGE($N$6:$N$69,36),$N$6:$N$69,0)),"")</f>
        <v>64.2</v>
      </c>
      <c r="F41" s="53" t="str">
        <f>IFERROR(INDEX(Calculator!$S$34:$S$97,MATCH(LARGE($N$6:$N$69,36),$N$6:$N$69,0)),"")</f>
        <v>Tier 2 — Seasonal/Regional</v>
      </c>
      <c r="G41" s="55" t="str">
        <f>IFERROR(INDEX(Calculator!$M$34:$M$97,MATCH(LARGE($N$6:$N$69,36),$N$6:$N$69,0)),"")</f>
        <v>Endemic</v>
      </c>
      <c r="H41" s="55">
        <f>IFERROR(INDEX(Calculator!$T$34:$T$97,MATCH(LARGE($N$6:$N$69,36),$N$6:$N$69,0)),"")</f>
        <v>91</v>
      </c>
      <c r="I41" s="55" t="str">
        <f>IFERROR(INDEX(Calculator!$U$34:$U$97,MATCH(LARGE($N$6:$N$69,36),$N$6:$N$69,0)),"")</f>
        <v>Low-cost add-on</v>
      </c>
      <c r="J41" s="56" t="str">
        <f t="shared" si="1"/>
        <v/>
      </c>
      <c r="N41" s="51">
        <f>Calculator!$R$69+0.029-IF(Calculator!$M$69="Not present",200,0)</f>
        <v>69.329</v>
      </c>
    </row>
    <row r="42" customHeight="1" spans="1:14">
      <c r="A42" s="52">
        <v>37</v>
      </c>
      <c r="B42" s="53" t="str">
        <f>IFERROR(INDEX(Calculator!$A$34:$A$97,MATCH(LARGE($N$6:$N$69,37),$N$6:$N$69,0)),"")</f>
        <v>VCHOL</v>
      </c>
      <c r="C42" s="54" t="str">
        <f>IFERROR(INDEX(Calculator!$B$34:$B$97,MATCH(LARGE($N$6:$N$69,37),$N$6:$N$69,0)),"")</f>
        <v>Vibrio cholerae O1/O139</v>
      </c>
      <c r="D42" s="54" t="str">
        <f>IFERROR(INDEX(Calculator!$C$34:$C$97,MATCH(LARGE($N$6:$N$69,37),$N$6:$N$69,0)),"")</f>
        <v>Enteric bacterial</v>
      </c>
      <c r="E42" s="53">
        <f>IFERROR(INDEX(Calculator!$R$34:$R$97,MATCH(LARGE($N$6:$N$69,37),$N$6:$N$69,0)),"")</f>
        <v>63.8</v>
      </c>
      <c r="F42" s="53" t="str">
        <f>IFERROR(INDEX(Calculator!$S$34:$S$97,MATCH(LARGE($N$6:$N$69,37),$N$6:$N$69,0)),"")</f>
        <v>Tier 2 — Seasonal/Regional</v>
      </c>
      <c r="G42" s="55" t="str">
        <f>IFERROR(INDEX(Calculator!$M$34:$M$97,MATCH(LARGE($N$6:$N$69,37),$N$6:$N$69,0)),"")</f>
        <v>Endemic</v>
      </c>
      <c r="H42" s="55">
        <f>IFERROR(INDEX(Calculator!$T$34:$T$97,MATCH(LARGE($N$6:$N$69,37),$N$6:$N$69,0)),"")</f>
        <v>91</v>
      </c>
      <c r="I42" s="55" t="str">
        <f>IFERROR(INDEX(Calculator!$U$34:$U$97,MATCH(LARGE($N$6:$N$69,37),$N$6:$N$69,0)),"")</f>
        <v>Low-cost add-on</v>
      </c>
      <c r="J42" s="56" t="str">
        <f t="shared" si="1"/>
        <v/>
      </c>
      <c r="N42" s="51">
        <f>Calculator!$R$70+0.028-IF(Calculator!$M$70="Not present",200,0)</f>
        <v>64.228</v>
      </c>
    </row>
    <row r="43" customHeight="1" spans="1:14">
      <c r="A43" s="52">
        <v>38</v>
      </c>
      <c r="B43" s="53" t="str">
        <f>IFERROR(INDEX(Calculator!$A$34:$A$97,MATCH(LARGE($N$6:$N$69,38),$N$6:$N$69,0)),"")</f>
        <v>MERS</v>
      </c>
      <c r="C43" s="54" t="str">
        <f>IFERROR(INDEX(Calculator!$B$34:$B$97,MATCH(LARGE($N$6:$N$69,38),$N$6:$N$69,0)),"")</f>
        <v>MERS-CoV</v>
      </c>
      <c r="D43" s="54" t="str">
        <f>IFERROR(INDEX(Calculator!$C$34:$C$97,MATCH(LARGE($N$6:$N$69,38),$N$6:$N$69,0)),"")</f>
        <v>Respiratory viral</v>
      </c>
      <c r="E43" s="53">
        <f>IFERROR(INDEX(Calculator!$R$34:$R$97,MATCH(LARGE($N$6:$N$69,38),$N$6:$N$69,0)),"")</f>
        <v>61.7</v>
      </c>
      <c r="F43" s="53" t="str">
        <f>IFERROR(INDEX(Calculator!$S$34:$S$97,MATCH(LARGE($N$6:$N$69,38),$N$6:$N$69,0)),"")</f>
        <v>Tier 2 — Seasonal/Regional</v>
      </c>
      <c r="G43" s="55" t="str">
        <f>IFERROR(INDEX(Calculator!$M$34:$M$97,MATCH(LARGE($N$6:$N$69,38),$N$6:$N$69,0)),"")</f>
        <v>Sporadic</v>
      </c>
      <c r="H43" s="55">
        <f>IFERROR(INDEX(Calculator!$T$34:$T$97,MATCH(LARGE($N$6:$N$69,38),$N$6:$N$69,0)),"")</f>
        <v>79</v>
      </c>
      <c r="I43" s="55" t="str">
        <f>IFERROR(INDEX(Calculator!$U$34:$U$97,MATCH(LARGE($N$6:$N$69,38),$N$6:$N$69,0)),"")</f>
        <v>Low-cost add-on</v>
      </c>
      <c r="J43" s="56" t="str">
        <f t="shared" si="1"/>
        <v/>
      </c>
      <c r="N43" s="51">
        <f>Calculator!$R$71+0.027-IF(Calculator!$M$71="Not present",200,0)</f>
        <v>60.627</v>
      </c>
    </row>
    <row r="44" customHeight="1" spans="1:14">
      <c r="A44" s="52">
        <v>39</v>
      </c>
      <c r="B44" s="53" t="str">
        <f>IFERROR(INDEX(Calculator!$A$34:$A$97,MATCH(LARGE($N$6:$N$69,39),$N$6:$N$69,0)),"")</f>
        <v>MARV</v>
      </c>
      <c r="C44" s="54" t="str">
        <f>IFERROR(INDEX(Calculator!$B$34:$B$97,MATCH(LARGE($N$6:$N$69,39),$N$6:$N$69,0)),"")</f>
        <v>Marburg virus</v>
      </c>
      <c r="D44" s="54" t="str">
        <f>IFERROR(INDEX(Calculator!$C$34:$C$97,MATCH(LARGE($N$6:$N$69,39),$N$6:$N$69,0)),"")</f>
        <v>VHF/zoonotic</v>
      </c>
      <c r="E44" s="53">
        <f>IFERROR(INDEX(Calculator!$R$34:$R$97,MATCH(LARGE($N$6:$N$69,39),$N$6:$N$69,0)),"")</f>
        <v>61.1</v>
      </c>
      <c r="F44" s="53" t="str">
        <f>IFERROR(INDEX(Calculator!$S$34:$S$97,MATCH(LARGE($N$6:$N$69,39),$N$6:$N$69,0)),"")</f>
        <v>Tier 2 — Seasonal/Regional</v>
      </c>
      <c r="G44" s="55" t="str">
        <f>IFERROR(INDEX(Calculator!$M$34:$M$97,MATCH(LARGE($N$6:$N$69,39),$N$6:$N$69,0)),"")</f>
        <v>Sporadic</v>
      </c>
      <c r="H44" s="55">
        <f>IFERROR(INDEX(Calculator!$T$34:$T$97,MATCH(LARGE($N$6:$N$69,39),$N$6:$N$69,0)),"")</f>
        <v>67</v>
      </c>
      <c r="I44" s="55" t="str">
        <f>IFERROR(INDEX(Calculator!$U$34:$U$97,MATCH(LARGE($N$6:$N$69,39),$N$6:$N$69,0)),"")</f>
        <v>Defer</v>
      </c>
      <c r="J44" s="56" t="str">
        <f t="shared" si="1"/>
        <v/>
      </c>
      <c r="N44" s="51">
        <f>Calculator!$R$72+0.026-IF(Calculator!$M$72="Not present",200,0)</f>
        <v>66.526</v>
      </c>
    </row>
    <row r="45" customHeight="1" spans="1:14">
      <c r="A45" s="52">
        <v>40</v>
      </c>
      <c r="B45" s="53" t="str">
        <f>IFERROR(INDEX(Calculator!$A$34:$A$97,MATCH(LARGE($N$6:$N$69,40),$N$6:$N$69,0)),"")</f>
        <v>STYPM</v>
      </c>
      <c r="C45" s="54" t="str">
        <f>IFERROR(INDEX(Calculator!$B$34:$B$97,MATCH(LARGE($N$6:$N$69,40),$N$6:$N$69,0)),"")</f>
        <v>Salmonella Paratyphi A/B</v>
      </c>
      <c r="D45" s="54" t="str">
        <f>IFERROR(INDEX(Calculator!$C$34:$C$97,MATCH(LARGE($N$6:$N$69,40),$N$6:$N$69,0)),"")</f>
        <v>Enteric bacterial</v>
      </c>
      <c r="E45" s="53">
        <f>IFERROR(INDEX(Calculator!$R$34:$R$97,MATCH(LARGE($N$6:$N$69,40),$N$6:$N$69,0)),"")</f>
        <v>60.7</v>
      </c>
      <c r="F45" s="53" t="str">
        <f>IFERROR(INDEX(Calculator!$S$34:$S$97,MATCH(LARGE($N$6:$N$69,40),$N$6:$N$69,0)),"")</f>
        <v>Tier 2 — Seasonal/Regional</v>
      </c>
      <c r="G45" s="55" t="str">
        <f>IFERROR(INDEX(Calculator!$M$34:$M$97,MATCH(LARGE($N$6:$N$69,40),$N$6:$N$69,0)),"")</f>
        <v>Endemic</v>
      </c>
      <c r="H45" s="55">
        <f>IFERROR(INDEX(Calculator!$T$34:$T$97,MATCH(LARGE($N$6:$N$69,40),$N$6:$N$69,0)),"")</f>
        <v>79</v>
      </c>
      <c r="I45" s="55" t="str">
        <f>IFERROR(INDEX(Calculator!$U$34:$U$97,MATCH(LARGE($N$6:$N$69,40),$N$6:$N$69,0)),"")</f>
        <v>Low-cost add-on</v>
      </c>
      <c r="J45" s="56" t="str">
        <f t="shared" si="1"/>
        <v/>
      </c>
      <c r="N45" s="51">
        <f>Calculator!$R$73+0.025-IF(Calculator!$M$73="Not present",200,0)</f>
        <v>68.125</v>
      </c>
    </row>
    <row r="46" customHeight="1" spans="1:14">
      <c r="A46" s="52">
        <v>41</v>
      </c>
      <c r="B46" s="53" t="str">
        <f>IFERROR(INDEX(Calculator!$A$34:$A$97,MATCH(LARGE($N$6:$N$69,41),$N$6:$N$69,0)),"")</f>
        <v>YERS</v>
      </c>
      <c r="C46" s="54" t="str">
        <f>IFERROR(INDEX(Calculator!$B$34:$B$97,MATCH(LARGE($N$6:$N$69,41),$N$6:$N$69,0)),"")</f>
        <v>Yersinia enterocolitica</v>
      </c>
      <c r="D46" s="54" t="str">
        <f>IFERROR(INDEX(Calculator!$C$34:$C$97,MATCH(LARGE($N$6:$N$69,41),$N$6:$N$69,0)),"")</f>
        <v>Enteric bacterial</v>
      </c>
      <c r="E46" s="53">
        <f>IFERROR(INDEX(Calculator!$R$34:$R$97,MATCH(LARGE($N$6:$N$69,41),$N$6:$N$69,0)),"")</f>
        <v>60.6</v>
      </c>
      <c r="F46" s="53" t="str">
        <f>IFERROR(INDEX(Calculator!$S$34:$S$97,MATCH(LARGE($N$6:$N$69,41),$N$6:$N$69,0)),"")</f>
        <v>Tier 2 — Seasonal/Regional</v>
      </c>
      <c r="G46" s="55" t="str">
        <f>IFERROR(INDEX(Calculator!$M$34:$M$97,MATCH(LARGE($N$6:$N$69,41),$N$6:$N$69,0)),"")</f>
        <v>Sporadic</v>
      </c>
      <c r="H46" s="55">
        <f>IFERROR(INDEX(Calculator!$T$34:$T$97,MATCH(LARGE($N$6:$N$69,41),$N$6:$N$69,0)),"")</f>
        <v>79</v>
      </c>
      <c r="I46" s="55" t="str">
        <f>IFERROR(INDEX(Calculator!$U$34:$U$97,MATCH(LARGE($N$6:$N$69,41),$N$6:$N$69,0)),"")</f>
        <v>Low-cost add-on</v>
      </c>
      <c r="J46" s="56" t="str">
        <f t="shared" si="1"/>
        <v/>
      </c>
      <c r="N46" s="51">
        <f>Calculator!$R$74+0.024-IF(Calculator!$M$74="Not present",200,0)</f>
        <v>58.124</v>
      </c>
    </row>
    <row r="47" customHeight="1" spans="1:14">
      <c r="A47" s="52">
        <v>42</v>
      </c>
      <c r="B47" s="53" t="str">
        <f>IFERROR(INDEX(Calculator!$A$34:$A$97,MATCH(LARGE($N$6:$N$69,42),$N$6:$N$69,0)),"")</f>
        <v>ZIKA</v>
      </c>
      <c r="C47" s="54" t="str">
        <f>IFERROR(INDEX(Calculator!$B$34:$B$97,MATCH(LARGE($N$6:$N$69,42),$N$6:$N$69,0)),"")</f>
        <v>Zika virus</v>
      </c>
      <c r="D47" s="54" t="str">
        <f>IFERROR(INDEX(Calculator!$C$34:$C$97,MATCH(LARGE($N$6:$N$69,42),$N$6:$N$69,0)),"")</f>
        <v>Arbovirus</v>
      </c>
      <c r="E47" s="53">
        <f>IFERROR(INDEX(Calculator!$R$34:$R$97,MATCH(LARGE($N$6:$N$69,42),$N$6:$N$69,0)),"")</f>
        <v>59.2</v>
      </c>
      <c r="F47" s="53" t="str">
        <f>IFERROR(INDEX(Calculator!$S$34:$S$97,MATCH(LARGE($N$6:$N$69,42),$N$6:$N$69,0)),"")</f>
        <v>Tier 2 — Seasonal/Regional</v>
      </c>
      <c r="G47" s="55" t="str">
        <f>IFERROR(INDEX(Calculator!$M$34:$M$97,MATCH(LARGE($N$6:$N$69,42),$N$6:$N$69,0)),"")</f>
        <v>Emerging</v>
      </c>
      <c r="H47" s="55">
        <f>IFERROR(INDEX(Calculator!$T$34:$T$97,MATCH(LARGE($N$6:$N$69,42),$N$6:$N$69,0)),"")</f>
        <v>79</v>
      </c>
      <c r="I47" s="55" t="str">
        <f>IFERROR(INDEX(Calculator!$U$34:$U$97,MATCH(LARGE($N$6:$N$69,42),$N$6:$N$69,0)),"")</f>
        <v>Low-cost add-on</v>
      </c>
      <c r="J47" s="56" t="str">
        <f t="shared" si="1"/>
        <v/>
      </c>
      <c r="N47" s="51">
        <f>Calculator!$R$75+0.023-IF(Calculator!$M$75="Not present",200,0)</f>
        <v>57.823</v>
      </c>
    </row>
    <row r="48" customHeight="1" spans="1:14">
      <c r="A48" s="52">
        <v>43</v>
      </c>
      <c r="B48" s="53" t="str">
        <f>IFERROR(INDEX(Calculator!$A$34:$A$97,MATCH(LARGE($N$6:$N$69,43),$N$6:$N$69,0)),"")</f>
        <v>SAPO</v>
      </c>
      <c r="C48" s="54" t="str">
        <f>IFERROR(INDEX(Calculator!$B$34:$B$97,MATCH(LARGE($N$6:$N$69,43),$N$6:$N$69,0)),"")</f>
        <v>Sapovirus</v>
      </c>
      <c r="D48" s="54" t="str">
        <f>IFERROR(INDEX(Calculator!$C$34:$C$97,MATCH(LARGE($N$6:$N$69,43),$N$6:$N$69,0)),"")</f>
        <v>Enteric viral</v>
      </c>
      <c r="E48" s="53">
        <f>IFERROR(INDEX(Calculator!$R$34:$R$97,MATCH(LARGE($N$6:$N$69,43),$N$6:$N$69,0)),"")</f>
        <v>59.2</v>
      </c>
      <c r="F48" s="53" t="str">
        <f>IFERROR(INDEX(Calculator!$S$34:$S$97,MATCH(LARGE($N$6:$N$69,43),$N$6:$N$69,0)),"")</f>
        <v>Tier 2 — Seasonal/Regional</v>
      </c>
      <c r="G48" s="55" t="str">
        <f>IFERROR(INDEX(Calculator!$M$34:$M$97,MATCH(LARGE($N$6:$N$69,43),$N$6:$N$69,0)),"")</f>
        <v>Endemic</v>
      </c>
      <c r="H48" s="55">
        <f>IFERROR(INDEX(Calculator!$T$34:$T$97,MATCH(LARGE($N$6:$N$69,43),$N$6:$N$69,0)),"")</f>
        <v>79</v>
      </c>
      <c r="I48" s="55" t="str">
        <f>IFERROR(INDEX(Calculator!$U$34:$U$97,MATCH(LARGE($N$6:$N$69,43),$N$6:$N$69,0)),"")</f>
        <v>Low-cost add-on</v>
      </c>
      <c r="J48" s="56" t="str">
        <f t="shared" si="1"/>
        <v/>
      </c>
      <c r="N48" s="51">
        <f>Calculator!$R$76+0.022-IF(Calculator!$M$76="Not present",200,0)</f>
        <v>55.622</v>
      </c>
    </row>
    <row r="49" customHeight="1" spans="1:14">
      <c r="A49" s="52">
        <v>44</v>
      </c>
      <c r="B49" s="53" t="str">
        <f>IFERROR(INDEX(Calculator!$A$34:$A$97,MATCH(LARGE($N$6:$N$69,44),$N$6:$N$69,0)),"")</f>
        <v>ASTRO</v>
      </c>
      <c r="C49" s="54" t="str">
        <f>IFERROR(INDEX(Calculator!$B$34:$B$97,MATCH(LARGE($N$6:$N$69,44),$N$6:$N$69,0)),"")</f>
        <v>Astrovirus</v>
      </c>
      <c r="D49" s="54" t="str">
        <f>IFERROR(INDEX(Calculator!$C$34:$C$97,MATCH(LARGE($N$6:$N$69,44),$N$6:$N$69,0)),"")</f>
        <v>Enteric viral</v>
      </c>
      <c r="E49" s="53">
        <f>IFERROR(INDEX(Calculator!$R$34:$R$97,MATCH(LARGE($N$6:$N$69,44),$N$6:$N$69,0)),"")</f>
        <v>59.2</v>
      </c>
      <c r="F49" s="53" t="str">
        <f>IFERROR(INDEX(Calculator!$S$34:$S$97,MATCH(LARGE($N$6:$N$69,44),$N$6:$N$69,0)),"")</f>
        <v>Tier 2 — Seasonal/Regional</v>
      </c>
      <c r="G49" s="55" t="str">
        <f>IFERROR(INDEX(Calculator!$M$34:$M$97,MATCH(LARGE($N$6:$N$69,44),$N$6:$N$69,0)),"")</f>
        <v>Endemic</v>
      </c>
      <c r="H49" s="55">
        <f>IFERROR(INDEX(Calculator!$T$34:$T$97,MATCH(LARGE($N$6:$N$69,44),$N$6:$N$69,0)),"")</f>
        <v>79</v>
      </c>
      <c r="I49" s="55" t="str">
        <f>IFERROR(INDEX(Calculator!$U$34:$U$97,MATCH(LARGE($N$6:$N$69,44),$N$6:$N$69,0)),"")</f>
        <v>Low-cost add-on</v>
      </c>
      <c r="J49" s="56" t="str">
        <f t="shared" si="1"/>
        <v/>
      </c>
      <c r="N49" s="51">
        <f>Calculator!$R$77+0.021-IF(Calculator!$M$77="Not present",200,0)</f>
        <v>64.521</v>
      </c>
    </row>
    <row r="50" customHeight="1" spans="1:14">
      <c r="A50" s="52">
        <v>45</v>
      </c>
      <c r="B50" s="53" t="str">
        <f>IFERROR(INDEX(Calculator!$A$34:$A$97,MATCH(LARGE($N$6:$N$69,45),$N$6:$N$69,0)),"")</f>
        <v>PARECH</v>
      </c>
      <c r="C50" s="54" t="str">
        <f>IFERROR(INDEX(Calculator!$B$34:$B$97,MATCH(LARGE($N$6:$N$69,45),$N$6:$N$69,0)),"")</f>
        <v>Parechovirus</v>
      </c>
      <c r="D50" s="54" t="str">
        <f>IFERROR(INDEX(Calculator!$C$34:$C$97,MATCH(LARGE($N$6:$N$69,45),$N$6:$N$69,0)),"")</f>
        <v>Enteric viral</v>
      </c>
      <c r="E50" s="53">
        <f>IFERROR(INDEX(Calculator!$R$34:$R$97,MATCH(LARGE($N$6:$N$69,45),$N$6:$N$69,0)),"")</f>
        <v>59.2</v>
      </c>
      <c r="F50" s="53" t="str">
        <f>IFERROR(INDEX(Calculator!$S$34:$S$97,MATCH(LARGE($N$6:$N$69,45),$N$6:$N$69,0)),"")</f>
        <v>Tier 2 — Seasonal/Regional</v>
      </c>
      <c r="G50" s="55" t="str">
        <f>IFERROR(INDEX(Calculator!$M$34:$M$97,MATCH(LARGE($N$6:$N$69,45),$N$6:$N$69,0)),"")</f>
        <v>Endemic</v>
      </c>
      <c r="H50" s="55">
        <f>IFERROR(INDEX(Calculator!$T$34:$T$97,MATCH(LARGE($N$6:$N$69,45),$N$6:$N$69,0)),"")</f>
        <v>79</v>
      </c>
      <c r="I50" s="55" t="str">
        <f>IFERROR(INDEX(Calculator!$U$34:$U$97,MATCH(LARGE($N$6:$N$69,45),$N$6:$N$69,0)),"")</f>
        <v>Low-cost add-on</v>
      </c>
      <c r="J50" s="56" t="str">
        <f t="shared" si="1"/>
        <v/>
      </c>
      <c r="N50" s="51">
        <f>Calculator!$R$78+0.02-IF(Calculator!$M$78="Not present",200,0)</f>
        <v>70.32</v>
      </c>
    </row>
    <row r="51" customHeight="1" spans="1:14">
      <c r="A51" s="52">
        <v>46</v>
      </c>
      <c r="B51" s="53" t="str">
        <f>IFERROR(INDEX(Calculator!$A$34:$A$97,MATCH(LARGE($N$6:$N$69,46),$N$6:$N$69,0)),"")</f>
        <v>ENTH</v>
      </c>
      <c r="C51" s="54" t="str">
        <f>IFERROR(INDEX(Calculator!$B$34:$B$97,MATCH(LARGE($N$6:$N$69,46),$N$6:$N$69,0)),"")</f>
        <v>Entamoeba histolytica</v>
      </c>
      <c r="D51" s="54" t="str">
        <f>IFERROR(INDEX(Calculator!$C$34:$C$97,MATCH(LARGE($N$6:$N$69,46),$N$6:$N$69,0)),"")</f>
        <v>Enteric protozoan</v>
      </c>
      <c r="E51" s="53">
        <f>IFERROR(INDEX(Calculator!$R$34:$R$97,MATCH(LARGE($N$6:$N$69,46),$N$6:$N$69,0)),"")</f>
        <v>59.2</v>
      </c>
      <c r="F51" s="53" t="str">
        <f>IFERROR(INDEX(Calculator!$S$34:$S$97,MATCH(LARGE($N$6:$N$69,46),$N$6:$N$69,0)),"")</f>
        <v>Tier 2 — Seasonal/Regional</v>
      </c>
      <c r="G51" s="55" t="str">
        <f>IFERROR(INDEX(Calculator!$M$34:$M$97,MATCH(LARGE($N$6:$N$69,46),$N$6:$N$69,0)),"")</f>
        <v>Endemic</v>
      </c>
      <c r="H51" s="55">
        <f>IFERROR(INDEX(Calculator!$T$34:$T$97,MATCH(LARGE($N$6:$N$69,46),$N$6:$N$69,0)),"")</f>
        <v>79</v>
      </c>
      <c r="I51" s="55" t="str">
        <f>IFERROR(INDEX(Calculator!$U$34:$U$97,MATCH(LARGE($N$6:$N$69,46),$N$6:$N$69,0)),"")</f>
        <v>Low-cost add-on</v>
      </c>
      <c r="J51" s="56" t="str">
        <f t="shared" si="1"/>
        <v/>
      </c>
      <c r="N51" s="51">
        <f>Calculator!$R$79+0.019-IF(Calculator!$M$79="Not present",200,0)</f>
        <v>67.119</v>
      </c>
    </row>
    <row r="52" customHeight="1" spans="1:14">
      <c r="A52" s="52">
        <v>47</v>
      </c>
      <c r="B52" s="53" t="str">
        <f>IFERROR(INDEX(Calculator!$A$34:$A$97,MATCH(LARGE($N$6:$N$69,47),$N$6:$N$69,0)),"")</f>
        <v>MEASLES</v>
      </c>
      <c r="C52" s="54" t="str">
        <f>IFERROR(INDEX(Calculator!$B$34:$B$97,MATCH(LARGE($N$6:$N$69,47),$N$6:$N$69,0)),"")</f>
        <v>Measles virus</v>
      </c>
      <c r="D52" s="54" t="str">
        <f>IFERROR(INDEX(Calculator!$C$34:$C$97,MATCH(LARGE($N$6:$N$69,47),$N$6:$N$69,0)),"")</f>
        <v>Vaccine-preventable viral</v>
      </c>
      <c r="E52" s="53">
        <f>IFERROR(INDEX(Calculator!$R$34:$R$97,MATCH(LARGE($N$6:$N$69,47),$N$6:$N$69,0)),"")</f>
        <v>59</v>
      </c>
      <c r="F52" s="53" t="str">
        <f>IFERROR(INDEX(Calculator!$S$34:$S$97,MATCH(LARGE($N$6:$N$69,47),$N$6:$N$69,0)),"")</f>
        <v>Tier 2 — Seasonal/Regional</v>
      </c>
      <c r="G52" s="55" t="str">
        <f>IFERROR(INDEX(Calculator!$M$34:$M$97,MATCH(LARGE($N$6:$N$69,47),$N$6:$N$69,0)),"")</f>
        <v>Endemic</v>
      </c>
      <c r="H52" s="55">
        <f>IFERROR(INDEX(Calculator!$T$34:$T$97,MATCH(LARGE($N$6:$N$69,47),$N$6:$N$69,0)),"")</f>
        <v>79</v>
      </c>
      <c r="I52" s="55" t="str">
        <f>IFERROR(INDEX(Calculator!$U$34:$U$97,MATCH(LARGE($N$6:$N$69,47),$N$6:$N$69,0)),"")</f>
        <v>Low-cost add-on</v>
      </c>
      <c r="J52" s="56" t="str">
        <f t="shared" si="1"/>
        <v/>
      </c>
      <c r="N52" s="51">
        <f>Calculator!$R$80+0.018-IF(Calculator!$M$80="Not present",200,0)</f>
        <v>67.118</v>
      </c>
    </row>
    <row r="53" customHeight="1" spans="1:14">
      <c r="A53" s="52">
        <v>48</v>
      </c>
      <c r="B53" s="53" t="str">
        <f>IFERROR(INDEX(Calculator!$A$34:$A$97,MATCH(LARGE($N$6:$N$69,48),$N$6:$N$69,0)),"")</f>
        <v>BRUC</v>
      </c>
      <c r="C53" s="54" t="str">
        <f>IFERROR(INDEX(Calculator!$B$34:$B$97,MATCH(LARGE($N$6:$N$69,48),$N$6:$N$69,0)),"")</f>
        <v>Brucella spp.</v>
      </c>
      <c r="D53" s="54" t="str">
        <f>IFERROR(INDEX(Calculator!$C$34:$C$97,MATCH(LARGE($N$6:$N$69,48),$N$6:$N$69,0)),"")</f>
        <v>Bacterial zoonotic</v>
      </c>
      <c r="E53" s="53">
        <f>IFERROR(INDEX(Calculator!$R$34:$R$97,MATCH(LARGE($N$6:$N$69,48),$N$6:$N$69,0)),"")</f>
        <v>58.1</v>
      </c>
      <c r="F53" s="53" t="str">
        <f>IFERROR(INDEX(Calculator!$S$34:$S$97,MATCH(LARGE($N$6:$N$69,48),$N$6:$N$69,0)),"")</f>
        <v>Tier 2 — Seasonal/Regional</v>
      </c>
      <c r="G53" s="55" t="str">
        <f>IFERROR(INDEX(Calculator!$M$34:$M$97,MATCH(LARGE($N$6:$N$69,48),$N$6:$N$69,0)),"")</f>
        <v>Endemic</v>
      </c>
      <c r="H53" s="55">
        <f>IFERROR(INDEX(Calculator!$T$34:$T$97,MATCH(LARGE($N$6:$N$69,48),$N$6:$N$69,0)),"")</f>
        <v>79</v>
      </c>
      <c r="I53" s="55" t="str">
        <f>IFERROR(INDEX(Calculator!$U$34:$U$97,MATCH(LARGE($N$6:$N$69,48),$N$6:$N$69,0)),"")</f>
        <v>Low-cost add-on</v>
      </c>
      <c r="J53" s="56" t="str">
        <f t="shared" si="1"/>
        <v/>
      </c>
      <c r="N53" s="51">
        <f>Calculator!$R$81+0.017-IF(Calculator!$M$81="Not present",200,0)</f>
        <v>59.217</v>
      </c>
    </row>
    <row r="54" customHeight="1" spans="1:14">
      <c r="A54" s="52">
        <v>49</v>
      </c>
      <c r="B54" s="53" t="str">
        <f>IFERROR(INDEX(Calculator!$A$34:$A$97,MATCH(LARGE($N$6:$N$69,49),$N$6:$N$69,0)),"")</f>
        <v>COX</v>
      </c>
      <c r="C54" s="54" t="str">
        <f>IFERROR(INDEX(Calculator!$B$34:$B$97,MATCH(LARGE($N$6:$N$69,49),$N$6:$N$69,0)),"")</f>
        <v>Coxiella burnetii</v>
      </c>
      <c r="D54" s="54" t="str">
        <f>IFERROR(INDEX(Calculator!$C$34:$C$97,MATCH(LARGE($N$6:$N$69,49),$N$6:$N$69,0)),"")</f>
        <v>Bacterial zoonotic</v>
      </c>
      <c r="E54" s="53">
        <f>IFERROR(INDEX(Calculator!$R$34:$R$97,MATCH(LARGE($N$6:$N$69,49),$N$6:$N$69,0)),"")</f>
        <v>57.8</v>
      </c>
      <c r="F54" s="53" t="str">
        <f>IFERROR(INDEX(Calculator!$S$34:$S$97,MATCH(LARGE($N$6:$N$69,49),$N$6:$N$69,0)),"")</f>
        <v>Tier 2 — Seasonal/Regional</v>
      </c>
      <c r="G54" s="55" t="str">
        <f>IFERROR(INDEX(Calculator!$M$34:$M$97,MATCH(LARGE($N$6:$N$69,49),$N$6:$N$69,0)),"")</f>
        <v>Sporadic</v>
      </c>
      <c r="H54" s="55">
        <f>IFERROR(INDEX(Calculator!$T$34:$T$97,MATCH(LARGE($N$6:$N$69,49),$N$6:$N$69,0)),"")</f>
        <v>67</v>
      </c>
      <c r="I54" s="55" t="str">
        <f>IFERROR(INDEX(Calculator!$U$34:$U$97,MATCH(LARGE($N$6:$N$69,49),$N$6:$N$69,0)),"")</f>
        <v>Defer</v>
      </c>
      <c r="J54" s="56" t="str">
        <f t="shared" si="1"/>
        <v/>
      </c>
      <c r="N54" s="51">
        <f>Calculator!$R$82+0.016-IF(Calculator!$M$82="Not present",200,0)</f>
        <v>66.916</v>
      </c>
    </row>
    <row r="55" customHeight="1" spans="1:14">
      <c r="A55" s="52">
        <v>50</v>
      </c>
      <c r="B55" s="53" t="str">
        <f>IFERROR(INDEX(Calculator!$A$34:$A$97,MATCH(LARGE($N$6:$N$69,50),$N$6:$N$69,0)),"")</f>
        <v>ANTH</v>
      </c>
      <c r="C55" s="54" t="str">
        <f>IFERROR(INDEX(Calculator!$B$34:$B$97,MATCH(LARGE($N$6:$N$69,50),$N$6:$N$69,0)),"")</f>
        <v>Bacillus anthracis (spores)</v>
      </c>
      <c r="D55" s="54" t="str">
        <f>IFERROR(INDEX(Calculator!$C$34:$C$97,MATCH(LARGE($N$6:$N$69,50),$N$6:$N$69,0)),"")</f>
        <v>Bacterial zoonotic</v>
      </c>
      <c r="E55" s="53">
        <f>IFERROR(INDEX(Calculator!$R$34:$R$97,MATCH(LARGE($N$6:$N$69,50),$N$6:$N$69,0)),"")</f>
        <v>56.9</v>
      </c>
      <c r="F55" s="53" t="str">
        <f>IFERROR(INDEX(Calculator!$S$34:$S$97,MATCH(LARGE($N$6:$N$69,50),$N$6:$N$69,0)),"")</f>
        <v>Tier 2 — Seasonal/Regional</v>
      </c>
      <c r="G55" s="55" t="str">
        <f>IFERROR(INDEX(Calculator!$M$34:$M$97,MATCH(LARGE($N$6:$N$69,50),$N$6:$N$69,0)),"")</f>
        <v>Endemic</v>
      </c>
      <c r="H55" s="55">
        <f>IFERROR(INDEX(Calculator!$T$34:$T$97,MATCH(LARGE($N$6:$N$69,50),$N$6:$N$69,0)),"")</f>
        <v>67</v>
      </c>
      <c r="I55" s="55" t="str">
        <f>IFERROR(INDEX(Calculator!$U$34:$U$97,MATCH(LARGE($N$6:$N$69,50),$N$6:$N$69,0)),"")</f>
        <v>Defer</v>
      </c>
      <c r="J55" s="56" t="str">
        <f t="shared" si="1"/>
        <v/>
      </c>
      <c r="N55" s="51">
        <f>Calculator!$R$83+0.015-IF(Calculator!$M$83="Not present",200,0)</f>
        <v>66.415</v>
      </c>
    </row>
    <row r="56" customHeight="1" spans="1:14">
      <c r="A56" s="52">
        <v>51</v>
      </c>
      <c r="B56" s="53" t="str">
        <f>IFERROR(INDEX(Calculator!$A$34:$A$97,MATCH(LARGE($N$6:$N$69,51),$N$6:$N$69,0)),"")</f>
        <v>RUBELLA</v>
      </c>
      <c r="C56" s="54" t="str">
        <f>IFERROR(INDEX(Calculator!$B$34:$B$97,MATCH(LARGE($N$6:$N$69,51),$N$6:$N$69,0)),"")</f>
        <v>Rubella virus</v>
      </c>
      <c r="D56" s="54" t="str">
        <f>IFERROR(INDEX(Calculator!$C$34:$C$97,MATCH(LARGE($N$6:$N$69,51),$N$6:$N$69,0)),"")</f>
        <v>Vaccine-preventable viral</v>
      </c>
      <c r="E56" s="53">
        <f>IFERROR(INDEX(Calculator!$R$34:$R$97,MATCH(LARGE($N$6:$N$69,51),$N$6:$N$69,0)),"")</f>
        <v>56</v>
      </c>
      <c r="F56" s="53" t="str">
        <f>IFERROR(INDEX(Calculator!$S$34:$S$97,MATCH(LARGE($N$6:$N$69,51),$N$6:$N$69,0)),"")</f>
        <v>Tier 2 — Seasonal/Regional</v>
      </c>
      <c r="G56" s="55" t="str">
        <f>IFERROR(INDEX(Calculator!$M$34:$M$97,MATCH(LARGE($N$6:$N$69,51),$N$6:$N$69,0)),"")</f>
        <v>Sporadic</v>
      </c>
      <c r="H56" s="55">
        <f>IFERROR(INDEX(Calculator!$T$34:$T$97,MATCH(LARGE($N$6:$N$69,51),$N$6:$N$69,0)),"")</f>
        <v>79</v>
      </c>
      <c r="I56" s="55" t="str">
        <f>IFERROR(INDEX(Calculator!$U$34:$U$97,MATCH(LARGE($N$6:$N$69,51),$N$6:$N$69,0)),"")</f>
        <v>Low-cost add-on</v>
      </c>
      <c r="J56" s="56" t="str">
        <f t="shared" si="1"/>
        <v/>
      </c>
      <c r="N56" s="51">
        <f>Calculator!$R$84+0.014-IF(Calculator!$M$84="Not present",200,0)</f>
        <v>-181.486</v>
      </c>
    </row>
    <row r="57" customHeight="1" spans="1:14">
      <c r="A57" s="52">
        <v>52</v>
      </c>
      <c r="B57" s="53" t="str">
        <f>IFERROR(INDEX(Calculator!$A$34:$A$97,MATCH(LARGE($N$6:$N$69,52),$N$6:$N$69,0)),"")</f>
        <v>BURK</v>
      </c>
      <c r="C57" s="54" t="str">
        <f>IFERROR(INDEX(Calculator!$B$34:$B$97,MATCH(LARGE($N$6:$N$69,52),$N$6:$N$69,0)),"")</f>
        <v>Burkholderia pseudomallei</v>
      </c>
      <c r="D57" s="54" t="str">
        <f>IFERROR(INDEX(Calculator!$C$34:$C$97,MATCH(LARGE($N$6:$N$69,52),$N$6:$N$69,0)),"")</f>
        <v>Bacterial environmental</v>
      </c>
      <c r="E57" s="53">
        <f>IFERROR(INDEX(Calculator!$R$34:$R$97,MATCH(LARGE($N$6:$N$69,52),$N$6:$N$69,0)),"")</f>
        <v>55.6</v>
      </c>
      <c r="F57" s="53" t="str">
        <f>IFERROR(INDEX(Calculator!$S$34:$S$97,MATCH(LARGE($N$6:$N$69,52),$N$6:$N$69,0)),"")</f>
        <v>Tier 2 — Seasonal/Regional</v>
      </c>
      <c r="G57" s="55" t="str">
        <f>IFERROR(INDEX(Calculator!$M$34:$M$97,MATCH(LARGE($N$6:$N$69,52),$N$6:$N$69,0)),"")</f>
        <v>Sporadic</v>
      </c>
      <c r="H57" s="55">
        <f>IFERROR(INDEX(Calculator!$T$34:$T$97,MATCH(LARGE($N$6:$N$69,52),$N$6:$N$69,0)),"")</f>
        <v>67</v>
      </c>
      <c r="I57" s="55" t="str">
        <f>IFERROR(INDEX(Calculator!$U$34:$U$97,MATCH(LARGE($N$6:$N$69,52),$N$6:$N$69,0)),"")</f>
        <v>Defer</v>
      </c>
      <c r="J57" s="56" t="str">
        <f t="shared" si="1"/>
        <v/>
      </c>
      <c r="N57" s="51">
        <f>Calculator!$R$85+0.013-IF(Calculator!$M$85="Not present",200,0)</f>
        <v>74.513</v>
      </c>
    </row>
    <row r="58" customHeight="1" spans="1:14">
      <c r="A58" s="52">
        <v>53</v>
      </c>
      <c r="B58" s="53" t="str">
        <f>IFERROR(INDEX(Calculator!$A$34:$A$97,MATCH(LARGE($N$6:$N$69,53),$N$6:$N$69,0)),"")</f>
        <v>HEPB</v>
      </c>
      <c r="C58" s="54" t="str">
        <f>IFERROR(INDEX(Calculator!$B$34:$B$97,MATCH(LARGE($N$6:$N$69,53),$N$6:$N$69,0)),"")</f>
        <v>Hepatitis B virus</v>
      </c>
      <c r="D58" s="54" t="str">
        <f>IFERROR(INDEX(Calculator!$C$34:$C$97,MATCH(LARGE($N$6:$N$69,53),$N$6:$N$69,0)),"")</f>
        <v>Bloodborne viral</v>
      </c>
      <c r="E58" s="53">
        <f>IFERROR(INDEX(Calculator!$R$34:$R$97,MATCH(LARGE($N$6:$N$69,53),$N$6:$N$69,0)),"")</f>
        <v>55.2</v>
      </c>
      <c r="F58" s="53" t="str">
        <f>IFERROR(INDEX(Calculator!$S$34:$S$97,MATCH(LARGE($N$6:$N$69,53),$N$6:$N$69,0)),"")</f>
        <v>Tier 2 — Seasonal/Regional</v>
      </c>
      <c r="G58" s="55" t="str">
        <f>IFERROR(INDEX(Calculator!$M$34:$M$97,MATCH(LARGE($N$6:$N$69,53),$N$6:$N$69,0)),"")</f>
        <v>Endemic</v>
      </c>
      <c r="H58" s="55">
        <f>IFERROR(INDEX(Calculator!$T$34:$T$97,MATCH(LARGE($N$6:$N$69,53),$N$6:$N$69,0)),"")</f>
        <v>79</v>
      </c>
      <c r="I58" s="55" t="str">
        <f>IFERROR(INDEX(Calculator!$U$34:$U$97,MATCH(LARGE($N$6:$N$69,53),$N$6:$N$69,0)),"")</f>
        <v>Low-cost add-on</v>
      </c>
      <c r="J58" s="56" t="str">
        <f t="shared" si="1"/>
        <v/>
      </c>
      <c r="N58" s="51">
        <f>Calculator!$R$86+0.012-IF(Calculator!$M$86="Not present",200,0)</f>
        <v>71.812</v>
      </c>
    </row>
    <row r="59" customHeight="1" spans="1:14">
      <c r="A59" s="52">
        <v>54</v>
      </c>
      <c r="B59" s="53" t="str">
        <f>IFERROR(INDEX(Calculator!$A$34:$A$97,MATCH(LARGE($N$6:$N$69,54),$N$6:$N$69,0)),"")</f>
        <v>CCHF</v>
      </c>
      <c r="C59" s="54" t="str">
        <f>IFERROR(INDEX(Calculator!$B$34:$B$97,MATCH(LARGE($N$6:$N$69,54),$N$6:$N$69,0)),"")</f>
        <v>Crimean-Congo hemorrhagic fever</v>
      </c>
      <c r="D59" s="54" t="str">
        <f>IFERROR(INDEX(Calculator!$C$34:$C$97,MATCH(LARGE($N$6:$N$69,54),$N$6:$N$69,0)),"")</f>
        <v>VHF/zoonotic</v>
      </c>
      <c r="E59" s="53">
        <f>IFERROR(INDEX(Calculator!$R$34:$R$97,MATCH(LARGE($N$6:$N$69,54),$N$6:$N$69,0)),"")</f>
        <v>53.8</v>
      </c>
      <c r="F59" s="53" t="str">
        <f>IFERROR(INDEX(Calculator!$S$34:$S$97,MATCH(LARGE($N$6:$N$69,54),$N$6:$N$69,0)),"")</f>
        <v>Tier 2 — Seasonal/Regional</v>
      </c>
      <c r="G59" s="55" t="str">
        <f>IFERROR(INDEX(Calculator!$M$34:$M$97,MATCH(LARGE($N$6:$N$69,54),$N$6:$N$69,0)),"")</f>
        <v>Endemic</v>
      </c>
      <c r="H59" s="55">
        <f>IFERROR(INDEX(Calculator!$T$34:$T$97,MATCH(LARGE($N$6:$N$69,54),$N$6:$N$69,0)),"")</f>
        <v>67</v>
      </c>
      <c r="I59" s="55" t="str">
        <f>IFERROR(INDEX(Calculator!$U$34:$U$97,MATCH(LARGE($N$6:$N$69,54),$N$6:$N$69,0)),"")</f>
        <v>Defer</v>
      </c>
      <c r="J59" s="56" t="str">
        <f t="shared" si="1"/>
        <v/>
      </c>
      <c r="N59" s="51">
        <f>Calculator!$R$87+0.011-IF(Calculator!$M$87="Not present",200,0)</f>
        <v>68.411</v>
      </c>
    </row>
    <row r="60" customHeight="1" spans="1:14">
      <c r="A60" s="52">
        <v>55</v>
      </c>
      <c r="B60" s="53" t="str">
        <f>IFERROR(INDEX(Calculator!$A$34:$A$97,MATCH(LARGE($N$6:$N$69,55),$N$6:$N$69,0)),"")</f>
        <v>YF</v>
      </c>
      <c r="C60" s="54" t="str">
        <f>IFERROR(INDEX(Calculator!$B$34:$B$97,MATCH(LARGE($N$6:$N$69,55),$N$6:$N$69,0)),"")</f>
        <v>Yellow fever virus</v>
      </c>
      <c r="D60" s="54" t="str">
        <f>IFERROR(INDEX(Calculator!$C$34:$C$97,MATCH(LARGE($N$6:$N$69,55),$N$6:$N$69,0)),"")</f>
        <v>Arbovirus</v>
      </c>
      <c r="E60" s="53">
        <f>IFERROR(INDEX(Calculator!$R$34:$R$97,MATCH(LARGE($N$6:$N$69,55),$N$6:$N$69,0)),"")</f>
        <v>53.7</v>
      </c>
      <c r="F60" s="53" t="str">
        <f>IFERROR(INDEX(Calculator!$S$34:$S$97,MATCH(LARGE($N$6:$N$69,55),$N$6:$N$69,0)),"")</f>
        <v>Tier 2 — Seasonal/Regional</v>
      </c>
      <c r="G60" s="55" t="str">
        <f>IFERROR(INDEX(Calculator!$M$34:$M$97,MATCH(LARGE($N$6:$N$69,55),$N$6:$N$69,0)),"")</f>
        <v>Endemic</v>
      </c>
      <c r="H60" s="55">
        <f>IFERROR(INDEX(Calculator!$T$34:$T$97,MATCH(LARGE($N$6:$N$69,55),$N$6:$N$69,0)),"")</f>
        <v>79</v>
      </c>
      <c r="I60" s="55" t="str">
        <f>IFERROR(INDEX(Calculator!$U$34:$U$97,MATCH(LARGE($N$6:$N$69,55),$N$6:$N$69,0)),"")</f>
        <v>Low-cost add-on</v>
      </c>
      <c r="J60" s="56" t="str">
        <f t="shared" si="1"/>
        <v/>
      </c>
      <c r="N60" s="51">
        <f>Calculator!$R$88+0.01-IF(Calculator!$M$88="Not present",200,0)</f>
        <v>72.51</v>
      </c>
    </row>
    <row r="61" customHeight="1" spans="1:14">
      <c r="A61" s="52">
        <v>56</v>
      </c>
      <c r="B61" s="53" t="str">
        <f>IFERROR(INDEX(Calculator!$A$34:$A$97,MATCH(LARGE($N$6:$N$69,56),$N$6:$N$69,0)),"")</f>
        <v>DENGUE</v>
      </c>
      <c r="C61" s="54" t="str">
        <f>IFERROR(INDEX(Calculator!$B$34:$B$97,MATCH(LARGE($N$6:$N$69,56),$N$6:$N$69,0)),"")</f>
        <v>Dengue virus (1-4)</v>
      </c>
      <c r="D61" s="54" t="str">
        <f>IFERROR(INDEX(Calculator!$C$34:$C$97,MATCH(LARGE($N$6:$N$69,56),$N$6:$N$69,0)),"")</f>
        <v>Arbovirus</v>
      </c>
      <c r="E61" s="53">
        <f>IFERROR(INDEX(Calculator!$R$34:$R$97,MATCH(LARGE($N$6:$N$69,56),$N$6:$N$69,0)),"")</f>
        <v>52.9</v>
      </c>
      <c r="F61" s="53" t="str">
        <f>IFERROR(INDEX(Calculator!$S$34:$S$97,MATCH(LARGE($N$6:$N$69,56),$N$6:$N$69,0)),"")</f>
        <v>Tier 2 — Seasonal/Regional</v>
      </c>
      <c r="G61" s="55" t="str">
        <f>IFERROR(INDEX(Calculator!$M$34:$M$97,MATCH(LARGE($N$6:$N$69,56),$N$6:$N$69,0)),"")</f>
        <v>Endemic</v>
      </c>
      <c r="H61" s="55">
        <f>IFERROR(INDEX(Calculator!$T$34:$T$97,MATCH(LARGE($N$6:$N$69,56),$N$6:$N$69,0)),"")</f>
        <v>79</v>
      </c>
      <c r="I61" s="55" t="str">
        <f>IFERROR(INDEX(Calculator!$U$34:$U$97,MATCH(LARGE($N$6:$N$69,56),$N$6:$N$69,0)),"")</f>
        <v>Low-cost add-on</v>
      </c>
      <c r="J61" s="56" t="str">
        <f t="shared" si="1"/>
        <v/>
      </c>
      <c r="N61" s="51">
        <f>Calculator!$R$89+0.009-IF(Calculator!$M$89="Not present",200,0)</f>
        <v>68.409</v>
      </c>
    </row>
    <row r="62" customHeight="1" spans="1:14">
      <c r="A62" s="52">
        <v>57</v>
      </c>
      <c r="B62" s="53" t="str">
        <f>IFERROR(INDEX(Calculator!$A$34:$A$97,MATCH(LARGE($N$6:$N$69,57),$N$6:$N$69,0)),"")</f>
        <v>RVF</v>
      </c>
      <c r="C62" s="54" t="str">
        <f>IFERROR(INDEX(Calculator!$B$34:$B$97,MATCH(LARGE($N$6:$N$69,57),$N$6:$N$69,0)),"")</f>
        <v>Rift Valley fever virus</v>
      </c>
      <c r="D62" s="54" t="str">
        <f>IFERROR(INDEX(Calculator!$C$34:$C$97,MATCH(LARGE($N$6:$N$69,57),$N$6:$N$69,0)),"")</f>
        <v>VHF/zoonotic</v>
      </c>
      <c r="E62" s="53">
        <f>IFERROR(INDEX(Calculator!$R$34:$R$97,MATCH(LARGE($N$6:$N$69,57),$N$6:$N$69,0)),"")</f>
        <v>51.5</v>
      </c>
      <c r="F62" s="53" t="str">
        <f>IFERROR(INDEX(Calculator!$S$34:$S$97,MATCH(LARGE($N$6:$N$69,57),$N$6:$N$69,0)),"")</f>
        <v>Tier 2 — Seasonal/Regional</v>
      </c>
      <c r="G62" s="55" t="str">
        <f>IFERROR(INDEX(Calculator!$M$34:$M$97,MATCH(LARGE($N$6:$N$69,57),$N$6:$N$69,0)),"")</f>
        <v>Endemic</v>
      </c>
      <c r="H62" s="55">
        <f>IFERROR(INDEX(Calculator!$T$34:$T$97,MATCH(LARGE($N$6:$N$69,57),$N$6:$N$69,0)),"")</f>
        <v>67</v>
      </c>
      <c r="I62" s="55" t="str">
        <f>IFERROR(INDEX(Calculator!$U$34:$U$97,MATCH(LARGE($N$6:$N$69,57),$N$6:$N$69,0)),"")</f>
        <v>Defer</v>
      </c>
      <c r="J62" s="56" t="str">
        <f t="shared" si="1"/>
        <v/>
      </c>
      <c r="N62" s="51">
        <f>Calculator!$R$90+0.008-IF(Calculator!$M$90="Not present",200,0)</f>
        <v>66.208</v>
      </c>
    </row>
    <row r="63" customHeight="1" spans="1:14">
      <c r="A63" s="52">
        <v>58</v>
      </c>
      <c r="B63" s="53" t="str">
        <f>IFERROR(INDEX(Calculator!$A$34:$A$97,MATCH(LARGE($N$6:$N$69,58),$N$6:$N$69,0)),"")</f>
        <v>CHIK</v>
      </c>
      <c r="C63" s="54" t="str">
        <f>IFERROR(INDEX(Calculator!$B$34:$B$97,MATCH(LARGE($N$6:$N$69,58),$N$6:$N$69,0)),"")</f>
        <v>Chikungunya virus</v>
      </c>
      <c r="D63" s="54" t="str">
        <f>IFERROR(INDEX(Calculator!$C$34:$C$97,MATCH(LARGE($N$6:$N$69,58),$N$6:$N$69,0)),"")</f>
        <v>Arbovirus</v>
      </c>
      <c r="E63" s="53">
        <f>IFERROR(INDEX(Calculator!$R$34:$R$97,MATCH(LARGE($N$6:$N$69,58),$N$6:$N$69,0)),"")</f>
        <v>50.3</v>
      </c>
      <c r="F63" s="53" t="str">
        <f>IFERROR(INDEX(Calculator!$S$34:$S$97,MATCH(LARGE($N$6:$N$69,58),$N$6:$N$69,0)),"")</f>
        <v>Tier 2 — Seasonal/Regional</v>
      </c>
      <c r="G63" s="55" t="str">
        <f>IFERROR(INDEX(Calculator!$M$34:$M$97,MATCH(LARGE($N$6:$N$69,58),$N$6:$N$69,0)),"")</f>
        <v>Endemic</v>
      </c>
      <c r="H63" s="55">
        <f>IFERROR(INDEX(Calculator!$T$34:$T$97,MATCH(LARGE($N$6:$N$69,58),$N$6:$N$69,0)),"")</f>
        <v>79</v>
      </c>
      <c r="I63" s="55" t="str">
        <f>IFERROR(INDEX(Calculator!$U$34:$U$97,MATCH(LARGE($N$6:$N$69,58),$N$6:$N$69,0)),"")</f>
        <v>Low-cost add-on</v>
      </c>
      <c r="J63" s="56" t="str">
        <f t="shared" si="1"/>
        <v/>
      </c>
      <c r="N63" s="51">
        <f>Calculator!$R$91+0.007-IF(Calculator!$M$91="Not present",200,0)</f>
        <v>71.207</v>
      </c>
    </row>
    <row r="64" customHeight="1" spans="1:14">
      <c r="A64" s="52">
        <v>59</v>
      </c>
      <c r="B64" s="53" t="str">
        <f>IFERROR(INDEX(Calculator!$A$34:$A$97,MATCH(LARGE($N$6:$N$69,59),$N$6:$N$69,0)),"")</f>
        <v>LEISH</v>
      </c>
      <c r="C64" s="54" t="str">
        <f>IFERROR(INDEX(Calculator!$B$34:$B$97,MATCH(LARGE($N$6:$N$69,59),$N$6:$N$69,0)),"")</f>
        <v>Leishmania spp.</v>
      </c>
      <c r="D64" s="54" t="str">
        <f>IFERROR(INDEX(Calculator!$C$34:$C$97,MATCH(LARGE($N$6:$N$69,59),$N$6:$N$69,0)),"")</f>
        <v>Protozoan vectorborne</v>
      </c>
      <c r="E64" s="53">
        <f>IFERROR(INDEX(Calculator!$R$34:$R$97,MATCH(LARGE($N$6:$N$69,59),$N$6:$N$69,0)),"")</f>
        <v>49.9</v>
      </c>
      <c r="F64" s="53" t="str">
        <f>IFERROR(INDEX(Calculator!$S$34:$S$97,MATCH(LARGE($N$6:$N$69,59),$N$6:$N$69,0)),"")</f>
        <v>Tier 3 — Event-driven</v>
      </c>
      <c r="G64" s="55" t="str">
        <f>IFERROR(INDEX(Calculator!$M$34:$M$97,MATCH(LARGE($N$6:$N$69,59),$N$6:$N$69,0)),"")</f>
        <v>Endemic</v>
      </c>
      <c r="H64" s="55">
        <f>IFERROR(INDEX(Calculator!$T$34:$T$97,MATCH(LARGE($N$6:$N$69,59),$N$6:$N$69,0)),"")</f>
        <v>67</v>
      </c>
      <c r="I64" s="55" t="str">
        <f>IFERROR(INDEX(Calculator!$U$34:$U$97,MATCH(LARGE($N$6:$N$69,59),$N$6:$N$69,0)),"")</f>
        <v>Defer</v>
      </c>
      <c r="J64" s="56" t="str">
        <f t="shared" si="1"/>
        <v/>
      </c>
      <c r="N64" s="51">
        <f>Calculator!$R$92+0.006-IF(Calculator!$M$92="Not present",200,0)</f>
        <v>75.306</v>
      </c>
    </row>
    <row r="65" customHeight="1" spans="1:14">
      <c r="A65" s="52">
        <v>60</v>
      </c>
      <c r="B65" s="53" t="str">
        <f>IFERROR(INDEX(Calculator!$A$34:$A$97,MATCH(LARGE($N$6:$N$69,60),$N$6:$N$69,0)),"")</f>
        <v>HIV</v>
      </c>
      <c r="C65" s="54" t="str">
        <f>IFERROR(INDEX(Calculator!$B$34:$B$97,MATCH(LARGE($N$6:$N$69,60),$N$6:$N$69,0)),"")</f>
        <v>HIV-1</v>
      </c>
      <c r="D65" s="54" t="str">
        <f>IFERROR(INDEX(Calculator!$C$34:$C$97,MATCH(LARGE($N$6:$N$69,60),$N$6:$N$69,0)),"")</f>
        <v>Bloodborne viral</v>
      </c>
      <c r="E65" s="53">
        <f>IFERROR(INDEX(Calculator!$R$34:$R$97,MATCH(LARGE($N$6:$N$69,60),$N$6:$N$69,0)),"")</f>
        <v>48.6</v>
      </c>
      <c r="F65" s="53" t="str">
        <f>IFERROR(INDEX(Calculator!$S$34:$S$97,MATCH(LARGE($N$6:$N$69,60),$N$6:$N$69,0)),"")</f>
        <v>Tier 3 — Event-driven</v>
      </c>
      <c r="G65" s="55" t="str">
        <f>IFERROR(INDEX(Calculator!$M$34:$M$97,MATCH(LARGE($N$6:$N$69,60),$N$6:$N$69,0)),"")</f>
        <v>Endemic</v>
      </c>
      <c r="H65" s="55">
        <f>IFERROR(INDEX(Calculator!$T$34:$T$97,MATCH(LARGE($N$6:$N$69,60),$N$6:$N$69,0)),"")</f>
        <v>79</v>
      </c>
      <c r="I65" s="55" t="str">
        <f>IFERROR(INDEX(Calculator!$U$34:$U$97,MATCH(LARGE($N$6:$N$69,60),$N$6:$N$69,0)),"")</f>
        <v>Low-cost add-on</v>
      </c>
      <c r="J65" s="56" t="str">
        <f t="shared" si="1"/>
        <v/>
      </c>
      <c r="N65" s="51">
        <f>Calculator!$R$93+0.005-IF(Calculator!$M$93="Not present",200,0)</f>
        <v>55.205</v>
      </c>
    </row>
    <row r="66" customHeight="1" spans="1:14">
      <c r="A66" s="52">
        <v>61</v>
      </c>
      <c r="B66" s="53" t="str">
        <f>IFERROR(INDEX(Calculator!$A$34:$A$97,MATCH(LARGE($N$6:$N$69,61),$N$6:$N$69,0)),"")</f>
        <v>WNV</v>
      </c>
      <c r="C66" s="54" t="str">
        <f>IFERROR(INDEX(Calculator!$B$34:$B$97,MATCH(LARGE($N$6:$N$69,61),$N$6:$N$69,0)),"")</f>
        <v>West Nile virus</v>
      </c>
      <c r="D66" s="54" t="str">
        <f>IFERROR(INDEX(Calculator!$C$34:$C$97,MATCH(LARGE($N$6:$N$69,61),$N$6:$N$69,0)),"")</f>
        <v>Arbovirus</v>
      </c>
      <c r="E66" s="53">
        <f>IFERROR(INDEX(Calculator!$R$34:$R$97,MATCH(LARGE($N$6:$N$69,61),$N$6:$N$69,0)),"")</f>
        <v>47.9</v>
      </c>
      <c r="F66" s="53" t="str">
        <f>IFERROR(INDEX(Calculator!$S$34:$S$97,MATCH(LARGE($N$6:$N$69,61),$N$6:$N$69,0)),"")</f>
        <v>Tier 3 — Event-driven</v>
      </c>
      <c r="G66" s="55" t="str">
        <f>IFERROR(INDEX(Calculator!$M$34:$M$97,MATCH(LARGE($N$6:$N$69,61),$N$6:$N$69,0)),"")</f>
        <v>Sporadic</v>
      </c>
      <c r="H66" s="55">
        <f>IFERROR(INDEX(Calculator!$T$34:$T$97,MATCH(LARGE($N$6:$N$69,61),$N$6:$N$69,0)),"")</f>
        <v>67</v>
      </c>
      <c r="I66" s="55" t="str">
        <f>IFERROR(INDEX(Calculator!$U$34:$U$97,MATCH(LARGE($N$6:$N$69,61),$N$6:$N$69,0)),"")</f>
        <v>Defer</v>
      </c>
      <c r="J66" s="56" t="str">
        <f t="shared" si="1"/>
        <v/>
      </c>
      <c r="N66" s="51">
        <f>Calculator!$R$94+0.004-IF(Calculator!$M$94="Not present",200,0)</f>
        <v>48.604</v>
      </c>
    </row>
    <row r="67" customHeight="1" spans="1:14">
      <c r="A67" s="52">
        <v>62</v>
      </c>
      <c r="B67" s="53" t="str">
        <f>IFERROR(INDEX(Calculator!$A$34:$A$97,MATCH(LARGE($N$6:$N$69,62),$N$6:$N$69,0)),"")</f>
        <v>ZIKAR</v>
      </c>
      <c r="C67" s="54" t="str">
        <f>IFERROR(INDEX(Calculator!$B$34:$B$97,MATCH(LARGE($N$6:$N$69,62),$N$6:$N$69,0)),"")</f>
        <v>Rabies virus (env. proxy)</v>
      </c>
      <c r="D67" s="54" t="str">
        <f>IFERROR(INDEX(Calculator!$C$34:$C$97,MATCH(LARGE($N$6:$N$69,62),$N$6:$N$69,0)),"")</f>
        <v>Zoonotic viral</v>
      </c>
      <c r="E67" s="53">
        <f>IFERROR(INDEX(Calculator!$R$34:$R$97,MATCH(LARGE($N$6:$N$69,62),$N$6:$N$69,0)),"")</f>
        <v>47.4</v>
      </c>
      <c r="F67" s="53" t="str">
        <f>IFERROR(INDEX(Calculator!$S$34:$S$97,MATCH(LARGE($N$6:$N$69,62),$N$6:$N$69,0)),"")</f>
        <v>Tier 3 — Event-driven</v>
      </c>
      <c r="G67" s="55" t="str">
        <f>IFERROR(INDEX(Calculator!$M$34:$M$97,MATCH(LARGE($N$6:$N$69,62),$N$6:$N$69,0)),"")</f>
        <v>Endemic</v>
      </c>
      <c r="H67" s="55">
        <f>IFERROR(INDEX(Calculator!$T$34:$T$97,MATCH(LARGE($N$6:$N$69,62),$N$6:$N$69,0)),"")</f>
        <v>67</v>
      </c>
      <c r="I67" s="55" t="str">
        <f>IFERROR(INDEX(Calculator!$U$34:$U$97,MATCH(LARGE($N$6:$N$69,62),$N$6:$N$69,0)),"")</f>
        <v>Defer</v>
      </c>
      <c r="J67" s="56" t="str">
        <f t="shared" si="1"/>
        <v/>
      </c>
      <c r="N67" s="51">
        <f>Calculator!$R$95+0.003-IF(Calculator!$M$95="Not present",200,0)</f>
        <v>47.403</v>
      </c>
    </row>
    <row r="68" customHeight="1" spans="1:14">
      <c r="A68" s="52">
        <v>63</v>
      </c>
      <c r="B68" s="53" t="str">
        <f>IFERROR(INDEX(Calculator!$A$34:$A$97,MATCH(LARGE($N$6:$N$69,63),$N$6:$N$69,0)),"")</f>
        <v>NIPAH</v>
      </c>
      <c r="C68" s="54" t="str">
        <f>IFERROR(INDEX(Calculator!$B$34:$B$97,MATCH(LARGE($N$6:$N$69,63),$N$6:$N$69,0)),"")</f>
        <v>Nipah virus</v>
      </c>
      <c r="D68" s="54" t="str">
        <f>IFERROR(INDEX(Calculator!$C$34:$C$97,MATCH(LARGE($N$6:$N$69,63),$N$6:$N$69,0)),"")</f>
        <v>Emerging viral/zoonotic</v>
      </c>
      <c r="E68" s="53">
        <f>IFERROR(INDEX(Calculator!$R$34:$R$97,MATCH(LARGE($N$6:$N$69,63),$N$6:$N$69,0)),"")</f>
        <v>20.7</v>
      </c>
      <c r="F68" s="53" t="str">
        <f>IFERROR(INDEX(Calculator!$S$34:$S$97,MATCH(LARGE($N$6:$N$69,63),$N$6:$N$69,0)),"")</f>
        <v>Tier 4 — Watch only (absent)</v>
      </c>
      <c r="G68" s="55" t="str">
        <f>IFERROR(INDEX(Calculator!$M$34:$M$97,MATCH(LARGE($N$6:$N$69,63),$N$6:$N$69,0)),"")</f>
        <v>Not present</v>
      </c>
      <c r="H68" s="55">
        <f>IFERROR(INDEX(Calculator!$T$34:$T$97,MATCH(LARGE($N$6:$N$69,63),$N$6:$N$69,0)),"")</f>
        <v>67</v>
      </c>
      <c r="I68" s="55" t="str">
        <f>IFERROR(INDEX(Calculator!$U$34:$U$97,MATCH(LARGE($N$6:$N$69,63),$N$6:$N$69,0)),"")</f>
        <v>Defer — not present</v>
      </c>
      <c r="J68" s="56" t="str">
        <f t="shared" si="1"/>
        <v/>
      </c>
      <c r="N68" s="51">
        <f>Calculator!$R$96+0.002-IF(Calculator!$M$96="Not present",200,0)</f>
        <v>56.902</v>
      </c>
    </row>
    <row r="69" customHeight="1" spans="1:14">
      <c r="A69" s="52">
        <v>64</v>
      </c>
      <c r="B69" s="53" t="str">
        <f>IFERROR(INDEX(Calculator!$A$34:$A$97,MATCH(LARGE($N$6:$N$69,64),$N$6:$N$69,0)),"")</f>
        <v>GUINEA</v>
      </c>
      <c r="C69" s="54" t="str">
        <f>IFERROR(INDEX(Calculator!$B$34:$B$97,MATCH(LARGE($N$6:$N$69,64),$N$6:$N$69,0)),"")</f>
        <v>Guinea worm (Dracunculus)</v>
      </c>
      <c r="D69" s="54" t="str">
        <f>IFERROR(INDEX(Calculator!$C$34:$C$97,MATCH(LARGE($N$6:$N$69,64),$N$6:$N$69,0)),"")</f>
        <v>Helminth</v>
      </c>
      <c r="E69" s="53">
        <f>IFERROR(INDEX(Calculator!$R$34:$R$97,MATCH(LARGE($N$6:$N$69,64),$N$6:$N$69,0)),"")</f>
        <v>18.5</v>
      </c>
      <c r="F69" s="53" t="str">
        <f>IFERROR(INDEX(Calculator!$S$34:$S$97,MATCH(LARGE($N$6:$N$69,64),$N$6:$N$69,0)),"")</f>
        <v>Tier 4 — Watch only (absent)</v>
      </c>
      <c r="G69" s="55" t="str">
        <f>IFERROR(INDEX(Calculator!$M$34:$M$97,MATCH(LARGE($N$6:$N$69,64),$N$6:$N$69,0)),"")</f>
        <v>Not present</v>
      </c>
      <c r="H69" s="55">
        <f>IFERROR(INDEX(Calculator!$T$34:$T$97,MATCH(LARGE($N$6:$N$69,64),$N$6:$N$69,0)),"")</f>
        <v>67</v>
      </c>
      <c r="I69" s="55" t="str">
        <f>IFERROR(INDEX(Calculator!$U$34:$U$97,MATCH(LARGE($N$6:$N$69,64),$N$6:$N$69,0)),"")</f>
        <v>Defer — not present</v>
      </c>
      <c r="J69" s="56" t="str">
        <f t="shared" si="1"/>
        <v/>
      </c>
      <c r="N69" s="51">
        <f>Calculator!$R$97+0.001-IF(Calculator!$M$97="Not present",200,0)</f>
        <v>49.901</v>
      </c>
    </row>
    <row r="71" customHeight="1" spans="1:14">
      <c r="A71" s="57"/>
      <c r="B71" s="58"/>
    </row>
  </sheetData>
  <autoFilter xmlns:etc="http://www.wps.cn/officeDocument/2017/etCustomData" ref="A5:J69" etc:filterBottomFollowUsedRange="0">
    <extLst/>
  </autoFilter>
  <mergeCells count="2">
    <mergeCell ref="A1:F1"/>
    <mergeCell ref="A2:F2"/>
  </mergeCells>
  <conditionalFormatting sqref="E6:E69">
    <cfRule type="colorScale" priority="6">
      <colorScale>
        <cfvo type="num" val="0"/>
        <cfvo type="num" val="50"/>
        <cfvo type="num" val="100"/>
        <color rgb="FFF8696B"/>
        <color rgb="FFFFEB84"/>
        <color rgb="FF63BE7B"/>
      </colorScale>
    </cfRule>
    <cfRule type="colorScale" priority="6">
      <colorScale>
        <cfvo type="num" val="20"/>
        <cfvo type="num" val="55"/>
        <cfvo type="num" val="85"/>
        <color rgb="FFF8696B"/>
        <color rgb="FFFFEB84"/>
        <color rgb="FF63BE7B"/>
      </colorScale>
    </cfRule>
  </conditionalFormatting>
  <conditionalFormatting sqref="F6:F69">
    <cfRule type="expression" dxfId="12" priority="2">
      <formula>ISNUMBER(SEARCH("Tier 1",F6))</formula>
    </cfRule>
    <cfRule type="expression" dxfId="13" priority="3">
      <formula>ISNUMBER(SEARCH("Tier 2",F6))</formula>
    </cfRule>
    <cfRule type="expression" dxfId="14" priority="4">
      <formula>ISNUMBER(SEARCH("Tier 3",F6))</formula>
    </cfRule>
    <cfRule type="expression" dxfId="15" priority="5">
      <formula>ISNUMBER(SEARCH("Tier 4",F6))</formula>
    </cfRule>
  </conditionalFormatting>
  <pageMargins left="0.75" right="0.75" top="1" bottom="1" header="0.511811023622047" footer="0.511811023622047"/>
  <pageSetup paperSize="9" orientation="portrait"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55"/>
  <sheetViews>
    <sheetView workbookViewId="0">
      <pane xSplit="3" ySplit="1" topLeftCell="D2" activePane="bottomRight" state="frozen"/>
      <selection/>
      <selection pane="topRight"/>
      <selection pane="bottomLeft"/>
      <selection pane="bottomRight" activeCell="A58" sqref="A58"/>
    </sheetView>
  </sheetViews>
  <sheetFormatPr defaultColWidth="8.8359375" defaultRowHeight="16.8"/>
  <cols>
    <col min="1" max="1" width="5.3359375" style="35" customWidth="1"/>
    <col min="2" max="2" width="17.1640625" style="35" customWidth="1"/>
    <col min="3" max="3" width="10" style="35" customWidth="1"/>
    <col min="4" max="4" width="9.8359375" style="35" customWidth="1"/>
    <col min="5" max="5" width="14" style="35" customWidth="1"/>
    <col min="6" max="6" width="11.1640625" style="35" customWidth="1"/>
    <col min="7" max="7" width="8.8359375" style="35" customWidth="1"/>
    <col min="8" max="8" width="13.8359375" style="35" customWidth="1"/>
    <col min="9" max="10" width="14.8359375" style="35" customWidth="1"/>
    <col min="11" max="11" width="21.1640625" style="35" customWidth="1"/>
    <col min="12" max="12" width="10.6640625" style="35" customWidth="1"/>
    <col min="13" max="13" width="14.3359375" style="35" customWidth="1"/>
    <col min="14" max="14" width="12.8359375" style="35" customWidth="1"/>
    <col min="15" max="15" width="2" style="35" customWidth="1"/>
    <col min="16" max="16" width="14" style="35" customWidth="1"/>
    <col min="17" max="17" width="12.5" style="35" customWidth="1"/>
    <col min="18" max="19" width="11.3359375" style="35" customWidth="1"/>
    <col min="20" max="20" width="11.1640625" style="35" customWidth="1"/>
    <col min="21" max="21" width="12.3359375" style="35" customWidth="1"/>
    <col min="22" max="22" width="33.6640625" style="35" customWidth="1"/>
    <col min="23" max="23" width="9.8359375" style="35" customWidth="1"/>
    <col min="24" max="24" width="25.6640625" style="35" customWidth="1"/>
    <col min="25" max="25" width="15.6640625" style="35" customWidth="1"/>
    <col min="26" max="26" width="15" style="35" customWidth="1"/>
    <col min="27" max="27" width="14.3359375" style="35" customWidth="1"/>
    <col min="28" max="28" width="14.8359375" style="35" customWidth="1"/>
    <col min="29" max="29" width="15.6640625" style="35" customWidth="1"/>
    <col min="30" max="30" width="16" style="35" customWidth="1"/>
    <col min="31" max="31" width="15" style="35" customWidth="1"/>
    <col min="32" max="32" width="14.1640625" style="35" customWidth="1"/>
    <col min="33" max="33" width="14.5" style="35" customWidth="1"/>
    <col min="34" max="34" width="13.3359375" style="35" customWidth="1"/>
    <col min="35" max="35" width="13.8359375" style="35" customWidth="1"/>
    <col min="36" max="36" width="14.6640625" style="35" customWidth="1"/>
    <col min="37" max="38" width="15.1640625" style="35" customWidth="1"/>
    <col min="39" max="40" width="14.8359375" style="35" customWidth="1"/>
    <col min="41" max="41" width="33" style="35" customWidth="1"/>
    <col min="42" max="16384" width="8.8359375" style="35"/>
  </cols>
  <sheetData>
    <row r="1" ht="46" customHeight="1" spans="1:41">
      <c r="A1" s="36" t="s">
        <v>147</v>
      </c>
      <c r="B1" s="36" t="s">
        <v>386</v>
      </c>
      <c r="C1" s="36" t="s">
        <v>387</v>
      </c>
      <c r="D1" s="36" t="s">
        <v>388</v>
      </c>
      <c r="E1" s="36" t="s">
        <v>389</v>
      </c>
      <c r="F1" s="36" t="s">
        <v>390</v>
      </c>
      <c r="G1" s="36" t="s">
        <v>391</v>
      </c>
      <c r="H1" s="36" t="s">
        <v>392</v>
      </c>
      <c r="I1" s="36" t="s">
        <v>393</v>
      </c>
      <c r="J1" s="36" t="s">
        <v>394</v>
      </c>
      <c r="K1" s="36" t="s">
        <v>395</v>
      </c>
      <c r="L1" s="36" t="s">
        <v>396</v>
      </c>
      <c r="M1" s="36" t="s">
        <v>397</v>
      </c>
      <c r="N1" s="36" t="s">
        <v>398</v>
      </c>
      <c r="O1" s="36"/>
      <c r="P1" s="36" t="s">
        <v>399</v>
      </c>
      <c r="Q1" s="36" t="s">
        <v>400</v>
      </c>
      <c r="R1" s="36" t="s">
        <v>401</v>
      </c>
      <c r="S1" s="36" t="s">
        <v>402</v>
      </c>
      <c r="T1" s="36" t="s">
        <v>403</v>
      </c>
      <c r="U1" s="36" t="s">
        <v>404</v>
      </c>
      <c r="V1" s="36" t="s">
        <v>405</v>
      </c>
      <c r="W1" s="36" t="s">
        <v>406</v>
      </c>
      <c r="X1" s="36" t="s">
        <v>407</v>
      </c>
      <c r="Y1" s="36" t="s">
        <v>408</v>
      </c>
      <c r="Z1" s="36" t="s">
        <v>135</v>
      </c>
      <c r="AA1" s="36" t="s">
        <v>136</v>
      </c>
      <c r="AB1" s="36" t="s">
        <v>409</v>
      </c>
      <c r="AC1" s="36" t="s">
        <v>137</v>
      </c>
      <c r="AD1" s="36" t="s">
        <v>138</v>
      </c>
      <c r="AE1" s="36" t="s">
        <v>410</v>
      </c>
      <c r="AF1" s="36" t="s">
        <v>411</v>
      </c>
      <c r="AG1" s="36" t="s">
        <v>140</v>
      </c>
      <c r="AH1" s="36" t="s">
        <v>412</v>
      </c>
      <c r="AI1" s="36" t="s">
        <v>413</v>
      </c>
      <c r="AJ1" s="36" t="s">
        <v>414</v>
      </c>
      <c r="AK1" s="36" t="s">
        <v>415</v>
      </c>
      <c r="AL1" s="36" t="s">
        <v>416</v>
      </c>
      <c r="AM1" s="36" t="s">
        <v>145</v>
      </c>
      <c r="AN1" s="36" t="s">
        <v>417</v>
      </c>
      <c r="AO1" s="36" t="s">
        <v>418</v>
      </c>
    </row>
    <row r="2" ht="76" spans="1:41">
      <c r="A2" s="37" t="s">
        <v>419</v>
      </c>
      <c r="B2" s="37" t="s">
        <v>420</v>
      </c>
      <c r="C2" s="37" t="s">
        <v>421</v>
      </c>
      <c r="D2" s="38">
        <v>47.4</v>
      </c>
      <c r="E2" s="38">
        <v>21.6</v>
      </c>
      <c r="F2" s="38">
        <v>87.9</v>
      </c>
      <c r="G2" s="38">
        <v>84.9</v>
      </c>
      <c r="H2" s="39">
        <f t="shared" ref="H2:H33" si="0">IFERROR(ROUND(AVERAGE(I2:J2),1),"")</f>
        <v>64.4</v>
      </c>
      <c r="I2" s="38">
        <v>58.7</v>
      </c>
      <c r="J2" s="38">
        <v>70</v>
      </c>
      <c r="K2" s="37">
        <f t="shared" ref="K2:K33" si="1">ROUND(MAX(1,MIN(5,1+4*(0.6*P2/100+0.2*Q2/100+0.1*AM2/3+0.1*AN2/3))),0)</f>
        <v>5</v>
      </c>
      <c r="L2" s="37">
        <f t="shared" ref="L2:L33" si="2">ROUND(MAX(1,MIN(5,Q2/20)),0)</f>
        <v>4</v>
      </c>
      <c r="M2" s="40">
        <v>1</v>
      </c>
      <c r="N2" s="38">
        <v>70</v>
      </c>
      <c r="O2" s="41"/>
      <c r="P2" s="40">
        <v>100</v>
      </c>
      <c r="Q2" s="40">
        <v>80</v>
      </c>
      <c r="R2" s="41" t="s">
        <v>422</v>
      </c>
      <c r="S2" s="41" t="s">
        <v>423</v>
      </c>
      <c r="T2" s="41" t="s">
        <v>424</v>
      </c>
      <c r="U2" s="41" t="s">
        <v>425</v>
      </c>
      <c r="V2" s="41" t="s">
        <v>426</v>
      </c>
      <c r="W2" s="41" t="s">
        <v>427</v>
      </c>
      <c r="X2" s="41" t="s">
        <v>428</v>
      </c>
      <c r="Y2" s="40">
        <v>87</v>
      </c>
      <c r="Z2" s="40">
        <v>75</v>
      </c>
      <c r="AA2" s="40">
        <v>25</v>
      </c>
      <c r="AB2" s="40">
        <v>74</v>
      </c>
      <c r="AC2" s="40">
        <v>91</v>
      </c>
      <c r="AD2" s="40">
        <v>87</v>
      </c>
      <c r="AE2" s="40">
        <v>91</v>
      </c>
      <c r="AF2" s="40">
        <v>0.1</v>
      </c>
      <c r="AG2" s="40">
        <v>9.3</v>
      </c>
      <c r="AH2" s="40">
        <v>1</v>
      </c>
      <c r="AI2" s="40">
        <v>4</v>
      </c>
      <c r="AJ2" s="40">
        <v>6</v>
      </c>
      <c r="AK2" s="40">
        <v>4</v>
      </c>
      <c r="AL2" s="40">
        <v>8</v>
      </c>
      <c r="AM2" s="40">
        <v>2</v>
      </c>
      <c r="AN2" s="40">
        <v>3</v>
      </c>
      <c r="AO2" s="42" t="s">
        <v>429</v>
      </c>
    </row>
    <row r="3" ht="76" spans="1:41">
      <c r="A3" s="37" t="s">
        <v>430</v>
      </c>
      <c r="B3" s="37" t="s">
        <v>431</v>
      </c>
      <c r="C3" s="37" t="s">
        <v>421</v>
      </c>
      <c r="D3" s="38">
        <v>118.4</v>
      </c>
      <c r="E3" s="38">
        <v>22.4</v>
      </c>
      <c r="F3" s="38">
        <v>99.9</v>
      </c>
      <c r="G3" s="38">
        <v>96.3</v>
      </c>
      <c r="H3" s="39">
        <f t="shared" si="0"/>
        <v>61.3</v>
      </c>
      <c r="I3" s="38">
        <v>51.6</v>
      </c>
      <c r="J3" s="38">
        <v>71</v>
      </c>
      <c r="K3" s="37">
        <f t="shared" si="1"/>
        <v>5</v>
      </c>
      <c r="L3" s="37">
        <f t="shared" si="2"/>
        <v>4</v>
      </c>
      <c r="M3" s="40">
        <v>0</v>
      </c>
      <c r="N3" s="38">
        <v>81.6</v>
      </c>
      <c r="O3" s="41"/>
      <c r="P3" s="40">
        <v>100</v>
      </c>
      <c r="Q3" s="40">
        <v>84</v>
      </c>
      <c r="R3" s="41" t="s">
        <v>422</v>
      </c>
      <c r="S3" s="41" t="s">
        <v>423</v>
      </c>
      <c r="T3" s="41" t="s">
        <v>424</v>
      </c>
      <c r="U3" s="41" t="s">
        <v>425</v>
      </c>
      <c r="V3" s="41" t="s">
        <v>426</v>
      </c>
      <c r="W3" s="41" t="s">
        <v>427</v>
      </c>
      <c r="X3" s="41" t="s">
        <v>428</v>
      </c>
      <c r="Y3" s="40">
        <v>65</v>
      </c>
      <c r="Z3" s="40">
        <v>43</v>
      </c>
      <c r="AA3" s="40">
        <v>62</v>
      </c>
      <c r="AB3" s="40">
        <v>95</v>
      </c>
      <c r="AC3" s="40">
        <v>96</v>
      </c>
      <c r="AD3" s="40">
        <v>96</v>
      </c>
      <c r="AE3" s="40">
        <v>96</v>
      </c>
      <c r="AF3" s="40">
        <v>0.1</v>
      </c>
      <c r="AG3" s="40">
        <v>20.4</v>
      </c>
      <c r="AH3" s="40">
        <v>2</v>
      </c>
      <c r="AI3" s="40">
        <v>3.5</v>
      </c>
      <c r="AJ3" s="40">
        <v>9</v>
      </c>
      <c r="AK3" s="40">
        <v>5</v>
      </c>
      <c r="AL3" s="40">
        <v>30</v>
      </c>
      <c r="AM3" s="40">
        <v>3</v>
      </c>
      <c r="AN3" s="40">
        <v>3</v>
      </c>
      <c r="AO3" s="42" t="s">
        <v>429</v>
      </c>
    </row>
    <row r="4" ht="76" spans="1:41">
      <c r="A4" s="37" t="s">
        <v>432</v>
      </c>
      <c r="B4" s="37" t="s">
        <v>433</v>
      </c>
      <c r="C4" s="37" t="s">
        <v>421</v>
      </c>
      <c r="D4" s="38">
        <v>7.5</v>
      </c>
      <c r="E4" s="38">
        <v>9.8</v>
      </c>
      <c r="F4" s="38">
        <v>88.5</v>
      </c>
      <c r="G4" s="38">
        <v>96.4</v>
      </c>
      <c r="H4" s="39">
        <f t="shared" si="0"/>
        <v>65.3</v>
      </c>
      <c r="I4" s="38">
        <v>59.5</v>
      </c>
      <c r="J4" s="38">
        <v>71</v>
      </c>
      <c r="K4" s="37">
        <f t="shared" si="1"/>
        <v>3</v>
      </c>
      <c r="L4" s="37">
        <f t="shared" si="2"/>
        <v>3</v>
      </c>
      <c r="M4" s="40">
        <v>0</v>
      </c>
      <c r="N4" s="38">
        <v>96.1</v>
      </c>
      <c r="O4" s="41"/>
      <c r="P4" s="40">
        <v>50</v>
      </c>
      <c r="Q4" s="40">
        <v>56</v>
      </c>
      <c r="R4" s="41" t="s">
        <v>422</v>
      </c>
      <c r="S4" s="41" t="s">
        <v>423</v>
      </c>
      <c r="T4" s="41" t="s">
        <v>424</v>
      </c>
      <c r="U4" s="41" t="s">
        <v>425</v>
      </c>
      <c r="V4" s="41" t="s">
        <v>426</v>
      </c>
      <c r="W4" s="41" t="s">
        <v>427</v>
      </c>
      <c r="X4" s="41" t="s">
        <v>428</v>
      </c>
      <c r="Y4" s="40">
        <v>60</v>
      </c>
      <c r="Z4" s="40">
        <v>81</v>
      </c>
      <c r="AA4" s="40">
        <v>30</v>
      </c>
      <c r="AB4" s="40">
        <v>40</v>
      </c>
      <c r="AC4" s="40">
        <v>73</v>
      </c>
      <c r="AD4" s="40">
        <v>73</v>
      </c>
      <c r="AE4" s="40">
        <v>73</v>
      </c>
      <c r="AF4" s="40">
        <v>0.2</v>
      </c>
      <c r="AG4" s="40">
        <v>25</v>
      </c>
      <c r="AH4" s="40">
        <v>0</v>
      </c>
      <c r="AI4" s="40">
        <v>5</v>
      </c>
      <c r="AJ4" s="40">
        <v>40</v>
      </c>
      <c r="AK4" s="40">
        <v>3</v>
      </c>
      <c r="AL4" s="40">
        <v>4</v>
      </c>
      <c r="AM4" s="40">
        <v>1</v>
      </c>
      <c r="AN4" s="40">
        <v>2</v>
      </c>
      <c r="AO4" s="42" t="s">
        <v>429</v>
      </c>
    </row>
    <row r="5" ht="76" spans="1:41">
      <c r="A5" s="37" t="s">
        <v>434</v>
      </c>
      <c r="B5" s="37" t="s">
        <v>435</v>
      </c>
      <c r="C5" s="37" t="s">
        <v>421</v>
      </c>
      <c r="D5" s="38">
        <v>38.4</v>
      </c>
      <c r="E5" s="38">
        <v>15.7</v>
      </c>
      <c r="F5" s="38">
        <v>87.8</v>
      </c>
      <c r="G5" s="38">
        <v>98.3</v>
      </c>
      <c r="H5" s="39">
        <f t="shared" si="0"/>
        <v>56.8</v>
      </c>
      <c r="I5" s="38">
        <v>48.5</v>
      </c>
      <c r="J5" s="38">
        <v>65</v>
      </c>
      <c r="K5" s="37">
        <f t="shared" si="1"/>
        <v>4</v>
      </c>
      <c r="L5" s="37">
        <f t="shared" si="2"/>
        <v>4</v>
      </c>
      <c r="M5" s="40">
        <v>1</v>
      </c>
      <c r="N5" s="38">
        <v>68.2</v>
      </c>
      <c r="O5" s="41"/>
      <c r="P5" s="40">
        <v>80</v>
      </c>
      <c r="Q5" s="40">
        <v>84</v>
      </c>
      <c r="R5" s="41" t="s">
        <v>422</v>
      </c>
      <c r="S5" s="41" t="s">
        <v>423</v>
      </c>
      <c r="T5" s="41" t="s">
        <v>424</v>
      </c>
      <c r="U5" s="41" t="s">
        <v>425</v>
      </c>
      <c r="V5" s="41" t="s">
        <v>426</v>
      </c>
      <c r="W5" s="41" t="s">
        <v>427</v>
      </c>
      <c r="X5" s="41" t="s">
        <v>428</v>
      </c>
      <c r="Y5" s="40">
        <v>78</v>
      </c>
      <c r="Z5" s="40">
        <v>65</v>
      </c>
      <c r="AA5" s="40">
        <v>43</v>
      </c>
      <c r="AB5" s="40">
        <v>80</v>
      </c>
      <c r="AC5" s="40">
        <v>99</v>
      </c>
      <c r="AD5" s="40">
        <v>99</v>
      </c>
      <c r="AE5" s="40">
        <v>99</v>
      </c>
      <c r="AF5" s="40">
        <v>0.1</v>
      </c>
      <c r="AG5" s="40">
        <v>12.9</v>
      </c>
      <c r="AH5" s="40">
        <v>1</v>
      </c>
      <c r="AI5" s="40">
        <v>3.8</v>
      </c>
      <c r="AJ5" s="40">
        <v>3</v>
      </c>
      <c r="AK5" s="40">
        <v>4</v>
      </c>
      <c r="AL5" s="40">
        <v>12</v>
      </c>
      <c r="AM5" s="40">
        <v>2</v>
      </c>
      <c r="AN5" s="40">
        <v>3</v>
      </c>
      <c r="AO5" s="42" t="s">
        <v>429</v>
      </c>
    </row>
    <row r="6" ht="76" spans="1:41">
      <c r="A6" s="37" t="s">
        <v>436</v>
      </c>
      <c r="B6" s="37" t="s">
        <v>437</v>
      </c>
      <c r="C6" s="37" t="s">
        <v>421</v>
      </c>
      <c r="D6" s="38">
        <v>51.7</v>
      </c>
      <c r="E6" s="38">
        <v>61.6</v>
      </c>
      <c r="F6" s="38">
        <v>81.1</v>
      </c>
      <c r="G6" s="38">
        <v>73.9</v>
      </c>
      <c r="H6" s="39">
        <f t="shared" si="0"/>
        <v>46</v>
      </c>
      <c r="I6" s="38">
        <v>43.9</v>
      </c>
      <c r="J6" s="38">
        <v>48</v>
      </c>
      <c r="K6" s="37">
        <f t="shared" si="1"/>
        <v>4</v>
      </c>
      <c r="L6" s="37">
        <f t="shared" si="2"/>
        <v>2</v>
      </c>
      <c r="M6" s="40">
        <v>6</v>
      </c>
      <c r="N6" s="38">
        <v>106.2</v>
      </c>
      <c r="O6" s="41"/>
      <c r="P6" s="40">
        <v>80</v>
      </c>
      <c r="Q6" s="40">
        <v>40</v>
      </c>
      <c r="R6" s="41" t="s">
        <v>422</v>
      </c>
      <c r="S6" s="41" t="s">
        <v>423</v>
      </c>
      <c r="T6" s="41" t="s">
        <v>424</v>
      </c>
      <c r="U6" s="41" t="s">
        <v>425</v>
      </c>
      <c r="V6" s="41" t="s">
        <v>426</v>
      </c>
      <c r="W6" s="41" t="s">
        <v>427</v>
      </c>
      <c r="X6" s="41" t="s">
        <v>428</v>
      </c>
      <c r="Y6" s="40">
        <v>12</v>
      </c>
      <c r="Z6" s="40">
        <v>36</v>
      </c>
      <c r="AA6" s="40">
        <v>20</v>
      </c>
      <c r="AB6" s="40">
        <v>35</v>
      </c>
      <c r="AC6" s="40">
        <v>85</v>
      </c>
      <c r="AD6" s="40">
        <v>78</v>
      </c>
      <c r="AE6" s="40">
        <v>85</v>
      </c>
      <c r="AF6" s="40">
        <v>0.2</v>
      </c>
      <c r="AG6" s="40">
        <v>33.7</v>
      </c>
      <c r="AH6" s="40">
        <v>0</v>
      </c>
      <c r="AI6" s="40">
        <v>7.5</v>
      </c>
      <c r="AJ6" s="40">
        <v>250</v>
      </c>
      <c r="AK6" s="40">
        <v>2</v>
      </c>
      <c r="AL6" s="40">
        <v>10</v>
      </c>
      <c r="AM6" s="40">
        <v>1</v>
      </c>
      <c r="AN6" s="40">
        <v>2</v>
      </c>
      <c r="AO6" s="42" t="s">
        <v>429</v>
      </c>
    </row>
    <row r="7" ht="76" spans="1:41">
      <c r="A7" s="37" t="s">
        <v>438</v>
      </c>
      <c r="B7" s="37" t="s">
        <v>439</v>
      </c>
      <c r="C7" s="37" t="s">
        <v>421</v>
      </c>
      <c r="D7" s="38">
        <v>12.3</v>
      </c>
      <c r="E7" s="38">
        <v>12.1</v>
      </c>
      <c r="F7" s="38">
        <v>99.4</v>
      </c>
      <c r="G7" s="38">
        <v>98.3</v>
      </c>
      <c r="H7" s="39">
        <f t="shared" si="0"/>
        <v>70</v>
      </c>
      <c r="I7" s="38">
        <v>63.9</v>
      </c>
      <c r="J7" s="38">
        <v>76</v>
      </c>
      <c r="K7" s="37">
        <f t="shared" si="1"/>
        <v>5</v>
      </c>
      <c r="L7" s="37">
        <f t="shared" si="2"/>
        <v>5</v>
      </c>
      <c r="M7" s="40">
        <v>0</v>
      </c>
      <c r="N7" s="38">
        <v>66.4</v>
      </c>
      <c r="O7" s="41"/>
      <c r="P7" s="40">
        <v>100</v>
      </c>
      <c r="Q7" s="40">
        <v>92</v>
      </c>
      <c r="R7" s="41" t="s">
        <v>422</v>
      </c>
      <c r="S7" s="41" t="s">
        <v>423</v>
      </c>
      <c r="T7" s="41" t="s">
        <v>424</v>
      </c>
      <c r="U7" s="41" t="s">
        <v>425</v>
      </c>
      <c r="V7" s="41" t="s">
        <v>426</v>
      </c>
      <c r="W7" s="41" t="s">
        <v>427</v>
      </c>
      <c r="X7" s="41" t="s">
        <v>428</v>
      </c>
      <c r="Y7" s="40">
        <v>85</v>
      </c>
      <c r="Z7" s="40">
        <v>70</v>
      </c>
      <c r="AA7" s="40">
        <v>78</v>
      </c>
      <c r="AB7" s="40">
        <v>80</v>
      </c>
      <c r="AC7" s="40">
        <v>96</v>
      </c>
      <c r="AD7" s="40">
        <v>95</v>
      </c>
      <c r="AE7" s="40">
        <v>96</v>
      </c>
      <c r="AF7" s="40">
        <v>0.1</v>
      </c>
      <c r="AG7" s="40">
        <v>8.4</v>
      </c>
      <c r="AH7" s="40">
        <v>2</v>
      </c>
      <c r="AI7" s="40">
        <v>3.2</v>
      </c>
      <c r="AJ7" s="40">
        <v>2</v>
      </c>
      <c r="AK7" s="40">
        <v>4</v>
      </c>
      <c r="AL7" s="40">
        <v>10</v>
      </c>
      <c r="AM7" s="40">
        <v>2</v>
      </c>
      <c r="AN7" s="40">
        <v>3</v>
      </c>
      <c r="AO7" s="42" t="s">
        <v>429</v>
      </c>
    </row>
    <row r="8" ht="76" spans="1:41">
      <c r="A8" s="37" t="s">
        <v>440</v>
      </c>
      <c r="B8" s="37" t="s">
        <v>441</v>
      </c>
      <c r="C8" s="37" t="s">
        <v>442</v>
      </c>
      <c r="D8" s="38">
        <v>14.8</v>
      </c>
      <c r="E8" s="38">
        <v>74.7</v>
      </c>
      <c r="F8" s="38">
        <v>11.8</v>
      </c>
      <c r="G8" s="38">
        <v>63.1</v>
      </c>
      <c r="H8" s="39">
        <f t="shared" si="0"/>
        <v>34.7</v>
      </c>
      <c r="I8" s="38">
        <v>31.4</v>
      </c>
      <c r="J8" s="38">
        <v>38</v>
      </c>
      <c r="K8" s="37">
        <f t="shared" si="1"/>
        <v>3</v>
      </c>
      <c r="L8" s="37">
        <f t="shared" si="2"/>
        <v>2</v>
      </c>
      <c r="M8" s="40">
        <v>1</v>
      </c>
      <c r="N8" s="38">
        <v>73.3</v>
      </c>
      <c r="O8" s="41"/>
      <c r="P8" s="40">
        <v>50</v>
      </c>
      <c r="Q8" s="40">
        <v>40</v>
      </c>
      <c r="R8" s="41" t="s">
        <v>422</v>
      </c>
      <c r="S8" s="41" t="s">
        <v>423</v>
      </c>
      <c r="T8" s="41" t="s">
        <v>424</v>
      </c>
      <c r="U8" s="41" t="s">
        <v>425</v>
      </c>
      <c r="V8" s="41" t="s">
        <v>426</v>
      </c>
      <c r="W8" s="41" t="s">
        <v>427</v>
      </c>
      <c r="X8" s="41" t="s">
        <v>428</v>
      </c>
      <c r="Y8" s="40">
        <v>3</v>
      </c>
      <c r="Z8" s="40">
        <v>50</v>
      </c>
      <c r="AA8" s="40">
        <v>10</v>
      </c>
      <c r="AB8" s="40">
        <v>20</v>
      </c>
      <c r="AC8" s="40">
        <v>78</v>
      </c>
      <c r="AD8" s="40">
        <v>66</v>
      </c>
      <c r="AE8" s="40">
        <v>78</v>
      </c>
      <c r="AF8" s="40">
        <v>0.8</v>
      </c>
      <c r="AG8" s="40">
        <v>32</v>
      </c>
      <c r="AH8" s="40">
        <v>1</v>
      </c>
      <c r="AI8" s="40">
        <v>5.2</v>
      </c>
      <c r="AJ8" s="40">
        <v>3</v>
      </c>
      <c r="AK8" s="40">
        <v>2</v>
      </c>
      <c r="AL8" s="40">
        <v>4</v>
      </c>
      <c r="AM8" s="40">
        <v>1</v>
      </c>
      <c r="AN8" s="40">
        <v>2</v>
      </c>
      <c r="AO8" s="42" t="s">
        <v>429</v>
      </c>
    </row>
    <row r="9" ht="76" spans="1:41">
      <c r="A9" s="37" t="s">
        <v>443</v>
      </c>
      <c r="B9" s="37" t="s">
        <v>444</v>
      </c>
      <c r="C9" s="37" t="s">
        <v>442</v>
      </c>
      <c r="D9" s="38">
        <v>24.1</v>
      </c>
      <c r="E9" s="38">
        <v>74.9</v>
      </c>
      <c r="F9" s="38">
        <v>23.5</v>
      </c>
      <c r="G9" s="38">
        <v>50</v>
      </c>
      <c r="H9" s="39">
        <f t="shared" si="0"/>
        <v>37.8</v>
      </c>
      <c r="I9" s="38">
        <v>28.5</v>
      </c>
      <c r="J9" s="38">
        <v>47</v>
      </c>
      <c r="K9" s="37">
        <f t="shared" si="1"/>
        <v>3</v>
      </c>
      <c r="L9" s="37">
        <f t="shared" si="2"/>
        <v>3</v>
      </c>
      <c r="M9" s="40">
        <v>0</v>
      </c>
      <c r="N9" s="38">
        <v>94</v>
      </c>
      <c r="O9" s="41"/>
      <c r="P9" s="40">
        <v>50</v>
      </c>
      <c r="Q9" s="40">
        <v>56</v>
      </c>
      <c r="R9" s="41" t="s">
        <v>422</v>
      </c>
      <c r="S9" s="41" t="s">
        <v>423</v>
      </c>
      <c r="T9" s="41" t="s">
        <v>424</v>
      </c>
      <c r="U9" s="41" t="s">
        <v>425</v>
      </c>
      <c r="V9" s="41" t="s">
        <v>426</v>
      </c>
      <c r="W9" s="41" t="s">
        <v>427</v>
      </c>
      <c r="X9" s="41" t="s">
        <v>428</v>
      </c>
      <c r="Y9" s="40">
        <v>2</v>
      </c>
      <c r="Z9" s="40">
        <v>32</v>
      </c>
      <c r="AA9" s="40">
        <v>15</v>
      </c>
      <c r="AB9" s="40">
        <v>25</v>
      </c>
      <c r="AC9" s="40">
        <v>91</v>
      </c>
      <c r="AD9" s="40">
        <v>88</v>
      </c>
      <c r="AE9" s="40">
        <v>91</v>
      </c>
      <c r="AF9" s="40">
        <v>0.6</v>
      </c>
      <c r="AG9" s="40">
        <v>21.6</v>
      </c>
      <c r="AH9" s="40">
        <v>1</v>
      </c>
      <c r="AI9" s="40">
        <v>6.5</v>
      </c>
      <c r="AJ9" s="40">
        <v>100</v>
      </c>
      <c r="AK9" s="40">
        <v>2</v>
      </c>
      <c r="AL9" s="40">
        <v>6</v>
      </c>
      <c r="AM9" s="40">
        <v>1</v>
      </c>
      <c r="AN9" s="40">
        <v>2</v>
      </c>
      <c r="AO9" s="42" t="s">
        <v>429</v>
      </c>
    </row>
    <row r="10" ht="76" spans="1:41">
      <c r="A10" s="37" t="s">
        <v>445</v>
      </c>
      <c r="B10" s="37" t="s">
        <v>446</v>
      </c>
      <c r="C10" s="37" t="s">
        <v>442</v>
      </c>
      <c r="D10" s="38">
        <v>0.5</v>
      </c>
      <c r="E10" s="38">
        <v>11.1</v>
      </c>
      <c r="F10" s="38">
        <v>86.1</v>
      </c>
      <c r="G10" s="38">
        <v>86.2</v>
      </c>
      <c r="H10" s="39">
        <f t="shared" si="0"/>
        <v>60.6</v>
      </c>
      <c r="I10" s="38">
        <v>50.2</v>
      </c>
      <c r="J10" s="38">
        <v>71</v>
      </c>
      <c r="K10" s="37">
        <f t="shared" si="1"/>
        <v>3</v>
      </c>
      <c r="L10" s="37">
        <f t="shared" si="2"/>
        <v>3</v>
      </c>
      <c r="M10" s="40">
        <v>0</v>
      </c>
      <c r="N10" s="38">
        <v>60.1</v>
      </c>
      <c r="O10" s="41"/>
      <c r="P10" s="40">
        <v>60</v>
      </c>
      <c r="Q10" s="40">
        <v>60</v>
      </c>
      <c r="R10" s="41" t="s">
        <v>422</v>
      </c>
      <c r="S10" s="41" t="s">
        <v>423</v>
      </c>
      <c r="T10" s="41" t="s">
        <v>424</v>
      </c>
      <c r="U10" s="41" t="s">
        <v>425</v>
      </c>
      <c r="V10" s="41" t="s">
        <v>426</v>
      </c>
      <c r="W10" s="41" t="s">
        <v>427</v>
      </c>
      <c r="X10" s="41" t="s">
        <v>428</v>
      </c>
      <c r="Y10" s="40">
        <v>30</v>
      </c>
      <c r="Z10" s="40">
        <v>68</v>
      </c>
      <c r="AA10" s="40">
        <v>45</v>
      </c>
      <c r="AB10" s="40">
        <v>70</v>
      </c>
      <c r="AC10" s="40">
        <v>96</v>
      </c>
      <c r="AD10" s="40">
        <v>95</v>
      </c>
      <c r="AE10" s="40">
        <v>96</v>
      </c>
      <c r="AF10" s="40">
        <v>0.5</v>
      </c>
      <c r="AG10" s="40">
        <v>9.7</v>
      </c>
      <c r="AH10" s="40">
        <v>0</v>
      </c>
      <c r="AI10" s="40">
        <v>3</v>
      </c>
      <c r="AJ10" s="40">
        <v>1</v>
      </c>
      <c r="AK10" s="40">
        <v>3</v>
      </c>
      <c r="AL10" s="40">
        <v>1</v>
      </c>
      <c r="AM10" s="40">
        <v>1</v>
      </c>
      <c r="AN10" s="40">
        <v>2</v>
      </c>
      <c r="AO10" s="42" t="s">
        <v>429</v>
      </c>
    </row>
    <row r="11" ht="76" spans="1:41">
      <c r="A11" s="37" t="s">
        <v>447</v>
      </c>
      <c r="B11" s="37" t="s">
        <v>448</v>
      </c>
      <c r="C11" s="37" t="s">
        <v>442</v>
      </c>
      <c r="D11" s="38">
        <v>32.7</v>
      </c>
      <c r="E11" s="38">
        <v>64.5</v>
      </c>
      <c r="F11" s="38">
        <v>54.3</v>
      </c>
      <c r="G11" s="38">
        <v>77.2</v>
      </c>
      <c r="H11" s="39">
        <f t="shared" si="0"/>
        <v>40.2</v>
      </c>
      <c r="I11" s="38">
        <v>34.3</v>
      </c>
      <c r="J11" s="38">
        <v>46</v>
      </c>
      <c r="K11" s="37">
        <f t="shared" si="1"/>
        <v>4</v>
      </c>
      <c r="L11" s="37">
        <f t="shared" si="2"/>
        <v>3</v>
      </c>
      <c r="M11" s="40">
        <v>0</v>
      </c>
      <c r="N11" s="38">
        <v>87.1</v>
      </c>
      <c r="O11" s="41"/>
      <c r="P11" s="40">
        <v>80</v>
      </c>
      <c r="Q11" s="40">
        <v>56</v>
      </c>
      <c r="R11" s="41" t="s">
        <v>422</v>
      </c>
      <c r="S11" s="41" t="s">
        <v>423</v>
      </c>
      <c r="T11" s="41" t="s">
        <v>424</v>
      </c>
      <c r="U11" s="41" t="s">
        <v>425</v>
      </c>
      <c r="V11" s="41" t="s">
        <v>426</v>
      </c>
      <c r="W11" s="41" t="s">
        <v>427</v>
      </c>
      <c r="X11" s="41" t="s">
        <v>428</v>
      </c>
      <c r="Y11" s="40">
        <v>8</v>
      </c>
      <c r="Z11" s="40">
        <v>53</v>
      </c>
      <c r="AA11" s="40">
        <v>22</v>
      </c>
      <c r="AB11" s="40">
        <v>40</v>
      </c>
      <c r="AC11" s="40">
        <v>84</v>
      </c>
      <c r="AD11" s="40">
        <v>76</v>
      </c>
      <c r="AE11" s="40">
        <v>84</v>
      </c>
      <c r="AF11" s="40">
        <v>1.9</v>
      </c>
      <c r="AG11" s="40">
        <v>21.6</v>
      </c>
      <c r="AH11" s="40">
        <v>1</v>
      </c>
      <c r="AI11" s="40">
        <v>5</v>
      </c>
      <c r="AJ11" s="40">
        <v>5</v>
      </c>
      <c r="AK11" s="40">
        <v>3</v>
      </c>
      <c r="AL11" s="40">
        <v>6</v>
      </c>
      <c r="AM11" s="40">
        <v>2</v>
      </c>
      <c r="AN11" s="40">
        <v>3</v>
      </c>
      <c r="AO11" s="42" t="s">
        <v>429</v>
      </c>
    </row>
    <row r="12" ht="76" spans="1:41">
      <c r="A12" s="37" t="s">
        <v>449</v>
      </c>
      <c r="B12" s="37" t="s">
        <v>450</v>
      </c>
      <c r="C12" s="37" t="s">
        <v>442</v>
      </c>
      <c r="D12" s="38">
        <v>2.8</v>
      </c>
      <c r="E12" s="38">
        <v>42.4</v>
      </c>
      <c r="F12" s="38">
        <v>61.1</v>
      </c>
      <c r="G12" s="38">
        <v>78.4</v>
      </c>
      <c r="H12" s="39">
        <f t="shared" si="0"/>
        <v>43.9</v>
      </c>
      <c r="I12" s="38">
        <v>34.7</v>
      </c>
      <c r="J12" s="38">
        <v>53</v>
      </c>
      <c r="K12" s="37">
        <f t="shared" si="1"/>
        <v>4</v>
      </c>
      <c r="L12" s="37">
        <f t="shared" si="2"/>
        <v>2</v>
      </c>
      <c r="M12" s="40">
        <v>0</v>
      </c>
      <c r="N12" s="38">
        <v>76.1</v>
      </c>
      <c r="O12" s="41"/>
      <c r="P12" s="40">
        <v>80</v>
      </c>
      <c r="Q12" s="40">
        <v>44</v>
      </c>
      <c r="R12" s="41" t="s">
        <v>422</v>
      </c>
      <c r="S12" s="41" t="s">
        <v>423</v>
      </c>
      <c r="T12" s="41" t="s">
        <v>424</v>
      </c>
      <c r="U12" s="41" t="s">
        <v>425</v>
      </c>
      <c r="V12" s="41" t="s">
        <v>426</v>
      </c>
      <c r="W12" s="41" t="s">
        <v>427</v>
      </c>
      <c r="X12" s="41" t="s">
        <v>428</v>
      </c>
      <c r="Y12" s="40">
        <v>5</v>
      </c>
      <c r="Z12" s="40">
        <v>64</v>
      </c>
      <c r="AA12" s="40">
        <v>25</v>
      </c>
      <c r="AB12" s="40">
        <v>45</v>
      </c>
      <c r="AC12" s="40">
        <v>90</v>
      </c>
      <c r="AD12" s="40">
        <v>84</v>
      </c>
      <c r="AE12" s="40">
        <v>90</v>
      </c>
      <c r="AF12" s="40">
        <v>1.6</v>
      </c>
      <c r="AG12" s="40">
        <v>14.3</v>
      </c>
      <c r="AH12" s="40">
        <v>0</v>
      </c>
      <c r="AI12" s="40">
        <v>4.5</v>
      </c>
      <c r="AJ12" s="40">
        <v>2</v>
      </c>
      <c r="AK12" s="40">
        <v>2</v>
      </c>
      <c r="AL12" s="40">
        <v>2</v>
      </c>
      <c r="AM12" s="40">
        <v>2</v>
      </c>
      <c r="AN12" s="40">
        <v>2</v>
      </c>
      <c r="AO12" s="42" t="s">
        <v>429</v>
      </c>
    </row>
    <row r="13" ht="76" spans="1:41">
      <c r="A13" s="37" t="s">
        <v>451</v>
      </c>
      <c r="B13" s="37" t="s">
        <v>452</v>
      </c>
      <c r="C13" s="37" t="s">
        <v>442</v>
      </c>
      <c r="D13" s="38">
        <v>35.1</v>
      </c>
      <c r="E13" s="38">
        <v>35.9</v>
      </c>
      <c r="F13" s="38">
        <v>37</v>
      </c>
      <c r="G13" s="38">
        <v>99.1</v>
      </c>
      <c r="H13" s="39">
        <f t="shared" si="0"/>
        <v>46.1</v>
      </c>
      <c r="I13" s="38">
        <v>36.1</v>
      </c>
      <c r="J13" s="38">
        <v>56</v>
      </c>
      <c r="K13" s="37">
        <f t="shared" si="1"/>
        <v>4</v>
      </c>
      <c r="L13" s="37">
        <f t="shared" si="2"/>
        <v>3</v>
      </c>
      <c r="M13" s="40">
        <v>2</v>
      </c>
      <c r="N13" s="38">
        <v>62.3</v>
      </c>
      <c r="O13" s="41"/>
      <c r="P13" s="40">
        <v>70</v>
      </c>
      <c r="Q13" s="40">
        <v>68</v>
      </c>
      <c r="R13" s="41" t="s">
        <v>422</v>
      </c>
      <c r="S13" s="41" t="s">
        <v>423</v>
      </c>
      <c r="T13" s="41" t="s">
        <v>424</v>
      </c>
      <c r="U13" s="41" t="s">
        <v>425</v>
      </c>
      <c r="V13" s="41" t="s">
        <v>426</v>
      </c>
      <c r="W13" s="41" t="s">
        <v>427</v>
      </c>
      <c r="X13" s="41" t="s">
        <v>428</v>
      </c>
      <c r="Y13" s="40">
        <v>6</v>
      </c>
      <c r="Z13" s="40">
        <v>59</v>
      </c>
      <c r="AA13" s="40">
        <v>25</v>
      </c>
      <c r="AB13" s="40">
        <v>45</v>
      </c>
      <c r="AC13" s="40">
        <v>97</v>
      </c>
      <c r="AD13" s="40">
        <v>92</v>
      </c>
      <c r="AE13" s="40">
        <v>97</v>
      </c>
      <c r="AF13" s="40">
        <v>1.7</v>
      </c>
      <c r="AG13" s="40">
        <v>17.5</v>
      </c>
      <c r="AH13" s="40">
        <v>1</v>
      </c>
      <c r="AI13" s="40">
        <v>4.2</v>
      </c>
      <c r="AJ13" s="40">
        <v>4</v>
      </c>
      <c r="AK13" s="40">
        <v>3</v>
      </c>
      <c r="AL13" s="40">
        <v>8</v>
      </c>
      <c r="AM13" s="40">
        <v>2</v>
      </c>
      <c r="AN13" s="40">
        <v>3</v>
      </c>
      <c r="AO13" s="42" t="s">
        <v>429</v>
      </c>
    </row>
    <row r="14" ht="76" spans="1:41">
      <c r="A14" s="37" t="s">
        <v>453</v>
      </c>
      <c r="B14" s="37" t="s">
        <v>454</v>
      </c>
      <c r="C14" s="37" t="s">
        <v>442</v>
      </c>
      <c r="D14" s="38">
        <v>15.1</v>
      </c>
      <c r="E14" s="38">
        <v>92.1</v>
      </c>
      <c r="F14" s="38">
        <v>32.6</v>
      </c>
      <c r="G14" s="38">
        <v>93.3</v>
      </c>
      <c r="H14" s="39">
        <f t="shared" si="0"/>
        <v>34.4</v>
      </c>
      <c r="I14" s="38">
        <v>25.7</v>
      </c>
      <c r="J14" s="38">
        <v>43</v>
      </c>
      <c r="K14" s="37">
        <f t="shared" si="1"/>
        <v>4</v>
      </c>
      <c r="L14" s="37">
        <f t="shared" si="2"/>
        <v>3</v>
      </c>
      <c r="M14" s="40">
        <v>6</v>
      </c>
      <c r="N14" s="38">
        <v>98.5</v>
      </c>
      <c r="O14" s="41"/>
      <c r="P14" s="40">
        <v>80</v>
      </c>
      <c r="Q14" s="40">
        <v>68</v>
      </c>
      <c r="R14" s="41" t="s">
        <v>422</v>
      </c>
      <c r="S14" s="41" t="s">
        <v>423</v>
      </c>
      <c r="T14" s="41" t="s">
        <v>424</v>
      </c>
      <c r="U14" s="41" t="s">
        <v>425</v>
      </c>
      <c r="V14" s="41" t="s">
        <v>426</v>
      </c>
      <c r="W14" s="41" t="s">
        <v>427</v>
      </c>
      <c r="X14" s="41" t="s">
        <v>428</v>
      </c>
      <c r="Y14" s="40">
        <v>3</v>
      </c>
      <c r="Z14" s="40">
        <v>38</v>
      </c>
      <c r="AA14" s="40">
        <v>12</v>
      </c>
      <c r="AB14" s="40">
        <v>30</v>
      </c>
      <c r="AC14" s="40">
        <v>63</v>
      </c>
      <c r="AD14" s="40">
        <v>55</v>
      </c>
      <c r="AE14" s="40">
        <v>63</v>
      </c>
      <c r="AF14" s="40">
        <v>1.4</v>
      </c>
      <c r="AG14" s="40">
        <v>29.4</v>
      </c>
      <c r="AH14" s="40">
        <v>0</v>
      </c>
      <c r="AI14" s="40">
        <v>5.8</v>
      </c>
      <c r="AJ14" s="40">
        <v>3</v>
      </c>
      <c r="AK14" s="40">
        <v>2</v>
      </c>
      <c r="AL14" s="40">
        <v>4</v>
      </c>
      <c r="AM14" s="40">
        <v>1</v>
      </c>
      <c r="AN14" s="40">
        <v>2</v>
      </c>
      <c r="AO14" s="42" t="s">
        <v>429</v>
      </c>
    </row>
    <row r="15" ht="76" spans="1:41">
      <c r="A15" s="37" t="s">
        <v>455</v>
      </c>
      <c r="B15" s="37" t="s">
        <v>456</v>
      </c>
      <c r="C15" s="37" t="s">
        <v>442</v>
      </c>
      <c r="D15" s="38">
        <v>2.2</v>
      </c>
      <c r="E15" s="38">
        <v>67.3</v>
      </c>
      <c r="F15" s="38">
        <v>42.8</v>
      </c>
      <c r="G15" s="38">
        <v>61.8</v>
      </c>
      <c r="H15" s="39">
        <f t="shared" si="0"/>
        <v>33.7</v>
      </c>
      <c r="I15" s="38">
        <v>24.3</v>
      </c>
      <c r="J15" s="38">
        <v>43</v>
      </c>
      <c r="K15" s="37">
        <f t="shared" si="1"/>
        <v>4</v>
      </c>
      <c r="L15" s="37">
        <f t="shared" si="2"/>
        <v>4</v>
      </c>
      <c r="M15" s="40">
        <v>0</v>
      </c>
      <c r="N15" s="38">
        <v>89.9</v>
      </c>
      <c r="O15" s="41"/>
      <c r="P15" s="40">
        <v>90</v>
      </c>
      <c r="Q15" s="40">
        <v>76</v>
      </c>
      <c r="R15" s="41" t="s">
        <v>422</v>
      </c>
      <c r="S15" s="41" t="s">
        <v>423</v>
      </c>
      <c r="T15" s="41" t="s">
        <v>424</v>
      </c>
      <c r="U15" s="41" t="s">
        <v>425</v>
      </c>
      <c r="V15" s="41" t="s">
        <v>426</v>
      </c>
      <c r="W15" s="41" t="s">
        <v>427</v>
      </c>
      <c r="X15" s="41" t="s">
        <v>428</v>
      </c>
      <c r="Y15" s="40">
        <v>2</v>
      </c>
      <c r="Z15" s="40">
        <v>45</v>
      </c>
      <c r="AA15" s="40">
        <v>10</v>
      </c>
      <c r="AB15" s="40">
        <v>25</v>
      </c>
      <c r="AC15" s="40">
        <v>84</v>
      </c>
      <c r="AD15" s="40">
        <v>76</v>
      </c>
      <c r="AE15" s="40">
        <v>84</v>
      </c>
      <c r="AF15" s="40">
        <v>3.2</v>
      </c>
      <c r="AG15" s="40">
        <v>27.6</v>
      </c>
      <c r="AH15" s="40">
        <v>0</v>
      </c>
      <c r="AI15" s="40">
        <v>5.5</v>
      </c>
      <c r="AJ15" s="40">
        <v>5</v>
      </c>
      <c r="AK15" s="40">
        <v>1</v>
      </c>
      <c r="AL15" s="40">
        <v>2</v>
      </c>
      <c r="AM15" s="40">
        <v>0</v>
      </c>
      <c r="AN15" s="40">
        <v>1</v>
      </c>
      <c r="AO15" s="42" t="s">
        <v>429</v>
      </c>
    </row>
    <row r="16" ht="76" spans="1:41">
      <c r="A16" s="37" t="s">
        <v>457</v>
      </c>
      <c r="B16" s="37" t="s">
        <v>458</v>
      </c>
      <c r="C16" s="37" t="s">
        <v>442</v>
      </c>
      <c r="D16" s="38">
        <v>5.7</v>
      </c>
      <c r="E16" s="38">
        <v>86.4</v>
      </c>
      <c r="F16" s="38">
        <v>34.6</v>
      </c>
      <c r="G16" s="38">
        <v>86</v>
      </c>
      <c r="H16" s="39">
        <f t="shared" si="0"/>
        <v>42.4</v>
      </c>
      <c r="I16" s="38">
        <v>35.7</v>
      </c>
      <c r="J16" s="38">
        <v>49</v>
      </c>
      <c r="K16" s="37">
        <f t="shared" si="1"/>
        <v>4</v>
      </c>
      <c r="L16" s="37">
        <f t="shared" si="2"/>
        <v>3</v>
      </c>
      <c r="M16" s="40">
        <v>0</v>
      </c>
      <c r="N16" s="38">
        <v>88.9</v>
      </c>
      <c r="O16" s="41"/>
      <c r="P16" s="40">
        <v>70</v>
      </c>
      <c r="Q16" s="40">
        <v>56</v>
      </c>
      <c r="R16" s="41" t="s">
        <v>422</v>
      </c>
      <c r="S16" s="41" t="s">
        <v>423</v>
      </c>
      <c r="T16" s="41" t="s">
        <v>424</v>
      </c>
      <c r="U16" s="41" t="s">
        <v>425</v>
      </c>
      <c r="V16" s="41" t="s">
        <v>426</v>
      </c>
      <c r="W16" s="41" t="s">
        <v>427</v>
      </c>
      <c r="X16" s="41" t="s">
        <v>428</v>
      </c>
      <c r="Y16" s="40">
        <v>3</v>
      </c>
      <c r="Z16" s="40">
        <v>53</v>
      </c>
      <c r="AA16" s="40">
        <v>15</v>
      </c>
      <c r="AB16" s="40">
        <v>25</v>
      </c>
      <c r="AC16" s="40">
        <v>68</v>
      </c>
      <c r="AD16" s="40">
        <v>63</v>
      </c>
      <c r="AE16" s="40">
        <v>68</v>
      </c>
      <c r="AF16" s="40">
        <v>1.1</v>
      </c>
      <c r="AG16" s="40">
        <v>27.4</v>
      </c>
      <c r="AH16" s="40">
        <v>0</v>
      </c>
      <c r="AI16" s="40">
        <v>5.6</v>
      </c>
      <c r="AJ16" s="40">
        <v>3</v>
      </c>
      <c r="AK16" s="40">
        <v>2</v>
      </c>
      <c r="AL16" s="40">
        <v>3</v>
      </c>
      <c r="AM16" s="40">
        <v>1</v>
      </c>
      <c r="AN16" s="40">
        <v>2</v>
      </c>
      <c r="AO16" s="42" t="s">
        <v>429</v>
      </c>
    </row>
    <row r="17" ht="76" spans="1:41">
      <c r="A17" s="37" t="s">
        <v>459</v>
      </c>
      <c r="B17" s="37" t="s">
        <v>460</v>
      </c>
      <c r="C17" s="37" t="s">
        <v>442</v>
      </c>
      <c r="D17" s="38">
        <v>25.2</v>
      </c>
      <c r="E17" s="38">
        <v>73</v>
      </c>
      <c r="F17" s="38">
        <v>38.7</v>
      </c>
      <c r="G17" s="38">
        <v>80</v>
      </c>
      <c r="H17" s="39">
        <f t="shared" si="0"/>
        <v>35.3</v>
      </c>
      <c r="I17" s="38">
        <v>29.6</v>
      </c>
      <c r="J17" s="38">
        <v>41</v>
      </c>
      <c r="K17" s="37">
        <f t="shared" si="1"/>
        <v>4</v>
      </c>
      <c r="L17" s="37">
        <f t="shared" si="2"/>
        <v>3</v>
      </c>
      <c r="M17" s="40">
        <v>2</v>
      </c>
      <c r="N17" s="38">
        <v>99.5</v>
      </c>
      <c r="O17" s="41"/>
      <c r="P17" s="40">
        <v>80</v>
      </c>
      <c r="Q17" s="40">
        <v>64</v>
      </c>
      <c r="R17" s="41" t="s">
        <v>422</v>
      </c>
      <c r="S17" s="41" t="s">
        <v>423</v>
      </c>
      <c r="T17" s="41" t="s">
        <v>424</v>
      </c>
      <c r="U17" s="41" t="s">
        <v>425</v>
      </c>
      <c r="V17" s="41" t="s">
        <v>426</v>
      </c>
      <c r="W17" s="41" t="s">
        <v>427</v>
      </c>
      <c r="X17" s="41" t="s">
        <v>428</v>
      </c>
      <c r="Y17" s="40">
        <v>2</v>
      </c>
      <c r="Z17" s="40">
        <v>45</v>
      </c>
      <c r="AA17" s="40">
        <v>20</v>
      </c>
      <c r="AB17" s="40">
        <v>30</v>
      </c>
      <c r="AC17" s="40">
        <v>76</v>
      </c>
      <c r="AD17" s="40">
        <v>70</v>
      </c>
      <c r="AE17" s="40">
        <v>76</v>
      </c>
      <c r="AF17" s="40">
        <v>0.8</v>
      </c>
      <c r="AG17" s="40">
        <v>21.4</v>
      </c>
      <c r="AH17" s="40">
        <v>0</v>
      </c>
      <c r="AI17" s="40">
        <v>7</v>
      </c>
      <c r="AJ17" s="40">
        <v>22</v>
      </c>
      <c r="AK17" s="40">
        <v>2</v>
      </c>
      <c r="AL17" s="40">
        <v>6</v>
      </c>
      <c r="AM17" s="40">
        <v>1</v>
      </c>
      <c r="AN17" s="40">
        <v>2</v>
      </c>
      <c r="AO17" s="42" t="s">
        <v>429</v>
      </c>
    </row>
    <row r="18" ht="76" spans="1:41">
      <c r="A18" s="37" t="s">
        <v>461</v>
      </c>
      <c r="B18" s="37" t="s">
        <v>462</v>
      </c>
      <c r="C18" s="37" t="s">
        <v>442</v>
      </c>
      <c r="D18" s="38">
        <v>5.3</v>
      </c>
      <c r="E18" s="38">
        <v>36.9</v>
      </c>
      <c r="F18" s="38">
        <v>58.7</v>
      </c>
      <c r="G18" s="38">
        <v>58.8</v>
      </c>
      <c r="H18" s="39">
        <f t="shared" si="0"/>
        <v>41.1</v>
      </c>
      <c r="I18" s="38">
        <v>42.1</v>
      </c>
      <c r="J18" s="38">
        <v>40</v>
      </c>
      <c r="K18" s="37">
        <f t="shared" si="1"/>
        <v>3</v>
      </c>
      <c r="L18" s="37">
        <f t="shared" si="2"/>
        <v>2</v>
      </c>
      <c r="M18" s="40">
        <v>2</v>
      </c>
      <c r="N18" s="38">
        <v>87</v>
      </c>
      <c r="O18" s="41"/>
      <c r="P18" s="40">
        <v>50</v>
      </c>
      <c r="Q18" s="40">
        <v>36</v>
      </c>
      <c r="R18" s="41" t="s">
        <v>422</v>
      </c>
      <c r="S18" s="41" t="s">
        <v>423</v>
      </c>
      <c r="T18" s="41" t="s">
        <v>424</v>
      </c>
      <c r="U18" s="41" t="s">
        <v>425</v>
      </c>
      <c r="V18" s="41" t="s">
        <v>426</v>
      </c>
      <c r="W18" s="41" t="s">
        <v>427</v>
      </c>
      <c r="X18" s="41" t="s">
        <v>428</v>
      </c>
      <c r="Y18" s="40">
        <v>8</v>
      </c>
      <c r="Z18" s="40">
        <v>57</v>
      </c>
      <c r="AA18" s="40">
        <v>20</v>
      </c>
      <c r="AB18" s="40">
        <v>30</v>
      </c>
      <c r="AC18" s="40">
        <v>82</v>
      </c>
      <c r="AD18" s="40">
        <v>76</v>
      </c>
      <c r="AE18" s="40">
        <v>82</v>
      </c>
      <c r="AF18" s="40">
        <v>0.2</v>
      </c>
      <c r="AG18" s="40">
        <v>22.8</v>
      </c>
      <c r="AH18" s="40">
        <v>0</v>
      </c>
      <c r="AI18" s="40">
        <v>5.4</v>
      </c>
      <c r="AJ18" s="40">
        <v>25</v>
      </c>
      <c r="AK18" s="40">
        <v>2</v>
      </c>
      <c r="AL18" s="40">
        <v>2</v>
      </c>
      <c r="AM18" s="40">
        <v>0</v>
      </c>
      <c r="AN18" s="40">
        <v>1</v>
      </c>
      <c r="AO18" s="42" t="s">
        <v>429</v>
      </c>
    </row>
    <row r="19" ht="76" spans="1:41">
      <c r="A19" s="37" t="s">
        <v>463</v>
      </c>
      <c r="B19" s="37" t="s">
        <v>464</v>
      </c>
      <c r="C19" s="37" t="s">
        <v>442</v>
      </c>
      <c r="D19" s="38">
        <v>27.9</v>
      </c>
      <c r="E19" s="38">
        <v>110.7</v>
      </c>
      <c r="F19" s="38">
        <v>53.1</v>
      </c>
      <c r="G19" s="38">
        <v>87.3</v>
      </c>
      <c r="H19" s="39">
        <f t="shared" si="0"/>
        <v>32.8</v>
      </c>
      <c r="I19" s="38">
        <v>26.5</v>
      </c>
      <c r="J19" s="38">
        <v>39</v>
      </c>
      <c r="K19" s="37">
        <f t="shared" si="1"/>
        <v>4</v>
      </c>
      <c r="L19" s="37">
        <f t="shared" si="2"/>
        <v>4</v>
      </c>
      <c r="M19" s="40">
        <v>6</v>
      </c>
      <c r="N19" s="38">
        <v>93.4</v>
      </c>
      <c r="O19" s="41"/>
      <c r="P19" s="40">
        <v>80</v>
      </c>
      <c r="Q19" s="40">
        <v>72</v>
      </c>
      <c r="R19" s="41" t="s">
        <v>422</v>
      </c>
      <c r="S19" s="41" t="s">
        <v>423</v>
      </c>
      <c r="T19" s="41" t="s">
        <v>424</v>
      </c>
      <c r="U19" s="41" t="s">
        <v>425</v>
      </c>
      <c r="V19" s="41" t="s">
        <v>426</v>
      </c>
      <c r="W19" s="41" t="s">
        <v>427</v>
      </c>
      <c r="X19" s="41" t="s">
        <v>428</v>
      </c>
      <c r="Y19" s="40">
        <v>2</v>
      </c>
      <c r="Z19" s="40">
        <v>17</v>
      </c>
      <c r="AA19" s="40">
        <v>12</v>
      </c>
      <c r="AB19" s="40">
        <v>20</v>
      </c>
      <c r="AC19" s="40">
        <v>81</v>
      </c>
      <c r="AD19" s="40">
        <v>80</v>
      </c>
      <c r="AE19" s="40">
        <v>81</v>
      </c>
      <c r="AF19" s="40">
        <v>0.2</v>
      </c>
      <c r="AG19" s="40">
        <v>47.1</v>
      </c>
      <c r="AH19" s="40">
        <v>0</v>
      </c>
      <c r="AI19" s="40">
        <v>7.2</v>
      </c>
      <c r="AJ19" s="40">
        <v>30</v>
      </c>
      <c r="AK19" s="40">
        <v>2</v>
      </c>
      <c r="AL19" s="40">
        <v>6</v>
      </c>
      <c r="AM19" s="40">
        <v>1</v>
      </c>
      <c r="AN19" s="40">
        <v>2</v>
      </c>
      <c r="AO19" s="42" t="s">
        <v>429</v>
      </c>
    </row>
    <row r="20" ht="76" spans="1:41">
      <c r="A20" s="37" t="s">
        <v>465</v>
      </c>
      <c r="B20" s="37" t="s">
        <v>466</v>
      </c>
      <c r="C20" s="37" t="s">
        <v>442</v>
      </c>
      <c r="D20" s="38">
        <v>237.5</v>
      </c>
      <c r="E20" s="38">
        <v>115.6</v>
      </c>
      <c r="F20" s="38">
        <v>34.2</v>
      </c>
      <c r="G20" s="38">
        <v>95.1</v>
      </c>
      <c r="H20" s="39">
        <f t="shared" si="0"/>
        <v>39.3</v>
      </c>
      <c r="I20" s="38">
        <v>31.6</v>
      </c>
      <c r="J20" s="38">
        <v>47</v>
      </c>
      <c r="K20" s="37">
        <f t="shared" si="1"/>
        <v>4</v>
      </c>
      <c r="L20" s="37">
        <f t="shared" si="2"/>
        <v>3</v>
      </c>
      <c r="M20" s="40">
        <v>6</v>
      </c>
      <c r="N20" s="38">
        <v>98</v>
      </c>
      <c r="O20" s="41"/>
      <c r="P20" s="40">
        <v>80</v>
      </c>
      <c r="Q20" s="40">
        <v>60</v>
      </c>
      <c r="R20" s="41" t="s">
        <v>422</v>
      </c>
      <c r="S20" s="41" t="s">
        <v>423</v>
      </c>
      <c r="T20" s="41" t="s">
        <v>424</v>
      </c>
      <c r="U20" s="41" t="s">
        <v>425</v>
      </c>
      <c r="V20" s="41" t="s">
        <v>426</v>
      </c>
      <c r="W20" s="41" t="s">
        <v>427</v>
      </c>
      <c r="X20" s="41" t="s">
        <v>428</v>
      </c>
      <c r="Y20" s="40">
        <v>5</v>
      </c>
      <c r="Z20" s="40">
        <v>54</v>
      </c>
      <c r="AA20" s="40">
        <v>21</v>
      </c>
      <c r="AB20" s="40">
        <v>25</v>
      </c>
      <c r="AC20" s="40">
        <v>62</v>
      </c>
      <c r="AD20" s="40">
        <v>59</v>
      </c>
      <c r="AE20" s="40">
        <v>62</v>
      </c>
      <c r="AF20" s="40">
        <v>1.3</v>
      </c>
      <c r="AG20" s="40">
        <v>31.5</v>
      </c>
      <c r="AH20" s="40">
        <v>1</v>
      </c>
      <c r="AI20" s="40">
        <v>7.1</v>
      </c>
      <c r="AJ20" s="40">
        <v>20</v>
      </c>
      <c r="AK20" s="40">
        <v>4</v>
      </c>
      <c r="AL20" s="40">
        <v>100</v>
      </c>
      <c r="AM20" s="40">
        <v>3</v>
      </c>
      <c r="AN20" s="40">
        <v>3</v>
      </c>
      <c r="AO20" s="42" t="s">
        <v>429</v>
      </c>
    </row>
    <row r="21" ht="76" spans="1:41">
      <c r="A21" s="37" t="s">
        <v>467</v>
      </c>
      <c r="B21" s="37" t="s">
        <v>468</v>
      </c>
      <c r="C21" s="37" t="s">
        <v>442</v>
      </c>
      <c r="D21" s="38">
        <v>18.9</v>
      </c>
      <c r="E21" s="38">
        <v>36.5</v>
      </c>
      <c r="F21" s="38">
        <v>71</v>
      </c>
      <c r="G21" s="38">
        <v>95.4</v>
      </c>
      <c r="H21" s="39">
        <f t="shared" si="0"/>
        <v>41</v>
      </c>
      <c r="I21" s="38">
        <v>34</v>
      </c>
      <c r="J21" s="38">
        <v>48</v>
      </c>
      <c r="K21" s="37">
        <f t="shared" si="1"/>
        <v>4</v>
      </c>
      <c r="L21" s="37">
        <f t="shared" si="2"/>
        <v>3</v>
      </c>
      <c r="M21" s="40">
        <v>1</v>
      </c>
      <c r="N21" s="38">
        <v>71.5</v>
      </c>
      <c r="O21" s="41"/>
      <c r="P21" s="40">
        <v>60</v>
      </c>
      <c r="Q21" s="40">
        <v>56</v>
      </c>
      <c r="R21" s="41" t="s">
        <v>422</v>
      </c>
      <c r="S21" s="41" t="s">
        <v>423</v>
      </c>
      <c r="T21" s="41" t="s">
        <v>424</v>
      </c>
      <c r="U21" s="41" t="s">
        <v>425</v>
      </c>
      <c r="V21" s="41" t="s">
        <v>426</v>
      </c>
      <c r="W21" s="41" t="s">
        <v>427</v>
      </c>
      <c r="X21" s="41" t="s">
        <v>428</v>
      </c>
      <c r="Y21" s="40">
        <v>25</v>
      </c>
      <c r="Z21" s="40">
        <v>49</v>
      </c>
      <c r="AA21" s="40">
        <v>26</v>
      </c>
      <c r="AB21" s="40">
        <v>50</v>
      </c>
      <c r="AC21" s="40">
        <v>93</v>
      </c>
      <c r="AD21" s="40">
        <v>88</v>
      </c>
      <c r="AE21" s="40">
        <v>93</v>
      </c>
      <c r="AF21" s="40">
        <v>0.3</v>
      </c>
      <c r="AG21" s="40">
        <v>17.2</v>
      </c>
      <c r="AH21" s="40">
        <v>1</v>
      </c>
      <c r="AI21" s="40">
        <v>4.4</v>
      </c>
      <c r="AJ21" s="40">
        <v>1</v>
      </c>
      <c r="AK21" s="40">
        <v>3</v>
      </c>
      <c r="AL21" s="40">
        <v>8</v>
      </c>
      <c r="AM21" s="40">
        <v>3</v>
      </c>
      <c r="AN21" s="40">
        <v>3</v>
      </c>
      <c r="AO21" s="42" t="s">
        <v>429</v>
      </c>
    </row>
    <row r="22" ht="76" spans="1:41">
      <c r="A22" s="37" t="s">
        <v>469</v>
      </c>
      <c r="B22" s="37" t="s">
        <v>470</v>
      </c>
      <c r="C22" s="37" t="s">
        <v>442</v>
      </c>
      <c r="D22" s="38">
        <v>8.8</v>
      </c>
      <c r="E22" s="38">
        <v>90.5</v>
      </c>
      <c r="F22" s="38">
        <v>15.3</v>
      </c>
      <c r="G22" s="38">
        <v>57</v>
      </c>
      <c r="H22" s="39">
        <f t="shared" si="0"/>
        <v>39.5</v>
      </c>
      <c r="I22" s="38">
        <v>30.9</v>
      </c>
      <c r="J22" s="38">
        <v>48</v>
      </c>
      <c r="K22" s="37">
        <f t="shared" si="1"/>
        <v>4</v>
      </c>
      <c r="L22" s="37">
        <f t="shared" si="2"/>
        <v>3</v>
      </c>
      <c r="M22" s="40">
        <v>0</v>
      </c>
      <c r="N22" s="38">
        <v>81.4</v>
      </c>
      <c r="O22" s="41"/>
      <c r="P22" s="40">
        <v>80</v>
      </c>
      <c r="Q22" s="40">
        <v>64</v>
      </c>
      <c r="R22" s="41" t="s">
        <v>422</v>
      </c>
      <c r="S22" s="41" t="s">
        <v>423</v>
      </c>
      <c r="T22" s="41" t="s">
        <v>424</v>
      </c>
      <c r="U22" s="41" t="s">
        <v>425</v>
      </c>
      <c r="V22" s="41" t="s">
        <v>426</v>
      </c>
      <c r="W22" s="41" t="s">
        <v>427</v>
      </c>
      <c r="X22" s="41" t="s">
        <v>428</v>
      </c>
      <c r="Y22" s="40">
        <v>2</v>
      </c>
      <c r="Z22" s="40">
        <v>44</v>
      </c>
      <c r="AA22" s="40">
        <v>12</v>
      </c>
      <c r="AB22" s="40">
        <v>20</v>
      </c>
      <c r="AC22" s="40">
        <v>87</v>
      </c>
      <c r="AD22" s="40">
        <v>82</v>
      </c>
      <c r="AE22" s="40">
        <v>87</v>
      </c>
      <c r="AF22" s="40">
        <v>1.7</v>
      </c>
      <c r="AG22" s="40">
        <v>26.3</v>
      </c>
      <c r="AH22" s="40">
        <v>0</v>
      </c>
      <c r="AI22" s="40">
        <v>5.7</v>
      </c>
      <c r="AJ22" s="40">
        <v>1</v>
      </c>
      <c r="AK22" s="40">
        <v>2</v>
      </c>
      <c r="AL22" s="40">
        <v>3</v>
      </c>
      <c r="AM22" s="40">
        <v>1</v>
      </c>
      <c r="AN22" s="40">
        <v>2</v>
      </c>
      <c r="AO22" s="42" t="s">
        <v>429</v>
      </c>
    </row>
    <row r="23" ht="76" spans="1:41">
      <c r="A23" s="37" t="s">
        <v>471</v>
      </c>
      <c r="B23" s="37" t="s">
        <v>472</v>
      </c>
      <c r="C23" s="37" t="s">
        <v>442</v>
      </c>
      <c r="D23" s="38">
        <v>8.6</v>
      </c>
      <c r="E23" s="38">
        <v>56.1</v>
      </c>
      <c r="F23" s="38">
        <v>38.4</v>
      </c>
      <c r="G23" s="38">
        <v>64.8</v>
      </c>
      <c r="H23" s="39">
        <f t="shared" si="0"/>
        <v>37.8</v>
      </c>
      <c r="I23" s="38">
        <v>33.5</v>
      </c>
      <c r="J23" s="38">
        <v>42</v>
      </c>
      <c r="K23" s="37">
        <f t="shared" si="1"/>
        <v>3</v>
      </c>
      <c r="L23" s="37">
        <f t="shared" si="2"/>
        <v>3</v>
      </c>
      <c r="M23" s="40">
        <v>3</v>
      </c>
      <c r="N23" s="38">
        <v>82.1</v>
      </c>
      <c r="O23" s="41"/>
      <c r="P23" s="40">
        <v>70</v>
      </c>
      <c r="Q23" s="40">
        <v>52</v>
      </c>
      <c r="R23" s="41" t="s">
        <v>422</v>
      </c>
      <c r="S23" s="41" t="s">
        <v>423</v>
      </c>
      <c r="T23" s="41" t="s">
        <v>424</v>
      </c>
      <c r="U23" s="41" t="s">
        <v>425</v>
      </c>
      <c r="V23" s="41" t="s">
        <v>426</v>
      </c>
      <c r="W23" s="41" t="s">
        <v>427</v>
      </c>
      <c r="X23" s="41" t="s">
        <v>428</v>
      </c>
      <c r="Y23" s="40">
        <v>3</v>
      </c>
      <c r="Z23" s="40">
        <v>44</v>
      </c>
      <c r="AA23" s="40">
        <v>14</v>
      </c>
      <c r="AB23" s="40">
        <v>30</v>
      </c>
      <c r="AC23" s="40">
        <v>88</v>
      </c>
      <c r="AD23" s="40">
        <v>80</v>
      </c>
      <c r="AE23" s="40">
        <v>88</v>
      </c>
      <c r="AF23" s="40">
        <v>1.9</v>
      </c>
      <c r="AG23" s="40">
        <v>23.8</v>
      </c>
      <c r="AH23" s="40">
        <v>0</v>
      </c>
      <c r="AI23" s="40">
        <v>4.8</v>
      </c>
      <c r="AJ23" s="40">
        <v>1</v>
      </c>
      <c r="AK23" s="40">
        <v>2</v>
      </c>
      <c r="AL23" s="40">
        <v>3</v>
      </c>
      <c r="AM23" s="40">
        <v>1</v>
      </c>
      <c r="AN23" s="40">
        <v>2</v>
      </c>
      <c r="AO23" s="42" t="s">
        <v>429</v>
      </c>
    </row>
    <row r="24" ht="76" spans="1:41">
      <c r="A24" s="37" t="s">
        <v>473</v>
      </c>
      <c r="B24" s="37" t="s">
        <v>474</v>
      </c>
      <c r="C24" s="37" t="s">
        <v>475</v>
      </c>
      <c r="D24" s="38">
        <v>14.4</v>
      </c>
      <c r="E24" s="38">
        <v>47.1</v>
      </c>
      <c r="F24" s="38">
        <v>42</v>
      </c>
      <c r="G24" s="38">
        <v>61.4</v>
      </c>
      <c r="H24" s="39">
        <f t="shared" si="0"/>
        <v>36.9</v>
      </c>
      <c r="I24" s="38">
        <v>25.8</v>
      </c>
      <c r="J24" s="38">
        <v>48</v>
      </c>
      <c r="K24" s="37">
        <f t="shared" si="1"/>
        <v>4</v>
      </c>
      <c r="L24" s="37">
        <f t="shared" si="2"/>
        <v>2</v>
      </c>
      <c r="M24" s="40">
        <v>1</v>
      </c>
      <c r="N24" s="38">
        <v>94.2</v>
      </c>
      <c r="O24" s="41"/>
      <c r="P24" s="40">
        <v>80</v>
      </c>
      <c r="Q24" s="40">
        <v>36</v>
      </c>
      <c r="R24" s="41" t="s">
        <v>422</v>
      </c>
      <c r="S24" s="41" t="s">
        <v>423</v>
      </c>
      <c r="T24" s="41" t="s">
        <v>424</v>
      </c>
      <c r="U24" s="41" t="s">
        <v>425</v>
      </c>
      <c r="V24" s="41" t="s">
        <v>426</v>
      </c>
      <c r="W24" s="41" t="s">
        <v>427</v>
      </c>
      <c r="X24" s="41" t="s">
        <v>428</v>
      </c>
      <c r="Y24" s="40">
        <v>2</v>
      </c>
      <c r="Z24" s="40">
        <v>14</v>
      </c>
      <c r="AA24" s="40">
        <v>12</v>
      </c>
      <c r="AB24" s="40">
        <v>25</v>
      </c>
      <c r="AC24" s="40">
        <v>93</v>
      </c>
      <c r="AD24" s="40">
        <v>88</v>
      </c>
      <c r="AE24" s="40">
        <v>93</v>
      </c>
      <c r="AF24" s="40">
        <v>0.9</v>
      </c>
      <c r="AG24" s="40">
        <v>55.9</v>
      </c>
      <c r="AH24" s="40">
        <v>0</v>
      </c>
      <c r="AI24" s="40">
        <v>5.9</v>
      </c>
      <c r="AJ24" s="40">
        <v>12</v>
      </c>
      <c r="AK24" s="40">
        <v>1</v>
      </c>
      <c r="AL24" s="40">
        <v>3</v>
      </c>
      <c r="AM24" s="40">
        <v>1</v>
      </c>
      <c r="AN24" s="40">
        <v>2</v>
      </c>
      <c r="AO24" s="42" t="s">
        <v>429</v>
      </c>
    </row>
    <row r="25" ht="76" spans="1:41">
      <c r="A25" s="37" t="s">
        <v>476</v>
      </c>
      <c r="B25" s="37" t="s">
        <v>477</v>
      </c>
      <c r="C25" s="37" t="s">
        <v>475</v>
      </c>
      <c r="D25" s="38">
        <v>0.9</v>
      </c>
      <c r="E25" s="38">
        <v>39</v>
      </c>
      <c r="F25" s="38">
        <v>57.1</v>
      </c>
      <c r="G25" s="38">
        <v>82.9</v>
      </c>
      <c r="H25" s="39">
        <f t="shared" si="0"/>
        <v>41.9</v>
      </c>
      <c r="I25" s="38">
        <v>31.8</v>
      </c>
      <c r="J25" s="38">
        <v>52</v>
      </c>
      <c r="K25" s="37">
        <f t="shared" si="1"/>
        <v>3</v>
      </c>
      <c r="L25" s="37">
        <f t="shared" si="2"/>
        <v>3</v>
      </c>
      <c r="M25" s="40">
        <v>0</v>
      </c>
      <c r="N25" s="38">
        <v>82.2</v>
      </c>
      <c r="O25" s="41"/>
      <c r="P25" s="40">
        <v>70</v>
      </c>
      <c r="Q25" s="40">
        <v>60</v>
      </c>
      <c r="R25" s="41" t="s">
        <v>422</v>
      </c>
      <c r="S25" s="41" t="s">
        <v>423</v>
      </c>
      <c r="T25" s="41" t="s">
        <v>424</v>
      </c>
      <c r="U25" s="41" t="s">
        <v>425</v>
      </c>
      <c r="V25" s="41" t="s">
        <v>426</v>
      </c>
      <c r="W25" s="41" t="s">
        <v>427</v>
      </c>
      <c r="X25" s="41" t="s">
        <v>428</v>
      </c>
      <c r="Y25" s="40">
        <v>2</v>
      </c>
      <c r="Z25" s="40">
        <v>30</v>
      </c>
      <c r="AA25" s="40">
        <v>20</v>
      </c>
      <c r="AB25" s="40">
        <v>25</v>
      </c>
      <c r="AC25" s="40">
        <v>91</v>
      </c>
      <c r="AD25" s="40">
        <v>85</v>
      </c>
      <c r="AE25" s="40">
        <v>91</v>
      </c>
      <c r="AF25" s="40">
        <v>0.1</v>
      </c>
      <c r="AG25" s="40">
        <v>23.8</v>
      </c>
      <c r="AH25" s="40">
        <v>0</v>
      </c>
      <c r="AI25" s="40">
        <v>5</v>
      </c>
      <c r="AJ25" s="40">
        <v>0</v>
      </c>
      <c r="AK25" s="40">
        <v>1</v>
      </c>
      <c r="AL25" s="40">
        <v>1</v>
      </c>
      <c r="AM25" s="40">
        <v>0</v>
      </c>
      <c r="AN25" s="40">
        <v>1</v>
      </c>
      <c r="AO25" s="42" t="s">
        <v>429</v>
      </c>
    </row>
    <row r="26" ht="76" spans="1:41">
      <c r="A26" s="37" t="s">
        <v>478</v>
      </c>
      <c r="B26" s="37" t="s">
        <v>479</v>
      </c>
      <c r="C26" s="37" t="s">
        <v>475</v>
      </c>
      <c r="D26" s="38">
        <v>1.2</v>
      </c>
      <c r="E26" s="38">
        <v>48.9</v>
      </c>
      <c r="F26" s="38">
        <v>67</v>
      </c>
      <c r="G26" s="38">
        <v>62.5</v>
      </c>
      <c r="H26" s="39">
        <f t="shared" si="0"/>
        <v>39.8</v>
      </c>
      <c r="I26" s="38">
        <v>32.6</v>
      </c>
      <c r="J26" s="38">
        <v>47</v>
      </c>
      <c r="K26" s="37">
        <f t="shared" si="1"/>
        <v>4</v>
      </c>
      <c r="L26" s="37">
        <f t="shared" si="2"/>
        <v>2</v>
      </c>
      <c r="M26" s="40">
        <v>0</v>
      </c>
      <c r="N26" s="38">
        <v>82.2</v>
      </c>
      <c r="O26" s="41"/>
      <c r="P26" s="40">
        <v>100</v>
      </c>
      <c r="Q26" s="40">
        <v>32</v>
      </c>
      <c r="R26" s="41" t="s">
        <v>422</v>
      </c>
      <c r="S26" s="41" t="s">
        <v>423</v>
      </c>
      <c r="T26" s="41" t="s">
        <v>480</v>
      </c>
      <c r="U26" s="41" t="s">
        <v>425</v>
      </c>
      <c r="V26" s="41" t="s">
        <v>426</v>
      </c>
      <c r="W26" s="41" t="s">
        <v>427</v>
      </c>
      <c r="X26" s="41" t="s">
        <v>428</v>
      </c>
      <c r="Y26" s="40">
        <v>25</v>
      </c>
      <c r="Z26" s="40">
        <v>78</v>
      </c>
      <c r="AA26" s="40">
        <v>30</v>
      </c>
      <c r="AB26" s="40">
        <v>45</v>
      </c>
      <c r="AC26" s="40">
        <v>87</v>
      </c>
      <c r="AD26" s="40">
        <v>82</v>
      </c>
      <c r="AE26" s="40">
        <v>87</v>
      </c>
      <c r="AF26" s="40">
        <v>0.9</v>
      </c>
      <c r="AG26" s="40">
        <v>20.9</v>
      </c>
      <c r="AH26" s="40">
        <v>0</v>
      </c>
      <c r="AI26" s="40">
        <v>5.1</v>
      </c>
      <c r="AJ26" s="40">
        <v>30</v>
      </c>
      <c r="AK26" s="40">
        <v>3</v>
      </c>
      <c r="AL26" s="40">
        <v>2</v>
      </c>
      <c r="AM26" s="40">
        <v>1</v>
      </c>
      <c r="AN26" s="40">
        <v>2</v>
      </c>
      <c r="AO26" s="42" t="s">
        <v>429</v>
      </c>
    </row>
    <row r="27" ht="76" spans="1:41">
      <c r="A27" s="37" t="s">
        <v>481</v>
      </c>
      <c r="B27" s="37" t="s">
        <v>482</v>
      </c>
      <c r="C27" s="37" t="s">
        <v>475</v>
      </c>
      <c r="D27" s="38">
        <v>3.6</v>
      </c>
      <c r="E27" s="38">
        <v>34.3</v>
      </c>
      <c r="F27" s="38">
        <v>11.9</v>
      </c>
      <c r="G27" s="38">
        <v>51.8</v>
      </c>
      <c r="H27" s="39">
        <f t="shared" si="0"/>
        <v>32.8</v>
      </c>
      <c r="I27" s="38">
        <v>25.6</v>
      </c>
      <c r="J27" s="38">
        <v>40</v>
      </c>
      <c r="K27" s="37">
        <f t="shared" si="1"/>
        <v>4</v>
      </c>
      <c r="L27" s="37">
        <f t="shared" si="2"/>
        <v>4</v>
      </c>
      <c r="M27" s="40">
        <v>0</v>
      </c>
      <c r="N27" s="38">
        <v>94.5</v>
      </c>
      <c r="O27" s="41"/>
      <c r="P27" s="40">
        <v>80</v>
      </c>
      <c r="Q27" s="40">
        <v>76</v>
      </c>
      <c r="R27" s="41" t="s">
        <v>422</v>
      </c>
      <c r="S27" s="41" t="s">
        <v>423</v>
      </c>
      <c r="T27" s="41" t="s">
        <v>483</v>
      </c>
      <c r="U27" s="41" t="s">
        <v>425</v>
      </c>
      <c r="V27" s="41" t="s">
        <v>426</v>
      </c>
      <c r="W27" s="41" t="s">
        <v>427</v>
      </c>
      <c r="X27" s="41" t="s">
        <v>428</v>
      </c>
      <c r="Y27" s="40">
        <v>5</v>
      </c>
      <c r="Z27" s="40">
        <v>42</v>
      </c>
      <c r="AA27" s="40">
        <v>8</v>
      </c>
      <c r="AB27" s="40">
        <v>20</v>
      </c>
      <c r="AC27" s="40">
        <v>95</v>
      </c>
      <c r="AD27" s="40">
        <v>92</v>
      </c>
      <c r="AE27" s="40">
        <v>95</v>
      </c>
      <c r="AF27" s="40">
        <v>0.5</v>
      </c>
      <c r="AG27" s="40">
        <v>49.1</v>
      </c>
      <c r="AH27" s="40">
        <v>0</v>
      </c>
      <c r="AI27" s="40">
        <v>5.6</v>
      </c>
      <c r="AJ27" s="40">
        <v>3</v>
      </c>
      <c r="AK27" s="40">
        <v>1</v>
      </c>
      <c r="AL27" s="40">
        <v>2</v>
      </c>
      <c r="AM27" s="40">
        <v>0</v>
      </c>
      <c r="AN27" s="40">
        <v>1</v>
      </c>
      <c r="AO27" s="42" t="s">
        <v>429</v>
      </c>
    </row>
    <row r="28" ht="76" spans="1:41">
      <c r="A28" s="37" t="s">
        <v>484</v>
      </c>
      <c r="B28" s="37" t="s">
        <v>485</v>
      </c>
      <c r="C28" s="37" t="s">
        <v>475</v>
      </c>
      <c r="D28" s="38">
        <v>135.5</v>
      </c>
      <c r="E28" s="38">
        <v>44.5</v>
      </c>
      <c r="F28" s="38">
        <v>10.4</v>
      </c>
      <c r="G28" s="38">
        <v>47</v>
      </c>
      <c r="H28" s="39">
        <f t="shared" si="0"/>
        <v>32.1</v>
      </c>
      <c r="I28" s="38">
        <v>31.2</v>
      </c>
      <c r="J28" s="38">
        <v>33</v>
      </c>
      <c r="K28" s="37">
        <f t="shared" si="1"/>
        <v>4</v>
      </c>
      <c r="L28" s="37">
        <f t="shared" si="2"/>
        <v>4</v>
      </c>
      <c r="M28" s="40">
        <v>3</v>
      </c>
      <c r="N28" s="38">
        <v>100.4</v>
      </c>
      <c r="O28" s="41"/>
      <c r="P28" s="40">
        <v>80</v>
      </c>
      <c r="Q28" s="40">
        <v>80</v>
      </c>
      <c r="R28" s="41" t="s">
        <v>422</v>
      </c>
      <c r="S28" s="41" t="s">
        <v>423</v>
      </c>
      <c r="T28" s="41" t="s">
        <v>424</v>
      </c>
      <c r="U28" s="41" t="s">
        <v>425</v>
      </c>
      <c r="V28" s="41" t="s">
        <v>426</v>
      </c>
      <c r="W28" s="41" t="s">
        <v>427</v>
      </c>
      <c r="X28" s="41" t="s">
        <v>428</v>
      </c>
      <c r="Y28" s="40">
        <v>3</v>
      </c>
      <c r="Z28" s="40">
        <v>23</v>
      </c>
      <c r="AA28" s="40">
        <v>9</v>
      </c>
      <c r="AB28" s="40">
        <v>13</v>
      </c>
      <c r="AC28" s="40">
        <v>72</v>
      </c>
      <c r="AD28" s="40">
        <v>62</v>
      </c>
      <c r="AE28" s="40">
        <v>72</v>
      </c>
      <c r="AF28" s="40">
        <v>0.8</v>
      </c>
      <c r="AG28" s="40">
        <v>33.6</v>
      </c>
      <c r="AH28" s="40">
        <v>1</v>
      </c>
      <c r="AI28" s="40">
        <v>6.9</v>
      </c>
      <c r="AJ28" s="40">
        <v>40</v>
      </c>
      <c r="AK28" s="40">
        <v>3</v>
      </c>
      <c r="AL28" s="40">
        <v>20</v>
      </c>
      <c r="AM28" s="40">
        <v>2</v>
      </c>
      <c r="AN28" s="40">
        <v>3</v>
      </c>
      <c r="AO28" s="42" t="s">
        <v>429</v>
      </c>
    </row>
    <row r="29" ht="76" spans="1:41">
      <c r="A29" s="37" t="s">
        <v>486</v>
      </c>
      <c r="B29" s="37" t="s">
        <v>118</v>
      </c>
      <c r="C29" s="37" t="s">
        <v>475</v>
      </c>
      <c r="D29" s="38">
        <v>57.5</v>
      </c>
      <c r="E29" s="38">
        <v>38.8</v>
      </c>
      <c r="F29" s="38">
        <v>40.9</v>
      </c>
      <c r="G29" s="38">
        <v>65.6</v>
      </c>
      <c r="H29" s="39">
        <f t="shared" si="0"/>
        <v>45.2</v>
      </c>
      <c r="I29" s="38">
        <v>33.4</v>
      </c>
      <c r="J29" s="38">
        <v>57</v>
      </c>
      <c r="K29" s="37">
        <f t="shared" si="1"/>
        <v>4</v>
      </c>
      <c r="L29" s="37">
        <f t="shared" si="2"/>
        <v>4</v>
      </c>
      <c r="M29" s="40">
        <v>3</v>
      </c>
      <c r="N29" s="38">
        <v>87.8</v>
      </c>
      <c r="O29" s="41"/>
      <c r="P29" s="40">
        <v>80</v>
      </c>
      <c r="Q29" s="40">
        <v>72</v>
      </c>
      <c r="R29" s="41" t="s">
        <v>422</v>
      </c>
      <c r="S29" s="41" t="s">
        <v>423</v>
      </c>
      <c r="T29" s="41" t="s">
        <v>424</v>
      </c>
      <c r="U29" s="41" t="s">
        <v>425</v>
      </c>
      <c r="V29" s="41" t="s">
        <v>426</v>
      </c>
      <c r="W29" s="41" t="s">
        <v>427</v>
      </c>
      <c r="X29" s="41" t="s">
        <v>428</v>
      </c>
      <c r="Y29" s="40">
        <v>15</v>
      </c>
      <c r="Z29" s="40">
        <v>29</v>
      </c>
      <c r="AA29" s="40">
        <v>33</v>
      </c>
      <c r="AB29" s="40">
        <v>33</v>
      </c>
      <c r="AC29" s="40">
        <v>91</v>
      </c>
      <c r="AD29" s="40">
        <v>89</v>
      </c>
      <c r="AE29" s="40">
        <v>91</v>
      </c>
      <c r="AF29" s="40">
        <v>3.7</v>
      </c>
      <c r="AG29" s="40">
        <v>17.6</v>
      </c>
      <c r="AH29" s="40">
        <v>1</v>
      </c>
      <c r="AI29" s="40">
        <v>5.8</v>
      </c>
      <c r="AJ29" s="40">
        <v>12</v>
      </c>
      <c r="AK29" s="40">
        <v>4</v>
      </c>
      <c r="AL29" s="40">
        <v>12</v>
      </c>
      <c r="AM29" s="40">
        <v>3</v>
      </c>
      <c r="AN29" s="40">
        <v>3</v>
      </c>
      <c r="AO29" s="42" t="s">
        <v>429</v>
      </c>
    </row>
    <row r="30" ht="76" spans="1:41">
      <c r="A30" s="37" t="s">
        <v>487</v>
      </c>
      <c r="B30" s="37" t="s">
        <v>488</v>
      </c>
      <c r="C30" s="37" t="s">
        <v>475</v>
      </c>
      <c r="D30" s="38">
        <v>32.7</v>
      </c>
      <c r="E30" s="38">
        <v>62.4</v>
      </c>
      <c r="F30" s="38">
        <v>15.4</v>
      </c>
      <c r="G30" s="38">
        <v>55.3</v>
      </c>
      <c r="H30" s="39">
        <f t="shared" si="0"/>
        <v>31</v>
      </c>
      <c r="I30" s="38">
        <v>29</v>
      </c>
      <c r="J30" s="38">
        <v>33</v>
      </c>
      <c r="K30" s="37">
        <f t="shared" si="1"/>
        <v>4</v>
      </c>
      <c r="L30" s="37">
        <f t="shared" si="2"/>
        <v>2</v>
      </c>
      <c r="M30" s="40">
        <v>1</v>
      </c>
      <c r="N30" s="38">
        <v>81.7</v>
      </c>
      <c r="O30" s="41"/>
      <c r="P30" s="40">
        <v>70</v>
      </c>
      <c r="Q30" s="40">
        <v>40</v>
      </c>
      <c r="R30" s="41" t="s">
        <v>422</v>
      </c>
      <c r="S30" s="41" t="s">
        <v>423</v>
      </c>
      <c r="T30" s="41" t="s">
        <v>424</v>
      </c>
      <c r="U30" s="41" t="s">
        <v>425</v>
      </c>
      <c r="V30" s="41" t="s">
        <v>426</v>
      </c>
      <c r="W30" s="41" t="s">
        <v>427</v>
      </c>
      <c r="X30" s="41" t="s">
        <v>428</v>
      </c>
      <c r="Y30" s="40">
        <v>2</v>
      </c>
      <c r="Z30" s="40">
        <v>40</v>
      </c>
      <c r="AA30" s="40">
        <v>12</v>
      </c>
      <c r="AB30" s="40">
        <v>20</v>
      </c>
      <c r="AC30" s="40">
        <v>71</v>
      </c>
      <c r="AD30" s="40">
        <v>62</v>
      </c>
      <c r="AE30" s="40">
        <v>71</v>
      </c>
      <c r="AF30" s="40">
        <v>0.4</v>
      </c>
      <c r="AG30" s="40">
        <v>39.8</v>
      </c>
      <c r="AH30" s="40">
        <v>0</v>
      </c>
      <c r="AI30" s="40">
        <v>6.2</v>
      </c>
      <c r="AJ30" s="40">
        <v>1</v>
      </c>
      <c r="AK30" s="40">
        <v>2</v>
      </c>
      <c r="AL30" s="40">
        <v>5</v>
      </c>
      <c r="AM30" s="40">
        <v>2</v>
      </c>
      <c r="AN30" s="40">
        <v>2</v>
      </c>
      <c r="AO30" s="42" t="s">
        <v>429</v>
      </c>
    </row>
    <row r="31" ht="76" spans="1:41">
      <c r="A31" s="37" t="s">
        <v>489</v>
      </c>
      <c r="B31" s="37" t="s">
        <v>490</v>
      </c>
      <c r="C31" s="37" t="s">
        <v>475</v>
      </c>
      <c r="D31" s="38">
        <v>22.2</v>
      </c>
      <c r="E31" s="38">
        <v>48.8</v>
      </c>
      <c r="F31" s="38">
        <v>49.2</v>
      </c>
      <c r="G31" s="38">
        <v>73.1</v>
      </c>
      <c r="H31" s="39">
        <f t="shared" si="0"/>
        <v>41</v>
      </c>
      <c r="I31" s="38">
        <v>29.9</v>
      </c>
      <c r="J31" s="38">
        <v>52</v>
      </c>
      <c r="K31" s="37">
        <f t="shared" si="1"/>
        <v>4</v>
      </c>
      <c r="L31" s="37">
        <f t="shared" si="2"/>
        <v>2</v>
      </c>
      <c r="M31" s="40">
        <v>3</v>
      </c>
      <c r="N31" s="38">
        <v>83.2</v>
      </c>
      <c r="O31" s="41"/>
      <c r="P31" s="40">
        <v>80</v>
      </c>
      <c r="Q31" s="40">
        <v>48</v>
      </c>
      <c r="R31" s="41" t="s">
        <v>422</v>
      </c>
      <c r="S31" s="41" t="s">
        <v>423</v>
      </c>
      <c r="T31" s="41" t="s">
        <v>424</v>
      </c>
      <c r="U31" s="41" t="s">
        <v>425</v>
      </c>
      <c r="V31" s="41" t="s">
        <v>426</v>
      </c>
      <c r="W31" s="41" t="s">
        <v>427</v>
      </c>
      <c r="X31" s="41" t="s">
        <v>428</v>
      </c>
      <c r="Y31" s="40">
        <v>3</v>
      </c>
      <c r="Z31" s="40">
        <v>18</v>
      </c>
      <c r="AA31" s="40">
        <v>26</v>
      </c>
      <c r="AB31" s="40">
        <v>25</v>
      </c>
      <c r="AC31" s="40">
        <v>93</v>
      </c>
      <c r="AD31" s="40">
        <v>90</v>
      </c>
      <c r="AE31" s="40">
        <v>93</v>
      </c>
      <c r="AF31" s="40">
        <v>7.1</v>
      </c>
      <c r="AG31" s="40">
        <v>35.5</v>
      </c>
      <c r="AH31" s="40">
        <v>1</v>
      </c>
      <c r="AI31" s="40">
        <v>5.5</v>
      </c>
      <c r="AJ31" s="40">
        <v>3</v>
      </c>
      <c r="AK31" s="40">
        <v>2</v>
      </c>
      <c r="AL31" s="40">
        <v>6</v>
      </c>
      <c r="AM31" s="40">
        <v>2</v>
      </c>
      <c r="AN31" s="40">
        <v>2</v>
      </c>
      <c r="AO31" s="42" t="s">
        <v>429</v>
      </c>
    </row>
    <row r="32" ht="76" spans="1:41">
      <c r="A32" s="37" t="s">
        <v>491</v>
      </c>
      <c r="B32" s="37" t="s">
        <v>492</v>
      </c>
      <c r="C32" s="37" t="s">
        <v>475</v>
      </c>
      <c r="D32" s="38">
        <v>1.2</v>
      </c>
      <c r="E32" s="38">
        <v>15.4</v>
      </c>
      <c r="F32" s="38">
        <v>97.4</v>
      </c>
      <c r="G32" s="38">
        <v>100</v>
      </c>
      <c r="H32" s="39">
        <f t="shared" si="0"/>
        <v>65.9</v>
      </c>
      <c r="I32" s="38">
        <v>56.7</v>
      </c>
      <c r="J32" s="38">
        <v>75</v>
      </c>
      <c r="K32" s="37">
        <f t="shared" si="1"/>
        <v>4</v>
      </c>
      <c r="L32" s="37">
        <f t="shared" si="2"/>
        <v>3</v>
      </c>
      <c r="M32" s="40">
        <v>0</v>
      </c>
      <c r="N32" s="38">
        <v>38</v>
      </c>
      <c r="O32" s="41"/>
      <c r="P32" s="40">
        <v>70</v>
      </c>
      <c r="Q32" s="40">
        <v>56</v>
      </c>
      <c r="R32" s="41" t="s">
        <v>422</v>
      </c>
      <c r="S32" s="41" t="s">
        <v>423</v>
      </c>
      <c r="T32" s="41" t="s">
        <v>424</v>
      </c>
      <c r="U32" s="41" t="s">
        <v>425</v>
      </c>
      <c r="V32" s="41" t="s">
        <v>426</v>
      </c>
      <c r="W32" s="41" t="s">
        <v>427</v>
      </c>
      <c r="X32" s="41" t="s">
        <v>428</v>
      </c>
      <c r="Y32" s="40">
        <v>30</v>
      </c>
      <c r="Z32" s="40">
        <v>41</v>
      </c>
      <c r="AA32" s="40">
        <v>60</v>
      </c>
      <c r="AB32" s="40">
        <v>90</v>
      </c>
      <c r="AC32" s="40">
        <v>97</v>
      </c>
      <c r="AD32" s="40">
        <v>93</v>
      </c>
      <c r="AE32" s="40">
        <v>97</v>
      </c>
      <c r="AF32" s="40">
        <v>1.6</v>
      </c>
      <c r="AG32" s="40">
        <v>8</v>
      </c>
      <c r="AH32" s="40">
        <v>1</v>
      </c>
      <c r="AI32" s="40">
        <v>3</v>
      </c>
      <c r="AJ32" s="40">
        <v>0</v>
      </c>
      <c r="AK32" s="40">
        <v>3</v>
      </c>
      <c r="AL32" s="40">
        <v>2</v>
      </c>
      <c r="AM32" s="40">
        <v>2</v>
      </c>
      <c r="AN32" s="40">
        <v>3</v>
      </c>
      <c r="AO32" s="42" t="s">
        <v>429</v>
      </c>
    </row>
    <row r="33" ht="76" spans="1:41">
      <c r="A33" s="37" t="s">
        <v>493</v>
      </c>
      <c r="B33" s="37" t="s">
        <v>494</v>
      </c>
      <c r="C33" s="37" t="s">
        <v>475</v>
      </c>
      <c r="D33" s="38">
        <v>35.6</v>
      </c>
      <c r="E33" s="38">
        <v>59.4</v>
      </c>
      <c r="F33" s="38">
        <v>22.5</v>
      </c>
      <c r="G33" s="38">
        <v>51.9</v>
      </c>
      <c r="H33" s="39">
        <f t="shared" si="0"/>
        <v>37.6</v>
      </c>
      <c r="I33" s="38">
        <v>25.1</v>
      </c>
      <c r="J33" s="38">
        <v>50</v>
      </c>
      <c r="K33" s="37">
        <f t="shared" si="1"/>
        <v>4</v>
      </c>
      <c r="L33" s="37">
        <f t="shared" si="2"/>
        <v>3</v>
      </c>
      <c r="M33" s="40">
        <v>2</v>
      </c>
      <c r="N33" s="38">
        <v>94</v>
      </c>
      <c r="O33" s="41"/>
      <c r="P33" s="40">
        <v>90</v>
      </c>
      <c r="Q33" s="40">
        <v>64</v>
      </c>
      <c r="R33" s="41" t="s">
        <v>422</v>
      </c>
      <c r="S33" s="41" t="s">
        <v>423</v>
      </c>
      <c r="T33" s="41" t="s">
        <v>424</v>
      </c>
      <c r="U33" s="41" t="s">
        <v>425</v>
      </c>
      <c r="V33" s="41" t="s">
        <v>426</v>
      </c>
      <c r="W33" s="41" t="s">
        <v>427</v>
      </c>
      <c r="X33" s="41" t="s">
        <v>428</v>
      </c>
      <c r="Y33" s="40">
        <v>4</v>
      </c>
      <c r="Z33" s="40">
        <v>38</v>
      </c>
      <c r="AA33" s="40">
        <v>15</v>
      </c>
      <c r="AB33" s="40">
        <v>20</v>
      </c>
      <c r="AC33" s="40">
        <v>79</v>
      </c>
      <c r="AD33" s="40">
        <v>72</v>
      </c>
      <c r="AE33" s="40">
        <v>79</v>
      </c>
      <c r="AF33" s="40">
        <v>11.5</v>
      </c>
      <c r="AG33" s="40">
        <v>37.8</v>
      </c>
      <c r="AH33" s="40">
        <v>1</v>
      </c>
      <c r="AI33" s="40">
        <v>6.6</v>
      </c>
      <c r="AJ33" s="40">
        <v>35</v>
      </c>
      <c r="AK33" s="40">
        <v>2</v>
      </c>
      <c r="AL33" s="40">
        <v>8</v>
      </c>
      <c r="AM33" s="40">
        <v>2</v>
      </c>
      <c r="AN33" s="40">
        <v>2</v>
      </c>
      <c r="AO33" s="42" t="s">
        <v>429</v>
      </c>
    </row>
    <row r="34" ht="76" spans="1:41">
      <c r="A34" s="37" t="s">
        <v>495</v>
      </c>
      <c r="B34" s="37" t="s">
        <v>496</v>
      </c>
      <c r="C34" s="37" t="s">
        <v>475</v>
      </c>
      <c r="D34" s="38">
        <v>14.6</v>
      </c>
      <c r="E34" s="38">
        <v>37.7</v>
      </c>
      <c r="F34" s="38">
        <v>56.4</v>
      </c>
      <c r="G34" s="38">
        <v>55.6</v>
      </c>
      <c r="H34" s="39">
        <f t="shared" ref="H34:H65" si="3">IFERROR(ROUND(AVERAGE(I34:J34),1),"")</f>
        <v>45.4</v>
      </c>
      <c r="I34" s="38">
        <v>31.8</v>
      </c>
      <c r="J34" s="38">
        <v>59</v>
      </c>
      <c r="K34" s="37">
        <f t="shared" ref="K34:K55" si="4">ROUND(MAX(1,MIN(5,1+4*(0.6*P34/100+0.2*Q34/100+0.1*AM34/3+0.1*AN34/3))),0)</f>
        <v>4</v>
      </c>
      <c r="L34" s="37">
        <f t="shared" ref="L34:L55" si="5">ROUND(MAX(1,MIN(5,Q34/20)),0)</f>
        <v>4</v>
      </c>
      <c r="M34" s="40">
        <v>1</v>
      </c>
      <c r="N34" s="38">
        <v>82.3</v>
      </c>
      <c r="O34" s="41"/>
      <c r="P34" s="40">
        <v>60</v>
      </c>
      <c r="Q34" s="40">
        <v>72</v>
      </c>
      <c r="R34" s="41" t="s">
        <v>422</v>
      </c>
      <c r="S34" s="41" t="s">
        <v>423</v>
      </c>
      <c r="T34" s="41" t="s">
        <v>424</v>
      </c>
      <c r="U34" s="41" t="s">
        <v>425</v>
      </c>
      <c r="V34" s="41" t="s">
        <v>426</v>
      </c>
      <c r="W34" s="41" t="s">
        <v>427</v>
      </c>
      <c r="X34" s="41" t="s">
        <v>428</v>
      </c>
      <c r="Y34" s="40">
        <v>3</v>
      </c>
      <c r="Z34" s="40">
        <v>18</v>
      </c>
      <c r="AA34" s="40">
        <v>25</v>
      </c>
      <c r="AB34" s="40">
        <v>30</v>
      </c>
      <c r="AC34" s="40">
        <v>98</v>
      </c>
      <c r="AD34" s="40">
        <v>95</v>
      </c>
      <c r="AE34" s="40">
        <v>98</v>
      </c>
      <c r="AF34" s="40">
        <v>2.5</v>
      </c>
      <c r="AG34" s="40">
        <v>32.4</v>
      </c>
      <c r="AH34" s="40">
        <v>1</v>
      </c>
      <c r="AI34" s="40">
        <v>4.5</v>
      </c>
      <c r="AJ34" s="40">
        <v>10</v>
      </c>
      <c r="AK34" s="40">
        <v>2</v>
      </c>
      <c r="AL34" s="40">
        <v>4</v>
      </c>
      <c r="AM34" s="40">
        <v>2</v>
      </c>
      <c r="AN34" s="40">
        <v>3</v>
      </c>
      <c r="AO34" s="42" t="s">
        <v>429</v>
      </c>
    </row>
    <row r="35" ht="76" spans="1:41">
      <c r="A35" s="37" t="s">
        <v>497</v>
      </c>
      <c r="B35" s="37" t="s">
        <v>498</v>
      </c>
      <c r="C35" s="37" t="s">
        <v>475</v>
      </c>
      <c r="D35" s="38">
        <v>0.1</v>
      </c>
      <c r="E35" s="38">
        <v>14</v>
      </c>
      <c r="F35" s="38">
        <v>99.7</v>
      </c>
      <c r="G35" s="38">
        <v>97.7</v>
      </c>
      <c r="H35" s="39">
        <f t="shared" si="3"/>
        <v>66.4</v>
      </c>
      <c r="I35" s="38">
        <v>52.8</v>
      </c>
      <c r="J35" s="38">
        <v>80</v>
      </c>
      <c r="K35" s="37">
        <f t="shared" si="4"/>
        <v>4</v>
      </c>
      <c r="L35" s="37">
        <f t="shared" si="5"/>
        <v>3</v>
      </c>
      <c r="M35" s="40">
        <v>0</v>
      </c>
      <c r="N35" s="38">
        <v>53.3</v>
      </c>
      <c r="O35" s="41"/>
      <c r="P35" s="40">
        <v>100</v>
      </c>
      <c r="Q35" s="40">
        <v>68</v>
      </c>
      <c r="R35" s="41" t="s">
        <v>422</v>
      </c>
      <c r="S35" s="41" t="s">
        <v>423</v>
      </c>
      <c r="T35" s="41" t="s">
        <v>424</v>
      </c>
      <c r="U35" s="41" t="s">
        <v>425</v>
      </c>
      <c r="V35" s="41" t="s">
        <v>426</v>
      </c>
      <c r="W35" s="41" t="s">
        <v>427</v>
      </c>
      <c r="X35" s="41" t="s">
        <v>428</v>
      </c>
      <c r="Y35" s="40">
        <v>40</v>
      </c>
      <c r="Z35" s="40">
        <v>58</v>
      </c>
      <c r="AA35" s="40">
        <v>65</v>
      </c>
      <c r="AB35" s="40">
        <v>95</v>
      </c>
      <c r="AC35" s="40">
        <v>98</v>
      </c>
      <c r="AD35" s="40">
        <v>96</v>
      </c>
      <c r="AE35" s="40">
        <v>98</v>
      </c>
      <c r="AF35" s="40">
        <v>0.7</v>
      </c>
      <c r="AG35" s="40">
        <v>7</v>
      </c>
      <c r="AH35" s="40">
        <v>0</v>
      </c>
      <c r="AI35" s="40">
        <v>2.5</v>
      </c>
      <c r="AJ35" s="40">
        <v>0</v>
      </c>
      <c r="AK35" s="40">
        <v>3</v>
      </c>
      <c r="AL35" s="40">
        <v>1</v>
      </c>
      <c r="AM35" s="40">
        <v>1</v>
      </c>
      <c r="AN35" s="40">
        <v>2</v>
      </c>
      <c r="AO35" s="42" t="s">
        <v>429</v>
      </c>
    </row>
    <row r="36" ht="76" spans="1:41">
      <c r="A36" s="37" t="s">
        <v>499</v>
      </c>
      <c r="B36" s="37" t="s">
        <v>500</v>
      </c>
      <c r="C36" s="37" t="s">
        <v>475</v>
      </c>
      <c r="D36" s="38">
        <v>19.7</v>
      </c>
      <c r="E36" s="38">
        <v>101.1</v>
      </c>
      <c r="F36" s="38">
        <v>54</v>
      </c>
      <c r="G36" s="38">
        <v>75.3</v>
      </c>
      <c r="H36" s="39">
        <f t="shared" si="3"/>
        <v>23.4</v>
      </c>
      <c r="I36" s="38">
        <v>16.7</v>
      </c>
      <c r="J36" s="38">
        <v>30</v>
      </c>
      <c r="K36" s="37">
        <f t="shared" si="4"/>
        <v>3</v>
      </c>
      <c r="L36" s="37">
        <f t="shared" si="5"/>
        <v>2</v>
      </c>
      <c r="M36" s="40">
        <v>2</v>
      </c>
      <c r="N36" s="38">
        <v>111.9</v>
      </c>
      <c r="O36" s="41"/>
      <c r="P36" s="40">
        <v>70</v>
      </c>
      <c r="Q36" s="40">
        <v>36</v>
      </c>
      <c r="R36" s="41" t="s">
        <v>422</v>
      </c>
      <c r="S36" s="41" t="s">
        <v>423</v>
      </c>
      <c r="T36" s="41" t="s">
        <v>424</v>
      </c>
      <c r="U36" s="41" t="s">
        <v>425</v>
      </c>
      <c r="V36" s="41" t="s">
        <v>426</v>
      </c>
      <c r="W36" s="41" t="s">
        <v>427</v>
      </c>
      <c r="X36" s="41" t="s">
        <v>428</v>
      </c>
      <c r="Y36" s="40">
        <v>2</v>
      </c>
      <c r="Z36" s="40">
        <v>47</v>
      </c>
      <c r="AA36" s="40">
        <v>10</v>
      </c>
      <c r="AB36" s="40">
        <v>15</v>
      </c>
      <c r="AC36" s="40">
        <v>42</v>
      </c>
      <c r="AD36" s="40">
        <v>46</v>
      </c>
      <c r="AE36" s="40">
        <v>42</v>
      </c>
      <c r="AF36" s="40">
        <v>0.1</v>
      </c>
      <c r="AG36" s="40">
        <v>27.5</v>
      </c>
      <c r="AH36" s="40">
        <v>0</v>
      </c>
      <c r="AI36" s="40">
        <v>8.5</v>
      </c>
      <c r="AJ36" s="40">
        <v>250</v>
      </c>
      <c r="AK36" s="40">
        <v>1</v>
      </c>
      <c r="AL36" s="40">
        <v>8</v>
      </c>
      <c r="AM36" s="40">
        <v>0</v>
      </c>
      <c r="AN36" s="40">
        <v>1</v>
      </c>
      <c r="AO36" s="42" t="s">
        <v>429</v>
      </c>
    </row>
    <row r="37" ht="76" spans="1:41">
      <c r="A37" s="37" t="s">
        <v>501</v>
      </c>
      <c r="B37" s="37" t="s">
        <v>502</v>
      </c>
      <c r="C37" s="37" t="s">
        <v>475</v>
      </c>
      <c r="D37" s="38">
        <v>12.2</v>
      </c>
      <c r="E37" s="38">
        <v>96.7</v>
      </c>
      <c r="F37" s="38">
        <v>37.7</v>
      </c>
      <c r="G37" s="38">
        <v>32.5</v>
      </c>
      <c r="H37" s="39">
        <f t="shared" si="3"/>
        <v>35.1</v>
      </c>
      <c r="I37" s="38">
        <v>29.1</v>
      </c>
      <c r="J37" s="38">
        <v>41</v>
      </c>
      <c r="K37" s="37">
        <f t="shared" si="4"/>
        <v>3</v>
      </c>
      <c r="L37" s="37">
        <f t="shared" si="5"/>
        <v>2</v>
      </c>
      <c r="M37" s="40">
        <v>3</v>
      </c>
      <c r="N37" s="38">
        <v>108.5</v>
      </c>
      <c r="O37" s="41"/>
      <c r="P37" s="40">
        <v>60</v>
      </c>
      <c r="Q37" s="40">
        <v>48</v>
      </c>
      <c r="R37" s="41" t="s">
        <v>422</v>
      </c>
      <c r="S37" s="41" t="s">
        <v>423</v>
      </c>
      <c r="T37" s="41" t="s">
        <v>424</v>
      </c>
      <c r="U37" s="41" t="s">
        <v>425</v>
      </c>
      <c r="V37" s="41" t="s">
        <v>426</v>
      </c>
      <c r="W37" s="41" t="s">
        <v>427</v>
      </c>
      <c r="X37" s="41" t="s">
        <v>428</v>
      </c>
      <c r="Y37" s="40">
        <v>1</v>
      </c>
      <c r="Z37" s="40">
        <v>21</v>
      </c>
      <c r="AA37" s="40">
        <v>5</v>
      </c>
      <c r="AB37" s="40">
        <v>10</v>
      </c>
      <c r="AC37" s="40">
        <v>55</v>
      </c>
      <c r="AD37" s="40">
        <v>49</v>
      </c>
      <c r="AE37" s="40">
        <v>55</v>
      </c>
      <c r="AF37" s="40">
        <v>2.1</v>
      </c>
      <c r="AG37" s="40">
        <v>30.6</v>
      </c>
      <c r="AH37" s="40">
        <v>0</v>
      </c>
      <c r="AI37" s="40">
        <v>8.3</v>
      </c>
      <c r="AJ37" s="40">
        <v>200</v>
      </c>
      <c r="AK37" s="40">
        <v>1</v>
      </c>
      <c r="AL37" s="40">
        <v>6</v>
      </c>
      <c r="AM37" s="40">
        <v>0</v>
      </c>
      <c r="AN37" s="40">
        <v>1</v>
      </c>
      <c r="AO37" s="42" t="s">
        <v>429</v>
      </c>
    </row>
    <row r="38" ht="76" spans="1:41">
      <c r="A38" s="37" t="s">
        <v>503</v>
      </c>
      <c r="B38" s="37" t="s">
        <v>328</v>
      </c>
      <c r="C38" s="37" t="s">
        <v>475</v>
      </c>
      <c r="D38" s="38">
        <v>70.5</v>
      </c>
      <c r="E38" s="38">
        <v>37</v>
      </c>
      <c r="F38" s="38">
        <v>37.2</v>
      </c>
      <c r="G38" s="38">
        <v>64.6</v>
      </c>
      <c r="H38" s="39">
        <f t="shared" si="3"/>
        <v>40.8</v>
      </c>
      <c r="I38" s="38">
        <v>32.5</v>
      </c>
      <c r="J38" s="38">
        <v>49</v>
      </c>
      <c r="K38" s="37">
        <f t="shared" si="4"/>
        <v>4</v>
      </c>
      <c r="L38" s="37">
        <f t="shared" si="5"/>
        <v>4</v>
      </c>
      <c r="M38" s="40">
        <v>5</v>
      </c>
      <c r="N38" s="38">
        <v>76.6</v>
      </c>
      <c r="O38" s="41"/>
      <c r="P38" s="40">
        <v>80</v>
      </c>
      <c r="Q38" s="40">
        <v>72</v>
      </c>
      <c r="R38" s="41" t="s">
        <v>422</v>
      </c>
      <c r="S38" s="41" t="s">
        <v>423</v>
      </c>
      <c r="T38" s="41" t="s">
        <v>424</v>
      </c>
      <c r="U38" s="41" t="s">
        <v>425</v>
      </c>
      <c r="V38" s="41" t="s">
        <v>426</v>
      </c>
      <c r="W38" s="41" t="s">
        <v>427</v>
      </c>
      <c r="X38" s="41" t="s">
        <v>428</v>
      </c>
      <c r="Y38" s="40">
        <v>5</v>
      </c>
      <c r="Z38" s="40">
        <v>37</v>
      </c>
      <c r="AA38" s="40">
        <v>32</v>
      </c>
      <c r="AB38" s="40">
        <v>30</v>
      </c>
      <c r="AC38" s="40">
        <v>90</v>
      </c>
      <c r="AD38" s="40">
        <v>86</v>
      </c>
      <c r="AE38" s="40">
        <v>90</v>
      </c>
      <c r="AF38" s="40">
        <v>4.4</v>
      </c>
      <c r="AG38" s="40">
        <v>30</v>
      </c>
      <c r="AH38" s="40">
        <v>1</v>
      </c>
      <c r="AI38" s="40">
        <v>5.4</v>
      </c>
      <c r="AJ38" s="40">
        <v>5</v>
      </c>
      <c r="AK38" s="40">
        <v>3</v>
      </c>
      <c r="AL38" s="40">
        <v>10</v>
      </c>
      <c r="AM38" s="40">
        <v>2</v>
      </c>
      <c r="AN38" s="40">
        <v>3</v>
      </c>
      <c r="AO38" s="42" t="s">
        <v>429</v>
      </c>
    </row>
    <row r="39" ht="76" spans="1:41">
      <c r="A39" s="37" t="s">
        <v>504</v>
      </c>
      <c r="B39" s="37" t="s">
        <v>329</v>
      </c>
      <c r="C39" s="37" t="s">
        <v>475</v>
      </c>
      <c r="D39" s="38">
        <v>51.4</v>
      </c>
      <c r="E39" s="38">
        <v>48.7</v>
      </c>
      <c r="F39" s="38">
        <v>23.9</v>
      </c>
      <c r="G39" s="38">
        <v>56.6</v>
      </c>
      <c r="H39" s="39">
        <f t="shared" si="3"/>
        <v>43.2</v>
      </c>
      <c r="I39" s="38">
        <v>32.4</v>
      </c>
      <c r="J39" s="38">
        <v>54</v>
      </c>
      <c r="K39" s="37">
        <f t="shared" si="4"/>
        <v>4</v>
      </c>
      <c r="L39" s="37">
        <f t="shared" si="5"/>
        <v>4</v>
      </c>
      <c r="M39" s="40">
        <v>4</v>
      </c>
      <c r="N39" s="38">
        <v>91.5</v>
      </c>
      <c r="O39" s="41"/>
      <c r="P39" s="40">
        <v>60</v>
      </c>
      <c r="Q39" s="40">
        <v>80</v>
      </c>
      <c r="R39" s="41" t="s">
        <v>422</v>
      </c>
      <c r="S39" s="41" t="s">
        <v>423</v>
      </c>
      <c r="T39" s="41" t="s">
        <v>424</v>
      </c>
      <c r="U39" s="41" t="s">
        <v>425</v>
      </c>
      <c r="V39" s="41" t="s">
        <v>426</v>
      </c>
      <c r="W39" s="41" t="s">
        <v>427</v>
      </c>
      <c r="X39" s="41" t="s">
        <v>428</v>
      </c>
      <c r="Y39" s="40">
        <v>4</v>
      </c>
      <c r="Z39" s="40">
        <v>26</v>
      </c>
      <c r="AA39" s="40">
        <v>20</v>
      </c>
      <c r="AB39" s="40">
        <v>22</v>
      </c>
      <c r="AC39" s="40">
        <v>92</v>
      </c>
      <c r="AD39" s="40">
        <v>88</v>
      </c>
      <c r="AE39" s="40">
        <v>92</v>
      </c>
      <c r="AF39" s="40">
        <v>5.1</v>
      </c>
      <c r="AG39" s="40">
        <v>24.4</v>
      </c>
      <c r="AH39" s="40">
        <v>1</v>
      </c>
      <c r="AI39" s="40">
        <v>6</v>
      </c>
      <c r="AJ39" s="40">
        <v>35</v>
      </c>
      <c r="AK39" s="40">
        <v>3</v>
      </c>
      <c r="AL39" s="40">
        <v>12</v>
      </c>
      <c r="AM39" s="40">
        <v>3</v>
      </c>
      <c r="AN39" s="40">
        <v>3</v>
      </c>
      <c r="AO39" s="42" t="s">
        <v>429</v>
      </c>
    </row>
    <row r="40" ht="76" spans="1:41">
      <c r="A40" s="37" t="s">
        <v>505</v>
      </c>
      <c r="B40" s="37" t="s">
        <v>506</v>
      </c>
      <c r="C40" s="37" t="s">
        <v>475</v>
      </c>
      <c r="D40" s="38">
        <v>21.9</v>
      </c>
      <c r="E40" s="38">
        <v>48.4</v>
      </c>
      <c r="F40" s="38">
        <v>32.3</v>
      </c>
      <c r="G40" s="38">
        <v>90.3</v>
      </c>
      <c r="H40" s="39">
        <f t="shared" si="3"/>
        <v>46.8</v>
      </c>
      <c r="I40" s="38">
        <v>31.6</v>
      </c>
      <c r="J40" s="38">
        <v>62</v>
      </c>
      <c r="K40" s="37">
        <f t="shared" si="4"/>
        <v>4</v>
      </c>
      <c r="L40" s="37">
        <f t="shared" si="5"/>
        <v>3</v>
      </c>
      <c r="M40" s="40">
        <v>1</v>
      </c>
      <c r="N40" s="38">
        <v>81.8</v>
      </c>
      <c r="O40" s="41"/>
      <c r="P40" s="40">
        <v>80</v>
      </c>
      <c r="Q40" s="40">
        <v>68</v>
      </c>
      <c r="R40" s="41" t="s">
        <v>422</v>
      </c>
      <c r="S40" s="41" t="s">
        <v>423</v>
      </c>
      <c r="T40" s="41" t="s">
        <v>424</v>
      </c>
      <c r="U40" s="41" t="s">
        <v>425</v>
      </c>
      <c r="V40" s="41" t="s">
        <v>426</v>
      </c>
      <c r="W40" s="41" t="s">
        <v>427</v>
      </c>
      <c r="X40" s="41" t="s">
        <v>428</v>
      </c>
      <c r="Y40" s="40">
        <v>12</v>
      </c>
      <c r="Z40" s="40">
        <v>46</v>
      </c>
      <c r="AA40" s="40">
        <v>32</v>
      </c>
      <c r="AB40" s="40">
        <v>30</v>
      </c>
      <c r="AC40" s="40">
        <v>93</v>
      </c>
      <c r="AD40" s="40">
        <v>90</v>
      </c>
      <c r="AE40" s="40">
        <v>93</v>
      </c>
      <c r="AF40" s="40">
        <v>10.8</v>
      </c>
      <c r="AG40" s="40">
        <v>31.4</v>
      </c>
      <c r="AH40" s="40">
        <v>1</v>
      </c>
      <c r="AI40" s="40">
        <v>5.2</v>
      </c>
      <c r="AJ40" s="40">
        <v>5</v>
      </c>
      <c r="AK40" s="40">
        <v>3</v>
      </c>
      <c r="AL40" s="40">
        <v>6</v>
      </c>
      <c r="AM40" s="40">
        <v>2</v>
      </c>
      <c r="AN40" s="40">
        <v>3</v>
      </c>
      <c r="AO40" s="42" t="s">
        <v>429</v>
      </c>
    </row>
    <row r="41" ht="76" spans="1:41">
      <c r="A41" s="37" t="s">
        <v>507</v>
      </c>
      <c r="B41" s="37" t="s">
        <v>508</v>
      </c>
      <c r="C41" s="37" t="s">
        <v>475</v>
      </c>
      <c r="D41" s="38">
        <v>17</v>
      </c>
      <c r="E41" s="38">
        <v>64.7</v>
      </c>
      <c r="F41" s="38">
        <v>34.6</v>
      </c>
      <c r="G41" s="38">
        <v>54.4</v>
      </c>
      <c r="H41" s="39">
        <f t="shared" si="3"/>
        <v>43.8</v>
      </c>
      <c r="I41" s="38">
        <v>28.6</v>
      </c>
      <c r="J41" s="38">
        <v>59</v>
      </c>
      <c r="K41" s="37">
        <f t="shared" si="4"/>
        <v>4</v>
      </c>
      <c r="L41" s="37">
        <f t="shared" si="5"/>
        <v>4</v>
      </c>
      <c r="M41" s="40">
        <v>0</v>
      </c>
      <c r="N41" s="38">
        <v>96.9</v>
      </c>
      <c r="O41" s="41"/>
      <c r="P41" s="40">
        <v>80</v>
      </c>
      <c r="Q41" s="40">
        <v>72</v>
      </c>
      <c r="R41" s="41" t="s">
        <v>422</v>
      </c>
      <c r="S41" s="41" t="s">
        <v>423</v>
      </c>
      <c r="T41" s="41" t="s">
        <v>424</v>
      </c>
      <c r="U41" s="41" t="s">
        <v>425</v>
      </c>
      <c r="V41" s="41" t="s">
        <v>426</v>
      </c>
      <c r="W41" s="41" t="s">
        <v>427</v>
      </c>
      <c r="X41" s="41" t="s">
        <v>428</v>
      </c>
      <c r="Y41" s="40">
        <v>25</v>
      </c>
      <c r="Z41" s="40">
        <v>32</v>
      </c>
      <c r="AA41" s="40">
        <v>40</v>
      </c>
      <c r="AB41" s="40">
        <v>30</v>
      </c>
      <c r="AC41" s="40">
        <v>88</v>
      </c>
      <c r="AD41" s="40">
        <v>85</v>
      </c>
      <c r="AE41" s="40">
        <v>88</v>
      </c>
      <c r="AF41" s="40">
        <v>10.5</v>
      </c>
      <c r="AG41" s="40">
        <v>23</v>
      </c>
      <c r="AH41" s="40">
        <v>1</v>
      </c>
      <c r="AI41" s="40">
        <v>5.6</v>
      </c>
      <c r="AJ41" s="40">
        <v>2</v>
      </c>
      <c r="AK41" s="40">
        <v>3</v>
      </c>
      <c r="AL41" s="40">
        <v>8</v>
      </c>
      <c r="AM41" s="40">
        <v>2</v>
      </c>
      <c r="AN41" s="40">
        <v>3</v>
      </c>
      <c r="AO41" s="42" t="s">
        <v>429</v>
      </c>
    </row>
    <row r="42" ht="76" spans="1:41">
      <c r="A42" s="37" t="s">
        <v>509</v>
      </c>
      <c r="B42" s="37" t="s">
        <v>510</v>
      </c>
      <c r="C42" s="37" t="s">
        <v>511</v>
      </c>
      <c r="D42" s="38">
        <v>39</v>
      </c>
      <c r="E42" s="38">
        <v>49</v>
      </c>
      <c r="F42" s="38">
        <v>62.8</v>
      </c>
      <c r="G42" s="38">
        <v>36.9</v>
      </c>
      <c r="H42" s="39">
        <f t="shared" si="3"/>
        <v>36.7</v>
      </c>
      <c r="I42" s="38">
        <v>29.3</v>
      </c>
      <c r="J42" s="38">
        <v>44</v>
      </c>
      <c r="K42" s="37">
        <f t="shared" si="4"/>
        <v>4</v>
      </c>
      <c r="L42" s="37">
        <f t="shared" si="5"/>
        <v>3</v>
      </c>
      <c r="M42" s="40">
        <v>1</v>
      </c>
      <c r="N42" s="38">
        <v>86.9</v>
      </c>
      <c r="O42" s="41"/>
      <c r="P42" s="40">
        <v>80</v>
      </c>
      <c r="Q42" s="40">
        <v>60</v>
      </c>
      <c r="R42" s="41" t="s">
        <v>422</v>
      </c>
      <c r="S42" s="41" t="s">
        <v>423</v>
      </c>
      <c r="T42" s="41" t="s">
        <v>512</v>
      </c>
      <c r="U42" s="41" t="s">
        <v>425</v>
      </c>
      <c r="V42" s="41" t="s">
        <v>426</v>
      </c>
      <c r="W42" s="41" t="s">
        <v>427</v>
      </c>
      <c r="X42" s="41" t="s">
        <v>428</v>
      </c>
      <c r="Y42" s="40">
        <v>6</v>
      </c>
      <c r="Z42" s="40">
        <v>68</v>
      </c>
      <c r="AA42" s="40">
        <v>20</v>
      </c>
      <c r="AB42" s="40">
        <v>25</v>
      </c>
      <c r="AC42" s="40">
        <v>65</v>
      </c>
      <c r="AD42" s="40">
        <v>57</v>
      </c>
      <c r="AE42" s="40">
        <v>65</v>
      </c>
      <c r="AF42" s="40">
        <v>1.6</v>
      </c>
      <c r="AG42" s="40">
        <v>37.6</v>
      </c>
      <c r="AH42" s="40">
        <v>0</v>
      </c>
      <c r="AI42" s="40">
        <v>5.9</v>
      </c>
      <c r="AJ42" s="40">
        <v>2</v>
      </c>
      <c r="AK42" s="40">
        <v>3</v>
      </c>
      <c r="AL42" s="40">
        <v>8</v>
      </c>
      <c r="AM42" s="40">
        <v>1</v>
      </c>
      <c r="AN42" s="40">
        <v>2</v>
      </c>
      <c r="AO42" s="42" t="s">
        <v>429</v>
      </c>
    </row>
    <row r="43" ht="76" spans="1:41">
      <c r="A43" s="37" t="s">
        <v>513</v>
      </c>
      <c r="B43" s="37" t="s">
        <v>514</v>
      </c>
      <c r="C43" s="37" t="s">
        <v>511</v>
      </c>
      <c r="D43" s="38">
        <v>29.9</v>
      </c>
      <c r="E43" s="38">
        <v>64.8</v>
      </c>
      <c r="F43" s="38">
        <v>24.9</v>
      </c>
      <c r="G43" s="38">
        <v>56.2</v>
      </c>
      <c r="H43" s="39">
        <f t="shared" si="3"/>
        <v>40.9</v>
      </c>
      <c r="I43" s="38">
        <v>33.7</v>
      </c>
      <c r="J43" s="38">
        <v>48</v>
      </c>
      <c r="K43" s="37">
        <f t="shared" si="4"/>
        <v>3</v>
      </c>
      <c r="L43" s="37">
        <f t="shared" si="5"/>
        <v>1</v>
      </c>
      <c r="M43" s="40">
        <v>1</v>
      </c>
      <c r="N43" s="38">
        <v>94</v>
      </c>
      <c r="O43" s="41"/>
      <c r="P43" s="40">
        <v>60</v>
      </c>
      <c r="Q43" s="40">
        <v>28</v>
      </c>
      <c r="R43" s="41" t="s">
        <v>422</v>
      </c>
      <c r="S43" s="41" t="s">
        <v>423</v>
      </c>
      <c r="T43" s="41" t="s">
        <v>424</v>
      </c>
      <c r="U43" s="41" t="s">
        <v>425</v>
      </c>
      <c r="V43" s="41" t="s">
        <v>426</v>
      </c>
      <c r="W43" s="41" t="s">
        <v>427</v>
      </c>
      <c r="X43" s="41" t="s">
        <v>428</v>
      </c>
      <c r="Y43" s="40">
        <v>4</v>
      </c>
      <c r="Z43" s="40">
        <v>59</v>
      </c>
      <c r="AA43" s="40">
        <v>18</v>
      </c>
      <c r="AB43" s="40">
        <v>25</v>
      </c>
      <c r="AC43" s="40">
        <v>72</v>
      </c>
      <c r="AD43" s="40">
        <v>65</v>
      </c>
      <c r="AE43" s="40">
        <v>72</v>
      </c>
      <c r="AF43" s="40">
        <v>2.7</v>
      </c>
      <c r="AG43" s="40">
        <v>28.9</v>
      </c>
      <c r="AH43" s="40">
        <v>1</v>
      </c>
      <c r="AI43" s="40">
        <v>6.4</v>
      </c>
      <c r="AJ43" s="40">
        <v>40</v>
      </c>
      <c r="AK43" s="40">
        <v>3</v>
      </c>
      <c r="AL43" s="40">
        <v>8</v>
      </c>
      <c r="AM43" s="40">
        <v>2</v>
      </c>
      <c r="AN43" s="40">
        <v>2</v>
      </c>
      <c r="AO43" s="42" t="s">
        <v>429</v>
      </c>
    </row>
    <row r="44" ht="76" spans="1:41">
      <c r="A44" s="37" t="s">
        <v>515</v>
      </c>
      <c r="B44" s="37" t="s">
        <v>516</v>
      </c>
      <c r="C44" s="37" t="s">
        <v>511</v>
      </c>
      <c r="D44" s="38">
        <v>5.5</v>
      </c>
      <c r="E44" s="38">
        <v>89.7</v>
      </c>
      <c r="F44" s="38">
        <v>5.7</v>
      </c>
      <c r="G44" s="38">
        <v>27.4</v>
      </c>
      <c r="H44" s="39">
        <f t="shared" si="3"/>
        <v>27.1</v>
      </c>
      <c r="I44" s="38">
        <v>15.2</v>
      </c>
      <c r="J44" s="38">
        <v>39</v>
      </c>
      <c r="K44" s="37">
        <f t="shared" si="4"/>
        <v>3</v>
      </c>
      <c r="L44" s="37">
        <f t="shared" si="5"/>
        <v>2</v>
      </c>
      <c r="M44" s="40">
        <v>0</v>
      </c>
      <c r="N44" s="38">
        <v>105.7</v>
      </c>
      <c r="O44" s="41"/>
      <c r="P44" s="40">
        <v>70</v>
      </c>
      <c r="Q44" s="40">
        <v>36</v>
      </c>
      <c r="R44" s="41" t="s">
        <v>422</v>
      </c>
      <c r="S44" s="41" t="s">
        <v>423</v>
      </c>
      <c r="T44" s="41" t="s">
        <v>424</v>
      </c>
      <c r="U44" s="41" t="s">
        <v>425</v>
      </c>
      <c r="V44" s="41" t="s">
        <v>426</v>
      </c>
      <c r="W44" s="41" t="s">
        <v>427</v>
      </c>
      <c r="X44" s="41" t="s">
        <v>428</v>
      </c>
      <c r="Y44" s="40">
        <v>1</v>
      </c>
      <c r="Z44" s="40">
        <v>43</v>
      </c>
      <c r="AA44" s="40">
        <v>5</v>
      </c>
      <c r="AB44" s="40">
        <v>10</v>
      </c>
      <c r="AC44" s="40">
        <v>47</v>
      </c>
      <c r="AD44" s="40">
        <v>41</v>
      </c>
      <c r="AE44" s="40">
        <v>47</v>
      </c>
      <c r="AF44" s="40">
        <v>3.2</v>
      </c>
      <c r="AG44" s="40">
        <v>40</v>
      </c>
      <c r="AH44" s="40">
        <v>0</v>
      </c>
      <c r="AI44" s="40">
        <v>8.2</v>
      </c>
      <c r="AJ44" s="40">
        <v>150</v>
      </c>
      <c r="AK44" s="40">
        <v>1</v>
      </c>
      <c r="AL44" s="40">
        <v>3</v>
      </c>
      <c r="AM44" s="40">
        <v>0</v>
      </c>
      <c r="AN44" s="40">
        <v>1</v>
      </c>
      <c r="AO44" s="42" t="s">
        <v>429</v>
      </c>
    </row>
    <row r="45" ht="76" spans="1:41">
      <c r="A45" s="37" t="s">
        <v>517</v>
      </c>
      <c r="B45" s="37" t="s">
        <v>518</v>
      </c>
      <c r="C45" s="37" t="s">
        <v>511</v>
      </c>
      <c r="D45" s="38">
        <v>21</v>
      </c>
      <c r="E45" s="38">
        <v>97.3</v>
      </c>
      <c r="F45" s="38">
        <v>4.5</v>
      </c>
      <c r="G45" s="38">
        <v>43.8</v>
      </c>
      <c r="H45" s="39">
        <f t="shared" si="3"/>
        <v>24.9</v>
      </c>
      <c r="I45" s="38">
        <v>23.8</v>
      </c>
      <c r="J45" s="38">
        <v>26</v>
      </c>
      <c r="K45" s="37">
        <f t="shared" si="4"/>
        <v>3</v>
      </c>
      <c r="L45" s="37">
        <f t="shared" si="5"/>
        <v>3</v>
      </c>
      <c r="M45" s="40">
        <v>3</v>
      </c>
      <c r="N45" s="38">
        <v>104.6</v>
      </c>
      <c r="O45" s="41"/>
      <c r="P45" s="40">
        <v>80</v>
      </c>
      <c r="Q45" s="40">
        <v>52</v>
      </c>
      <c r="R45" s="41" t="s">
        <v>422</v>
      </c>
      <c r="S45" s="41" t="s">
        <v>423</v>
      </c>
      <c r="T45" s="41" t="s">
        <v>424</v>
      </c>
      <c r="U45" s="41" t="s">
        <v>425</v>
      </c>
      <c r="V45" s="41" t="s">
        <v>426</v>
      </c>
      <c r="W45" s="41" t="s">
        <v>427</v>
      </c>
      <c r="X45" s="41" t="s">
        <v>428</v>
      </c>
      <c r="Y45" s="40">
        <v>1</v>
      </c>
      <c r="Z45" s="40">
        <v>24</v>
      </c>
      <c r="AA45" s="40">
        <v>4</v>
      </c>
      <c r="AB45" s="40">
        <v>10</v>
      </c>
      <c r="AC45" s="40">
        <v>58</v>
      </c>
      <c r="AD45" s="40">
        <v>54</v>
      </c>
      <c r="AE45" s="40">
        <v>58</v>
      </c>
      <c r="AF45" s="40">
        <v>1</v>
      </c>
      <c r="AG45" s="40">
        <v>35.1</v>
      </c>
      <c r="AH45" s="40">
        <v>0</v>
      </c>
      <c r="AI45" s="40">
        <v>8</v>
      </c>
      <c r="AJ45" s="40">
        <v>60</v>
      </c>
      <c r="AK45" s="40">
        <v>1</v>
      </c>
      <c r="AL45" s="40">
        <v>5</v>
      </c>
      <c r="AM45" s="40">
        <v>0</v>
      </c>
      <c r="AN45" s="40">
        <v>1</v>
      </c>
      <c r="AO45" s="42" t="s">
        <v>429</v>
      </c>
    </row>
    <row r="46" ht="76" spans="1:41">
      <c r="A46" s="37" t="s">
        <v>519</v>
      </c>
      <c r="B46" s="37" t="s">
        <v>520</v>
      </c>
      <c r="C46" s="37" t="s">
        <v>511</v>
      </c>
      <c r="D46" s="38">
        <v>6.5</v>
      </c>
      <c r="E46" s="38">
        <v>39.1</v>
      </c>
      <c r="F46" s="38">
        <v>6.3</v>
      </c>
      <c r="G46" s="38">
        <v>44.2</v>
      </c>
      <c r="H46" s="39">
        <f t="shared" si="3"/>
        <v>39.5</v>
      </c>
      <c r="I46" s="38">
        <v>34</v>
      </c>
      <c r="J46" s="38">
        <v>45</v>
      </c>
      <c r="K46" s="37">
        <f t="shared" si="4"/>
        <v>4</v>
      </c>
      <c r="L46" s="37">
        <f t="shared" si="5"/>
        <v>2</v>
      </c>
      <c r="M46" s="40">
        <v>10</v>
      </c>
      <c r="N46" s="38">
        <v>90.7</v>
      </c>
      <c r="O46" s="41"/>
      <c r="P46" s="40">
        <v>80</v>
      </c>
      <c r="Q46" s="40">
        <v>48</v>
      </c>
      <c r="R46" s="41" t="s">
        <v>422</v>
      </c>
      <c r="S46" s="41" t="s">
        <v>423</v>
      </c>
      <c r="T46" s="41" t="s">
        <v>521</v>
      </c>
      <c r="U46" s="41" t="s">
        <v>425</v>
      </c>
      <c r="V46" s="41" t="s">
        <v>426</v>
      </c>
      <c r="W46" s="41" t="s">
        <v>427</v>
      </c>
      <c r="X46" s="41" t="s">
        <v>428</v>
      </c>
      <c r="Y46" s="40">
        <v>3</v>
      </c>
      <c r="Z46" s="40">
        <v>68</v>
      </c>
      <c r="AA46" s="40">
        <v>10</v>
      </c>
      <c r="AB46" s="40">
        <v>25</v>
      </c>
      <c r="AC46" s="40">
        <v>79</v>
      </c>
      <c r="AD46" s="40">
        <v>68</v>
      </c>
      <c r="AE46" s="40">
        <v>79</v>
      </c>
      <c r="AF46" s="40">
        <v>3</v>
      </c>
      <c r="AG46" s="40">
        <v>21.2</v>
      </c>
      <c r="AH46" s="40">
        <v>0</v>
      </c>
      <c r="AI46" s="40">
        <v>5.5</v>
      </c>
      <c r="AJ46" s="40">
        <v>8</v>
      </c>
      <c r="AK46" s="40">
        <v>2</v>
      </c>
      <c r="AL46" s="40">
        <v>4</v>
      </c>
      <c r="AM46" s="40">
        <v>1</v>
      </c>
      <c r="AN46" s="40">
        <v>2</v>
      </c>
      <c r="AO46" s="42" t="s">
        <v>429</v>
      </c>
    </row>
    <row r="47" ht="76" spans="1:41">
      <c r="A47" s="37" t="s">
        <v>522</v>
      </c>
      <c r="B47" s="37" t="s">
        <v>327</v>
      </c>
      <c r="C47" s="37" t="s">
        <v>511</v>
      </c>
      <c r="D47" s="38">
        <v>112.8</v>
      </c>
      <c r="E47" s="38">
        <v>89.7</v>
      </c>
      <c r="F47" s="38">
        <v>11.2</v>
      </c>
      <c r="G47" s="38">
        <v>59.3</v>
      </c>
      <c r="H47" s="39">
        <f t="shared" si="3"/>
        <v>35</v>
      </c>
      <c r="I47" s="38">
        <v>29</v>
      </c>
      <c r="J47" s="38">
        <v>41</v>
      </c>
      <c r="K47" s="37">
        <f t="shared" si="4"/>
        <v>4</v>
      </c>
      <c r="L47" s="37">
        <f t="shared" si="5"/>
        <v>3</v>
      </c>
      <c r="M47" s="40">
        <v>10</v>
      </c>
      <c r="N47" s="38">
        <v>107.2</v>
      </c>
      <c r="O47" s="41"/>
      <c r="P47" s="40">
        <v>70</v>
      </c>
      <c r="Q47" s="40">
        <v>60</v>
      </c>
      <c r="R47" s="41" t="s">
        <v>422</v>
      </c>
      <c r="S47" s="41" t="s">
        <v>423</v>
      </c>
      <c r="T47" s="41" t="s">
        <v>424</v>
      </c>
      <c r="U47" s="41" t="s">
        <v>425</v>
      </c>
      <c r="V47" s="41" t="s">
        <v>426</v>
      </c>
      <c r="W47" s="41" t="s">
        <v>427</v>
      </c>
      <c r="X47" s="41" t="s">
        <v>428</v>
      </c>
      <c r="Y47" s="40">
        <v>2</v>
      </c>
      <c r="Z47" s="40">
        <v>47</v>
      </c>
      <c r="AA47" s="40">
        <v>8</v>
      </c>
      <c r="AB47" s="40">
        <v>12</v>
      </c>
      <c r="AC47" s="40">
        <v>71</v>
      </c>
      <c r="AD47" s="40">
        <v>61</v>
      </c>
      <c r="AE47" s="40">
        <v>71</v>
      </c>
      <c r="AF47" s="40">
        <v>0.7</v>
      </c>
      <c r="AG47" s="40">
        <v>40.8</v>
      </c>
      <c r="AH47" s="40">
        <v>0</v>
      </c>
      <c r="AI47" s="40">
        <v>8.4</v>
      </c>
      <c r="AJ47" s="40">
        <v>80</v>
      </c>
      <c r="AK47" s="40">
        <v>2</v>
      </c>
      <c r="AL47" s="40">
        <v>20</v>
      </c>
      <c r="AM47" s="40">
        <v>3</v>
      </c>
      <c r="AN47" s="40">
        <v>3</v>
      </c>
      <c r="AO47" s="42" t="s">
        <v>429</v>
      </c>
    </row>
    <row r="48" ht="76" spans="1:41">
      <c r="A48" s="37" t="s">
        <v>523</v>
      </c>
      <c r="B48" s="37" t="s">
        <v>524</v>
      </c>
      <c r="C48" s="37" t="s">
        <v>511</v>
      </c>
      <c r="D48" s="38">
        <v>1.9</v>
      </c>
      <c r="E48" s="38">
        <v>68</v>
      </c>
      <c r="F48" s="38">
        <v>57.3</v>
      </c>
      <c r="G48" s="38">
        <v>30.8</v>
      </c>
      <c r="H48" s="39">
        <f t="shared" si="3"/>
        <v>45.7</v>
      </c>
      <c r="I48" s="38">
        <v>42.4</v>
      </c>
      <c r="J48" s="38">
        <v>49</v>
      </c>
      <c r="K48" s="37">
        <f t="shared" si="4"/>
        <v>3</v>
      </c>
      <c r="L48" s="37">
        <f t="shared" si="5"/>
        <v>2</v>
      </c>
      <c r="M48" s="40">
        <v>1</v>
      </c>
      <c r="N48" s="38">
        <v>84.4</v>
      </c>
      <c r="O48" s="41"/>
      <c r="P48" s="40">
        <v>60</v>
      </c>
      <c r="Q48" s="40">
        <v>48</v>
      </c>
      <c r="R48" s="41" t="s">
        <v>422</v>
      </c>
      <c r="S48" s="41" t="s">
        <v>423</v>
      </c>
      <c r="T48" s="41" t="s">
        <v>525</v>
      </c>
      <c r="U48" s="41" t="s">
        <v>425</v>
      </c>
      <c r="V48" s="41" t="s">
        <v>426</v>
      </c>
      <c r="W48" s="41" t="s">
        <v>427</v>
      </c>
      <c r="X48" s="41" t="s">
        <v>428</v>
      </c>
      <c r="Y48" s="40">
        <v>8</v>
      </c>
      <c r="Z48" s="40">
        <v>74</v>
      </c>
      <c r="AA48" s="40">
        <v>25</v>
      </c>
      <c r="AB48" s="40">
        <v>30</v>
      </c>
      <c r="AC48" s="40">
        <v>55</v>
      </c>
      <c r="AD48" s="40">
        <v>50</v>
      </c>
      <c r="AE48" s="40">
        <v>55</v>
      </c>
      <c r="AF48" s="40">
        <v>7.3</v>
      </c>
      <c r="AG48" s="40">
        <v>20</v>
      </c>
      <c r="AH48" s="40">
        <v>0</v>
      </c>
      <c r="AI48" s="40">
        <v>4.8</v>
      </c>
      <c r="AJ48" s="40">
        <v>0</v>
      </c>
      <c r="AK48" s="40">
        <v>2</v>
      </c>
      <c r="AL48" s="40">
        <v>1</v>
      </c>
      <c r="AM48" s="40">
        <v>0</v>
      </c>
      <c r="AN48" s="40">
        <v>1</v>
      </c>
      <c r="AO48" s="42" t="s">
        <v>429</v>
      </c>
    </row>
    <row r="49" ht="76" spans="1:41">
      <c r="A49" s="37" t="s">
        <v>526</v>
      </c>
      <c r="B49" s="37" t="s">
        <v>527</v>
      </c>
      <c r="C49" s="37" t="s">
        <v>511</v>
      </c>
      <c r="D49" s="38">
        <v>2.6</v>
      </c>
      <c r="E49" s="38">
        <v>32.6</v>
      </c>
      <c r="F49" s="38">
        <v>24.6</v>
      </c>
      <c r="G49" s="38">
        <v>92.4</v>
      </c>
      <c r="H49" s="39">
        <f t="shared" si="3"/>
        <v>43.8</v>
      </c>
      <c r="I49" s="38">
        <v>39.6</v>
      </c>
      <c r="J49" s="38">
        <v>48</v>
      </c>
      <c r="K49" s="37">
        <f t="shared" si="4"/>
        <v>4</v>
      </c>
      <c r="L49" s="37">
        <f t="shared" si="5"/>
        <v>3</v>
      </c>
      <c r="M49" s="40">
        <v>0</v>
      </c>
      <c r="N49" s="38">
        <v>65.5</v>
      </c>
      <c r="O49" s="41"/>
      <c r="P49" s="40">
        <v>90</v>
      </c>
      <c r="Q49" s="40">
        <v>60</v>
      </c>
      <c r="R49" s="41" t="s">
        <v>422</v>
      </c>
      <c r="S49" s="41" t="s">
        <v>423</v>
      </c>
      <c r="T49" s="41" t="s">
        <v>424</v>
      </c>
      <c r="U49" s="41" t="s">
        <v>425</v>
      </c>
      <c r="V49" s="41" t="s">
        <v>426</v>
      </c>
      <c r="W49" s="41" t="s">
        <v>427</v>
      </c>
      <c r="X49" s="41" t="s">
        <v>428</v>
      </c>
      <c r="Y49" s="40">
        <v>10</v>
      </c>
      <c r="Z49" s="40">
        <v>91</v>
      </c>
      <c r="AA49" s="40">
        <v>30</v>
      </c>
      <c r="AB49" s="40">
        <v>60</v>
      </c>
      <c r="AC49" s="40">
        <v>72</v>
      </c>
      <c r="AD49" s="40">
        <v>65</v>
      </c>
      <c r="AE49" s="40">
        <v>72</v>
      </c>
      <c r="AF49" s="40">
        <v>3</v>
      </c>
      <c r="AG49" s="40">
        <v>14.4</v>
      </c>
      <c r="AH49" s="40">
        <v>0</v>
      </c>
      <c r="AI49" s="40">
        <v>4</v>
      </c>
      <c r="AJ49" s="40">
        <v>1</v>
      </c>
      <c r="AK49" s="40">
        <v>2</v>
      </c>
      <c r="AL49" s="40">
        <v>2</v>
      </c>
      <c r="AM49" s="40">
        <v>2</v>
      </c>
      <c r="AN49" s="40">
        <v>2</v>
      </c>
      <c r="AO49" s="42" t="s">
        <v>429</v>
      </c>
    </row>
    <row r="50" ht="76" spans="1:41">
      <c r="A50" s="37" t="s">
        <v>528</v>
      </c>
      <c r="B50" s="37" t="s">
        <v>529</v>
      </c>
      <c r="C50" s="37" t="s">
        <v>511</v>
      </c>
      <c r="D50" s="38">
        <v>0.2</v>
      </c>
      <c r="E50" s="38">
        <v>13.6</v>
      </c>
      <c r="F50" s="38">
        <v>48.7</v>
      </c>
      <c r="G50" s="38">
        <v>79.3</v>
      </c>
      <c r="H50" s="39">
        <f t="shared" si="3"/>
        <v>50.7</v>
      </c>
      <c r="I50" s="38">
        <v>41.4</v>
      </c>
      <c r="J50" s="38">
        <v>60</v>
      </c>
      <c r="K50" s="37">
        <f t="shared" si="4"/>
        <v>3</v>
      </c>
      <c r="L50" s="37">
        <f t="shared" si="5"/>
        <v>1</v>
      </c>
      <c r="M50" s="40">
        <v>1</v>
      </c>
      <c r="N50" s="38">
        <v>69.7</v>
      </c>
      <c r="O50" s="41"/>
      <c r="P50" s="40">
        <v>50</v>
      </c>
      <c r="Q50" s="40">
        <v>24</v>
      </c>
      <c r="R50" s="41" t="s">
        <v>422</v>
      </c>
      <c r="S50" s="41" t="s">
        <v>423</v>
      </c>
      <c r="T50" s="41" t="s">
        <v>424</v>
      </c>
      <c r="U50" s="41" t="s">
        <v>425</v>
      </c>
      <c r="V50" s="41" t="s">
        <v>426</v>
      </c>
      <c r="W50" s="41" t="s">
        <v>427</v>
      </c>
      <c r="X50" s="41" t="s">
        <v>428</v>
      </c>
      <c r="Y50" s="40">
        <v>2</v>
      </c>
      <c r="Z50" s="40">
        <v>76</v>
      </c>
      <c r="AA50" s="40">
        <v>25</v>
      </c>
      <c r="AB50" s="40">
        <v>35</v>
      </c>
      <c r="AC50" s="40">
        <v>95</v>
      </c>
      <c r="AD50" s="40">
        <v>90</v>
      </c>
      <c r="AE50" s="40">
        <v>95</v>
      </c>
      <c r="AF50" s="40">
        <v>0.5</v>
      </c>
      <c r="AG50" s="40">
        <v>11.7</v>
      </c>
      <c r="AH50" s="40">
        <v>0</v>
      </c>
      <c r="AI50" s="40">
        <v>3.5</v>
      </c>
      <c r="AJ50" s="40">
        <v>0</v>
      </c>
      <c r="AK50" s="40">
        <v>1</v>
      </c>
      <c r="AL50" s="40">
        <v>1</v>
      </c>
      <c r="AM50" s="40">
        <v>0</v>
      </c>
      <c r="AN50" s="40">
        <v>1</v>
      </c>
      <c r="AO50" s="42" t="s">
        <v>429</v>
      </c>
    </row>
    <row r="51" ht="76" spans="1:41">
      <c r="A51" s="37" t="s">
        <v>530</v>
      </c>
      <c r="B51" s="37" t="s">
        <v>531</v>
      </c>
      <c r="C51" s="37" t="s">
        <v>532</v>
      </c>
      <c r="D51" s="38">
        <v>2.6</v>
      </c>
      <c r="E51" s="38">
        <v>33.3</v>
      </c>
      <c r="F51" s="38">
        <v>77.3</v>
      </c>
      <c r="G51" s="38">
        <v>91.8</v>
      </c>
      <c r="H51" s="39">
        <f t="shared" si="3"/>
        <v>48.8</v>
      </c>
      <c r="I51" s="38">
        <v>37.5</v>
      </c>
      <c r="J51" s="38">
        <v>60</v>
      </c>
      <c r="K51" s="37">
        <f t="shared" si="4"/>
        <v>4</v>
      </c>
      <c r="L51" s="37">
        <f t="shared" si="5"/>
        <v>3</v>
      </c>
      <c r="M51" s="40">
        <v>0</v>
      </c>
      <c r="N51" s="38">
        <v>55.3</v>
      </c>
      <c r="O51" s="41"/>
      <c r="P51" s="40">
        <v>60</v>
      </c>
      <c r="Q51" s="40">
        <v>60</v>
      </c>
      <c r="R51" s="41" t="s">
        <v>422</v>
      </c>
      <c r="S51" s="41" t="s">
        <v>423</v>
      </c>
      <c r="T51" s="41" t="s">
        <v>424</v>
      </c>
      <c r="U51" s="41" t="s">
        <v>425</v>
      </c>
      <c r="V51" s="41" t="s">
        <v>426</v>
      </c>
      <c r="W51" s="41" t="s">
        <v>427</v>
      </c>
      <c r="X51" s="41" t="s">
        <v>428</v>
      </c>
      <c r="Y51" s="40">
        <v>30</v>
      </c>
      <c r="Z51" s="40">
        <v>72</v>
      </c>
      <c r="AA51" s="40">
        <v>55</v>
      </c>
      <c r="AB51" s="40">
        <v>70</v>
      </c>
      <c r="AC51" s="40">
        <v>95</v>
      </c>
      <c r="AD51" s="40">
        <v>90</v>
      </c>
      <c r="AE51" s="40">
        <v>95</v>
      </c>
      <c r="AF51" s="40">
        <v>20.8</v>
      </c>
      <c r="AG51" s="40">
        <v>23.3</v>
      </c>
      <c r="AH51" s="40">
        <v>1</v>
      </c>
      <c r="AI51" s="40">
        <v>3.6</v>
      </c>
      <c r="AJ51" s="40">
        <v>1</v>
      </c>
      <c r="AK51" s="40">
        <v>3</v>
      </c>
      <c r="AL51" s="40">
        <v>3</v>
      </c>
      <c r="AM51" s="40">
        <v>2</v>
      </c>
      <c r="AN51" s="40">
        <v>3</v>
      </c>
      <c r="AO51" s="42" t="s">
        <v>429</v>
      </c>
    </row>
    <row r="52" ht="76" spans="1:41">
      <c r="A52" s="37" t="s">
        <v>533</v>
      </c>
      <c r="B52" s="37" t="s">
        <v>534</v>
      </c>
      <c r="C52" s="37" t="s">
        <v>532</v>
      </c>
      <c r="D52" s="38">
        <v>2.4</v>
      </c>
      <c r="E52" s="38">
        <v>60</v>
      </c>
      <c r="F52" s="38">
        <v>47.9</v>
      </c>
      <c r="G52" s="38">
        <v>94.7</v>
      </c>
      <c r="H52" s="39">
        <f t="shared" si="3"/>
        <v>40.7</v>
      </c>
      <c r="I52" s="38">
        <v>26.3</v>
      </c>
      <c r="J52" s="38">
        <v>55</v>
      </c>
      <c r="K52" s="37">
        <f t="shared" si="4"/>
        <v>3</v>
      </c>
      <c r="L52" s="37">
        <f t="shared" si="5"/>
        <v>3</v>
      </c>
      <c r="M52" s="40">
        <v>0</v>
      </c>
      <c r="N52" s="38">
        <v>76.3</v>
      </c>
      <c r="O52" s="41"/>
      <c r="P52" s="40">
        <v>60</v>
      </c>
      <c r="Q52" s="40">
        <v>56</v>
      </c>
      <c r="R52" s="41" t="s">
        <v>422</v>
      </c>
      <c r="S52" s="41" t="s">
        <v>423</v>
      </c>
      <c r="T52" s="41" t="s">
        <v>424</v>
      </c>
      <c r="U52" s="41" t="s">
        <v>425</v>
      </c>
      <c r="V52" s="41" t="s">
        <v>426</v>
      </c>
      <c r="W52" s="41" t="s">
        <v>427</v>
      </c>
      <c r="X52" s="41" t="s">
        <v>428</v>
      </c>
      <c r="Y52" s="40">
        <v>8</v>
      </c>
      <c r="Z52" s="40">
        <v>30</v>
      </c>
      <c r="AA52" s="40">
        <v>30</v>
      </c>
      <c r="AB52" s="40">
        <v>30</v>
      </c>
      <c r="AC52" s="40">
        <v>89</v>
      </c>
      <c r="AD52" s="40">
        <v>85</v>
      </c>
      <c r="AE52" s="40">
        <v>89</v>
      </c>
      <c r="AF52" s="40">
        <v>18.7</v>
      </c>
      <c r="AG52" s="40">
        <v>34.6</v>
      </c>
      <c r="AH52" s="40">
        <v>0</v>
      </c>
      <c r="AI52" s="40">
        <v>4.6</v>
      </c>
      <c r="AJ52" s="40">
        <v>0</v>
      </c>
      <c r="AK52" s="40">
        <v>2</v>
      </c>
      <c r="AL52" s="40">
        <v>2</v>
      </c>
      <c r="AM52" s="40">
        <v>1</v>
      </c>
      <c r="AN52" s="40">
        <v>2</v>
      </c>
      <c r="AO52" s="42" t="s">
        <v>429</v>
      </c>
    </row>
    <row r="53" ht="76" spans="1:41">
      <c r="A53" s="37" t="s">
        <v>535</v>
      </c>
      <c r="B53" s="37" t="s">
        <v>536</v>
      </c>
      <c r="C53" s="37" t="s">
        <v>532</v>
      </c>
      <c r="D53" s="38">
        <v>3.1</v>
      </c>
      <c r="E53" s="38">
        <v>39.5</v>
      </c>
      <c r="F53" s="38">
        <v>24.3</v>
      </c>
      <c r="G53" s="38">
        <v>74.3</v>
      </c>
      <c r="H53" s="39">
        <f t="shared" si="3"/>
        <v>53</v>
      </c>
      <c r="I53" s="38">
        <v>39.9</v>
      </c>
      <c r="J53" s="38">
        <v>66</v>
      </c>
      <c r="K53" s="37">
        <f t="shared" si="4"/>
        <v>3</v>
      </c>
      <c r="L53" s="37">
        <f t="shared" si="5"/>
        <v>3</v>
      </c>
      <c r="M53" s="40">
        <v>0</v>
      </c>
      <c r="N53" s="38">
        <v>60.3</v>
      </c>
      <c r="O53" s="41"/>
      <c r="P53" s="40">
        <v>50</v>
      </c>
      <c r="Q53" s="40">
        <v>60</v>
      </c>
      <c r="R53" s="41" t="s">
        <v>422</v>
      </c>
      <c r="S53" s="41" t="s">
        <v>423</v>
      </c>
      <c r="T53" s="41" t="s">
        <v>424</v>
      </c>
      <c r="U53" s="41" t="s">
        <v>425</v>
      </c>
      <c r="V53" s="41" t="s">
        <v>426</v>
      </c>
      <c r="W53" s="41" t="s">
        <v>427</v>
      </c>
      <c r="X53" s="41" t="s">
        <v>428</v>
      </c>
      <c r="Y53" s="40">
        <v>35</v>
      </c>
      <c r="Z53" s="40">
        <v>54</v>
      </c>
      <c r="AA53" s="40">
        <v>40</v>
      </c>
      <c r="AB53" s="40">
        <v>55</v>
      </c>
      <c r="AC53" s="40">
        <v>89</v>
      </c>
      <c r="AD53" s="40">
        <v>84</v>
      </c>
      <c r="AE53" s="40">
        <v>89</v>
      </c>
      <c r="AF53" s="40">
        <v>11.6</v>
      </c>
      <c r="AG53" s="40">
        <v>18.4</v>
      </c>
      <c r="AH53" s="40">
        <v>1</v>
      </c>
      <c r="AI53" s="40">
        <v>3.9</v>
      </c>
      <c r="AJ53" s="40">
        <v>2</v>
      </c>
      <c r="AK53" s="40">
        <v>3</v>
      </c>
      <c r="AL53" s="40">
        <v>3</v>
      </c>
      <c r="AM53" s="40">
        <v>2</v>
      </c>
      <c r="AN53" s="40">
        <v>3</v>
      </c>
      <c r="AO53" s="42" t="s">
        <v>429</v>
      </c>
    </row>
    <row r="54" ht="76" spans="1:41">
      <c r="A54" s="37" t="s">
        <v>537</v>
      </c>
      <c r="B54" s="37" t="s">
        <v>538</v>
      </c>
      <c r="C54" s="37" t="s">
        <v>532</v>
      </c>
      <c r="D54" s="38">
        <v>64.7</v>
      </c>
      <c r="E54" s="38">
        <v>35.1</v>
      </c>
      <c r="F54" s="38">
        <v>79.3</v>
      </c>
      <c r="G54" s="38">
        <v>97.8</v>
      </c>
      <c r="H54" s="39">
        <f t="shared" si="3"/>
        <v>59.3</v>
      </c>
      <c r="I54" s="38">
        <v>44.6</v>
      </c>
      <c r="J54" s="38">
        <v>74</v>
      </c>
      <c r="K54" s="37">
        <f t="shared" si="4"/>
        <v>4</v>
      </c>
      <c r="L54" s="37">
        <f t="shared" si="5"/>
        <v>4</v>
      </c>
      <c r="M54" s="40">
        <v>2</v>
      </c>
      <c r="N54" s="38">
        <v>72</v>
      </c>
      <c r="O54" s="41"/>
      <c r="P54" s="40">
        <v>70</v>
      </c>
      <c r="Q54" s="40">
        <v>84</v>
      </c>
      <c r="R54" s="41" t="s">
        <v>422</v>
      </c>
      <c r="S54" s="41" t="s">
        <v>423</v>
      </c>
      <c r="T54" s="41" t="s">
        <v>424</v>
      </c>
      <c r="U54" s="41" t="s">
        <v>425</v>
      </c>
      <c r="V54" s="41" t="s">
        <v>426</v>
      </c>
      <c r="W54" s="41" t="s">
        <v>427</v>
      </c>
      <c r="X54" s="41" t="s">
        <v>428</v>
      </c>
      <c r="Y54" s="40">
        <v>65</v>
      </c>
      <c r="Z54" s="40">
        <v>68</v>
      </c>
      <c r="AA54" s="40">
        <v>66</v>
      </c>
      <c r="AB54" s="40">
        <v>82</v>
      </c>
      <c r="AC54" s="40">
        <v>85</v>
      </c>
      <c r="AD54" s="40">
        <v>82</v>
      </c>
      <c r="AE54" s="40">
        <v>85</v>
      </c>
      <c r="AF54" s="40">
        <v>17.8</v>
      </c>
      <c r="AG54" s="40">
        <v>21.4</v>
      </c>
      <c r="AH54" s="40">
        <v>2</v>
      </c>
      <c r="AI54" s="40">
        <v>3.8</v>
      </c>
      <c r="AJ54" s="40">
        <v>4</v>
      </c>
      <c r="AK54" s="40">
        <v>5</v>
      </c>
      <c r="AL54" s="40">
        <v>100</v>
      </c>
      <c r="AM54" s="40">
        <v>3</v>
      </c>
      <c r="AN54" s="40">
        <v>3</v>
      </c>
      <c r="AO54" s="42" t="s">
        <v>429</v>
      </c>
    </row>
    <row r="55" ht="76" spans="1:41">
      <c r="A55" s="37" t="s">
        <v>539</v>
      </c>
      <c r="B55" s="37" t="s">
        <v>540</v>
      </c>
      <c r="C55" s="37" t="s">
        <v>532</v>
      </c>
      <c r="D55" s="38">
        <v>1.3</v>
      </c>
      <c r="E55" s="38">
        <v>45.1</v>
      </c>
      <c r="F55" s="38">
        <v>47.5</v>
      </c>
      <c r="G55" s="38">
        <v>98.1</v>
      </c>
      <c r="H55" s="39">
        <f t="shared" si="3"/>
        <v>52.3</v>
      </c>
      <c r="I55" s="38">
        <v>32.5</v>
      </c>
      <c r="J55" s="38">
        <v>72</v>
      </c>
      <c r="K55" s="37">
        <f t="shared" si="4"/>
        <v>3</v>
      </c>
      <c r="L55" s="37">
        <f t="shared" si="5"/>
        <v>3</v>
      </c>
      <c r="M55" s="40">
        <v>0</v>
      </c>
      <c r="N55" s="38">
        <v>79.1</v>
      </c>
      <c r="O55" s="41"/>
      <c r="P55" s="40">
        <v>60</v>
      </c>
      <c r="Q55" s="40">
        <v>60</v>
      </c>
      <c r="R55" s="41" t="s">
        <v>422</v>
      </c>
      <c r="S55" s="41" t="s">
        <v>423</v>
      </c>
      <c r="T55" s="41" t="s">
        <v>424</v>
      </c>
      <c r="U55" s="41" t="s">
        <v>425</v>
      </c>
      <c r="V55" s="41" t="s">
        <v>426</v>
      </c>
      <c r="W55" s="41" t="s">
        <v>427</v>
      </c>
      <c r="X55" s="41" t="s">
        <v>428</v>
      </c>
      <c r="Y55" s="40">
        <v>12</v>
      </c>
      <c r="Z55" s="40">
        <v>24</v>
      </c>
      <c r="AA55" s="40">
        <v>35</v>
      </c>
      <c r="AB55" s="40">
        <v>45</v>
      </c>
      <c r="AC55" s="40">
        <v>92</v>
      </c>
      <c r="AD55" s="40">
        <v>88</v>
      </c>
      <c r="AE55" s="40">
        <v>92</v>
      </c>
      <c r="AF55" s="40">
        <v>21.2</v>
      </c>
      <c r="AG55" s="40">
        <v>20.8</v>
      </c>
      <c r="AH55" s="40">
        <v>1</v>
      </c>
      <c r="AI55" s="40">
        <v>4.3</v>
      </c>
      <c r="AJ55" s="40">
        <v>1</v>
      </c>
      <c r="AK55" s="40">
        <v>2</v>
      </c>
      <c r="AL55" s="40">
        <v>2</v>
      </c>
      <c r="AM55" s="40">
        <v>2</v>
      </c>
      <c r="AN55" s="40">
        <v>2</v>
      </c>
      <c r="AO55" s="42" t="s">
        <v>429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65"/>
  <sheetViews>
    <sheetView workbookViewId="0">
      <pane xSplit="2" ySplit="1" topLeftCell="K2" activePane="bottomRight" state="frozen"/>
      <selection/>
      <selection pane="topRight"/>
      <selection pane="bottomLeft"/>
      <selection pane="bottomRight" activeCell="M6" sqref="M6"/>
    </sheetView>
  </sheetViews>
  <sheetFormatPr defaultColWidth="8.5" defaultRowHeight="15" customHeight="1"/>
  <cols>
    <col min="1" max="1" width="10" customWidth="1"/>
    <col min="2" max="2" width="38" customWidth="1"/>
    <col min="3" max="3" width="26" customWidth="1"/>
    <col min="4" max="4" width="11.6640625" style="30" customWidth="1"/>
    <col min="5" max="5" width="12" style="30" customWidth="1"/>
    <col min="6" max="6" width="13.5" style="30" customWidth="1"/>
    <col min="7" max="7" width="10.8359375" style="30" customWidth="1"/>
    <col min="8" max="8" width="15.5" style="30" customWidth="1"/>
    <col min="9" max="9" width="13.6640625" style="30" customWidth="1"/>
    <col min="10" max="10" width="5.6640625" style="30" customWidth="1"/>
    <col min="11" max="11" width="15.1640625" style="30" customWidth="1"/>
    <col min="12" max="12" width="8.6640625" style="30" customWidth="1"/>
    <col min="13" max="13" width="10.6640625" style="30" customWidth="1"/>
    <col min="14" max="14" width="12.8359375" style="30" customWidth="1"/>
    <col min="15" max="15" width="13.3359375" style="30" customWidth="1"/>
    <col min="16" max="16" width="13.6640625" style="30" customWidth="1"/>
    <col min="17" max="17" width="12.8359375" style="30" customWidth="1"/>
    <col min="18" max="20" width="14.8359375" style="30" customWidth="1"/>
    <col min="21" max="21" width="14.5" style="30" customWidth="1"/>
    <col min="22" max="22" width="25.8359375" style="30" customWidth="1"/>
    <col min="23" max="23" width="12.1640625" style="30" customWidth="1"/>
    <col min="24" max="24" width="18.1640625" style="30" customWidth="1"/>
  </cols>
  <sheetData>
    <row r="1" ht="51.75" customHeight="1" spans="1:24">
      <c r="A1" s="17" t="s">
        <v>147</v>
      </c>
      <c r="B1" s="17" t="s">
        <v>148</v>
      </c>
      <c r="C1" s="17" t="s">
        <v>149</v>
      </c>
      <c r="D1" s="17" t="s">
        <v>541</v>
      </c>
      <c r="E1" s="17" t="s">
        <v>542</v>
      </c>
      <c r="F1" s="17" t="s">
        <v>543</v>
      </c>
      <c r="G1" s="17" t="s">
        <v>544</v>
      </c>
      <c r="H1" s="17" t="s">
        <v>545</v>
      </c>
      <c r="I1" s="17" t="s">
        <v>546</v>
      </c>
      <c r="J1" s="17" t="s">
        <v>547</v>
      </c>
      <c r="K1" s="17" t="s">
        <v>548</v>
      </c>
      <c r="L1" s="17" t="s">
        <v>549</v>
      </c>
      <c r="M1" s="17" t="s">
        <v>550</v>
      </c>
      <c r="N1" s="17" t="s">
        <v>551</v>
      </c>
      <c r="O1" s="31" t="s">
        <v>552</v>
      </c>
      <c r="P1" s="31" t="s">
        <v>553</v>
      </c>
      <c r="Q1" s="31" t="s">
        <v>554</v>
      </c>
      <c r="R1" s="31" t="s">
        <v>555</v>
      </c>
      <c r="S1" s="31" t="s">
        <v>556</v>
      </c>
      <c r="T1" s="31" t="s">
        <v>557</v>
      </c>
      <c r="U1" s="31" t="s">
        <v>558</v>
      </c>
      <c r="V1" s="31" t="s">
        <v>559</v>
      </c>
      <c r="W1" s="31" t="s">
        <v>560</v>
      </c>
      <c r="X1" s="31" t="s">
        <v>561</v>
      </c>
    </row>
    <row r="2" customHeight="1" spans="1:24">
      <c r="A2" t="s">
        <v>169</v>
      </c>
      <c r="B2" t="s">
        <v>170</v>
      </c>
      <c r="C2" t="s">
        <v>171</v>
      </c>
      <c r="D2" s="32">
        <v>3</v>
      </c>
      <c r="E2" s="32">
        <v>1</v>
      </c>
      <c r="F2" s="32">
        <v>0</v>
      </c>
      <c r="G2" s="32">
        <v>60</v>
      </c>
      <c r="H2" s="32" t="s">
        <v>562</v>
      </c>
      <c r="I2" s="32">
        <v>0.5</v>
      </c>
      <c r="J2" s="32">
        <v>5</v>
      </c>
      <c r="K2" s="32">
        <v>8</v>
      </c>
      <c r="L2" s="32">
        <v>6</v>
      </c>
      <c r="M2" s="32">
        <v>1</v>
      </c>
      <c r="N2" s="32">
        <v>1</v>
      </c>
      <c r="O2" s="33">
        <v>42</v>
      </c>
      <c r="P2" s="33">
        <v>8</v>
      </c>
      <c r="Q2" s="33">
        <v>0.99</v>
      </c>
      <c r="R2" s="33">
        <v>1</v>
      </c>
      <c r="S2" s="33">
        <v>1</v>
      </c>
      <c r="T2" s="33">
        <v>3</v>
      </c>
      <c r="U2" s="33">
        <v>3</v>
      </c>
      <c r="V2" s="34" t="s">
        <v>563</v>
      </c>
      <c r="W2" s="33">
        <v>1</v>
      </c>
      <c r="X2" s="33">
        <v>4</v>
      </c>
    </row>
    <row r="3" customHeight="1" spans="1:24">
      <c r="A3" t="s">
        <v>172</v>
      </c>
      <c r="B3" t="s">
        <v>173</v>
      </c>
      <c r="C3" t="s">
        <v>171</v>
      </c>
      <c r="D3" s="32">
        <v>1</v>
      </c>
      <c r="E3" s="32">
        <v>1</v>
      </c>
      <c r="F3" s="32">
        <v>3</v>
      </c>
      <c r="G3" s="32">
        <v>2</v>
      </c>
      <c r="H3" s="32" t="s">
        <v>564</v>
      </c>
      <c r="I3" s="32">
        <v>120</v>
      </c>
      <c r="J3" s="32">
        <v>1.5</v>
      </c>
      <c r="K3" s="32">
        <v>9</v>
      </c>
      <c r="L3" s="32">
        <v>15</v>
      </c>
      <c r="M3" s="32">
        <v>1</v>
      </c>
      <c r="N3" s="32">
        <v>0.3</v>
      </c>
      <c r="O3" s="33">
        <v>10</v>
      </c>
      <c r="P3" s="33">
        <v>4</v>
      </c>
      <c r="Q3" s="33">
        <v>0.05</v>
      </c>
      <c r="R3" s="33">
        <v>2</v>
      </c>
      <c r="S3" s="33">
        <v>1</v>
      </c>
      <c r="T3" s="33">
        <v>1</v>
      </c>
      <c r="U3" s="33">
        <v>2</v>
      </c>
      <c r="V3" s="34" t="s">
        <v>565</v>
      </c>
      <c r="W3" s="33">
        <v>0</v>
      </c>
      <c r="X3" s="33">
        <v>4</v>
      </c>
    </row>
    <row r="4" customHeight="1" spans="1:24">
      <c r="A4" t="s">
        <v>174</v>
      </c>
      <c r="B4" t="s">
        <v>175</v>
      </c>
      <c r="C4" t="s">
        <v>171</v>
      </c>
      <c r="D4" s="32">
        <v>0</v>
      </c>
      <c r="E4" s="32">
        <v>1</v>
      </c>
      <c r="F4" s="32">
        <v>2</v>
      </c>
      <c r="G4" s="32">
        <v>1</v>
      </c>
      <c r="H4" s="32" t="s">
        <v>564</v>
      </c>
      <c r="I4" s="32">
        <v>15</v>
      </c>
      <c r="J4" s="32">
        <v>0.1</v>
      </c>
      <c r="K4" s="32">
        <v>3</v>
      </c>
      <c r="L4" s="32">
        <v>6</v>
      </c>
      <c r="M4" s="32">
        <v>0</v>
      </c>
      <c r="N4" s="32">
        <v>0.2</v>
      </c>
      <c r="O4" s="33">
        <v>14</v>
      </c>
      <c r="P4" s="33">
        <v>4</v>
      </c>
      <c r="Q4" s="33">
        <v>0.5</v>
      </c>
      <c r="R4" s="33">
        <v>2</v>
      </c>
      <c r="S4" s="33">
        <v>1</v>
      </c>
      <c r="T4" s="33">
        <v>1</v>
      </c>
      <c r="U4" s="33">
        <v>1</v>
      </c>
      <c r="V4" s="34" t="s">
        <v>566</v>
      </c>
      <c r="W4" s="33">
        <v>0</v>
      </c>
      <c r="X4" s="33">
        <v>2</v>
      </c>
    </row>
    <row r="5" customHeight="1" spans="1:24">
      <c r="A5" t="s">
        <v>176</v>
      </c>
      <c r="B5" t="s">
        <v>177</v>
      </c>
      <c r="C5" t="s">
        <v>178</v>
      </c>
      <c r="D5" s="32">
        <v>0</v>
      </c>
      <c r="E5" s="32">
        <v>1</v>
      </c>
      <c r="F5" s="32">
        <v>0</v>
      </c>
      <c r="G5" s="32">
        <v>1</v>
      </c>
      <c r="H5" s="32" t="s">
        <v>564</v>
      </c>
      <c r="I5" s="32">
        <v>1.2</v>
      </c>
      <c r="J5" s="32">
        <v>30</v>
      </c>
      <c r="K5" s="32">
        <v>6</v>
      </c>
      <c r="L5" s="32">
        <v>3</v>
      </c>
      <c r="M5" s="32">
        <v>1</v>
      </c>
      <c r="N5" s="32">
        <v>0.1</v>
      </c>
      <c r="O5" s="33">
        <v>7</v>
      </c>
      <c r="P5" s="33">
        <v>3</v>
      </c>
      <c r="Q5" s="33">
        <v>0.6</v>
      </c>
      <c r="R5" s="33">
        <v>2</v>
      </c>
      <c r="S5" s="33">
        <v>1</v>
      </c>
      <c r="T5" s="33">
        <v>0</v>
      </c>
      <c r="U5" s="33">
        <v>1</v>
      </c>
      <c r="V5" s="34" t="s">
        <v>565</v>
      </c>
      <c r="W5" s="33">
        <v>0</v>
      </c>
      <c r="X5" s="33">
        <v>3</v>
      </c>
    </row>
    <row r="6" customHeight="1" spans="1:24">
      <c r="A6" t="s">
        <v>179</v>
      </c>
      <c r="B6" t="s">
        <v>180</v>
      </c>
      <c r="C6" t="s">
        <v>178</v>
      </c>
      <c r="D6" s="32">
        <v>0</v>
      </c>
      <c r="E6" s="32">
        <v>2</v>
      </c>
      <c r="F6" s="32">
        <v>0</v>
      </c>
      <c r="G6" s="32">
        <v>1</v>
      </c>
      <c r="H6" s="32" t="s">
        <v>564</v>
      </c>
      <c r="I6" s="32">
        <v>40</v>
      </c>
      <c r="J6" s="32">
        <v>0.5</v>
      </c>
      <c r="K6" s="32">
        <v>7</v>
      </c>
      <c r="L6" s="32">
        <v>4</v>
      </c>
      <c r="M6" s="32">
        <v>0</v>
      </c>
      <c r="N6" s="32">
        <v>0.2</v>
      </c>
      <c r="O6" s="33">
        <v>7</v>
      </c>
      <c r="P6" s="33">
        <v>3</v>
      </c>
      <c r="Q6" s="33">
        <v>0.6</v>
      </c>
      <c r="R6" s="33">
        <v>2</v>
      </c>
      <c r="S6" s="33">
        <v>1</v>
      </c>
      <c r="T6" s="33">
        <v>1</v>
      </c>
      <c r="U6" s="33">
        <v>2</v>
      </c>
      <c r="V6" s="34" t="s">
        <v>567</v>
      </c>
      <c r="W6" s="33">
        <v>0</v>
      </c>
      <c r="X6" s="33">
        <v>3</v>
      </c>
    </row>
    <row r="7" customHeight="1" spans="1:24">
      <c r="A7" t="s">
        <v>181</v>
      </c>
      <c r="B7" t="s">
        <v>182</v>
      </c>
      <c r="C7" t="s">
        <v>178</v>
      </c>
      <c r="D7" s="32">
        <v>0</v>
      </c>
      <c r="E7" s="32">
        <v>1</v>
      </c>
      <c r="F7" s="32">
        <v>0</v>
      </c>
      <c r="G7" s="32">
        <v>1</v>
      </c>
      <c r="H7" s="32" t="s">
        <v>564</v>
      </c>
      <c r="I7" s="32">
        <v>10</v>
      </c>
      <c r="J7" s="32">
        <v>0.1</v>
      </c>
      <c r="K7" s="32">
        <v>5</v>
      </c>
      <c r="L7" s="32">
        <v>3</v>
      </c>
      <c r="M7" s="32">
        <v>0</v>
      </c>
      <c r="N7" s="32">
        <v>0.1</v>
      </c>
      <c r="O7" s="33">
        <v>7</v>
      </c>
      <c r="P7" s="33">
        <v>3</v>
      </c>
      <c r="Q7" s="33">
        <v>0.2</v>
      </c>
      <c r="R7" s="33">
        <v>2</v>
      </c>
      <c r="S7" s="33">
        <v>1</v>
      </c>
      <c r="T7" s="33">
        <v>0</v>
      </c>
      <c r="U7" s="33">
        <v>1</v>
      </c>
      <c r="V7" s="34" t="s">
        <v>568</v>
      </c>
      <c r="W7" s="33">
        <v>0</v>
      </c>
      <c r="X7" s="33">
        <v>2</v>
      </c>
    </row>
    <row r="8" customHeight="1" spans="1:24">
      <c r="A8" t="s">
        <v>183</v>
      </c>
      <c r="B8" t="s">
        <v>184</v>
      </c>
      <c r="C8" t="s">
        <v>178</v>
      </c>
      <c r="D8" s="32">
        <v>1</v>
      </c>
      <c r="E8" s="32">
        <v>3</v>
      </c>
      <c r="F8" s="32">
        <v>0</v>
      </c>
      <c r="G8" s="32">
        <v>7</v>
      </c>
      <c r="H8" s="32" t="s">
        <v>564</v>
      </c>
      <c r="I8" s="32">
        <v>2</v>
      </c>
      <c r="J8" s="32">
        <v>0.1</v>
      </c>
      <c r="K8" s="32">
        <v>3</v>
      </c>
      <c r="L8" s="32">
        <v>2</v>
      </c>
      <c r="M8" s="32">
        <v>1</v>
      </c>
      <c r="N8" s="32">
        <v>0.1</v>
      </c>
      <c r="O8" s="33">
        <v>30</v>
      </c>
      <c r="P8" s="33">
        <v>4</v>
      </c>
      <c r="Q8" s="33">
        <v>0.8</v>
      </c>
      <c r="R8" s="33">
        <v>2</v>
      </c>
      <c r="S8" s="33">
        <v>1</v>
      </c>
      <c r="T8" s="33">
        <v>1</v>
      </c>
      <c r="U8" s="33">
        <v>1</v>
      </c>
      <c r="V8" s="34" t="s">
        <v>569</v>
      </c>
      <c r="W8" s="33">
        <v>0</v>
      </c>
      <c r="X8" s="33">
        <v>2</v>
      </c>
    </row>
    <row r="9" customHeight="1" spans="1:24">
      <c r="A9" t="s">
        <v>185</v>
      </c>
      <c r="B9" t="s">
        <v>186</v>
      </c>
      <c r="C9" t="s">
        <v>178</v>
      </c>
      <c r="D9" s="32">
        <v>0</v>
      </c>
      <c r="E9" s="32">
        <v>1</v>
      </c>
      <c r="F9" s="32">
        <v>0</v>
      </c>
      <c r="G9" s="32">
        <v>1</v>
      </c>
      <c r="H9" s="32" t="s">
        <v>564</v>
      </c>
      <c r="I9" s="32">
        <v>1</v>
      </c>
      <c r="J9" s="32">
        <v>5</v>
      </c>
      <c r="K9" s="32">
        <v>3</v>
      </c>
      <c r="L9" s="32">
        <v>1.5</v>
      </c>
      <c r="M9" s="32">
        <v>0</v>
      </c>
      <c r="N9" s="32">
        <v>0.1</v>
      </c>
      <c r="O9" s="33">
        <v>7</v>
      </c>
      <c r="P9" s="33">
        <v>3</v>
      </c>
      <c r="Q9" s="33">
        <v>0.8</v>
      </c>
      <c r="R9" s="33">
        <v>3</v>
      </c>
      <c r="S9" s="33">
        <v>1</v>
      </c>
      <c r="T9" s="33">
        <v>0</v>
      </c>
      <c r="U9" s="33">
        <v>1</v>
      </c>
      <c r="V9" s="34" t="s">
        <v>569</v>
      </c>
      <c r="W9" s="33">
        <v>0</v>
      </c>
      <c r="X9" s="33">
        <v>1</v>
      </c>
    </row>
    <row r="10" customHeight="1" spans="1:24">
      <c r="A10" t="s">
        <v>187</v>
      </c>
      <c r="B10" t="s">
        <v>188</v>
      </c>
      <c r="C10" t="s">
        <v>189</v>
      </c>
      <c r="D10" s="32">
        <v>0</v>
      </c>
      <c r="E10" s="32">
        <v>1</v>
      </c>
      <c r="F10" s="32">
        <v>1</v>
      </c>
      <c r="G10" s="32">
        <v>3</v>
      </c>
      <c r="H10" s="32" t="s">
        <v>564</v>
      </c>
      <c r="I10" s="32">
        <v>3</v>
      </c>
      <c r="J10" s="32">
        <v>15</v>
      </c>
      <c r="K10" s="32">
        <v>6</v>
      </c>
      <c r="L10" s="32">
        <v>1.5</v>
      </c>
      <c r="M10" s="32">
        <v>0</v>
      </c>
      <c r="N10" s="32">
        <v>0.4</v>
      </c>
      <c r="O10" s="33">
        <v>7</v>
      </c>
      <c r="P10" s="33">
        <v>3</v>
      </c>
      <c r="Q10" s="33">
        <v>0.3</v>
      </c>
      <c r="R10" s="33">
        <v>3</v>
      </c>
      <c r="S10" s="33">
        <v>1</v>
      </c>
      <c r="T10" s="33">
        <v>1</v>
      </c>
      <c r="U10" s="33">
        <v>1</v>
      </c>
      <c r="V10" s="34" t="s">
        <v>570</v>
      </c>
      <c r="W10" s="33">
        <v>0</v>
      </c>
      <c r="X10" s="33">
        <v>2</v>
      </c>
    </row>
    <row r="11" customHeight="1" spans="1:24">
      <c r="A11" t="s">
        <v>190</v>
      </c>
      <c r="B11" t="s">
        <v>191</v>
      </c>
      <c r="C11" t="s">
        <v>189</v>
      </c>
      <c r="D11" s="32">
        <v>1</v>
      </c>
      <c r="E11" s="32">
        <v>1</v>
      </c>
      <c r="F11" s="32">
        <v>0</v>
      </c>
      <c r="G11" s="32">
        <v>1</v>
      </c>
      <c r="H11" s="32" t="s">
        <v>564</v>
      </c>
      <c r="I11" s="32">
        <v>1</v>
      </c>
      <c r="J11" s="32">
        <v>30</v>
      </c>
      <c r="K11" s="32">
        <v>4</v>
      </c>
      <c r="L11" s="32">
        <v>1</v>
      </c>
      <c r="M11" s="32">
        <v>0</v>
      </c>
      <c r="N11" s="32">
        <v>0.2</v>
      </c>
      <c r="O11" s="33">
        <v>10</v>
      </c>
      <c r="P11" s="33">
        <v>3</v>
      </c>
      <c r="Q11" s="33">
        <v>0.1</v>
      </c>
      <c r="R11" s="33">
        <v>3</v>
      </c>
      <c r="S11" s="33">
        <v>1</v>
      </c>
      <c r="T11" s="33">
        <v>0</v>
      </c>
      <c r="U11" s="33">
        <v>1</v>
      </c>
      <c r="V11" s="34" t="s">
        <v>571</v>
      </c>
      <c r="W11" s="33">
        <v>0</v>
      </c>
      <c r="X11" s="33">
        <v>2</v>
      </c>
    </row>
    <row r="12" customHeight="1" spans="1:24">
      <c r="A12" t="s">
        <v>192</v>
      </c>
      <c r="B12" t="s">
        <v>193</v>
      </c>
      <c r="C12" t="s">
        <v>189</v>
      </c>
      <c r="D12" s="32">
        <v>3</v>
      </c>
      <c r="E12" s="32">
        <v>2</v>
      </c>
      <c r="F12" s="32">
        <v>1</v>
      </c>
      <c r="G12" s="32">
        <v>7</v>
      </c>
      <c r="H12" s="32" t="s">
        <v>564</v>
      </c>
      <c r="I12" s="32">
        <v>0.3</v>
      </c>
      <c r="J12" s="32">
        <v>50</v>
      </c>
      <c r="K12" s="32">
        <v>9</v>
      </c>
      <c r="L12" s="32">
        <v>2</v>
      </c>
      <c r="M12" s="32">
        <v>1</v>
      </c>
      <c r="N12" s="32">
        <v>0.5</v>
      </c>
      <c r="O12" s="33">
        <v>21</v>
      </c>
      <c r="P12" s="33">
        <v>5</v>
      </c>
      <c r="Q12" s="33">
        <v>0.05</v>
      </c>
      <c r="R12" s="33">
        <v>2</v>
      </c>
      <c r="S12" s="33">
        <v>1</v>
      </c>
      <c r="T12" s="33">
        <v>2</v>
      </c>
      <c r="U12" s="33">
        <v>2</v>
      </c>
      <c r="V12" s="34" t="s">
        <v>572</v>
      </c>
      <c r="W12" s="33">
        <v>0</v>
      </c>
      <c r="X12" s="33">
        <v>4</v>
      </c>
    </row>
    <row r="13" customHeight="1" spans="1:24">
      <c r="A13" t="s">
        <v>194</v>
      </c>
      <c r="B13" t="s">
        <v>195</v>
      </c>
      <c r="C13" t="s">
        <v>189</v>
      </c>
      <c r="D13" s="32">
        <v>3</v>
      </c>
      <c r="E13" s="32">
        <v>2</v>
      </c>
      <c r="F13" s="32">
        <v>1</v>
      </c>
      <c r="G13" s="32">
        <v>7</v>
      </c>
      <c r="H13" s="32" t="s">
        <v>564</v>
      </c>
      <c r="I13" s="32">
        <v>0.05</v>
      </c>
      <c r="J13" s="32">
        <v>80</v>
      </c>
      <c r="K13" s="32">
        <v>4</v>
      </c>
      <c r="L13" s="32">
        <v>1.5</v>
      </c>
      <c r="M13" s="32">
        <v>1</v>
      </c>
      <c r="N13" s="32">
        <v>0.5</v>
      </c>
      <c r="O13" s="33">
        <v>21</v>
      </c>
      <c r="P13" s="33">
        <v>5</v>
      </c>
      <c r="Q13" s="33">
        <v>0.05</v>
      </c>
      <c r="R13" s="33">
        <v>3</v>
      </c>
      <c r="S13" s="33">
        <v>1</v>
      </c>
      <c r="T13" s="33">
        <v>2</v>
      </c>
      <c r="U13" s="33">
        <v>2</v>
      </c>
      <c r="V13" s="34" t="s">
        <v>573</v>
      </c>
      <c r="W13" s="33">
        <v>0</v>
      </c>
      <c r="X13" s="33">
        <v>4</v>
      </c>
    </row>
    <row r="14" customHeight="1" spans="1:24">
      <c r="A14" t="s">
        <v>196</v>
      </c>
      <c r="B14" t="s">
        <v>197</v>
      </c>
      <c r="C14" t="s">
        <v>189</v>
      </c>
      <c r="D14" s="32">
        <v>2</v>
      </c>
      <c r="E14" s="32">
        <v>3</v>
      </c>
      <c r="F14" s="32">
        <v>1</v>
      </c>
      <c r="G14" s="32">
        <v>14</v>
      </c>
      <c r="H14" s="32" t="s">
        <v>564</v>
      </c>
      <c r="I14" s="32">
        <v>5</v>
      </c>
      <c r="J14" s="32">
        <v>15</v>
      </c>
      <c r="K14" s="32">
        <v>9</v>
      </c>
      <c r="L14" s="32">
        <v>1.4</v>
      </c>
      <c r="M14" s="32">
        <v>0</v>
      </c>
      <c r="N14" s="32">
        <v>0.7</v>
      </c>
      <c r="O14" s="33">
        <v>30</v>
      </c>
      <c r="P14" s="33">
        <v>5</v>
      </c>
      <c r="Q14" s="33">
        <v>0.6</v>
      </c>
      <c r="R14" s="33">
        <v>2</v>
      </c>
      <c r="S14" s="33">
        <v>1</v>
      </c>
      <c r="T14" s="33">
        <v>2</v>
      </c>
      <c r="U14" s="33">
        <v>2</v>
      </c>
      <c r="V14" s="34" t="s">
        <v>574</v>
      </c>
      <c r="W14" s="33">
        <v>0</v>
      </c>
      <c r="X14" s="33">
        <v>3</v>
      </c>
    </row>
    <row r="15" customHeight="1" spans="1:24">
      <c r="A15" t="s">
        <v>198</v>
      </c>
      <c r="B15" t="s">
        <v>199</v>
      </c>
      <c r="C15" t="s">
        <v>200</v>
      </c>
      <c r="D15" s="32">
        <v>2</v>
      </c>
      <c r="E15" s="32">
        <v>2</v>
      </c>
      <c r="F15" s="32">
        <v>2</v>
      </c>
      <c r="G15" s="32">
        <v>21</v>
      </c>
      <c r="H15" s="32" t="s">
        <v>575</v>
      </c>
      <c r="I15" s="32">
        <v>3</v>
      </c>
      <c r="J15" s="32">
        <v>3</v>
      </c>
      <c r="K15" s="32">
        <v>8</v>
      </c>
      <c r="L15" s="32">
        <v>2.1</v>
      </c>
      <c r="M15" s="32">
        <v>1</v>
      </c>
      <c r="N15" s="32">
        <v>0.3</v>
      </c>
      <c r="O15" s="33">
        <v>28</v>
      </c>
      <c r="P15" s="33">
        <v>6</v>
      </c>
      <c r="Q15" s="33">
        <v>0.3</v>
      </c>
      <c r="R15" s="33">
        <v>2</v>
      </c>
      <c r="S15" s="33">
        <v>1</v>
      </c>
      <c r="T15" s="33">
        <v>3</v>
      </c>
      <c r="U15" s="33">
        <v>3</v>
      </c>
      <c r="V15" s="34" t="s">
        <v>576</v>
      </c>
      <c r="W15" s="33">
        <v>1</v>
      </c>
      <c r="X15" s="33">
        <v>3</v>
      </c>
    </row>
    <row r="16" customHeight="1" spans="1:24">
      <c r="A16" t="s">
        <v>201</v>
      </c>
      <c r="B16" t="s">
        <v>202</v>
      </c>
      <c r="C16" t="s">
        <v>203</v>
      </c>
      <c r="D16" s="32">
        <v>2</v>
      </c>
      <c r="E16" s="32">
        <v>1</v>
      </c>
      <c r="F16" s="32">
        <v>3</v>
      </c>
      <c r="G16" s="32">
        <v>21</v>
      </c>
      <c r="H16" s="32" t="s">
        <v>564</v>
      </c>
      <c r="I16" s="32">
        <v>300</v>
      </c>
      <c r="J16" s="32">
        <v>1</v>
      </c>
      <c r="K16" s="32">
        <v>10</v>
      </c>
      <c r="L16" s="32">
        <v>3</v>
      </c>
      <c r="M16" s="32">
        <v>1</v>
      </c>
      <c r="N16" s="32">
        <v>0.2</v>
      </c>
      <c r="O16" s="33">
        <v>21</v>
      </c>
      <c r="P16" s="33">
        <v>7</v>
      </c>
      <c r="Q16" s="33">
        <v>0.4</v>
      </c>
      <c r="R16" s="33">
        <v>1</v>
      </c>
      <c r="S16" s="33">
        <v>1</v>
      </c>
      <c r="T16" s="33">
        <v>3</v>
      </c>
      <c r="U16" s="33">
        <v>3</v>
      </c>
      <c r="V16" s="34" t="s">
        <v>577</v>
      </c>
      <c r="W16" s="33">
        <v>1</v>
      </c>
      <c r="X16" s="33">
        <v>4</v>
      </c>
    </row>
    <row r="17" customHeight="1" spans="1:24">
      <c r="A17" t="s">
        <v>204</v>
      </c>
      <c r="B17" t="s">
        <v>205</v>
      </c>
      <c r="C17" t="s">
        <v>203</v>
      </c>
      <c r="D17" s="32">
        <v>1</v>
      </c>
      <c r="E17" s="32">
        <v>1</v>
      </c>
      <c r="F17" s="32">
        <v>3</v>
      </c>
      <c r="G17" s="32">
        <v>14</v>
      </c>
      <c r="H17" s="32" t="s">
        <v>564</v>
      </c>
      <c r="I17" s="32">
        <v>0.1</v>
      </c>
      <c r="J17" s="32">
        <v>35</v>
      </c>
      <c r="K17" s="32">
        <v>3</v>
      </c>
      <c r="L17" s="32">
        <v>0.8</v>
      </c>
      <c r="M17" s="32">
        <v>1</v>
      </c>
      <c r="N17" s="32">
        <v>0.1</v>
      </c>
      <c r="O17" s="33">
        <v>14</v>
      </c>
      <c r="P17" s="33">
        <v>5</v>
      </c>
      <c r="Q17" s="33">
        <v>0.2</v>
      </c>
      <c r="R17" s="33">
        <v>2</v>
      </c>
      <c r="S17" s="33">
        <v>1</v>
      </c>
      <c r="T17" s="33">
        <v>1</v>
      </c>
      <c r="U17" s="33">
        <v>2</v>
      </c>
      <c r="V17" s="34" t="s">
        <v>569</v>
      </c>
      <c r="W17" s="33">
        <v>0</v>
      </c>
      <c r="X17" s="33">
        <v>2</v>
      </c>
    </row>
    <row r="18" customHeight="1" spans="1:24">
      <c r="A18" t="s">
        <v>206</v>
      </c>
      <c r="B18" t="s">
        <v>207</v>
      </c>
      <c r="C18" t="s">
        <v>203</v>
      </c>
      <c r="D18" s="32">
        <v>1</v>
      </c>
      <c r="E18" s="32">
        <v>0</v>
      </c>
      <c r="F18" s="32">
        <v>3</v>
      </c>
      <c r="G18" s="32">
        <v>7</v>
      </c>
      <c r="H18" s="32" t="s">
        <v>564</v>
      </c>
      <c r="I18" s="32">
        <v>200</v>
      </c>
      <c r="J18" s="32">
        <v>0.2</v>
      </c>
      <c r="K18" s="32">
        <v>10</v>
      </c>
      <c r="L18" s="32">
        <v>1.5</v>
      </c>
      <c r="M18" s="32">
        <v>1</v>
      </c>
      <c r="N18" s="32">
        <v>0.2</v>
      </c>
      <c r="O18" s="33">
        <v>10</v>
      </c>
      <c r="P18" s="33">
        <v>5</v>
      </c>
      <c r="Q18" s="33">
        <v>0.3</v>
      </c>
      <c r="R18" s="33">
        <v>1</v>
      </c>
      <c r="S18" s="33">
        <v>1</v>
      </c>
      <c r="T18" s="33">
        <v>2</v>
      </c>
      <c r="U18" s="33">
        <v>3</v>
      </c>
      <c r="V18" s="34" t="s">
        <v>577</v>
      </c>
      <c r="W18" s="33">
        <v>1</v>
      </c>
      <c r="X18" s="33">
        <v>3</v>
      </c>
    </row>
    <row r="19" customHeight="1" spans="1:24">
      <c r="A19" t="s">
        <v>208</v>
      </c>
      <c r="B19" t="s">
        <v>209</v>
      </c>
      <c r="C19" t="s">
        <v>210</v>
      </c>
      <c r="D19" s="32">
        <v>1</v>
      </c>
      <c r="E19" s="32">
        <v>0</v>
      </c>
      <c r="F19" s="32">
        <v>3</v>
      </c>
      <c r="G19" s="32">
        <v>14</v>
      </c>
      <c r="H19" s="32" t="s">
        <v>564</v>
      </c>
      <c r="I19" s="32">
        <v>0.05</v>
      </c>
      <c r="J19" s="32">
        <v>53</v>
      </c>
      <c r="K19" s="32">
        <v>4</v>
      </c>
      <c r="L19" s="32">
        <v>0.5</v>
      </c>
      <c r="M19" s="32">
        <v>1</v>
      </c>
      <c r="N19" s="32">
        <v>0.3</v>
      </c>
      <c r="O19" s="33">
        <v>14</v>
      </c>
      <c r="P19" s="33">
        <v>4</v>
      </c>
      <c r="Q19" s="33">
        <v>0.2</v>
      </c>
      <c r="R19" s="33">
        <v>2</v>
      </c>
      <c r="S19" s="33">
        <v>1</v>
      </c>
      <c r="T19" s="33">
        <v>1</v>
      </c>
      <c r="U19" s="33">
        <v>3</v>
      </c>
      <c r="V19" s="34" t="s">
        <v>578</v>
      </c>
      <c r="W19" s="33">
        <v>1</v>
      </c>
      <c r="X19" s="33">
        <v>2</v>
      </c>
    </row>
    <row r="20" customHeight="1" spans="1:24">
      <c r="A20" t="s">
        <v>211</v>
      </c>
      <c r="B20" t="s">
        <v>212</v>
      </c>
      <c r="C20" t="s">
        <v>203</v>
      </c>
      <c r="D20" s="32">
        <v>1</v>
      </c>
      <c r="E20" s="32">
        <v>0</v>
      </c>
      <c r="F20" s="32">
        <v>3</v>
      </c>
      <c r="G20" s="32">
        <v>3</v>
      </c>
      <c r="H20" s="32" t="s">
        <v>564</v>
      </c>
      <c r="I20" s="32">
        <v>300</v>
      </c>
      <c r="J20" s="32">
        <v>0.5</v>
      </c>
      <c r="K20" s="32">
        <v>10</v>
      </c>
      <c r="L20" s="32">
        <v>2</v>
      </c>
      <c r="M20" s="32">
        <v>0</v>
      </c>
      <c r="N20" s="32">
        <v>0.2</v>
      </c>
      <c r="O20" s="33">
        <v>10</v>
      </c>
      <c r="P20" s="33">
        <v>5</v>
      </c>
      <c r="Q20" s="33">
        <v>0.2</v>
      </c>
      <c r="R20" s="33">
        <v>1</v>
      </c>
      <c r="S20" s="33">
        <v>1</v>
      </c>
      <c r="T20" s="33">
        <v>2</v>
      </c>
      <c r="U20" s="33">
        <v>1</v>
      </c>
      <c r="V20" s="34" t="s">
        <v>579</v>
      </c>
      <c r="W20" s="33">
        <v>0</v>
      </c>
      <c r="X20" s="33">
        <v>2</v>
      </c>
    </row>
    <row r="21" customHeight="1" spans="1:24">
      <c r="A21" t="s">
        <v>213</v>
      </c>
      <c r="B21" t="s">
        <v>214</v>
      </c>
      <c r="C21" t="s">
        <v>215</v>
      </c>
      <c r="D21" s="32">
        <v>3</v>
      </c>
      <c r="E21" s="32">
        <v>1</v>
      </c>
      <c r="F21" s="32">
        <v>2</v>
      </c>
      <c r="G21" s="32">
        <v>30</v>
      </c>
      <c r="H21" s="32" t="s">
        <v>575</v>
      </c>
      <c r="I21" s="32">
        <v>200</v>
      </c>
      <c r="J21" s="32">
        <v>0.1</v>
      </c>
      <c r="K21" s="32">
        <v>8</v>
      </c>
      <c r="L21" s="32">
        <v>2</v>
      </c>
      <c r="M21" s="32">
        <v>0</v>
      </c>
      <c r="N21" s="32">
        <v>0.5</v>
      </c>
      <c r="O21" s="33">
        <v>30</v>
      </c>
      <c r="P21" s="33">
        <v>7</v>
      </c>
      <c r="Q21" s="33">
        <v>0.5</v>
      </c>
      <c r="R21" s="33">
        <v>1</v>
      </c>
      <c r="S21" s="33">
        <v>1</v>
      </c>
      <c r="T21" s="33">
        <v>3</v>
      </c>
      <c r="U21" s="33">
        <v>1</v>
      </c>
      <c r="V21" s="34" t="s">
        <v>580</v>
      </c>
      <c r="W21" s="33">
        <v>0</v>
      </c>
      <c r="X21" s="33">
        <v>1</v>
      </c>
    </row>
    <row r="22" customHeight="1" spans="1:24">
      <c r="A22" t="s">
        <v>216</v>
      </c>
      <c r="B22" t="s">
        <v>217</v>
      </c>
      <c r="C22" t="s">
        <v>218</v>
      </c>
      <c r="D22" s="32">
        <v>1</v>
      </c>
      <c r="E22" s="32">
        <v>1</v>
      </c>
      <c r="F22" s="32">
        <v>2</v>
      </c>
      <c r="G22" s="32">
        <v>7</v>
      </c>
      <c r="H22" s="32" t="s">
        <v>564</v>
      </c>
      <c r="I22" s="32">
        <v>0.01</v>
      </c>
      <c r="J22" s="32">
        <v>70</v>
      </c>
      <c r="K22" s="32">
        <v>1</v>
      </c>
      <c r="L22" s="32">
        <v>0.5</v>
      </c>
      <c r="M22" s="32">
        <v>1</v>
      </c>
      <c r="N22" s="32">
        <v>0.4</v>
      </c>
      <c r="O22" s="33">
        <v>14</v>
      </c>
      <c r="P22" s="33">
        <v>4</v>
      </c>
      <c r="Q22" s="33">
        <v>0.2</v>
      </c>
      <c r="R22" s="33">
        <v>3</v>
      </c>
      <c r="S22" s="33">
        <v>1</v>
      </c>
      <c r="T22" s="33">
        <v>1</v>
      </c>
      <c r="U22" s="33">
        <v>2</v>
      </c>
      <c r="V22" s="34" t="s">
        <v>569</v>
      </c>
      <c r="W22" s="33">
        <v>0</v>
      </c>
      <c r="X22" s="33">
        <v>1</v>
      </c>
    </row>
    <row r="23" customHeight="1" spans="1:24">
      <c r="A23" t="s">
        <v>219</v>
      </c>
      <c r="B23" t="s">
        <v>220</v>
      </c>
      <c r="C23" t="s">
        <v>221</v>
      </c>
      <c r="D23" s="32">
        <v>3</v>
      </c>
      <c r="E23" s="32">
        <v>1</v>
      </c>
      <c r="F23" s="32">
        <v>0</v>
      </c>
      <c r="G23" s="32">
        <v>60</v>
      </c>
      <c r="H23" s="32" t="s">
        <v>564</v>
      </c>
      <c r="I23" s="32">
        <v>60</v>
      </c>
      <c r="J23" s="32">
        <v>0.3</v>
      </c>
      <c r="K23" s="32">
        <v>8</v>
      </c>
      <c r="L23" s="32">
        <v>2</v>
      </c>
      <c r="M23" s="32">
        <v>0</v>
      </c>
      <c r="N23" s="32">
        <v>0.95</v>
      </c>
      <c r="O23" s="33">
        <v>30</v>
      </c>
      <c r="P23" s="33">
        <v>7</v>
      </c>
      <c r="Q23" s="33">
        <v>0.7</v>
      </c>
      <c r="R23" s="33">
        <v>1</v>
      </c>
      <c r="S23" s="33">
        <v>1</v>
      </c>
      <c r="T23" s="33">
        <v>3</v>
      </c>
      <c r="U23" s="33">
        <v>1</v>
      </c>
      <c r="V23" s="34" t="s">
        <v>581</v>
      </c>
      <c r="W23" s="33">
        <v>0</v>
      </c>
      <c r="X23" s="33">
        <v>2</v>
      </c>
    </row>
    <row r="24" customHeight="1" spans="1:24">
      <c r="A24" t="s">
        <v>222</v>
      </c>
      <c r="B24" t="s">
        <v>223</v>
      </c>
      <c r="C24" t="s">
        <v>221</v>
      </c>
      <c r="D24" s="32">
        <v>3</v>
      </c>
      <c r="E24" s="32">
        <v>1</v>
      </c>
      <c r="F24" s="32">
        <v>0</v>
      </c>
      <c r="G24" s="32">
        <v>30</v>
      </c>
      <c r="H24" s="32" t="s">
        <v>564</v>
      </c>
      <c r="I24" s="32">
        <v>35</v>
      </c>
      <c r="J24" s="32">
        <v>3</v>
      </c>
      <c r="K24" s="32">
        <v>7</v>
      </c>
      <c r="L24" s="32">
        <v>2</v>
      </c>
      <c r="M24" s="32">
        <v>0</v>
      </c>
      <c r="N24" s="32">
        <v>0.95</v>
      </c>
      <c r="O24" s="33">
        <v>30</v>
      </c>
      <c r="P24" s="33">
        <v>7</v>
      </c>
      <c r="Q24" s="33">
        <v>0.7</v>
      </c>
      <c r="R24" s="33">
        <v>2</v>
      </c>
      <c r="S24" s="33">
        <v>1</v>
      </c>
      <c r="T24" s="33">
        <v>3</v>
      </c>
      <c r="U24" s="33">
        <v>1</v>
      </c>
      <c r="V24" s="34" t="s">
        <v>582</v>
      </c>
      <c r="W24" s="33">
        <v>0</v>
      </c>
      <c r="X24" s="33">
        <v>1</v>
      </c>
    </row>
    <row r="25" customHeight="1" spans="1:24">
      <c r="A25" t="s">
        <v>224</v>
      </c>
      <c r="B25" t="s">
        <v>225</v>
      </c>
      <c r="C25" t="s">
        <v>221</v>
      </c>
      <c r="D25" s="32">
        <v>3</v>
      </c>
      <c r="E25" s="32">
        <v>0</v>
      </c>
      <c r="F25" s="32">
        <v>0</v>
      </c>
      <c r="G25" s="32">
        <v>60</v>
      </c>
      <c r="H25" s="32" t="s">
        <v>564</v>
      </c>
      <c r="I25" s="32">
        <v>500</v>
      </c>
      <c r="J25" s="32">
        <v>0.05</v>
      </c>
      <c r="K25" s="32">
        <v>10</v>
      </c>
      <c r="L25" s="32">
        <v>2.5</v>
      </c>
      <c r="M25" s="32">
        <v>0</v>
      </c>
      <c r="N25" s="32">
        <v>0.85</v>
      </c>
      <c r="O25" s="33">
        <v>21</v>
      </c>
      <c r="P25" s="33">
        <v>8</v>
      </c>
      <c r="Q25" s="33">
        <v>0.3</v>
      </c>
      <c r="R25" s="33">
        <v>1</v>
      </c>
      <c r="S25" s="33">
        <v>1</v>
      </c>
      <c r="T25" s="33">
        <v>3</v>
      </c>
      <c r="U25" s="33">
        <v>2</v>
      </c>
      <c r="V25" s="34" t="s">
        <v>583</v>
      </c>
      <c r="W25" s="33">
        <v>0</v>
      </c>
      <c r="X25" s="33">
        <v>1</v>
      </c>
    </row>
    <row r="26" customHeight="1" spans="1:24">
      <c r="A26" t="s">
        <v>226</v>
      </c>
      <c r="B26" t="s">
        <v>227</v>
      </c>
      <c r="C26" t="s">
        <v>221</v>
      </c>
      <c r="D26" s="32">
        <v>3</v>
      </c>
      <c r="E26" s="32">
        <v>0</v>
      </c>
      <c r="F26" s="32">
        <v>0</v>
      </c>
      <c r="G26" s="32">
        <v>30</v>
      </c>
      <c r="H26" s="32" t="s">
        <v>564</v>
      </c>
      <c r="I26" s="32">
        <v>450</v>
      </c>
      <c r="J26" s="32">
        <v>0.4</v>
      </c>
      <c r="K26" s="32">
        <v>10</v>
      </c>
      <c r="L26" s="32">
        <v>3</v>
      </c>
      <c r="M26" s="32">
        <v>0</v>
      </c>
      <c r="N26" s="32">
        <v>0.85</v>
      </c>
      <c r="O26" s="33">
        <v>21</v>
      </c>
      <c r="P26" s="33">
        <v>8</v>
      </c>
      <c r="Q26" s="33">
        <v>0.3</v>
      </c>
      <c r="R26" s="33">
        <v>1</v>
      </c>
      <c r="S26" s="33">
        <v>1</v>
      </c>
      <c r="T26" s="33">
        <v>3</v>
      </c>
      <c r="U26" s="33">
        <v>2</v>
      </c>
      <c r="V26" s="34" t="s">
        <v>565</v>
      </c>
      <c r="W26" s="33">
        <v>0</v>
      </c>
      <c r="X26" s="33">
        <v>3</v>
      </c>
    </row>
    <row r="27" customHeight="1" spans="1:24">
      <c r="A27" t="s">
        <v>228</v>
      </c>
      <c r="B27" t="s">
        <v>229</v>
      </c>
      <c r="C27" t="s">
        <v>221</v>
      </c>
      <c r="D27" s="32">
        <v>3</v>
      </c>
      <c r="E27" s="32">
        <v>0</v>
      </c>
      <c r="F27" s="32">
        <v>0</v>
      </c>
      <c r="G27" s="32">
        <v>14</v>
      </c>
      <c r="H27" s="32" t="s">
        <v>564</v>
      </c>
      <c r="I27" s="32">
        <v>150</v>
      </c>
      <c r="J27" s="32">
        <v>0.05</v>
      </c>
      <c r="K27" s="32">
        <v>7</v>
      </c>
      <c r="L27" s="32">
        <v>2</v>
      </c>
      <c r="M27" s="32">
        <v>0</v>
      </c>
      <c r="N27" s="32">
        <v>0.85</v>
      </c>
      <c r="O27" s="33">
        <v>14</v>
      </c>
      <c r="P27" s="33">
        <v>6</v>
      </c>
      <c r="Q27" s="33">
        <v>0.4</v>
      </c>
      <c r="R27" s="33">
        <v>2</v>
      </c>
      <c r="S27" s="33">
        <v>1</v>
      </c>
      <c r="T27" s="33">
        <v>2</v>
      </c>
      <c r="U27" s="33">
        <v>1</v>
      </c>
      <c r="V27" s="34" t="s">
        <v>583</v>
      </c>
      <c r="W27" s="33">
        <v>0</v>
      </c>
      <c r="X27" s="33">
        <v>1</v>
      </c>
    </row>
    <row r="28" customHeight="1" spans="1:24">
      <c r="A28" t="s">
        <v>230</v>
      </c>
      <c r="B28" t="s">
        <v>231</v>
      </c>
      <c r="C28" t="s">
        <v>221</v>
      </c>
      <c r="D28" s="32">
        <v>3</v>
      </c>
      <c r="E28" s="32">
        <v>0</v>
      </c>
      <c r="F28" s="32">
        <v>0</v>
      </c>
      <c r="G28" s="32">
        <v>14</v>
      </c>
      <c r="H28" s="32" t="s">
        <v>564</v>
      </c>
      <c r="I28" s="32">
        <v>120</v>
      </c>
      <c r="J28" s="32">
        <v>0.05</v>
      </c>
      <c r="K28" s="32">
        <v>7</v>
      </c>
      <c r="L28" s="32">
        <v>2</v>
      </c>
      <c r="M28" s="32">
        <v>0</v>
      </c>
      <c r="N28" s="32">
        <v>0.85</v>
      </c>
      <c r="O28" s="33">
        <v>14</v>
      </c>
      <c r="P28" s="33">
        <v>6</v>
      </c>
      <c r="Q28" s="33">
        <v>0.4</v>
      </c>
      <c r="R28" s="33">
        <v>2</v>
      </c>
      <c r="S28" s="33">
        <v>1</v>
      </c>
      <c r="T28" s="33">
        <v>2</v>
      </c>
      <c r="U28" s="33">
        <v>1</v>
      </c>
      <c r="V28" s="34" t="s">
        <v>583</v>
      </c>
      <c r="W28" s="33">
        <v>0</v>
      </c>
      <c r="X28" s="33">
        <v>1</v>
      </c>
    </row>
    <row r="29" customHeight="1" spans="1:24">
      <c r="A29" t="s">
        <v>232</v>
      </c>
      <c r="B29" t="s">
        <v>233</v>
      </c>
      <c r="C29" t="s">
        <v>221</v>
      </c>
      <c r="D29" s="32">
        <v>3</v>
      </c>
      <c r="E29" s="32">
        <v>1</v>
      </c>
      <c r="F29" s="32">
        <v>0</v>
      </c>
      <c r="G29" s="32">
        <v>30</v>
      </c>
      <c r="H29" s="32" t="s">
        <v>564</v>
      </c>
      <c r="I29" s="32">
        <v>200</v>
      </c>
      <c r="J29" s="32">
        <v>0.1</v>
      </c>
      <c r="K29" s="32">
        <v>8</v>
      </c>
      <c r="L29" s="32">
        <v>4</v>
      </c>
      <c r="M29" s="32">
        <v>0</v>
      </c>
      <c r="N29" s="32">
        <v>0.7</v>
      </c>
      <c r="O29" s="33">
        <v>30</v>
      </c>
      <c r="P29" s="33">
        <v>7</v>
      </c>
      <c r="Q29" s="33">
        <v>0.9</v>
      </c>
      <c r="R29" s="33">
        <v>1</v>
      </c>
      <c r="S29" s="33">
        <v>1</v>
      </c>
      <c r="T29" s="33">
        <v>3</v>
      </c>
      <c r="U29" s="33">
        <v>2</v>
      </c>
      <c r="V29" s="34" t="s">
        <v>569</v>
      </c>
      <c r="W29" s="33">
        <v>1</v>
      </c>
      <c r="X29" s="33">
        <v>2</v>
      </c>
    </row>
    <row r="30" customHeight="1" spans="1:24">
      <c r="A30" t="s">
        <v>234</v>
      </c>
      <c r="B30" t="s">
        <v>235</v>
      </c>
      <c r="C30" t="s">
        <v>221</v>
      </c>
      <c r="D30" s="32">
        <v>3</v>
      </c>
      <c r="E30" s="32">
        <v>0</v>
      </c>
      <c r="F30" s="32">
        <v>0</v>
      </c>
      <c r="G30" s="32">
        <v>14</v>
      </c>
      <c r="H30" s="32" t="s">
        <v>564</v>
      </c>
      <c r="I30" s="32">
        <v>40</v>
      </c>
      <c r="J30" s="32">
        <v>0.1</v>
      </c>
      <c r="K30" s="32">
        <v>5</v>
      </c>
      <c r="L30" s="32">
        <v>2</v>
      </c>
      <c r="M30" s="32">
        <v>0</v>
      </c>
      <c r="N30" s="32">
        <v>0.7</v>
      </c>
      <c r="O30" s="33">
        <v>21</v>
      </c>
      <c r="P30" s="33">
        <v>6</v>
      </c>
      <c r="Q30" s="33">
        <v>0.8</v>
      </c>
      <c r="R30" s="33">
        <v>2</v>
      </c>
      <c r="S30" s="33">
        <v>1</v>
      </c>
      <c r="T30" s="33">
        <v>2</v>
      </c>
      <c r="U30" s="33">
        <v>1</v>
      </c>
      <c r="V30" s="34" t="s">
        <v>569</v>
      </c>
      <c r="W30" s="33">
        <v>0</v>
      </c>
      <c r="X30" s="33">
        <v>1</v>
      </c>
    </row>
    <row r="31" customHeight="1" spans="1:24">
      <c r="A31" t="s">
        <v>236</v>
      </c>
      <c r="B31" t="s">
        <v>237</v>
      </c>
      <c r="C31" t="s">
        <v>238</v>
      </c>
      <c r="D31" s="32">
        <v>3</v>
      </c>
      <c r="E31" s="32">
        <v>0</v>
      </c>
      <c r="F31" s="32">
        <v>0</v>
      </c>
      <c r="G31" s="32">
        <v>30</v>
      </c>
      <c r="H31" s="32" t="s">
        <v>584</v>
      </c>
      <c r="I31" s="32">
        <v>35</v>
      </c>
      <c r="J31" s="32">
        <v>2</v>
      </c>
      <c r="K31" s="32">
        <v>10</v>
      </c>
      <c r="L31" s="32">
        <v>2</v>
      </c>
      <c r="M31" s="32">
        <v>1</v>
      </c>
      <c r="N31" s="32">
        <v>1</v>
      </c>
      <c r="O31" s="33">
        <v>14</v>
      </c>
      <c r="P31" s="33">
        <v>7</v>
      </c>
      <c r="Q31" s="33">
        <v>0.75</v>
      </c>
      <c r="R31" s="33">
        <v>1</v>
      </c>
      <c r="S31" s="33">
        <v>1</v>
      </c>
      <c r="T31" s="33">
        <v>3</v>
      </c>
      <c r="U31" s="33">
        <v>3</v>
      </c>
      <c r="V31" s="34" t="s">
        <v>585</v>
      </c>
      <c r="W31" s="33">
        <v>1</v>
      </c>
      <c r="X31" s="33">
        <v>4</v>
      </c>
    </row>
    <row r="32" customHeight="1" spans="1:24">
      <c r="A32" t="s">
        <v>239</v>
      </c>
      <c r="B32" t="s">
        <v>240</v>
      </c>
      <c r="C32" t="s">
        <v>238</v>
      </c>
      <c r="D32" s="32">
        <v>3</v>
      </c>
      <c r="E32" s="32">
        <v>0</v>
      </c>
      <c r="F32" s="32">
        <v>0</v>
      </c>
      <c r="G32" s="32">
        <v>14</v>
      </c>
      <c r="H32" s="32" t="s">
        <v>575</v>
      </c>
      <c r="I32" s="32">
        <v>12</v>
      </c>
      <c r="J32" s="32">
        <v>0.1</v>
      </c>
      <c r="K32" s="32">
        <v>5</v>
      </c>
      <c r="L32" s="32">
        <v>1.5</v>
      </c>
      <c r="M32" s="32">
        <v>0</v>
      </c>
      <c r="N32" s="32">
        <v>0.9</v>
      </c>
      <c r="O32" s="33">
        <v>10</v>
      </c>
      <c r="P32" s="33">
        <v>5</v>
      </c>
      <c r="Q32" s="33">
        <v>0.6</v>
      </c>
      <c r="R32" s="33">
        <v>2</v>
      </c>
      <c r="S32" s="33">
        <v>1</v>
      </c>
      <c r="T32" s="33">
        <v>2</v>
      </c>
      <c r="U32" s="33">
        <v>1</v>
      </c>
      <c r="V32" s="34" t="s">
        <v>586</v>
      </c>
      <c r="W32" s="33">
        <v>0</v>
      </c>
      <c r="X32" s="33">
        <v>1</v>
      </c>
    </row>
    <row r="33" customHeight="1" spans="1:24">
      <c r="A33" t="s">
        <v>241</v>
      </c>
      <c r="B33" t="s">
        <v>242</v>
      </c>
      <c r="C33" t="s">
        <v>238</v>
      </c>
      <c r="D33" s="32">
        <v>3</v>
      </c>
      <c r="E33" s="32">
        <v>1</v>
      </c>
      <c r="F33" s="32">
        <v>0</v>
      </c>
      <c r="G33" s="32">
        <v>14</v>
      </c>
      <c r="H33" s="32" t="s">
        <v>575</v>
      </c>
      <c r="I33" s="32">
        <v>180</v>
      </c>
      <c r="J33" s="32">
        <v>1</v>
      </c>
      <c r="K33" s="32">
        <v>8</v>
      </c>
      <c r="L33" s="32">
        <v>2.8</v>
      </c>
      <c r="M33" s="32">
        <v>0</v>
      </c>
      <c r="N33" s="32">
        <v>0.95</v>
      </c>
      <c r="O33" s="33">
        <v>90</v>
      </c>
      <c r="P33" s="33">
        <v>6</v>
      </c>
      <c r="Q33" s="33">
        <v>0.6</v>
      </c>
      <c r="R33" s="33">
        <v>1</v>
      </c>
      <c r="S33" s="33">
        <v>1</v>
      </c>
      <c r="T33" s="33">
        <v>3</v>
      </c>
      <c r="U33" s="33">
        <v>3</v>
      </c>
      <c r="V33" s="34" t="s">
        <v>587</v>
      </c>
      <c r="W33" s="33">
        <v>1</v>
      </c>
      <c r="X33" s="33">
        <v>3</v>
      </c>
    </row>
    <row r="34" customHeight="1" spans="1:24">
      <c r="A34" t="s">
        <v>243</v>
      </c>
      <c r="B34" t="s">
        <v>244</v>
      </c>
      <c r="C34" t="s">
        <v>238</v>
      </c>
      <c r="D34" s="32">
        <v>3</v>
      </c>
      <c r="E34" s="32">
        <v>1</v>
      </c>
      <c r="F34" s="32">
        <v>0</v>
      </c>
      <c r="G34" s="32">
        <v>14</v>
      </c>
      <c r="H34" s="32" t="s">
        <v>575</v>
      </c>
      <c r="I34" s="32">
        <v>40</v>
      </c>
      <c r="J34" s="32">
        <v>0.5</v>
      </c>
      <c r="K34" s="32">
        <v>5</v>
      </c>
      <c r="L34" s="32">
        <v>2</v>
      </c>
      <c r="M34" s="32">
        <v>0</v>
      </c>
      <c r="N34" s="32">
        <v>0.95</v>
      </c>
      <c r="O34" s="33">
        <v>60</v>
      </c>
      <c r="P34" s="33">
        <v>5</v>
      </c>
      <c r="Q34" s="33">
        <v>0.6</v>
      </c>
      <c r="R34" s="33">
        <v>2</v>
      </c>
      <c r="S34" s="33">
        <v>1</v>
      </c>
      <c r="T34" s="33">
        <v>2</v>
      </c>
      <c r="U34" s="33">
        <v>2</v>
      </c>
      <c r="V34" s="34" t="s">
        <v>586</v>
      </c>
      <c r="W34" s="33">
        <v>0</v>
      </c>
      <c r="X34" s="33">
        <v>2</v>
      </c>
    </row>
    <row r="35" customHeight="1" spans="1:24">
      <c r="A35" t="s">
        <v>245</v>
      </c>
      <c r="B35" t="s">
        <v>246</v>
      </c>
      <c r="C35" t="s">
        <v>238</v>
      </c>
      <c r="D35" s="32">
        <v>3</v>
      </c>
      <c r="E35" s="32">
        <v>1</v>
      </c>
      <c r="F35" s="32">
        <v>0</v>
      </c>
      <c r="G35" s="32">
        <v>14</v>
      </c>
      <c r="H35" s="32" t="s">
        <v>575</v>
      </c>
      <c r="I35" s="32">
        <v>100</v>
      </c>
      <c r="J35" s="32">
        <v>20</v>
      </c>
      <c r="K35" s="32">
        <v>8</v>
      </c>
      <c r="L35" s="32">
        <v>1.5</v>
      </c>
      <c r="M35" s="32">
        <v>0</v>
      </c>
      <c r="N35" s="32">
        <v>0.85</v>
      </c>
      <c r="O35" s="33">
        <v>30</v>
      </c>
      <c r="P35" s="33">
        <v>5</v>
      </c>
      <c r="Q35" s="33">
        <v>0.4</v>
      </c>
      <c r="R35" s="33">
        <v>2</v>
      </c>
      <c r="S35" s="33">
        <v>1</v>
      </c>
      <c r="T35" s="33">
        <v>2</v>
      </c>
      <c r="U35" s="33">
        <v>2</v>
      </c>
      <c r="V35" s="34" t="s">
        <v>588</v>
      </c>
      <c r="W35" s="33">
        <v>0</v>
      </c>
      <c r="X35" s="33">
        <v>2</v>
      </c>
    </row>
    <row r="36" customHeight="1" spans="1:24">
      <c r="A36" t="s">
        <v>247</v>
      </c>
      <c r="B36" t="s">
        <v>248</v>
      </c>
      <c r="C36" t="s">
        <v>238</v>
      </c>
      <c r="D36" s="32">
        <v>3</v>
      </c>
      <c r="E36" s="32">
        <v>0</v>
      </c>
      <c r="F36" s="32">
        <v>0</v>
      </c>
      <c r="G36" s="32">
        <v>7</v>
      </c>
      <c r="H36" s="32" t="s">
        <v>575</v>
      </c>
      <c r="I36" s="32">
        <v>190</v>
      </c>
      <c r="J36" s="32">
        <v>1</v>
      </c>
      <c r="K36" s="32">
        <v>9</v>
      </c>
      <c r="L36" s="32">
        <v>3</v>
      </c>
      <c r="M36" s="32">
        <v>0</v>
      </c>
      <c r="N36" s="32">
        <v>0.95</v>
      </c>
      <c r="O36" s="33">
        <v>14</v>
      </c>
      <c r="P36" s="33">
        <v>6</v>
      </c>
      <c r="Q36" s="33">
        <v>0.5</v>
      </c>
      <c r="R36" s="33">
        <v>1</v>
      </c>
      <c r="S36" s="33">
        <v>1</v>
      </c>
      <c r="T36" s="33">
        <v>3</v>
      </c>
      <c r="U36" s="33">
        <v>3</v>
      </c>
      <c r="V36" s="34" t="s">
        <v>589</v>
      </c>
      <c r="W36" s="33">
        <v>1</v>
      </c>
      <c r="X36" s="33">
        <v>3</v>
      </c>
    </row>
    <row r="37" customHeight="1" spans="1:24">
      <c r="A37" t="s">
        <v>249</v>
      </c>
      <c r="B37" t="s">
        <v>250</v>
      </c>
      <c r="C37" t="s">
        <v>238</v>
      </c>
      <c r="D37" s="32">
        <v>3</v>
      </c>
      <c r="E37" s="32">
        <v>0</v>
      </c>
      <c r="F37" s="32">
        <v>0</v>
      </c>
      <c r="G37" s="32">
        <v>30</v>
      </c>
      <c r="H37" s="32" t="s">
        <v>575</v>
      </c>
      <c r="I37" s="32">
        <v>250</v>
      </c>
      <c r="J37" s="32">
        <v>1</v>
      </c>
      <c r="K37" s="32">
        <v>9</v>
      </c>
      <c r="L37" s="32">
        <v>2</v>
      </c>
      <c r="M37" s="32">
        <v>0</v>
      </c>
      <c r="N37" s="32">
        <v>0.9</v>
      </c>
      <c r="O37" s="33">
        <v>14</v>
      </c>
      <c r="P37" s="33">
        <v>7</v>
      </c>
      <c r="Q37" s="33">
        <v>0.6</v>
      </c>
      <c r="R37" s="33">
        <v>1</v>
      </c>
      <c r="S37" s="33">
        <v>1</v>
      </c>
      <c r="T37" s="33">
        <v>3</v>
      </c>
      <c r="U37" s="33">
        <v>2</v>
      </c>
      <c r="V37" s="34" t="s">
        <v>586</v>
      </c>
      <c r="W37" s="33">
        <v>0</v>
      </c>
      <c r="X37" s="33">
        <v>2</v>
      </c>
    </row>
    <row r="38" customHeight="1" spans="1:24">
      <c r="A38" t="s">
        <v>251</v>
      </c>
      <c r="B38" t="s">
        <v>252</v>
      </c>
      <c r="C38" t="s">
        <v>238</v>
      </c>
      <c r="D38" s="32">
        <v>3</v>
      </c>
      <c r="E38" s="32">
        <v>0</v>
      </c>
      <c r="F38" s="32">
        <v>0</v>
      </c>
      <c r="G38" s="32">
        <v>7</v>
      </c>
      <c r="H38" s="32" t="s">
        <v>575</v>
      </c>
      <c r="I38" s="32">
        <v>120</v>
      </c>
      <c r="J38" s="32">
        <v>0.1</v>
      </c>
      <c r="K38" s="32">
        <v>6</v>
      </c>
      <c r="L38" s="32">
        <v>1.5</v>
      </c>
      <c r="M38" s="32">
        <v>0</v>
      </c>
      <c r="N38" s="32">
        <v>0.85</v>
      </c>
      <c r="O38" s="33">
        <v>14</v>
      </c>
      <c r="P38" s="33">
        <v>6</v>
      </c>
      <c r="Q38" s="33">
        <v>0.5</v>
      </c>
      <c r="R38" s="33">
        <v>1</v>
      </c>
      <c r="S38" s="33">
        <v>1</v>
      </c>
      <c r="T38" s="33">
        <v>2</v>
      </c>
      <c r="U38" s="33">
        <v>1</v>
      </c>
      <c r="V38" s="34" t="s">
        <v>586</v>
      </c>
      <c r="W38" s="33">
        <v>0</v>
      </c>
      <c r="X38" s="33">
        <v>1</v>
      </c>
    </row>
    <row r="39" customHeight="1" spans="1:24">
      <c r="A39" t="s">
        <v>253</v>
      </c>
      <c r="B39" t="s">
        <v>254</v>
      </c>
      <c r="C39" t="s">
        <v>238</v>
      </c>
      <c r="D39" s="32">
        <v>2</v>
      </c>
      <c r="E39" s="32">
        <v>0</v>
      </c>
      <c r="F39" s="32">
        <v>0</v>
      </c>
      <c r="G39" s="32">
        <v>14</v>
      </c>
      <c r="H39" s="32" t="s">
        <v>575</v>
      </c>
      <c r="I39" s="32">
        <v>10</v>
      </c>
      <c r="J39" s="32">
        <v>0.5</v>
      </c>
      <c r="K39" s="32">
        <v>3</v>
      </c>
      <c r="L39" s="32">
        <v>1.2</v>
      </c>
      <c r="M39" s="32">
        <v>0</v>
      </c>
      <c r="N39" s="32">
        <v>0.7</v>
      </c>
      <c r="O39" s="33">
        <v>14</v>
      </c>
      <c r="P39" s="33">
        <v>4</v>
      </c>
      <c r="Q39" s="33">
        <v>0.5</v>
      </c>
      <c r="R39" s="33">
        <v>2</v>
      </c>
      <c r="S39" s="33">
        <v>1</v>
      </c>
      <c r="T39" s="33">
        <v>1</v>
      </c>
      <c r="U39" s="33">
        <v>1</v>
      </c>
      <c r="V39" s="34" t="s">
        <v>586</v>
      </c>
      <c r="W39" s="33">
        <v>0</v>
      </c>
      <c r="X39" s="33">
        <v>1</v>
      </c>
    </row>
    <row r="40" customHeight="1" spans="1:24">
      <c r="A40" t="s">
        <v>255</v>
      </c>
      <c r="B40" t="s">
        <v>256</v>
      </c>
      <c r="C40" t="s">
        <v>238</v>
      </c>
      <c r="D40" s="32">
        <v>3</v>
      </c>
      <c r="E40" s="32">
        <v>0</v>
      </c>
      <c r="F40" s="32">
        <v>0</v>
      </c>
      <c r="G40" s="32">
        <v>60</v>
      </c>
      <c r="H40" s="32" t="s">
        <v>575</v>
      </c>
      <c r="I40" s="32">
        <v>30</v>
      </c>
      <c r="J40" s="32">
        <v>6</v>
      </c>
      <c r="K40" s="32">
        <v>5</v>
      </c>
      <c r="L40" s="32">
        <v>1.5</v>
      </c>
      <c r="M40" s="32">
        <v>0</v>
      </c>
      <c r="N40" s="32">
        <v>0.6</v>
      </c>
      <c r="O40" s="33">
        <v>30</v>
      </c>
      <c r="P40" s="33">
        <v>5</v>
      </c>
      <c r="Q40" s="33">
        <v>0.3</v>
      </c>
      <c r="R40" s="33">
        <v>2</v>
      </c>
      <c r="S40" s="33">
        <v>1</v>
      </c>
      <c r="T40" s="33">
        <v>2</v>
      </c>
      <c r="U40" s="33">
        <v>1</v>
      </c>
      <c r="V40" s="34" t="s">
        <v>590</v>
      </c>
      <c r="W40" s="33">
        <v>0</v>
      </c>
      <c r="X40" s="33">
        <v>1</v>
      </c>
    </row>
    <row r="41" customHeight="1" spans="1:24">
      <c r="A41" t="s">
        <v>257</v>
      </c>
      <c r="B41" t="s">
        <v>258</v>
      </c>
      <c r="C41" t="s">
        <v>259</v>
      </c>
      <c r="D41" s="32">
        <v>1</v>
      </c>
      <c r="E41" s="32">
        <v>3</v>
      </c>
      <c r="F41" s="32">
        <v>0</v>
      </c>
      <c r="G41" s="32">
        <v>30</v>
      </c>
      <c r="H41" s="32" t="s">
        <v>575</v>
      </c>
      <c r="I41" s="32">
        <v>20</v>
      </c>
      <c r="J41" s="32">
        <v>10</v>
      </c>
      <c r="K41" s="32">
        <v>6</v>
      </c>
      <c r="L41" s="32">
        <v>1</v>
      </c>
      <c r="M41" s="32">
        <v>0</v>
      </c>
      <c r="N41" s="32">
        <v>0.85</v>
      </c>
      <c r="O41" s="33">
        <v>30</v>
      </c>
      <c r="P41" s="33">
        <v>4</v>
      </c>
      <c r="Q41" s="33">
        <v>0.6</v>
      </c>
      <c r="R41" s="33">
        <v>2</v>
      </c>
      <c r="S41" s="33">
        <v>1</v>
      </c>
      <c r="T41" s="33">
        <v>1</v>
      </c>
      <c r="U41" s="33">
        <v>1</v>
      </c>
      <c r="V41" s="34" t="s">
        <v>588</v>
      </c>
      <c r="W41" s="33">
        <v>0</v>
      </c>
      <c r="X41" s="33">
        <v>2</v>
      </c>
    </row>
    <row r="42" customHeight="1" spans="1:24">
      <c r="A42" t="s">
        <v>260</v>
      </c>
      <c r="B42" t="s">
        <v>261</v>
      </c>
      <c r="C42" t="s">
        <v>259</v>
      </c>
      <c r="D42" s="32">
        <v>1</v>
      </c>
      <c r="E42" s="32">
        <v>1</v>
      </c>
      <c r="F42" s="32">
        <v>0</v>
      </c>
      <c r="G42" s="32">
        <v>30</v>
      </c>
      <c r="H42" s="32" t="s">
        <v>575</v>
      </c>
      <c r="I42" s="32">
        <v>10</v>
      </c>
      <c r="J42" s="32">
        <v>2</v>
      </c>
      <c r="K42" s="32">
        <v>5</v>
      </c>
      <c r="L42" s="32">
        <v>1</v>
      </c>
      <c r="M42" s="32">
        <v>0</v>
      </c>
      <c r="N42" s="32">
        <v>0.5</v>
      </c>
      <c r="O42" s="33">
        <v>60</v>
      </c>
      <c r="P42" s="33">
        <v>3</v>
      </c>
      <c r="Q42" s="33">
        <v>0.4</v>
      </c>
      <c r="R42" s="33">
        <v>2</v>
      </c>
      <c r="S42" s="33">
        <v>1</v>
      </c>
      <c r="T42" s="33">
        <v>1</v>
      </c>
      <c r="U42" s="33">
        <v>1</v>
      </c>
      <c r="V42" s="34" t="s">
        <v>570</v>
      </c>
      <c r="W42" s="33">
        <v>0</v>
      </c>
      <c r="X42" s="33">
        <v>1</v>
      </c>
    </row>
    <row r="43" customHeight="1" spans="1:24">
      <c r="A43" t="s">
        <v>262</v>
      </c>
      <c r="B43" t="s">
        <v>263</v>
      </c>
      <c r="C43" t="s">
        <v>259</v>
      </c>
      <c r="D43" s="32">
        <v>1</v>
      </c>
      <c r="E43" s="32">
        <v>1</v>
      </c>
      <c r="F43" s="32">
        <v>1</v>
      </c>
      <c r="G43" s="32">
        <v>60</v>
      </c>
      <c r="H43" s="32" t="s">
        <v>575</v>
      </c>
      <c r="I43" s="32">
        <v>5</v>
      </c>
      <c r="J43" s="32">
        <v>2</v>
      </c>
      <c r="K43" s="32">
        <v>3</v>
      </c>
      <c r="L43" s="32">
        <v>1</v>
      </c>
      <c r="M43" s="32">
        <v>0</v>
      </c>
      <c r="N43" s="32">
        <v>0.4</v>
      </c>
      <c r="O43" s="33">
        <v>30</v>
      </c>
      <c r="P43" s="33">
        <v>3</v>
      </c>
      <c r="Q43" s="33">
        <v>0.5</v>
      </c>
      <c r="R43" s="33">
        <v>3</v>
      </c>
      <c r="S43" s="33">
        <v>1</v>
      </c>
      <c r="T43" s="33">
        <v>1</v>
      </c>
      <c r="U43" s="33">
        <v>1</v>
      </c>
      <c r="V43" s="34" t="s">
        <v>588</v>
      </c>
      <c r="W43" s="33">
        <v>0</v>
      </c>
      <c r="X43" s="33">
        <v>1</v>
      </c>
    </row>
    <row r="44" customHeight="1" spans="1:24">
      <c r="A44" t="s">
        <v>264</v>
      </c>
      <c r="B44" t="s">
        <v>265</v>
      </c>
      <c r="C44" t="s">
        <v>266</v>
      </c>
      <c r="D44" s="32">
        <v>1</v>
      </c>
      <c r="E44" s="32">
        <v>1</v>
      </c>
      <c r="F44" s="32">
        <v>0</v>
      </c>
      <c r="G44" s="32">
        <v>30</v>
      </c>
      <c r="H44" s="32" t="s">
        <v>575</v>
      </c>
      <c r="I44" s="32">
        <v>4</v>
      </c>
      <c r="J44" s="32">
        <v>40</v>
      </c>
      <c r="K44" s="32">
        <v>4</v>
      </c>
      <c r="L44" s="32">
        <v>1</v>
      </c>
      <c r="M44" s="32">
        <v>0</v>
      </c>
      <c r="N44" s="32">
        <v>0.3</v>
      </c>
      <c r="O44" s="33">
        <v>30</v>
      </c>
      <c r="P44" s="33">
        <v>3</v>
      </c>
      <c r="Q44" s="33">
        <v>0.5</v>
      </c>
      <c r="R44" s="33">
        <v>3</v>
      </c>
      <c r="S44" s="33">
        <v>1</v>
      </c>
      <c r="T44" s="33">
        <v>1</v>
      </c>
      <c r="U44" s="33">
        <v>1</v>
      </c>
      <c r="V44" s="34" t="s">
        <v>588</v>
      </c>
      <c r="W44" s="33">
        <v>0</v>
      </c>
      <c r="X44" s="33">
        <v>1</v>
      </c>
    </row>
    <row r="45" customHeight="1" spans="1:24">
      <c r="A45" t="s">
        <v>267</v>
      </c>
      <c r="B45" t="s">
        <v>268</v>
      </c>
      <c r="C45" t="s">
        <v>259</v>
      </c>
      <c r="D45" s="32">
        <v>1</v>
      </c>
      <c r="E45" s="32">
        <v>0</v>
      </c>
      <c r="F45" s="32">
        <v>1</v>
      </c>
      <c r="G45" s="32">
        <v>7</v>
      </c>
      <c r="H45" s="32" t="s">
        <v>575</v>
      </c>
      <c r="I45" s="32">
        <v>0.5</v>
      </c>
      <c r="J45" s="32">
        <v>30</v>
      </c>
      <c r="K45" s="32">
        <v>5</v>
      </c>
      <c r="L45" s="32">
        <v>1.3</v>
      </c>
      <c r="M45" s="32">
        <v>1</v>
      </c>
      <c r="N45" s="32">
        <v>0.4</v>
      </c>
      <c r="O45" s="33">
        <v>14</v>
      </c>
      <c r="P45" s="33">
        <v>3</v>
      </c>
      <c r="Q45" s="33">
        <v>0.1</v>
      </c>
      <c r="R45" s="33">
        <v>2</v>
      </c>
      <c r="S45" s="33">
        <v>1</v>
      </c>
      <c r="T45" s="33">
        <v>1</v>
      </c>
      <c r="U45" s="33">
        <v>1</v>
      </c>
      <c r="V45" s="34" t="s">
        <v>588</v>
      </c>
      <c r="W45" s="33">
        <v>0</v>
      </c>
      <c r="X45" s="33">
        <v>3</v>
      </c>
    </row>
    <row r="46" customHeight="1" spans="1:24">
      <c r="A46" t="s">
        <v>269</v>
      </c>
      <c r="B46" t="s">
        <v>270</v>
      </c>
      <c r="C46" t="s">
        <v>271</v>
      </c>
      <c r="D46" s="32">
        <v>1</v>
      </c>
      <c r="E46" s="32">
        <v>0</v>
      </c>
      <c r="F46" s="32">
        <v>3</v>
      </c>
      <c r="G46" s="32">
        <v>60</v>
      </c>
      <c r="H46" s="32" t="s">
        <v>575</v>
      </c>
      <c r="I46" s="32">
        <v>220</v>
      </c>
      <c r="J46" s="32">
        <v>12</v>
      </c>
      <c r="K46" s="32">
        <v>10</v>
      </c>
      <c r="L46" s="32">
        <v>1.5</v>
      </c>
      <c r="M46" s="32">
        <v>0</v>
      </c>
      <c r="N46" s="32">
        <v>0.3</v>
      </c>
      <c r="O46" s="33">
        <v>180</v>
      </c>
      <c r="P46" s="33">
        <v>4</v>
      </c>
      <c r="Q46" s="33">
        <v>0.3</v>
      </c>
      <c r="R46" s="33">
        <v>2</v>
      </c>
      <c r="S46" s="33">
        <v>1</v>
      </c>
      <c r="T46" s="33">
        <v>1</v>
      </c>
      <c r="U46" s="33">
        <v>3</v>
      </c>
      <c r="V46" s="34" t="s">
        <v>591</v>
      </c>
      <c r="W46" s="33">
        <v>1</v>
      </c>
      <c r="X46" s="33">
        <v>4</v>
      </c>
    </row>
    <row r="47" customHeight="1" spans="1:24">
      <c r="A47" t="s">
        <v>272</v>
      </c>
      <c r="B47" t="s">
        <v>273</v>
      </c>
      <c r="C47" t="s">
        <v>274</v>
      </c>
      <c r="D47" s="32">
        <v>3</v>
      </c>
      <c r="E47" s="32">
        <v>0</v>
      </c>
      <c r="F47" s="32">
        <v>0</v>
      </c>
      <c r="G47" s="32">
        <v>60</v>
      </c>
      <c r="H47" s="32" t="s">
        <v>575</v>
      </c>
      <c r="I47" s="32">
        <v>300</v>
      </c>
      <c r="J47" s="32">
        <v>1</v>
      </c>
      <c r="K47" s="32">
        <v>8</v>
      </c>
      <c r="L47" s="32">
        <v>2</v>
      </c>
      <c r="M47" s="32">
        <v>0</v>
      </c>
      <c r="N47" s="32">
        <v>0.9</v>
      </c>
      <c r="O47" s="33">
        <v>21</v>
      </c>
      <c r="P47" s="33">
        <v>6</v>
      </c>
      <c r="Q47" s="33">
        <v>0.4</v>
      </c>
      <c r="R47" s="33">
        <v>1</v>
      </c>
      <c r="S47" s="33">
        <v>1</v>
      </c>
      <c r="T47" s="33">
        <v>3</v>
      </c>
      <c r="U47" s="33">
        <v>1</v>
      </c>
      <c r="V47" s="34" t="s">
        <v>586</v>
      </c>
      <c r="W47" s="33">
        <v>0</v>
      </c>
      <c r="X47" s="33">
        <v>2</v>
      </c>
    </row>
    <row r="48" customHeight="1" spans="1:24">
      <c r="A48" t="s">
        <v>275</v>
      </c>
      <c r="B48" t="s">
        <v>276</v>
      </c>
      <c r="C48" t="s">
        <v>274</v>
      </c>
      <c r="D48" s="32">
        <v>3</v>
      </c>
      <c r="E48" s="32">
        <v>0</v>
      </c>
      <c r="F48" s="32">
        <v>0</v>
      </c>
      <c r="G48" s="32">
        <v>60</v>
      </c>
      <c r="H48" s="32" t="s">
        <v>575</v>
      </c>
      <c r="I48" s="32">
        <v>350</v>
      </c>
      <c r="J48" s="32">
        <v>0.1</v>
      </c>
      <c r="K48" s="32">
        <v>8</v>
      </c>
      <c r="L48" s="32">
        <v>2</v>
      </c>
      <c r="M48" s="32">
        <v>0</v>
      </c>
      <c r="N48" s="32">
        <v>0.95</v>
      </c>
      <c r="O48" s="33">
        <v>30</v>
      </c>
      <c r="P48" s="33">
        <v>6</v>
      </c>
      <c r="Q48" s="33">
        <v>0.6</v>
      </c>
      <c r="R48" s="33">
        <v>1</v>
      </c>
      <c r="S48" s="33">
        <v>1</v>
      </c>
      <c r="T48" s="33">
        <v>3</v>
      </c>
      <c r="U48" s="33">
        <v>1</v>
      </c>
      <c r="V48" s="34" t="s">
        <v>592</v>
      </c>
      <c r="W48" s="33">
        <v>0</v>
      </c>
      <c r="X48" s="33">
        <v>2</v>
      </c>
    </row>
    <row r="49" customHeight="1" spans="1:24">
      <c r="A49" t="s">
        <v>277</v>
      </c>
      <c r="B49" t="s">
        <v>278</v>
      </c>
      <c r="C49" t="s">
        <v>274</v>
      </c>
      <c r="D49" s="32">
        <v>3</v>
      </c>
      <c r="E49" s="32">
        <v>0</v>
      </c>
      <c r="F49" s="32">
        <v>0</v>
      </c>
      <c r="G49" s="32">
        <v>30</v>
      </c>
      <c r="H49" s="32" t="s">
        <v>575</v>
      </c>
      <c r="I49" s="32">
        <v>90</v>
      </c>
      <c r="J49" s="32">
        <v>0.5</v>
      </c>
      <c r="K49" s="32">
        <v>6</v>
      </c>
      <c r="L49" s="32">
        <v>1.5</v>
      </c>
      <c r="M49" s="32">
        <v>0</v>
      </c>
      <c r="N49" s="32">
        <v>0.9</v>
      </c>
      <c r="O49" s="33">
        <v>30</v>
      </c>
      <c r="P49" s="33">
        <v>5</v>
      </c>
      <c r="Q49" s="33">
        <v>0.8</v>
      </c>
      <c r="R49" s="33">
        <v>2</v>
      </c>
      <c r="S49" s="33">
        <v>1</v>
      </c>
      <c r="T49" s="33">
        <v>2</v>
      </c>
      <c r="U49" s="33">
        <v>1</v>
      </c>
      <c r="V49" s="34" t="s">
        <v>592</v>
      </c>
      <c r="W49" s="33">
        <v>0</v>
      </c>
      <c r="X49" s="33">
        <v>1</v>
      </c>
    </row>
    <row r="50" customHeight="1" spans="1:24">
      <c r="A50" t="s">
        <v>279</v>
      </c>
      <c r="B50" t="s">
        <v>280</v>
      </c>
      <c r="C50" t="s">
        <v>281</v>
      </c>
      <c r="D50" s="32">
        <v>2</v>
      </c>
      <c r="E50" s="32">
        <v>3</v>
      </c>
      <c r="F50" s="32">
        <v>0</v>
      </c>
      <c r="G50" s="32">
        <v>30</v>
      </c>
      <c r="H50" s="32" t="s">
        <v>575</v>
      </c>
      <c r="I50" s="32">
        <v>1500</v>
      </c>
      <c r="J50" s="32">
        <v>0.5</v>
      </c>
      <c r="K50" s="32">
        <v>10</v>
      </c>
      <c r="L50" s="32">
        <v>2</v>
      </c>
      <c r="M50" s="32">
        <v>0</v>
      </c>
      <c r="N50" s="32">
        <v>0.95</v>
      </c>
      <c r="O50" s="33">
        <v>365</v>
      </c>
      <c r="P50" s="33">
        <v>4</v>
      </c>
      <c r="Q50" s="33">
        <v>0.5</v>
      </c>
      <c r="R50" s="33">
        <v>2</v>
      </c>
      <c r="S50" s="33">
        <v>1</v>
      </c>
      <c r="T50" s="33">
        <v>2</v>
      </c>
      <c r="U50" s="33">
        <v>1</v>
      </c>
      <c r="V50" s="34" t="s">
        <v>593</v>
      </c>
      <c r="W50" s="33">
        <v>0</v>
      </c>
      <c r="X50" s="33">
        <v>3</v>
      </c>
    </row>
    <row r="51" customHeight="1" spans="1:24">
      <c r="A51" t="s">
        <v>282</v>
      </c>
      <c r="B51" t="s">
        <v>283</v>
      </c>
      <c r="C51" t="s">
        <v>281</v>
      </c>
      <c r="D51" s="32">
        <v>3</v>
      </c>
      <c r="E51" s="32">
        <v>0</v>
      </c>
      <c r="F51" s="32">
        <v>0</v>
      </c>
      <c r="G51" s="32">
        <v>60</v>
      </c>
      <c r="H51" s="32" t="s">
        <v>594</v>
      </c>
      <c r="I51" s="32">
        <v>3000</v>
      </c>
      <c r="J51" s="32">
        <v>0.05</v>
      </c>
      <c r="K51" s="32">
        <v>10</v>
      </c>
      <c r="L51" s="32">
        <v>2</v>
      </c>
      <c r="M51" s="32">
        <v>0</v>
      </c>
      <c r="N51" s="32">
        <v>0.95</v>
      </c>
      <c r="O51" s="33">
        <v>365</v>
      </c>
      <c r="P51" s="33">
        <v>5</v>
      </c>
      <c r="Q51" s="33">
        <v>0.6</v>
      </c>
      <c r="R51" s="33">
        <v>1</v>
      </c>
      <c r="S51" s="33">
        <v>1</v>
      </c>
      <c r="T51" s="33">
        <v>3</v>
      </c>
      <c r="U51" s="33">
        <v>1</v>
      </c>
      <c r="V51" s="34" t="s">
        <v>595</v>
      </c>
      <c r="W51" s="33">
        <v>0</v>
      </c>
      <c r="X51" s="33">
        <v>3</v>
      </c>
    </row>
    <row r="52" customHeight="1" spans="1:24">
      <c r="A52" t="s">
        <v>284</v>
      </c>
      <c r="B52" t="s">
        <v>285</v>
      </c>
      <c r="C52" t="s">
        <v>281</v>
      </c>
      <c r="D52" s="32">
        <v>0</v>
      </c>
      <c r="E52" s="32">
        <v>0</v>
      </c>
      <c r="F52" s="32">
        <v>0</v>
      </c>
      <c r="G52" s="32">
        <v>30</v>
      </c>
      <c r="H52" s="32" t="s">
        <v>596</v>
      </c>
      <c r="I52" s="32">
        <v>0.001</v>
      </c>
      <c r="J52" s="32">
        <v>0</v>
      </c>
      <c r="K52" s="32">
        <v>3</v>
      </c>
      <c r="L52" s="32">
        <v>0.5</v>
      </c>
      <c r="M52" s="32">
        <v>1</v>
      </c>
      <c r="N52" s="32">
        <v>1</v>
      </c>
      <c r="O52" s="33">
        <v>365</v>
      </c>
      <c r="P52" s="33">
        <v>2</v>
      </c>
      <c r="Q52" s="33">
        <v>0.1</v>
      </c>
      <c r="R52" s="33">
        <v>3</v>
      </c>
      <c r="S52" s="33">
        <v>1</v>
      </c>
      <c r="T52" s="33">
        <v>0</v>
      </c>
      <c r="U52" s="33">
        <v>1</v>
      </c>
      <c r="V52" s="34" t="s">
        <v>597</v>
      </c>
      <c r="W52" s="33">
        <v>0</v>
      </c>
      <c r="X52" s="33">
        <v>5</v>
      </c>
    </row>
    <row r="53" customHeight="1" spans="1:24">
      <c r="A53" t="s">
        <v>286</v>
      </c>
      <c r="B53" t="s">
        <v>287</v>
      </c>
      <c r="C53" t="s">
        <v>288</v>
      </c>
      <c r="D53" s="32">
        <v>3</v>
      </c>
      <c r="E53" s="32">
        <v>1</v>
      </c>
      <c r="F53" s="32">
        <v>0</v>
      </c>
      <c r="G53" s="32">
        <v>30</v>
      </c>
      <c r="H53" s="32" t="s">
        <v>598</v>
      </c>
      <c r="I53" s="32">
        <v>2000</v>
      </c>
      <c r="J53" s="32">
        <v>0</v>
      </c>
      <c r="K53" s="32">
        <v>10</v>
      </c>
      <c r="L53" s="32">
        <v>1</v>
      </c>
      <c r="M53" s="32">
        <v>0</v>
      </c>
      <c r="N53" s="32">
        <v>0.7</v>
      </c>
      <c r="O53" s="33">
        <v>365</v>
      </c>
      <c r="P53" s="33">
        <v>8</v>
      </c>
      <c r="Q53" s="33">
        <v>1</v>
      </c>
      <c r="R53" s="33">
        <v>1</v>
      </c>
      <c r="S53" s="33">
        <v>1</v>
      </c>
      <c r="T53" s="33">
        <v>3</v>
      </c>
      <c r="U53" s="33">
        <v>3</v>
      </c>
      <c r="V53" s="34" t="s">
        <v>599</v>
      </c>
      <c r="W53" s="33">
        <v>1</v>
      </c>
      <c r="X53" s="33">
        <v>2</v>
      </c>
    </row>
    <row r="54" customHeight="1" spans="1:24">
      <c r="A54" t="s">
        <v>289</v>
      </c>
      <c r="B54" t="s">
        <v>290</v>
      </c>
      <c r="C54" t="s">
        <v>288</v>
      </c>
      <c r="D54" s="32">
        <v>3</v>
      </c>
      <c r="E54" s="32">
        <v>1</v>
      </c>
      <c r="F54" s="32">
        <v>0</v>
      </c>
      <c r="G54" s="32">
        <v>30</v>
      </c>
      <c r="H54" s="32" t="s">
        <v>598</v>
      </c>
      <c r="I54" s="32">
        <v>300</v>
      </c>
      <c r="J54" s="32">
        <v>0</v>
      </c>
      <c r="K54" s="32">
        <v>8</v>
      </c>
      <c r="L54" s="32">
        <v>1</v>
      </c>
      <c r="M54" s="32">
        <v>0</v>
      </c>
      <c r="N54" s="32">
        <v>0.7</v>
      </c>
      <c r="O54" s="33">
        <v>365</v>
      </c>
      <c r="P54" s="33">
        <v>7</v>
      </c>
      <c r="Q54" s="33">
        <v>1</v>
      </c>
      <c r="R54" s="33">
        <v>2</v>
      </c>
      <c r="S54" s="33">
        <v>1</v>
      </c>
      <c r="T54" s="33">
        <v>3</v>
      </c>
      <c r="U54" s="33">
        <v>3</v>
      </c>
      <c r="V54" s="34" t="s">
        <v>599</v>
      </c>
      <c r="W54" s="33">
        <v>1</v>
      </c>
      <c r="X54" s="33">
        <v>2</v>
      </c>
    </row>
    <row r="55" customHeight="1" spans="1:24">
      <c r="A55" t="s">
        <v>291</v>
      </c>
      <c r="B55" t="s">
        <v>292</v>
      </c>
      <c r="C55" t="s">
        <v>288</v>
      </c>
      <c r="D55" s="32">
        <v>3</v>
      </c>
      <c r="E55" s="32">
        <v>1</v>
      </c>
      <c r="F55" s="32">
        <v>0</v>
      </c>
      <c r="G55" s="32">
        <v>30</v>
      </c>
      <c r="H55" s="32" t="s">
        <v>598</v>
      </c>
      <c r="I55" s="32">
        <v>50</v>
      </c>
      <c r="J55" s="32">
        <v>0</v>
      </c>
      <c r="K55" s="32">
        <v>5</v>
      </c>
      <c r="L55" s="32">
        <v>1</v>
      </c>
      <c r="M55" s="32">
        <v>0</v>
      </c>
      <c r="N55" s="32">
        <v>0.6</v>
      </c>
      <c r="O55" s="33">
        <v>365</v>
      </c>
      <c r="P55" s="33">
        <v>6</v>
      </c>
      <c r="Q55" s="33">
        <v>1</v>
      </c>
      <c r="R55" s="33">
        <v>2</v>
      </c>
      <c r="S55" s="33">
        <v>1</v>
      </c>
      <c r="T55" s="33">
        <v>2</v>
      </c>
      <c r="U55" s="33">
        <v>3</v>
      </c>
      <c r="V55" s="34" t="s">
        <v>599</v>
      </c>
      <c r="W55" s="33">
        <v>1</v>
      </c>
      <c r="X55" s="33">
        <v>1</v>
      </c>
    </row>
    <row r="56" customHeight="1" spans="1:24">
      <c r="A56" t="s">
        <v>293</v>
      </c>
      <c r="B56" t="s">
        <v>294</v>
      </c>
      <c r="C56" t="s">
        <v>288</v>
      </c>
      <c r="D56" s="32">
        <v>3</v>
      </c>
      <c r="E56" s="32">
        <v>1</v>
      </c>
      <c r="F56" s="32">
        <v>0</v>
      </c>
      <c r="G56" s="32">
        <v>30</v>
      </c>
      <c r="H56" s="32" t="s">
        <v>598</v>
      </c>
      <c r="I56" s="32">
        <v>200</v>
      </c>
      <c r="J56" s="32">
        <v>0</v>
      </c>
      <c r="K56" s="32">
        <v>7</v>
      </c>
      <c r="L56" s="32">
        <v>1</v>
      </c>
      <c r="M56" s="32">
        <v>0</v>
      </c>
      <c r="N56" s="32">
        <v>0.6</v>
      </c>
      <c r="O56" s="33">
        <v>365</v>
      </c>
      <c r="P56" s="33">
        <v>6</v>
      </c>
      <c r="Q56" s="33">
        <v>1</v>
      </c>
      <c r="R56" s="33">
        <v>2</v>
      </c>
      <c r="S56" s="33">
        <v>1</v>
      </c>
      <c r="T56" s="33">
        <v>2</v>
      </c>
      <c r="U56" s="33">
        <v>3</v>
      </c>
      <c r="V56" s="34" t="s">
        <v>599</v>
      </c>
      <c r="W56" s="33">
        <v>1</v>
      </c>
      <c r="X56" s="33">
        <v>1</v>
      </c>
    </row>
    <row r="57" customHeight="1" spans="1:24">
      <c r="A57" t="s">
        <v>295</v>
      </c>
      <c r="B57" t="s">
        <v>296</v>
      </c>
      <c r="C57" t="s">
        <v>288</v>
      </c>
      <c r="D57" s="32">
        <v>3</v>
      </c>
      <c r="E57" s="32">
        <v>1</v>
      </c>
      <c r="F57" s="32">
        <v>0</v>
      </c>
      <c r="G57" s="32">
        <v>30</v>
      </c>
      <c r="H57" s="32" t="s">
        <v>598</v>
      </c>
      <c r="I57" s="32">
        <v>100</v>
      </c>
      <c r="J57" s="32">
        <v>0</v>
      </c>
      <c r="K57" s="32">
        <v>6</v>
      </c>
      <c r="L57" s="32">
        <v>1</v>
      </c>
      <c r="M57" s="32">
        <v>0</v>
      </c>
      <c r="N57" s="32">
        <v>0.6</v>
      </c>
      <c r="O57" s="33">
        <v>365</v>
      </c>
      <c r="P57" s="33">
        <v>6</v>
      </c>
      <c r="Q57" s="33">
        <v>1</v>
      </c>
      <c r="R57" s="33">
        <v>2</v>
      </c>
      <c r="S57" s="33">
        <v>1</v>
      </c>
      <c r="T57" s="33">
        <v>2</v>
      </c>
      <c r="U57" s="33">
        <v>3</v>
      </c>
      <c r="V57" s="34" t="s">
        <v>599</v>
      </c>
      <c r="W57" s="33">
        <v>1</v>
      </c>
      <c r="X57" s="33">
        <v>1</v>
      </c>
    </row>
    <row r="58" customHeight="1" spans="1:24">
      <c r="A58" t="s">
        <v>297</v>
      </c>
      <c r="B58" t="s">
        <v>298</v>
      </c>
      <c r="C58" t="s">
        <v>288</v>
      </c>
      <c r="D58" s="32">
        <v>3</v>
      </c>
      <c r="E58" s="32">
        <v>1</v>
      </c>
      <c r="F58" s="32">
        <v>0</v>
      </c>
      <c r="G58" s="32">
        <v>30</v>
      </c>
      <c r="H58" s="32" t="s">
        <v>598</v>
      </c>
      <c r="I58" s="32">
        <v>40</v>
      </c>
      <c r="J58" s="32">
        <v>0</v>
      </c>
      <c r="K58" s="32">
        <v>4</v>
      </c>
      <c r="L58" s="32">
        <v>1</v>
      </c>
      <c r="M58" s="32">
        <v>0</v>
      </c>
      <c r="N58" s="32">
        <v>0.5</v>
      </c>
      <c r="O58" s="33">
        <v>365</v>
      </c>
      <c r="P58" s="33">
        <v>5</v>
      </c>
      <c r="Q58" s="33">
        <v>1</v>
      </c>
      <c r="R58" s="33">
        <v>2</v>
      </c>
      <c r="S58" s="33">
        <v>1</v>
      </c>
      <c r="T58" s="33">
        <v>2</v>
      </c>
      <c r="U58" s="33">
        <v>2</v>
      </c>
      <c r="V58" s="34" t="s">
        <v>599</v>
      </c>
      <c r="W58" s="33">
        <v>1</v>
      </c>
      <c r="X58" s="33">
        <v>1</v>
      </c>
    </row>
    <row r="59" customHeight="1" spans="1:24">
      <c r="A59" t="s">
        <v>299</v>
      </c>
      <c r="B59" t="s">
        <v>300</v>
      </c>
      <c r="C59" t="s">
        <v>288</v>
      </c>
      <c r="D59" s="32">
        <v>1</v>
      </c>
      <c r="E59" s="32">
        <v>0</v>
      </c>
      <c r="F59" s="32">
        <v>1</v>
      </c>
      <c r="G59" s="32">
        <v>14</v>
      </c>
      <c r="H59" s="32" t="s">
        <v>598</v>
      </c>
      <c r="I59" s="32">
        <v>300</v>
      </c>
      <c r="J59" s="32">
        <v>0</v>
      </c>
      <c r="K59" s="32">
        <v>8</v>
      </c>
      <c r="L59" s="32">
        <v>1</v>
      </c>
      <c r="M59" s="32">
        <v>0</v>
      </c>
      <c r="N59" s="32">
        <v>0.4</v>
      </c>
      <c r="O59" s="33">
        <v>365</v>
      </c>
      <c r="P59" s="33">
        <v>5</v>
      </c>
      <c r="Q59" s="33">
        <v>1</v>
      </c>
      <c r="R59" s="33">
        <v>1</v>
      </c>
      <c r="S59" s="33">
        <v>1</v>
      </c>
      <c r="T59" s="33">
        <v>2</v>
      </c>
      <c r="U59" s="33">
        <v>2</v>
      </c>
      <c r="V59" s="34" t="s">
        <v>599</v>
      </c>
      <c r="W59" s="33">
        <v>1</v>
      </c>
      <c r="X59" s="33">
        <v>2</v>
      </c>
    </row>
    <row r="60" customHeight="1" spans="1:24">
      <c r="A60" t="s">
        <v>301</v>
      </c>
      <c r="B60" t="s">
        <v>302</v>
      </c>
      <c r="C60" t="s">
        <v>288</v>
      </c>
      <c r="D60" s="32">
        <v>3</v>
      </c>
      <c r="E60" s="32">
        <v>1</v>
      </c>
      <c r="F60" s="32">
        <v>0</v>
      </c>
      <c r="G60" s="32">
        <v>30</v>
      </c>
      <c r="H60" s="32" t="s">
        <v>598</v>
      </c>
      <c r="I60" s="32">
        <v>1500</v>
      </c>
      <c r="J60" s="32">
        <v>0</v>
      </c>
      <c r="K60" s="32">
        <v>9</v>
      </c>
      <c r="L60" s="32">
        <v>1</v>
      </c>
      <c r="M60" s="32">
        <v>0</v>
      </c>
      <c r="N60" s="32">
        <v>0.7</v>
      </c>
      <c r="O60" s="33">
        <v>365</v>
      </c>
      <c r="P60" s="33">
        <v>8</v>
      </c>
      <c r="Q60" s="33">
        <v>1</v>
      </c>
      <c r="R60" s="33">
        <v>1</v>
      </c>
      <c r="S60" s="33">
        <v>1</v>
      </c>
      <c r="T60" s="33">
        <v>3</v>
      </c>
      <c r="U60" s="33">
        <v>2</v>
      </c>
      <c r="V60" s="34" t="s">
        <v>599</v>
      </c>
      <c r="W60" s="33">
        <v>1</v>
      </c>
      <c r="X60" s="33">
        <v>1</v>
      </c>
    </row>
    <row r="61" customHeight="1" spans="1:24">
      <c r="A61" t="s">
        <v>303</v>
      </c>
      <c r="B61" t="s">
        <v>304</v>
      </c>
      <c r="C61" t="s">
        <v>305</v>
      </c>
      <c r="D61" s="32">
        <v>0</v>
      </c>
      <c r="E61" s="32">
        <v>1</v>
      </c>
      <c r="F61" s="32">
        <v>0</v>
      </c>
      <c r="G61" s="32">
        <v>7</v>
      </c>
      <c r="H61" s="32" t="s">
        <v>575</v>
      </c>
      <c r="I61" s="32">
        <v>350</v>
      </c>
      <c r="J61" s="32">
        <v>1</v>
      </c>
      <c r="K61" s="32">
        <v>3</v>
      </c>
      <c r="L61" s="32">
        <v>2</v>
      </c>
      <c r="M61" s="32">
        <v>0</v>
      </c>
      <c r="N61" s="32">
        <v>0.1</v>
      </c>
      <c r="O61" s="33">
        <v>365</v>
      </c>
      <c r="P61" s="33">
        <v>3</v>
      </c>
      <c r="Q61" s="33">
        <v>0.9</v>
      </c>
      <c r="R61" s="33">
        <v>2</v>
      </c>
      <c r="S61" s="33">
        <v>1</v>
      </c>
      <c r="T61" s="33">
        <v>0</v>
      </c>
      <c r="U61" s="33">
        <v>1</v>
      </c>
      <c r="V61" s="34" t="s">
        <v>577</v>
      </c>
      <c r="W61" s="33">
        <v>0</v>
      </c>
      <c r="X61" s="33">
        <v>3</v>
      </c>
    </row>
    <row r="62" customHeight="1" spans="1:24">
      <c r="A62" t="s">
        <v>306</v>
      </c>
      <c r="B62" t="s">
        <v>307</v>
      </c>
      <c r="C62" t="s">
        <v>305</v>
      </c>
      <c r="D62" s="32">
        <v>0</v>
      </c>
      <c r="E62" s="32">
        <v>1</v>
      </c>
      <c r="F62" s="32">
        <v>0</v>
      </c>
      <c r="G62" s="32">
        <v>1</v>
      </c>
      <c r="H62" s="32" t="s">
        <v>564</v>
      </c>
      <c r="I62" s="32">
        <v>450</v>
      </c>
      <c r="J62" s="32">
        <v>1</v>
      </c>
      <c r="K62" s="32">
        <v>1</v>
      </c>
      <c r="L62" s="32">
        <v>1.5</v>
      </c>
      <c r="M62" s="32">
        <v>0</v>
      </c>
      <c r="N62" s="32">
        <v>0.1</v>
      </c>
      <c r="O62" s="33">
        <v>365</v>
      </c>
      <c r="P62" s="33">
        <v>2</v>
      </c>
      <c r="Q62" s="33">
        <v>0.9</v>
      </c>
      <c r="R62" s="33">
        <v>2</v>
      </c>
      <c r="S62" s="33">
        <v>1</v>
      </c>
      <c r="T62" s="33">
        <v>0</v>
      </c>
      <c r="U62" s="33">
        <v>2</v>
      </c>
      <c r="V62" s="34" t="s">
        <v>600</v>
      </c>
      <c r="W62" s="33">
        <v>0</v>
      </c>
      <c r="X62" s="33">
        <v>5</v>
      </c>
    </row>
    <row r="63" customHeight="1" spans="1:24">
      <c r="A63" t="s">
        <v>308</v>
      </c>
      <c r="B63" t="s">
        <v>309</v>
      </c>
      <c r="C63" t="s">
        <v>310</v>
      </c>
      <c r="D63" s="32">
        <v>0</v>
      </c>
      <c r="E63" s="32">
        <v>1</v>
      </c>
      <c r="F63" s="32">
        <v>0</v>
      </c>
      <c r="G63" s="32">
        <v>1</v>
      </c>
      <c r="H63" s="32" t="s">
        <v>564</v>
      </c>
      <c r="I63" s="32">
        <v>1</v>
      </c>
      <c r="J63" s="32">
        <v>100</v>
      </c>
      <c r="K63" s="32">
        <v>4</v>
      </c>
      <c r="L63" s="32">
        <v>1</v>
      </c>
      <c r="M63" s="32">
        <v>0</v>
      </c>
      <c r="N63" s="32">
        <v>0.1</v>
      </c>
      <c r="O63" s="33">
        <v>7</v>
      </c>
      <c r="P63" s="33">
        <v>2</v>
      </c>
      <c r="Q63" s="33">
        <v>0</v>
      </c>
      <c r="R63" s="33">
        <v>3</v>
      </c>
      <c r="S63" s="33">
        <v>1</v>
      </c>
      <c r="T63" s="33">
        <v>0</v>
      </c>
      <c r="U63" s="33">
        <v>1</v>
      </c>
      <c r="V63" s="34" t="s">
        <v>601</v>
      </c>
      <c r="W63" s="33">
        <v>0</v>
      </c>
      <c r="X63" s="33">
        <v>3</v>
      </c>
    </row>
    <row r="64" customHeight="1" spans="1:24">
      <c r="A64" t="s">
        <v>311</v>
      </c>
      <c r="B64" t="s">
        <v>312</v>
      </c>
      <c r="C64" t="s">
        <v>259</v>
      </c>
      <c r="D64" s="32">
        <v>1</v>
      </c>
      <c r="E64" s="32">
        <v>0</v>
      </c>
      <c r="F64" s="32">
        <v>1</v>
      </c>
      <c r="G64" s="32">
        <v>365</v>
      </c>
      <c r="H64" s="32" t="s">
        <v>575</v>
      </c>
      <c r="I64" s="32">
        <v>0.3</v>
      </c>
      <c r="J64" s="32">
        <v>30</v>
      </c>
      <c r="K64" s="32">
        <v>4</v>
      </c>
      <c r="L64" s="32">
        <v>0.5</v>
      </c>
      <c r="M64" s="32">
        <v>0</v>
      </c>
      <c r="N64" s="32">
        <v>0.4</v>
      </c>
      <c r="O64" s="33">
        <v>365</v>
      </c>
      <c r="P64" s="33">
        <v>3</v>
      </c>
      <c r="Q64" s="33">
        <v>0.2</v>
      </c>
      <c r="R64" s="33">
        <v>3</v>
      </c>
      <c r="S64" s="33">
        <v>1</v>
      </c>
      <c r="T64" s="33">
        <v>1</v>
      </c>
      <c r="U64" s="33">
        <v>1</v>
      </c>
      <c r="V64" s="34" t="s">
        <v>602</v>
      </c>
      <c r="W64" s="33">
        <v>0</v>
      </c>
      <c r="X64" s="33">
        <v>2</v>
      </c>
    </row>
    <row r="65" customHeight="1" spans="1:24">
      <c r="A65" t="s">
        <v>313</v>
      </c>
      <c r="B65" t="s">
        <v>314</v>
      </c>
      <c r="C65" t="s">
        <v>315</v>
      </c>
      <c r="D65" s="32">
        <v>0</v>
      </c>
      <c r="E65" s="32">
        <v>1</v>
      </c>
      <c r="F65" s="32">
        <v>0</v>
      </c>
      <c r="G65" s="32">
        <v>1</v>
      </c>
      <c r="H65" s="32" t="s">
        <v>575</v>
      </c>
      <c r="I65" s="32">
        <v>40</v>
      </c>
      <c r="J65" s="32">
        <v>10</v>
      </c>
      <c r="K65" s="32">
        <v>6</v>
      </c>
      <c r="L65" s="32">
        <v>1</v>
      </c>
      <c r="M65" s="32">
        <v>0</v>
      </c>
      <c r="N65" s="32">
        <v>0.2</v>
      </c>
      <c r="O65" s="33">
        <v>180</v>
      </c>
      <c r="P65" s="33">
        <v>2</v>
      </c>
      <c r="Q65" s="33">
        <v>0.7</v>
      </c>
      <c r="R65" s="33">
        <v>3</v>
      </c>
      <c r="S65" s="33">
        <v>1</v>
      </c>
      <c r="T65" s="33">
        <v>0</v>
      </c>
      <c r="U65" s="33">
        <v>1</v>
      </c>
      <c r="V65" s="34" t="s">
        <v>603</v>
      </c>
      <c r="W65" s="33">
        <v>0</v>
      </c>
      <c r="X65" s="33">
        <v>2</v>
      </c>
    </row>
  </sheetData>
  <pageMargins left="0.75" right="0.75" top="1" bottom="1" header="0.511811023622047" footer="0.511811023622047"/>
  <pageSetup paperSize="9" orientation="portrait"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58"/>
  <sheetViews>
    <sheetView workbookViewId="0">
      <pane xSplit="2" ySplit="1" topLeftCell="C2" activePane="bottomRight" state="frozen"/>
      <selection/>
      <selection pane="topRight"/>
      <selection pane="bottomLeft"/>
      <selection pane="bottomRight" activeCell="S14" sqref="S14"/>
    </sheetView>
  </sheetViews>
  <sheetFormatPr defaultColWidth="8.8359375" defaultRowHeight="16.8"/>
  <cols>
    <col min="1" max="1" width="7" style="5" customWidth="1"/>
    <col min="2" max="2" width="22" style="5" customWidth="1"/>
    <col min="3" max="4" width="5.6640625" style="5" customWidth="1"/>
    <col min="5" max="6" width="7" style="5" customWidth="1"/>
    <col min="7" max="7" width="5.6640625" style="5" customWidth="1"/>
    <col min="8" max="15" width="7" style="5" customWidth="1"/>
    <col min="16" max="16" width="6" style="5" customWidth="1"/>
    <col min="17" max="17" width="5.6640625" style="5" customWidth="1"/>
    <col min="18" max="18" width="6" style="5" customWidth="1"/>
    <col min="19" max="19" width="5.6640625" style="5" customWidth="1"/>
    <col min="20" max="20" width="6" style="5" customWidth="1"/>
    <col min="21" max="22" width="5.6640625" style="5" customWidth="1"/>
    <col min="23" max="23" width="7" style="5" customWidth="1"/>
    <col min="24" max="24" width="5.6640625" style="5" customWidth="1"/>
    <col min="25" max="25" width="7" style="5" customWidth="1"/>
    <col min="26" max="31" width="5.6640625" style="5" customWidth="1"/>
    <col min="32" max="33" width="7" style="5" customWidth="1"/>
    <col min="34" max="34" width="5.6640625" style="5" customWidth="1"/>
    <col min="35" max="35" width="7" style="5" customWidth="1"/>
    <col min="36" max="44" width="5.6640625" style="5" customWidth="1"/>
    <col min="45" max="45" width="6" style="5" customWidth="1"/>
    <col min="46" max="46" width="7" style="5" customWidth="1"/>
    <col min="47" max="50" width="5.6640625" style="5" customWidth="1"/>
    <col min="51" max="51" width="7" style="5" customWidth="1"/>
    <col min="52" max="52" width="5.6640625" style="5" customWidth="1"/>
    <col min="53" max="53" width="7" style="5" customWidth="1"/>
    <col min="54" max="63" width="5.6640625" style="5" customWidth="1"/>
    <col min="64" max="66" width="7" style="5" customWidth="1"/>
  </cols>
  <sheetData>
    <row r="1" ht="53.05" spans="1:66">
      <c r="A1" s="22" t="s">
        <v>147</v>
      </c>
      <c r="B1" s="22" t="s">
        <v>386</v>
      </c>
      <c r="C1" s="23" t="s">
        <v>169</v>
      </c>
      <c r="D1" s="23" t="s">
        <v>172</v>
      </c>
      <c r="E1" s="23" t="s">
        <v>174</v>
      </c>
      <c r="F1" s="23" t="s">
        <v>176</v>
      </c>
      <c r="G1" s="23" t="s">
        <v>179</v>
      </c>
      <c r="H1" s="23" t="s">
        <v>181</v>
      </c>
      <c r="I1" s="23" t="s">
        <v>183</v>
      </c>
      <c r="J1" s="23" t="s">
        <v>185</v>
      </c>
      <c r="K1" s="23" t="s">
        <v>187</v>
      </c>
      <c r="L1" s="23" t="s">
        <v>190</v>
      </c>
      <c r="M1" s="23" t="s">
        <v>192</v>
      </c>
      <c r="N1" s="23" t="s">
        <v>194</v>
      </c>
      <c r="O1" s="23" t="s">
        <v>196</v>
      </c>
      <c r="P1" s="23" t="s">
        <v>198</v>
      </c>
      <c r="Q1" s="23" t="s">
        <v>201</v>
      </c>
      <c r="R1" s="23" t="s">
        <v>204</v>
      </c>
      <c r="S1" s="23" t="s">
        <v>206</v>
      </c>
      <c r="T1" s="23" t="s">
        <v>208</v>
      </c>
      <c r="U1" s="23" t="s">
        <v>211</v>
      </c>
      <c r="V1" s="23" t="s">
        <v>213</v>
      </c>
      <c r="W1" s="23" t="s">
        <v>216</v>
      </c>
      <c r="X1" s="23" t="s">
        <v>219</v>
      </c>
      <c r="Y1" s="23" t="s">
        <v>222</v>
      </c>
      <c r="Z1" s="23" t="s">
        <v>224</v>
      </c>
      <c r="AA1" s="23" t="s">
        <v>226</v>
      </c>
      <c r="AB1" s="23" t="s">
        <v>228</v>
      </c>
      <c r="AC1" s="23" t="s">
        <v>230</v>
      </c>
      <c r="AD1" s="23" t="s">
        <v>232</v>
      </c>
      <c r="AE1" s="23" t="s">
        <v>234</v>
      </c>
      <c r="AF1" s="23" t="s">
        <v>236</v>
      </c>
      <c r="AG1" s="23" t="s">
        <v>239</v>
      </c>
      <c r="AH1" s="23" t="s">
        <v>241</v>
      </c>
      <c r="AI1" s="23" t="s">
        <v>243</v>
      </c>
      <c r="AJ1" s="23" t="s">
        <v>245</v>
      </c>
      <c r="AK1" s="23" t="s">
        <v>247</v>
      </c>
      <c r="AL1" s="23" t="s">
        <v>249</v>
      </c>
      <c r="AM1" s="23" t="s">
        <v>251</v>
      </c>
      <c r="AN1" s="23" t="s">
        <v>253</v>
      </c>
      <c r="AO1" s="23" t="s">
        <v>255</v>
      </c>
      <c r="AP1" s="23" t="s">
        <v>257</v>
      </c>
      <c r="AQ1" s="23" t="s">
        <v>260</v>
      </c>
      <c r="AR1" s="23" t="s">
        <v>262</v>
      </c>
      <c r="AS1" s="23" t="s">
        <v>264</v>
      </c>
      <c r="AT1" s="23" t="s">
        <v>267</v>
      </c>
      <c r="AU1" s="23" t="s">
        <v>269</v>
      </c>
      <c r="AV1" s="23" t="s">
        <v>272</v>
      </c>
      <c r="AW1" s="23" t="s">
        <v>275</v>
      </c>
      <c r="AX1" s="23" t="s">
        <v>277</v>
      </c>
      <c r="AY1" s="23" t="s">
        <v>279</v>
      </c>
      <c r="AZ1" s="23" t="s">
        <v>282</v>
      </c>
      <c r="BA1" s="23" t="s">
        <v>284</v>
      </c>
      <c r="BB1" s="23" t="s">
        <v>286</v>
      </c>
      <c r="BC1" s="23" t="s">
        <v>289</v>
      </c>
      <c r="BD1" s="23" t="s">
        <v>291</v>
      </c>
      <c r="BE1" s="23" t="s">
        <v>293</v>
      </c>
      <c r="BF1" s="23" t="s">
        <v>295</v>
      </c>
      <c r="BG1" s="23" t="s">
        <v>297</v>
      </c>
      <c r="BH1" s="23" t="s">
        <v>299</v>
      </c>
      <c r="BI1" s="23" t="s">
        <v>301</v>
      </c>
      <c r="BJ1" s="23" t="s">
        <v>303</v>
      </c>
      <c r="BK1" s="23" t="s">
        <v>306</v>
      </c>
      <c r="BL1" s="23" t="s">
        <v>308</v>
      </c>
      <c r="BM1" s="23" t="s">
        <v>311</v>
      </c>
      <c r="BN1" s="23" t="s">
        <v>313</v>
      </c>
    </row>
    <row r="2" spans="1:66">
      <c r="A2" s="24" t="s">
        <v>419</v>
      </c>
      <c r="B2" s="24" t="s">
        <v>420</v>
      </c>
      <c r="C2" s="25" t="s">
        <v>105</v>
      </c>
      <c r="D2" s="25" t="s">
        <v>105</v>
      </c>
      <c r="E2" s="25" t="s">
        <v>105</v>
      </c>
      <c r="F2" s="26" t="s">
        <v>107</v>
      </c>
      <c r="G2" s="25" t="s">
        <v>105</v>
      </c>
      <c r="H2" s="25" t="s">
        <v>105</v>
      </c>
      <c r="I2" s="27" t="s">
        <v>106</v>
      </c>
      <c r="J2" s="28" t="s">
        <v>104</v>
      </c>
      <c r="K2" s="25" t="s">
        <v>105</v>
      </c>
      <c r="L2" s="28" t="s">
        <v>104</v>
      </c>
      <c r="M2" s="26" t="s">
        <v>107</v>
      </c>
      <c r="N2" s="26" t="s">
        <v>107</v>
      </c>
      <c r="O2" s="26" t="s">
        <v>107</v>
      </c>
      <c r="P2" s="27" t="s">
        <v>106</v>
      </c>
      <c r="Q2" s="28" t="s">
        <v>104</v>
      </c>
      <c r="R2" s="25" t="s">
        <v>105</v>
      </c>
      <c r="S2" s="28" t="s">
        <v>104</v>
      </c>
      <c r="T2" s="27" t="s">
        <v>106</v>
      </c>
      <c r="U2" s="28" t="s">
        <v>104</v>
      </c>
      <c r="V2" s="28" t="s">
        <v>104</v>
      </c>
      <c r="W2" s="26" t="s">
        <v>107</v>
      </c>
      <c r="X2" s="25" t="s">
        <v>105</v>
      </c>
      <c r="Y2" s="25" t="s">
        <v>105</v>
      </c>
      <c r="Z2" s="28" t="s">
        <v>104</v>
      </c>
      <c r="AA2" s="28" t="s">
        <v>104</v>
      </c>
      <c r="AB2" s="28" t="s">
        <v>104</v>
      </c>
      <c r="AC2" s="28" t="s">
        <v>104</v>
      </c>
      <c r="AD2" s="28" t="s">
        <v>104</v>
      </c>
      <c r="AE2" s="28" t="s">
        <v>104</v>
      </c>
      <c r="AF2" s="26" t="s">
        <v>107</v>
      </c>
      <c r="AG2" s="25" t="s">
        <v>105</v>
      </c>
      <c r="AH2" s="25" t="s">
        <v>105</v>
      </c>
      <c r="AI2" s="25" t="s">
        <v>105</v>
      </c>
      <c r="AJ2" s="25" t="s">
        <v>105</v>
      </c>
      <c r="AK2" s="25" t="s">
        <v>105</v>
      </c>
      <c r="AL2" s="25" t="s">
        <v>105</v>
      </c>
      <c r="AM2" s="25" t="s">
        <v>105</v>
      </c>
      <c r="AN2" s="25" t="s">
        <v>105</v>
      </c>
      <c r="AO2" s="25" t="s">
        <v>105</v>
      </c>
      <c r="AP2" s="25" t="s">
        <v>105</v>
      </c>
      <c r="AQ2" s="28" t="s">
        <v>104</v>
      </c>
      <c r="AR2" s="25" t="s">
        <v>105</v>
      </c>
      <c r="AS2" s="27" t="s">
        <v>106</v>
      </c>
      <c r="AT2" s="25" t="s">
        <v>105</v>
      </c>
      <c r="AU2" s="28" t="s">
        <v>104</v>
      </c>
      <c r="AV2" s="25" t="s">
        <v>105</v>
      </c>
      <c r="AW2" s="25" t="s">
        <v>105</v>
      </c>
      <c r="AX2" s="25" t="s">
        <v>105</v>
      </c>
      <c r="AY2" s="25" t="s">
        <v>105</v>
      </c>
      <c r="AZ2" s="25" t="s">
        <v>105</v>
      </c>
      <c r="BA2" s="26" t="s">
        <v>107</v>
      </c>
      <c r="BB2" s="28" t="s">
        <v>104</v>
      </c>
      <c r="BC2" s="28" t="s">
        <v>104</v>
      </c>
      <c r="BD2" s="28" t="s">
        <v>104</v>
      </c>
      <c r="BE2" s="28" t="s">
        <v>104</v>
      </c>
      <c r="BF2" s="28" t="s">
        <v>104</v>
      </c>
      <c r="BG2" s="28" t="s">
        <v>104</v>
      </c>
      <c r="BH2" s="28" t="s">
        <v>104</v>
      </c>
      <c r="BI2" s="28" t="s">
        <v>104</v>
      </c>
      <c r="BJ2" s="25" t="s">
        <v>105</v>
      </c>
      <c r="BK2" s="25" t="s">
        <v>105</v>
      </c>
      <c r="BL2" s="28" t="s">
        <v>104</v>
      </c>
      <c r="BM2" s="25" t="s">
        <v>105</v>
      </c>
      <c r="BN2" s="28" t="s">
        <v>104</v>
      </c>
    </row>
    <row r="3" spans="1:66">
      <c r="A3" s="24" t="s">
        <v>430</v>
      </c>
      <c r="B3" s="24" t="s">
        <v>431</v>
      </c>
      <c r="C3" s="25" t="s">
        <v>105</v>
      </c>
      <c r="D3" s="25" t="s">
        <v>105</v>
      </c>
      <c r="E3" s="25" t="s">
        <v>105</v>
      </c>
      <c r="F3" s="26" t="s">
        <v>107</v>
      </c>
      <c r="G3" s="25" t="s">
        <v>105</v>
      </c>
      <c r="H3" s="25" t="s">
        <v>105</v>
      </c>
      <c r="I3" s="27" t="s">
        <v>106</v>
      </c>
      <c r="J3" s="28" t="s">
        <v>104</v>
      </c>
      <c r="K3" s="25" t="s">
        <v>105</v>
      </c>
      <c r="L3" s="28" t="s">
        <v>104</v>
      </c>
      <c r="M3" s="26" t="s">
        <v>107</v>
      </c>
      <c r="N3" s="26" t="s">
        <v>107</v>
      </c>
      <c r="O3" s="26" t="s">
        <v>107</v>
      </c>
      <c r="P3" s="27" t="s">
        <v>106</v>
      </c>
      <c r="Q3" s="28" t="s">
        <v>104</v>
      </c>
      <c r="R3" s="25" t="s">
        <v>105</v>
      </c>
      <c r="S3" s="28" t="s">
        <v>104</v>
      </c>
      <c r="T3" s="25" t="s">
        <v>105</v>
      </c>
      <c r="U3" s="28" t="s">
        <v>104</v>
      </c>
      <c r="V3" s="28" t="s">
        <v>104</v>
      </c>
      <c r="W3" s="26" t="s">
        <v>107</v>
      </c>
      <c r="X3" s="25" t="s">
        <v>105</v>
      </c>
      <c r="Y3" s="25" t="s">
        <v>105</v>
      </c>
      <c r="Z3" s="28" t="s">
        <v>104</v>
      </c>
      <c r="AA3" s="28" t="s">
        <v>104</v>
      </c>
      <c r="AB3" s="28" t="s">
        <v>104</v>
      </c>
      <c r="AC3" s="28" t="s">
        <v>104</v>
      </c>
      <c r="AD3" s="28" t="s">
        <v>104</v>
      </c>
      <c r="AE3" s="28" t="s">
        <v>104</v>
      </c>
      <c r="AF3" s="26" t="s">
        <v>107</v>
      </c>
      <c r="AG3" s="25" t="s">
        <v>105</v>
      </c>
      <c r="AH3" s="25" t="s">
        <v>105</v>
      </c>
      <c r="AI3" s="25" t="s">
        <v>105</v>
      </c>
      <c r="AJ3" s="25" t="s">
        <v>105</v>
      </c>
      <c r="AK3" s="25" t="s">
        <v>105</v>
      </c>
      <c r="AL3" s="25" t="s">
        <v>105</v>
      </c>
      <c r="AM3" s="25" t="s">
        <v>105</v>
      </c>
      <c r="AN3" s="25" t="s">
        <v>105</v>
      </c>
      <c r="AO3" s="25" t="s">
        <v>105</v>
      </c>
      <c r="AP3" s="25" t="s">
        <v>105</v>
      </c>
      <c r="AQ3" s="28" t="s">
        <v>104</v>
      </c>
      <c r="AR3" s="25" t="s">
        <v>105</v>
      </c>
      <c r="AS3" s="27" t="s">
        <v>106</v>
      </c>
      <c r="AT3" s="26" t="s">
        <v>107</v>
      </c>
      <c r="AU3" s="28" t="s">
        <v>104</v>
      </c>
      <c r="AV3" s="25" t="s">
        <v>105</v>
      </c>
      <c r="AW3" s="25" t="s">
        <v>105</v>
      </c>
      <c r="AX3" s="25" t="s">
        <v>105</v>
      </c>
      <c r="AY3" s="28" t="s">
        <v>104</v>
      </c>
      <c r="AZ3" s="25" t="s">
        <v>105</v>
      </c>
      <c r="BA3" s="26" t="s">
        <v>107</v>
      </c>
      <c r="BB3" s="28" t="s">
        <v>104</v>
      </c>
      <c r="BC3" s="28" t="s">
        <v>104</v>
      </c>
      <c r="BD3" s="28" t="s">
        <v>104</v>
      </c>
      <c r="BE3" s="28" t="s">
        <v>104</v>
      </c>
      <c r="BF3" s="28" t="s">
        <v>104</v>
      </c>
      <c r="BG3" s="28" t="s">
        <v>104</v>
      </c>
      <c r="BH3" s="28" t="s">
        <v>104</v>
      </c>
      <c r="BI3" s="28" t="s">
        <v>104</v>
      </c>
      <c r="BJ3" s="25" t="s">
        <v>105</v>
      </c>
      <c r="BK3" s="25" t="s">
        <v>105</v>
      </c>
      <c r="BL3" s="28" t="s">
        <v>104</v>
      </c>
      <c r="BM3" s="25" t="s">
        <v>105</v>
      </c>
      <c r="BN3" s="28" t="s">
        <v>104</v>
      </c>
    </row>
    <row r="4" spans="1:66">
      <c r="A4" s="24" t="s">
        <v>432</v>
      </c>
      <c r="B4" s="24" t="s">
        <v>433</v>
      </c>
      <c r="C4" s="25" t="s">
        <v>105</v>
      </c>
      <c r="D4" s="25" t="s">
        <v>105</v>
      </c>
      <c r="E4" s="25" t="s">
        <v>105</v>
      </c>
      <c r="F4" s="26" t="s">
        <v>107</v>
      </c>
      <c r="G4" s="25" t="s">
        <v>105</v>
      </c>
      <c r="H4" s="25" t="s">
        <v>105</v>
      </c>
      <c r="I4" s="27" t="s">
        <v>106</v>
      </c>
      <c r="J4" s="28" t="s">
        <v>104</v>
      </c>
      <c r="K4" s="25" t="s">
        <v>105</v>
      </c>
      <c r="L4" s="25" t="s">
        <v>105</v>
      </c>
      <c r="M4" s="26" t="s">
        <v>107</v>
      </c>
      <c r="N4" s="26" t="s">
        <v>107</v>
      </c>
      <c r="O4" s="26" t="s">
        <v>107</v>
      </c>
      <c r="P4" s="27" t="s">
        <v>106</v>
      </c>
      <c r="Q4" s="28" t="s">
        <v>104</v>
      </c>
      <c r="R4" s="25" t="s">
        <v>105</v>
      </c>
      <c r="S4" s="28" t="s">
        <v>104</v>
      </c>
      <c r="T4" s="27" t="s">
        <v>106</v>
      </c>
      <c r="U4" s="28" t="s">
        <v>104</v>
      </c>
      <c r="V4" s="28" t="s">
        <v>104</v>
      </c>
      <c r="W4" s="26" t="s">
        <v>107</v>
      </c>
      <c r="X4" s="25" t="s">
        <v>105</v>
      </c>
      <c r="Y4" s="25" t="s">
        <v>105</v>
      </c>
      <c r="Z4" s="28" t="s">
        <v>104</v>
      </c>
      <c r="AA4" s="28" t="s">
        <v>104</v>
      </c>
      <c r="AB4" s="28" t="s">
        <v>104</v>
      </c>
      <c r="AC4" s="28" t="s">
        <v>104</v>
      </c>
      <c r="AD4" s="28" t="s">
        <v>104</v>
      </c>
      <c r="AE4" s="28" t="s">
        <v>104</v>
      </c>
      <c r="AF4" s="26" t="s">
        <v>107</v>
      </c>
      <c r="AG4" s="25" t="s">
        <v>105</v>
      </c>
      <c r="AH4" s="25" t="s">
        <v>105</v>
      </c>
      <c r="AI4" s="25" t="s">
        <v>105</v>
      </c>
      <c r="AJ4" s="25" t="s">
        <v>105</v>
      </c>
      <c r="AK4" s="25" t="s">
        <v>105</v>
      </c>
      <c r="AL4" s="25" t="s">
        <v>105</v>
      </c>
      <c r="AM4" s="25" t="s">
        <v>105</v>
      </c>
      <c r="AN4" s="25" t="s">
        <v>105</v>
      </c>
      <c r="AO4" s="25" t="s">
        <v>105</v>
      </c>
      <c r="AP4" s="25" t="s">
        <v>105</v>
      </c>
      <c r="AQ4" s="28" t="s">
        <v>104</v>
      </c>
      <c r="AR4" s="25" t="s">
        <v>105</v>
      </c>
      <c r="AS4" s="27" t="s">
        <v>106</v>
      </c>
      <c r="AT4" s="25" t="s">
        <v>105</v>
      </c>
      <c r="AU4" s="28" t="s">
        <v>104</v>
      </c>
      <c r="AV4" s="25" t="s">
        <v>105</v>
      </c>
      <c r="AW4" s="25" t="s">
        <v>105</v>
      </c>
      <c r="AX4" s="25" t="s">
        <v>105</v>
      </c>
      <c r="AY4" s="25" t="s">
        <v>105</v>
      </c>
      <c r="AZ4" s="25" t="s">
        <v>105</v>
      </c>
      <c r="BA4" s="26" t="s">
        <v>107</v>
      </c>
      <c r="BB4" s="28" t="s">
        <v>104</v>
      </c>
      <c r="BC4" s="28" t="s">
        <v>104</v>
      </c>
      <c r="BD4" s="25" t="s">
        <v>105</v>
      </c>
      <c r="BE4" s="28" t="s">
        <v>104</v>
      </c>
      <c r="BF4" s="25" t="s">
        <v>105</v>
      </c>
      <c r="BG4" s="25" t="s">
        <v>105</v>
      </c>
      <c r="BH4" s="28" t="s">
        <v>104</v>
      </c>
      <c r="BI4" s="28" t="s">
        <v>104</v>
      </c>
      <c r="BJ4" s="25" t="s">
        <v>105</v>
      </c>
      <c r="BK4" s="25" t="s">
        <v>105</v>
      </c>
      <c r="BL4" s="28" t="s">
        <v>104</v>
      </c>
      <c r="BM4" s="25" t="s">
        <v>105</v>
      </c>
      <c r="BN4" s="28" t="s">
        <v>104</v>
      </c>
    </row>
    <row r="5" spans="1:66">
      <c r="A5" s="24" t="s">
        <v>434</v>
      </c>
      <c r="B5" s="24" t="s">
        <v>435</v>
      </c>
      <c r="C5" s="25" t="s">
        <v>105</v>
      </c>
      <c r="D5" s="25" t="s">
        <v>105</v>
      </c>
      <c r="E5" s="25" t="s">
        <v>105</v>
      </c>
      <c r="F5" s="26" t="s">
        <v>107</v>
      </c>
      <c r="G5" s="25" t="s">
        <v>105</v>
      </c>
      <c r="H5" s="25" t="s">
        <v>105</v>
      </c>
      <c r="I5" s="27" t="s">
        <v>106</v>
      </c>
      <c r="J5" s="28" t="s">
        <v>104</v>
      </c>
      <c r="K5" s="25" t="s">
        <v>105</v>
      </c>
      <c r="L5" s="28" t="s">
        <v>104</v>
      </c>
      <c r="M5" s="26" t="s">
        <v>107</v>
      </c>
      <c r="N5" s="26" t="s">
        <v>107</v>
      </c>
      <c r="O5" s="26" t="s">
        <v>107</v>
      </c>
      <c r="P5" s="27" t="s">
        <v>106</v>
      </c>
      <c r="Q5" s="28" t="s">
        <v>104</v>
      </c>
      <c r="R5" s="25" t="s">
        <v>105</v>
      </c>
      <c r="S5" s="28" t="s">
        <v>104</v>
      </c>
      <c r="T5" s="27" t="s">
        <v>106</v>
      </c>
      <c r="U5" s="28" t="s">
        <v>104</v>
      </c>
      <c r="V5" s="28" t="s">
        <v>104</v>
      </c>
      <c r="W5" s="26" t="s">
        <v>107</v>
      </c>
      <c r="X5" s="25" t="s">
        <v>105</v>
      </c>
      <c r="Y5" s="25" t="s">
        <v>105</v>
      </c>
      <c r="Z5" s="28" t="s">
        <v>104</v>
      </c>
      <c r="AA5" s="28" t="s">
        <v>104</v>
      </c>
      <c r="AB5" s="28" t="s">
        <v>104</v>
      </c>
      <c r="AC5" s="28" t="s">
        <v>104</v>
      </c>
      <c r="AD5" s="28" t="s">
        <v>104</v>
      </c>
      <c r="AE5" s="28" t="s">
        <v>104</v>
      </c>
      <c r="AF5" s="26" t="s">
        <v>107</v>
      </c>
      <c r="AG5" s="25" t="s">
        <v>105</v>
      </c>
      <c r="AH5" s="25" t="s">
        <v>105</v>
      </c>
      <c r="AI5" s="25" t="s">
        <v>105</v>
      </c>
      <c r="AJ5" s="25" t="s">
        <v>105</v>
      </c>
      <c r="AK5" s="25" t="s">
        <v>105</v>
      </c>
      <c r="AL5" s="25" t="s">
        <v>105</v>
      </c>
      <c r="AM5" s="25" t="s">
        <v>105</v>
      </c>
      <c r="AN5" s="25" t="s">
        <v>105</v>
      </c>
      <c r="AO5" s="25" t="s">
        <v>105</v>
      </c>
      <c r="AP5" s="25" t="s">
        <v>105</v>
      </c>
      <c r="AQ5" s="28" t="s">
        <v>104</v>
      </c>
      <c r="AR5" s="25" t="s">
        <v>105</v>
      </c>
      <c r="AS5" s="27" t="s">
        <v>106</v>
      </c>
      <c r="AT5" s="26" t="s">
        <v>107</v>
      </c>
      <c r="AU5" s="28" t="s">
        <v>104</v>
      </c>
      <c r="AV5" s="25" t="s">
        <v>105</v>
      </c>
      <c r="AW5" s="25" t="s">
        <v>105</v>
      </c>
      <c r="AX5" s="25" t="s">
        <v>105</v>
      </c>
      <c r="AY5" s="25" t="s">
        <v>105</v>
      </c>
      <c r="AZ5" s="25" t="s">
        <v>105</v>
      </c>
      <c r="BA5" s="26" t="s">
        <v>107</v>
      </c>
      <c r="BB5" s="28" t="s">
        <v>104</v>
      </c>
      <c r="BC5" s="28" t="s">
        <v>104</v>
      </c>
      <c r="BD5" s="28" t="s">
        <v>104</v>
      </c>
      <c r="BE5" s="28" t="s">
        <v>104</v>
      </c>
      <c r="BF5" s="28" t="s">
        <v>104</v>
      </c>
      <c r="BG5" s="28" t="s">
        <v>104</v>
      </c>
      <c r="BH5" s="28" t="s">
        <v>104</v>
      </c>
      <c r="BI5" s="28" t="s">
        <v>104</v>
      </c>
      <c r="BJ5" s="25" t="s">
        <v>105</v>
      </c>
      <c r="BK5" s="25" t="s">
        <v>105</v>
      </c>
      <c r="BL5" s="28" t="s">
        <v>104</v>
      </c>
      <c r="BM5" s="25" t="s">
        <v>105</v>
      </c>
      <c r="BN5" s="28" t="s">
        <v>104</v>
      </c>
    </row>
    <row r="6" spans="1:66">
      <c r="A6" s="24" t="s">
        <v>436</v>
      </c>
      <c r="B6" s="24" t="s">
        <v>437</v>
      </c>
      <c r="C6" s="25" t="s">
        <v>105</v>
      </c>
      <c r="D6" s="28" t="s">
        <v>104</v>
      </c>
      <c r="E6" s="25" t="s">
        <v>105</v>
      </c>
      <c r="F6" s="28" t="s">
        <v>104</v>
      </c>
      <c r="G6" s="28" t="s">
        <v>104</v>
      </c>
      <c r="H6" s="28" t="s">
        <v>104</v>
      </c>
      <c r="I6" s="27" t="s">
        <v>106</v>
      </c>
      <c r="J6" s="25" t="s">
        <v>105</v>
      </c>
      <c r="K6" s="28" t="s">
        <v>104</v>
      </c>
      <c r="L6" s="28" t="s">
        <v>104</v>
      </c>
      <c r="M6" s="27" t="s">
        <v>106</v>
      </c>
      <c r="N6" s="27" t="s">
        <v>106</v>
      </c>
      <c r="O6" s="27" t="s">
        <v>106</v>
      </c>
      <c r="P6" s="28" t="s">
        <v>104</v>
      </c>
      <c r="Q6" s="28" t="s">
        <v>104</v>
      </c>
      <c r="R6" s="25" t="s">
        <v>105</v>
      </c>
      <c r="S6" s="28" t="s">
        <v>104</v>
      </c>
      <c r="T6" s="27" t="s">
        <v>106</v>
      </c>
      <c r="U6" s="28" t="s">
        <v>104</v>
      </c>
      <c r="V6" s="28" t="s">
        <v>104</v>
      </c>
      <c r="W6" s="26" t="s">
        <v>107</v>
      </c>
      <c r="X6" s="28" t="s">
        <v>104</v>
      </c>
      <c r="Y6" s="28" t="s">
        <v>104</v>
      </c>
      <c r="Z6" s="28" t="s">
        <v>104</v>
      </c>
      <c r="AA6" s="28" t="s">
        <v>104</v>
      </c>
      <c r="AB6" s="28" t="s">
        <v>104</v>
      </c>
      <c r="AC6" s="28" t="s">
        <v>104</v>
      </c>
      <c r="AD6" s="28" t="s">
        <v>104</v>
      </c>
      <c r="AE6" s="28" t="s">
        <v>104</v>
      </c>
      <c r="AF6" s="28" t="s">
        <v>104</v>
      </c>
      <c r="AG6" s="25" t="s">
        <v>105</v>
      </c>
      <c r="AH6" s="28" t="s">
        <v>104</v>
      </c>
      <c r="AI6" s="25" t="s">
        <v>105</v>
      </c>
      <c r="AJ6" s="28" t="s">
        <v>104</v>
      </c>
      <c r="AK6" s="28" t="s">
        <v>104</v>
      </c>
      <c r="AL6" s="28" t="s">
        <v>104</v>
      </c>
      <c r="AM6" s="28" t="s">
        <v>104</v>
      </c>
      <c r="AN6" s="25" t="s">
        <v>105</v>
      </c>
      <c r="AO6" s="25" t="s">
        <v>105</v>
      </c>
      <c r="AP6" s="28" t="s">
        <v>104</v>
      </c>
      <c r="AQ6" s="28" t="s">
        <v>104</v>
      </c>
      <c r="AR6" s="25" t="s">
        <v>105</v>
      </c>
      <c r="AS6" s="27" t="s">
        <v>106</v>
      </c>
      <c r="AT6" s="26" t="s">
        <v>107</v>
      </c>
      <c r="AU6" s="28" t="s">
        <v>104</v>
      </c>
      <c r="AV6" s="28" t="s">
        <v>104</v>
      </c>
      <c r="AW6" s="28" t="s">
        <v>104</v>
      </c>
      <c r="AX6" s="28" t="s">
        <v>104</v>
      </c>
      <c r="AY6" s="28" t="s">
        <v>104</v>
      </c>
      <c r="AZ6" s="28" t="s">
        <v>104</v>
      </c>
      <c r="BA6" s="26" t="s">
        <v>107</v>
      </c>
      <c r="BB6" s="28" t="s">
        <v>104</v>
      </c>
      <c r="BC6" s="28" t="s">
        <v>104</v>
      </c>
      <c r="BD6" s="25" t="s">
        <v>105</v>
      </c>
      <c r="BE6" s="28" t="s">
        <v>104</v>
      </c>
      <c r="BF6" s="25" t="s">
        <v>105</v>
      </c>
      <c r="BG6" s="25" t="s">
        <v>105</v>
      </c>
      <c r="BH6" s="28" t="s">
        <v>104</v>
      </c>
      <c r="BI6" s="28" t="s">
        <v>104</v>
      </c>
      <c r="BJ6" s="28" t="s">
        <v>104</v>
      </c>
      <c r="BK6" s="25" t="s">
        <v>105</v>
      </c>
      <c r="BL6" s="28" t="s">
        <v>104</v>
      </c>
      <c r="BM6" s="25" t="s">
        <v>105</v>
      </c>
      <c r="BN6" s="28" t="s">
        <v>104</v>
      </c>
    </row>
    <row r="7" spans="1:66">
      <c r="A7" s="24" t="s">
        <v>438</v>
      </c>
      <c r="B7" s="24" t="s">
        <v>439</v>
      </c>
      <c r="C7" s="25" t="s">
        <v>105</v>
      </c>
      <c r="D7" s="25" t="s">
        <v>105</v>
      </c>
      <c r="E7" s="25" t="s">
        <v>105</v>
      </c>
      <c r="F7" s="26" t="s">
        <v>107</v>
      </c>
      <c r="G7" s="25" t="s">
        <v>105</v>
      </c>
      <c r="H7" s="25" t="s">
        <v>105</v>
      </c>
      <c r="I7" s="27" t="s">
        <v>106</v>
      </c>
      <c r="J7" s="28" t="s">
        <v>104</v>
      </c>
      <c r="K7" s="25" t="s">
        <v>105</v>
      </c>
      <c r="L7" s="28" t="s">
        <v>104</v>
      </c>
      <c r="M7" s="26" t="s">
        <v>107</v>
      </c>
      <c r="N7" s="26" t="s">
        <v>107</v>
      </c>
      <c r="O7" s="26" t="s">
        <v>107</v>
      </c>
      <c r="P7" s="27" t="s">
        <v>106</v>
      </c>
      <c r="Q7" s="28" t="s">
        <v>104</v>
      </c>
      <c r="R7" s="25" t="s">
        <v>105</v>
      </c>
      <c r="S7" s="28" t="s">
        <v>104</v>
      </c>
      <c r="T7" s="27" t="s">
        <v>106</v>
      </c>
      <c r="U7" s="28" t="s">
        <v>104</v>
      </c>
      <c r="V7" s="28" t="s">
        <v>104</v>
      </c>
      <c r="W7" s="26" t="s">
        <v>107</v>
      </c>
      <c r="X7" s="25" t="s">
        <v>105</v>
      </c>
      <c r="Y7" s="25" t="s">
        <v>105</v>
      </c>
      <c r="Z7" s="28" t="s">
        <v>104</v>
      </c>
      <c r="AA7" s="28" t="s">
        <v>104</v>
      </c>
      <c r="AB7" s="28" t="s">
        <v>104</v>
      </c>
      <c r="AC7" s="28" t="s">
        <v>104</v>
      </c>
      <c r="AD7" s="28" t="s">
        <v>104</v>
      </c>
      <c r="AE7" s="28" t="s">
        <v>104</v>
      </c>
      <c r="AF7" s="26" t="s">
        <v>107</v>
      </c>
      <c r="AG7" s="25" t="s">
        <v>105</v>
      </c>
      <c r="AH7" s="25" t="s">
        <v>105</v>
      </c>
      <c r="AI7" s="25" t="s">
        <v>105</v>
      </c>
      <c r="AJ7" s="25" t="s">
        <v>105</v>
      </c>
      <c r="AK7" s="25" t="s">
        <v>105</v>
      </c>
      <c r="AL7" s="25" t="s">
        <v>105</v>
      </c>
      <c r="AM7" s="25" t="s">
        <v>105</v>
      </c>
      <c r="AN7" s="25" t="s">
        <v>105</v>
      </c>
      <c r="AO7" s="25" t="s">
        <v>105</v>
      </c>
      <c r="AP7" s="25" t="s">
        <v>105</v>
      </c>
      <c r="AQ7" s="28" t="s">
        <v>104</v>
      </c>
      <c r="AR7" s="25" t="s">
        <v>105</v>
      </c>
      <c r="AS7" s="27" t="s">
        <v>106</v>
      </c>
      <c r="AT7" s="26" t="s">
        <v>107</v>
      </c>
      <c r="AU7" s="28" t="s">
        <v>104</v>
      </c>
      <c r="AV7" s="25" t="s">
        <v>105</v>
      </c>
      <c r="AW7" s="25" t="s">
        <v>105</v>
      </c>
      <c r="AX7" s="25" t="s">
        <v>105</v>
      </c>
      <c r="AY7" s="25" t="s">
        <v>105</v>
      </c>
      <c r="AZ7" s="25" t="s">
        <v>105</v>
      </c>
      <c r="BA7" s="26" t="s">
        <v>107</v>
      </c>
      <c r="BB7" s="28" t="s">
        <v>104</v>
      </c>
      <c r="BC7" s="28" t="s">
        <v>104</v>
      </c>
      <c r="BD7" s="28" t="s">
        <v>104</v>
      </c>
      <c r="BE7" s="28" t="s">
        <v>104</v>
      </c>
      <c r="BF7" s="28" t="s">
        <v>104</v>
      </c>
      <c r="BG7" s="28" t="s">
        <v>104</v>
      </c>
      <c r="BH7" s="28" t="s">
        <v>104</v>
      </c>
      <c r="BI7" s="28" t="s">
        <v>104</v>
      </c>
      <c r="BJ7" s="25" t="s">
        <v>105</v>
      </c>
      <c r="BK7" s="25" t="s">
        <v>105</v>
      </c>
      <c r="BL7" s="28" t="s">
        <v>104</v>
      </c>
      <c r="BM7" s="25" t="s">
        <v>105</v>
      </c>
      <c r="BN7" s="28" t="s">
        <v>104</v>
      </c>
    </row>
    <row r="8" spans="1:66">
      <c r="A8" s="24" t="s">
        <v>440</v>
      </c>
      <c r="B8" s="24" t="s">
        <v>441</v>
      </c>
      <c r="C8" s="25" t="s">
        <v>105</v>
      </c>
      <c r="D8" s="28" t="s">
        <v>104</v>
      </c>
      <c r="E8" s="25" t="s">
        <v>105</v>
      </c>
      <c r="F8" s="28" t="s">
        <v>104</v>
      </c>
      <c r="G8" s="28" t="s">
        <v>104</v>
      </c>
      <c r="H8" s="25" t="s">
        <v>105</v>
      </c>
      <c r="I8" s="27" t="s">
        <v>106</v>
      </c>
      <c r="J8" s="25" t="s">
        <v>105</v>
      </c>
      <c r="K8" s="25" t="s">
        <v>105</v>
      </c>
      <c r="L8" s="25" t="s">
        <v>105</v>
      </c>
      <c r="M8" s="27" t="s">
        <v>106</v>
      </c>
      <c r="N8" s="27" t="s">
        <v>106</v>
      </c>
      <c r="O8" s="28" t="s">
        <v>104</v>
      </c>
      <c r="P8" s="28" t="s">
        <v>104</v>
      </c>
      <c r="Q8" s="28" t="s">
        <v>104</v>
      </c>
      <c r="R8" s="27" t="s">
        <v>106</v>
      </c>
      <c r="S8" s="28" t="s">
        <v>104</v>
      </c>
      <c r="T8" s="25" t="s">
        <v>105</v>
      </c>
      <c r="U8" s="28" t="s">
        <v>104</v>
      </c>
      <c r="V8" s="28" t="s">
        <v>104</v>
      </c>
      <c r="W8" s="26" t="s">
        <v>107</v>
      </c>
      <c r="X8" s="28" t="s">
        <v>104</v>
      </c>
      <c r="Y8" s="25" t="s">
        <v>105</v>
      </c>
      <c r="Z8" s="28" t="s">
        <v>104</v>
      </c>
      <c r="AA8" s="28" t="s">
        <v>104</v>
      </c>
      <c r="AB8" s="28" t="s">
        <v>104</v>
      </c>
      <c r="AC8" s="28" t="s">
        <v>104</v>
      </c>
      <c r="AD8" s="28" t="s">
        <v>104</v>
      </c>
      <c r="AE8" s="28" t="s">
        <v>104</v>
      </c>
      <c r="AF8" s="28" t="s">
        <v>104</v>
      </c>
      <c r="AG8" s="25" t="s">
        <v>105</v>
      </c>
      <c r="AH8" s="28" t="s">
        <v>104</v>
      </c>
      <c r="AI8" s="25" t="s">
        <v>105</v>
      </c>
      <c r="AJ8" s="28" t="s">
        <v>104</v>
      </c>
      <c r="AK8" s="28" t="s">
        <v>104</v>
      </c>
      <c r="AL8" s="28" t="s">
        <v>104</v>
      </c>
      <c r="AM8" s="28" t="s">
        <v>104</v>
      </c>
      <c r="AN8" s="25" t="s">
        <v>105</v>
      </c>
      <c r="AO8" s="25" t="s">
        <v>105</v>
      </c>
      <c r="AP8" s="25" t="s">
        <v>105</v>
      </c>
      <c r="AQ8" s="25" t="s">
        <v>105</v>
      </c>
      <c r="AR8" s="25" t="s">
        <v>105</v>
      </c>
      <c r="AS8" s="27" t="s">
        <v>106</v>
      </c>
      <c r="AT8" s="26" t="s">
        <v>107</v>
      </c>
      <c r="AU8" s="28" t="s">
        <v>104</v>
      </c>
      <c r="AV8" s="28" t="s">
        <v>104</v>
      </c>
      <c r="AW8" s="28" t="s">
        <v>104</v>
      </c>
      <c r="AX8" s="28" t="s">
        <v>104</v>
      </c>
      <c r="AY8" s="28" t="s">
        <v>104</v>
      </c>
      <c r="AZ8" s="28" t="s">
        <v>104</v>
      </c>
      <c r="BA8" s="26" t="s">
        <v>107</v>
      </c>
      <c r="BB8" s="28" t="s">
        <v>104</v>
      </c>
      <c r="BC8" s="25" t="s">
        <v>105</v>
      </c>
      <c r="BD8" s="25" t="s">
        <v>105</v>
      </c>
      <c r="BE8" s="25" t="s">
        <v>105</v>
      </c>
      <c r="BF8" s="25" t="s">
        <v>105</v>
      </c>
      <c r="BG8" s="25" t="s">
        <v>105</v>
      </c>
      <c r="BH8" s="28" t="s">
        <v>104</v>
      </c>
      <c r="BI8" s="28" t="s">
        <v>104</v>
      </c>
      <c r="BJ8" s="28" t="s">
        <v>104</v>
      </c>
      <c r="BK8" s="28" t="s">
        <v>104</v>
      </c>
      <c r="BL8" s="28" t="s">
        <v>104</v>
      </c>
      <c r="BM8" s="25" t="s">
        <v>105</v>
      </c>
      <c r="BN8" s="25" t="s">
        <v>105</v>
      </c>
    </row>
    <row r="9" spans="1:66">
      <c r="A9" s="24" t="s">
        <v>443</v>
      </c>
      <c r="B9" s="24" t="s">
        <v>444</v>
      </c>
      <c r="C9" s="28" t="s">
        <v>104</v>
      </c>
      <c r="D9" s="28" t="s">
        <v>104</v>
      </c>
      <c r="E9" s="28" t="s">
        <v>104</v>
      </c>
      <c r="F9" s="28" t="s">
        <v>104</v>
      </c>
      <c r="G9" s="28" t="s">
        <v>104</v>
      </c>
      <c r="H9" s="25" t="s">
        <v>105</v>
      </c>
      <c r="I9" s="27" t="s">
        <v>106</v>
      </c>
      <c r="J9" s="25" t="s">
        <v>105</v>
      </c>
      <c r="K9" s="25" t="s">
        <v>105</v>
      </c>
      <c r="L9" s="28" t="s">
        <v>104</v>
      </c>
      <c r="M9" s="27" t="s">
        <v>106</v>
      </c>
      <c r="N9" s="27" t="s">
        <v>106</v>
      </c>
      <c r="O9" s="28" t="s">
        <v>104</v>
      </c>
      <c r="P9" s="27" t="s">
        <v>106</v>
      </c>
      <c r="Q9" s="28" t="s">
        <v>104</v>
      </c>
      <c r="R9" s="27" t="s">
        <v>106</v>
      </c>
      <c r="S9" s="28" t="s">
        <v>104</v>
      </c>
      <c r="T9" s="25" t="s">
        <v>105</v>
      </c>
      <c r="U9" s="28" t="s">
        <v>104</v>
      </c>
      <c r="V9" s="28" t="s">
        <v>104</v>
      </c>
      <c r="W9" s="26" t="s">
        <v>107</v>
      </c>
      <c r="X9" s="28" t="s">
        <v>104</v>
      </c>
      <c r="Y9" s="25" t="s">
        <v>105</v>
      </c>
      <c r="Z9" s="28" t="s">
        <v>104</v>
      </c>
      <c r="AA9" s="28" t="s">
        <v>104</v>
      </c>
      <c r="AB9" s="28" t="s">
        <v>104</v>
      </c>
      <c r="AC9" s="28" t="s">
        <v>104</v>
      </c>
      <c r="AD9" s="28" t="s">
        <v>104</v>
      </c>
      <c r="AE9" s="28" t="s">
        <v>104</v>
      </c>
      <c r="AF9" s="28" t="s">
        <v>104</v>
      </c>
      <c r="AG9" s="26" t="s">
        <v>107</v>
      </c>
      <c r="AH9" s="28" t="s">
        <v>104</v>
      </c>
      <c r="AI9" s="25" t="s">
        <v>105</v>
      </c>
      <c r="AJ9" s="28" t="s">
        <v>104</v>
      </c>
      <c r="AK9" s="28" t="s">
        <v>104</v>
      </c>
      <c r="AL9" s="28" t="s">
        <v>104</v>
      </c>
      <c r="AM9" s="28" t="s">
        <v>104</v>
      </c>
      <c r="AN9" s="25" t="s">
        <v>105</v>
      </c>
      <c r="AO9" s="25" t="s">
        <v>105</v>
      </c>
      <c r="AP9" s="25" t="s">
        <v>105</v>
      </c>
      <c r="AQ9" s="25" t="s">
        <v>105</v>
      </c>
      <c r="AR9" s="25" t="s">
        <v>105</v>
      </c>
      <c r="AS9" s="25" t="s">
        <v>105</v>
      </c>
      <c r="AT9" s="26" t="s">
        <v>107</v>
      </c>
      <c r="AU9" s="28" t="s">
        <v>104</v>
      </c>
      <c r="AV9" s="28" t="s">
        <v>104</v>
      </c>
      <c r="AW9" s="28" t="s">
        <v>104</v>
      </c>
      <c r="AX9" s="28" t="s">
        <v>104</v>
      </c>
      <c r="AY9" s="28" t="s">
        <v>104</v>
      </c>
      <c r="AZ9" s="28" t="s">
        <v>104</v>
      </c>
      <c r="BA9" s="26" t="s">
        <v>107</v>
      </c>
      <c r="BB9" s="28" t="s">
        <v>104</v>
      </c>
      <c r="BC9" s="25" t="s">
        <v>105</v>
      </c>
      <c r="BD9" s="25" t="s">
        <v>105</v>
      </c>
      <c r="BE9" s="25" t="s">
        <v>105</v>
      </c>
      <c r="BF9" s="25" t="s">
        <v>105</v>
      </c>
      <c r="BG9" s="25" t="s">
        <v>105</v>
      </c>
      <c r="BH9" s="28" t="s">
        <v>104</v>
      </c>
      <c r="BI9" s="28" t="s">
        <v>104</v>
      </c>
      <c r="BJ9" s="28" t="s">
        <v>104</v>
      </c>
      <c r="BK9" s="28" t="s">
        <v>104</v>
      </c>
      <c r="BL9" s="28" t="s">
        <v>104</v>
      </c>
      <c r="BM9" s="28" t="s">
        <v>104</v>
      </c>
      <c r="BN9" s="28" t="s">
        <v>104</v>
      </c>
    </row>
    <row r="10" spans="1:66">
      <c r="A10" s="24" t="s">
        <v>445</v>
      </c>
      <c r="B10" s="24" t="s">
        <v>446</v>
      </c>
      <c r="C10" s="25" t="s">
        <v>105</v>
      </c>
      <c r="D10" s="25" t="s">
        <v>105</v>
      </c>
      <c r="E10" s="25" t="s">
        <v>105</v>
      </c>
      <c r="F10" s="28" t="s">
        <v>104</v>
      </c>
      <c r="G10" s="28" t="s">
        <v>104</v>
      </c>
      <c r="H10" s="25" t="s">
        <v>105</v>
      </c>
      <c r="I10" s="28" t="s">
        <v>104</v>
      </c>
      <c r="J10" s="26" t="s">
        <v>107</v>
      </c>
      <c r="K10" s="26" t="s">
        <v>107</v>
      </c>
      <c r="L10" s="26" t="s">
        <v>107</v>
      </c>
      <c r="M10" s="26" t="s">
        <v>107</v>
      </c>
      <c r="N10" s="26" t="s">
        <v>107</v>
      </c>
      <c r="O10" s="26" t="s">
        <v>107</v>
      </c>
      <c r="P10" s="27" t="s">
        <v>106</v>
      </c>
      <c r="Q10" s="28" t="s">
        <v>104</v>
      </c>
      <c r="R10" s="27" t="s">
        <v>106</v>
      </c>
      <c r="S10" s="28" t="s">
        <v>104</v>
      </c>
      <c r="T10" s="27" t="s">
        <v>106</v>
      </c>
      <c r="U10" s="28" t="s">
        <v>104</v>
      </c>
      <c r="V10" s="28" t="s">
        <v>104</v>
      </c>
      <c r="W10" s="26" t="s">
        <v>107</v>
      </c>
      <c r="X10" s="28" t="s">
        <v>104</v>
      </c>
      <c r="Y10" s="25" t="s">
        <v>105</v>
      </c>
      <c r="Z10" s="28" t="s">
        <v>104</v>
      </c>
      <c r="AA10" s="28" t="s">
        <v>104</v>
      </c>
      <c r="AB10" s="28" t="s">
        <v>104</v>
      </c>
      <c r="AC10" s="28" t="s">
        <v>104</v>
      </c>
      <c r="AD10" s="28" t="s">
        <v>104</v>
      </c>
      <c r="AE10" s="28" t="s">
        <v>104</v>
      </c>
      <c r="AF10" s="25" t="s">
        <v>105</v>
      </c>
      <c r="AG10" s="25" t="s">
        <v>105</v>
      </c>
      <c r="AH10" s="25" t="s">
        <v>105</v>
      </c>
      <c r="AI10" s="25" t="s">
        <v>105</v>
      </c>
      <c r="AJ10" s="25" t="s">
        <v>105</v>
      </c>
      <c r="AK10" s="28" t="s">
        <v>104</v>
      </c>
      <c r="AL10" s="28" t="s">
        <v>104</v>
      </c>
      <c r="AM10" s="28" t="s">
        <v>104</v>
      </c>
      <c r="AN10" s="25" t="s">
        <v>105</v>
      </c>
      <c r="AO10" s="25" t="s">
        <v>105</v>
      </c>
      <c r="AP10" s="25" t="s">
        <v>105</v>
      </c>
      <c r="AQ10" s="25" t="s">
        <v>105</v>
      </c>
      <c r="AR10" s="25" t="s">
        <v>105</v>
      </c>
      <c r="AS10" s="27" t="s">
        <v>106</v>
      </c>
      <c r="AT10" s="26" t="s">
        <v>107</v>
      </c>
      <c r="AU10" s="28" t="s">
        <v>104</v>
      </c>
      <c r="AV10" s="28" t="s">
        <v>104</v>
      </c>
      <c r="AW10" s="28" t="s">
        <v>104</v>
      </c>
      <c r="AX10" s="28" t="s">
        <v>104</v>
      </c>
      <c r="AY10" s="25" t="s">
        <v>105</v>
      </c>
      <c r="AZ10" s="28" t="s">
        <v>104</v>
      </c>
      <c r="BA10" s="26" t="s">
        <v>107</v>
      </c>
      <c r="BB10" s="28" t="s">
        <v>104</v>
      </c>
      <c r="BC10" s="25" t="s">
        <v>105</v>
      </c>
      <c r="BD10" s="25" t="s">
        <v>105</v>
      </c>
      <c r="BE10" s="25" t="s">
        <v>105</v>
      </c>
      <c r="BF10" s="25" t="s">
        <v>105</v>
      </c>
      <c r="BG10" s="25" t="s">
        <v>105</v>
      </c>
      <c r="BH10" s="28" t="s">
        <v>104</v>
      </c>
      <c r="BI10" s="28" t="s">
        <v>104</v>
      </c>
      <c r="BJ10" s="28" t="s">
        <v>104</v>
      </c>
      <c r="BK10" s="28" t="s">
        <v>104</v>
      </c>
      <c r="BL10" s="26" t="s">
        <v>107</v>
      </c>
      <c r="BM10" s="26" t="s">
        <v>107</v>
      </c>
      <c r="BN10" s="26" t="s">
        <v>107</v>
      </c>
    </row>
    <row r="11" spans="1:66">
      <c r="A11" s="24" t="s">
        <v>447</v>
      </c>
      <c r="B11" s="24" t="s">
        <v>448</v>
      </c>
      <c r="C11" s="25" t="s">
        <v>105</v>
      </c>
      <c r="D11" s="28" t="s">
        <v>104</v>
      </c>
      <c r="E11" s="25" t="s">
        <v>105</v>
      </c>
      <c r="F11" s="28" t="s">
        <v>104</v>
      </c>
      <c r="G11" s="28" t="s">
        <v>104</v>
      </c>
      <c r="H11" s="25" t="s">
        <v>105</v>
      </c>
      <c r="I11" s="27" t="s">
        <v>106</v>
      </c>
      <c r="J11" s="25" t="s">
        <v>105</v>
      </c>
      <c r="K11" s="25" t="s">
        <v>105</v>
      </c>
      <c r="L11" s="25" t="s">
        <v>105</v>
      </c>
      <c r="M11" s="25" t="s">
        <v>105</v>
      </c>
      <c r="N11" s="27" t="s">
        <v>106</v>
      </c>
      <c r="O11" s="28" t="s">
        <v>104</v>
      </c>
      <c r="P11" s="28" t="s">
        <v>104</v>
      </c>
      <c r="Q11" s="28" t="s">
        <v>104</v>
      </c>
      <c r="R11" s="27" t="s">
        <v>106</v>
      </c>
      <c r="S11" s="28" t="s">
        <v>104</v>
      </c>
      <c r="T11" s="25" t="s">
        <v>105</v>
      </c>
      <c r="U11" s="28" t="s">
        <v>104</v>
      </c>
      <c r="V11" s="28" t="s">
        <v>104</v>
      </c>
      <c r="W11" s="26" t="s">
        <v>107</v>
      </c>
      <c r="X11" s="28" t="s">
        <v>104</v>
      </c>
      <c r="Y11" s="25" t="s">
        <v>105</v>
      </c>
      <c r="Z11" s="28" t="s">
        <v>104</v>
      </c>
      <c r="AA11" s="28" t="s">
        <v>104</v>
      </c>
      <c r="AB11" s="28" t="s">
        <v>104</v>
      </c>
      <c r="AC11" s="28" t="s">
        <v>104</v>
      </c>
      <c r="AD11" s="28" t="s">
        <v>104</v>
      </c>
      <c r="AE11" s="28" t="s">
        <v>104</v>
      </c>
      <c r="AF11" s="28" t="s">
        <v>104</v>
      </c>
      <c r="AG11" s="25" t="s">
        <v>105</v>
      </c>
      <c r="AH11" s="28" t="s">
        <v>104</v>
      </c>
      <c r="AI11" s="25" t="s">
        <v>105</v>
      </c>
      <c r="AJ11" s="28" t="s">
        <v>104</v>
      </c>
      <c r="AK11" s="28" t="s">
        <v>104</v>
      </c>
      <c r="AL11" s="28" t="s">
        <v>104</v>
      </c>
      <c r="AM11" s="28" t="s">
        <v>104</v>
      </c>
      <c r="AN11" s="25" t="s">
        <v>105</v>
      </c>
      <c r="AO11" s="25" t="s">
        <v>105</v>
      </c>
      <c r="AP11" s="28" t="s">
        <v>104</v>
      </c>
      <c r="AQ11" s="25" t="s">
        <v>105</v>
      </c>
      <c r="AR11" s="25" t="s">
        <v>105</v>
      </c>
      <c r="AS11" s="27" t="s">
        <v>106</v>
      </c>
      <c r="AT11" s="26" t="s">
        <v>107</v>
      </c>
      <c r="AU11" s="28" t="s">
        <v>104</v>
      </c>
      <c r="AV11" s="28" t="s">
        <v>104</v>
      </c>
      <c r="AW11" s="28" t="s">
        <v>104</v>
      </c>
      <c r="AX11" s="28" t="s">
        <v>104</v>
      </c>
      <c r="AY11" s="28" t="s">
        <v>104</v>
      </c>
      <c r="AZ11" s="28" t="s">
        <v>104</v>
      </c>
      <c r="BA11" s="26" t="s">
        <v>107</v>
      </c>
      <c r="BB11" s="28" t="s">
        <v>104</v>
      </c>
      <c r="BC11" s="28" t="s">
        <v>104</v>
      </c>
      <c r="BD11" s="25" t="s">
        <v>105</v>
      </c>
      <c r="BE11" s="25" t="s">
        <v>105</v>
      </c>
      <c r="BF11" s="25" t="s">
        <v>105</v>
      </c>
      <c r="BG11" s="25" t="s">
        <v>105</v>
      </c>
      <c r="BH11" s="28" t="s">
        <v>104</v>
      </c>
      <c r="BI11" s="28" t="s">
        <v>104</v>
      </c>
      <c r="BJ11" s="28" t="s">
        <v>104</v>
      </c>
      <c r="BK11" s="28" t="s">
        <v>104</v>
      </c>
      <c r="BL11" s="28" t="s">
        <v>104</v>
      </c>
      <c r="BM11" s="25" t="s">
        <v>105</v>
      </c>
      <c r="BN11" s="25" t="s">
        <v>105</v>
      </c>
    </row>
    <row r="12" spans="1:66">
      <c r="A12" s="24" t="s">
        <v>449</v>
      </c>
      <c r="B12" s="24" t="s">
        <v>450</v>
      </c>
      <c r="C12" s="25" t="s">
        <v>105</v>
      </c>
      <c r="D12" s="28" t="s">
        <v>104</v>
      </c>
      <c r="E12" s="25" t="s">
        <v>105</v>
      </c>
      <c r="F12" s="28" t="s">
        <v>104</v>
      </c>
      <c r="G12" s="28" t="s">
        <v>104</v>
      </c>
      <c r="H12" s="25" t="s">
        <v>105</v>
      </c>
      <c r="I12" s="27" t="s">
        <v>106</v>
      </c>
      <c r="J12" s="25" t="s">
        <v>105</v>
      </c>
      <c r="K12" s="25" t="s">
        <v>105</v>
      </c>
      <c r="L12" s="25" t="s">
        <v>105</v>
      </c>
      <c r="M12" s="27" t="s">
        <v>106</v>
      </c>
      <c r="N12" s="27" t="s">
        <v>106</v>
      </c>
      <c r="O12" s="25" t="s">
        <v>105</v>
      </c>
      <c r="P12" s="27" t="s">
        <v>106</v>
      </c>
      <c r="Q12" s="28" t="s">
        <v>104</v>
      </c>
      <c r="R12" s="27" t="s">
        <v>106</v>
      </c>
      <c r="S12" s="28" t="s">
        <v>104</v>
      </c>
      <c r="T12" s="27" t="s">
        <v>106</v>
      </c>
      <c r="U12" s="28" t="s">
        <v>104</v>
      </c>
      <c r="V12" s="28" t="s">
        <v>104</v>
      </c>
      <c r="W12" s="26" t="s">
        <v>107</v>
      </c>
      <c r="X12" s="28" t="s">
        <v>104</v>
      </c>
      <c r="Y12" s="25" t="s">
        <v>105</v>
      </c>
      <c r="Z12" s="28" t="s">
        <v>104</v>
      </c>
      <c r="AA12" s="28" t="s">
        <v>104</v>
      </c>
      <c r="AB12" s="28" t="s">
        <v>104</v>
      </c>
      <c r="AC12" s="28" t="s">
        <v>104</v>
      </c>
      <c r="AD12" s="28" t="s">
        <v>104</v>
      </c>
      <c r="AE12" s="28" t="s">
        <v>104</v>
      </c>
      <c r="AF12" s="25" t="s">
        <v>105</v>
      </c>
      <c r="AG12" s="25" t="s">
        <v>105</v>
      </c>
      <c r="AH12" s="28" t="s">
        <v>104</v>
      </c>
      <c r="AI12" s="25" t="s">
        <v>105</v>
      </c>
      <c r="AJ12" s="28" t="s">
        <v>104</v>
      </c>
      <c r="AK12" s="28" t="s">
        <v>104</v>
      </c>
      <c r="AL12" s="28" t="s">
        <v>104</v>
      </c>
      <c r="AM12" s="28" t="s">
        <v>104</v>
      </c>
      <c r="AN12" s="25" t="s">
        <v>105</v>
      </c>
      <c r="AO12" s="25" t="s">
        <v>105</v>
      </c>
      <c r="AP12" s="25" t="s">
        <v>105</v>
      </c>
      <c r="AQ12" s="25" t="s">
        <v>105</v>
      </c>
      <c r="AR12" s="25" t="s">
        <v>105</v>
      </c>
      <c r="AS12" s="25" t="s">
        <v>105</v>
      </c>
      <c r="AT12" s="26" t="s">
        <v>107</v>
      </c>
      <c r="AU12" s="28" t="s">
        <v>104</v>
      </c>
      <c r="AV12" s="28" t="s">
        <v>104</v>
      </c>
      <c r="AW12" s="28" t="s">
        <v>104</v>
      </c>
      <c r="AX12" s="28" t="s">
        <v>104</v>
      </c>
      <c r="AY12" s="28" t="s">
        <v>104</v>
      </c>
      <c r="AZ12" s="28" t="s">
        <v>104</v>
      </c>
      <c r="BA12" s="26" t="s">
        <v>107</v>
      </c>
      <c r="BB12" s="28" t="s">
        <v>104</v>
      </c>
      <c r="BC12" s="25" t="s">
        <v>105</v>
      </c>
      <c r="BD12" s="25" t="s">
        <v>105</v>
      </c>
      <c r="BE12" s="25" t="s">
        <v>105</v>
      </c>
      <c r="BF12" s="25" t="s">
        <v>105</v>
      </c>
      <c r="BG12" s="25" t="s">
        <v>105</v>
      </c>
      <c r="BH12" s="28" t="s">
        <v>104</v>
      </c>
      <c r="BI12" s="28" t="s">
        <v>104</v>
      </c>
      <c r="BJ12" s="28" t="s">
        <v>104</v>
      </c>
      <c r="BK12" s="28" t="s">
        <v>104</v>
      </c>
      <c r="BL12" s="28" t="s">
        <v>104</v>
      </c>
      <c r="BM12" s="25" t="s">
        <v>105</v>
      </c>
      <c r="BN12" s="28" t="s">
        <v>104</v>
      </c>
    </row>
    <row r="13" spans="1:66">
      <c r="A13" s="24" t="s">
        <v>451</v>
      </c>
      <c r="B13" s="24" t="s">
        <v>452</v>
      </c>
      <c r="C13" s="25" t="s">
        <v>105</v>
      </c>
      <c r="D13" s="28" t="s">
        <v>104</v>
      </c>
      <c r="E13" s="25" t="s">
        <v>105</v>
      </c>
      <c r="F13" s="28" t="s">
        <v>104</v>
      </c>
      <c r="G13" s="28" t="s">
        <v>104</v>
      </c>
      <c r="H13" s="25" t="s">
        <v>105</v>
      </c>
      <c r="I13" s="27" t="s">
        <v>106</v>
      </c>
      <c r="J13" s="25" t="s">
        <v>105</v>
      </c>
      <c r="K13" s="25" t="s">
        <v>105</v>
      </c>
      <c r="L13" s="25" t="s">
        <v>105</v>
      </c>
      <c r="M13" s="25" t="s">
        <v>105</v>
      </c>
      <c r="N13" s="25" t="s">
        <v>105</v>
      </c>
      <c r="O13" s="28" t="s">
        <v>104</v>
      </c>
      <c r="P13" s="28" t="s">
        <v>104</v>
      </c>
      <c r="Q13" s="28" t="s">
        <v>104</v>
      </c>
      <c r="R13" s="27" t="s">
        <v>106</v>
      </c>
      <c r="S13" s="28" t="s">
        <v>104</v>
      </c>
      <c r="T13" s="25" t="s">
        <v>105</v>
      </c>
      <c r="U13" s="28" t="s">
        <v>104</v>
      </c>
      <c r="V13" s="28" t="s">
        <v>104</v>
      </c>
      <c r="W13" s="27" t="s">
        <v>106</v>
      </c>
      <c r="X13" s="28" t="s">
        <v>104</v>
      </c>
      <c r="Y13" s="25" t="s">
        <v>105</v>
      </c>
      <c r="Z13" s="28" t="s">
        <v>104</v>
      </c>
      <c r="AA13" s="28" t="s">
        <v>104</v>
      </c>
      <c r="AB13" s="28" t="s">
        <v>104</v>
      </c>
      <c r="AC13" s="28" t="s">
        <v>104</v>
      </c>
      <c r="AD13" s="28" t="s">
        <v>104</v>
      </c>
      <c r="AE13" s="28" t="s">
        <v>104</v>
      </c>
      <c r="AF13" s="28" t="s">
        <v>104</v>
      </c>
      <c r="AG13" s="25" t="s">
        <v>105</v>
      </c>
      <c r="AH13" s="28" t="s">
        <v>104</v>
      </c>
      <c r="AI13" s="28" t="s">
        <v>104</v>
      </c>
      <c r="AJ13" s="28" t="s">
        <v>104</v>
      </c>
      <c r="AK13" s="28" t="s">
        <v>104</v>
      </c>
      <c r="AL13" s="28" t="s">
        <v>104</v>
      </c>
      <c r="AM13" s="28" t="s">
        <v>104</v>
      </c>
      <c r="AN13" s="25" t="s">
        <v>105</v>
      </c>
      <c r="AO13" s="25" t="s">
        <v>105</v>
      </c>
      <c r="AP13" s="28" t="s">
        <v>104</v>
      </c>
      <c r="AQ13" s="25" t="s">
        <v>105</v>
      </c>
      <c r="AR13" s="25" t="s">
        <v>105</v>
      </c>
      <c r="AS13" s="27" t="s">
        <v>106</v>
      </c>
      <c r="AT13" s="26" t="s">
        <v>107</v>
      </c>
      <c r="AU13" s="28" t="s">
        <v>104</v>
      </c>
      <c r="AV13" s="28" t="s">
        <v>104</v>
      </c>
      <c r="AW13" s="28" t="s">
        <v>104</v>
      </c>
      <c r="AX13" s="28" t="s">
        <v>104</v>
      </c>
      <c r="AY13" s="28" t="s">
        <v>104</v>
      </c>
      <c r="AZ13" s="28" t="s">
        <v>104</v>
      </c>
      <c r="BA13" s="26" t="s">
        <v>107</v>
      </c>
      <c r="BB13" s="28" t="s">
        <v>104</v>
      </c>
      <c r="BC13" s="28" t="s">
        <v>104</v>
      </c>
      <c r="BD13" s="25" t="s">
        <v>105</v>
      </c>
      <c r="BE13" s="25" t="s">
        <v>105</v>
      </c>
      <c r="BF13" s="25" t="s">
        <v>105</v>
      </c>
      <c r="BG13" s="25" t="s">
        <v>105</v>
      </c>
      <c r="BH13" s="28" t="s">
        <v>104</v>
      </c>
      <c r="BI13" s="28" t="s">
        <v>104</v>
      </c>
      <c r="BJ13" s="28" t="s">
        <v>104</v>
      </c>
      <c r="BK13" s="28" t="s">
        <v>104</v>
      </c>
      <c r="BL13" s="28" t="s">
        <v>104</v>
      </c>
      <c r="BM13" s="25" t="s">
        <v>105</v>
      </c>
      <c r="BN13" s="25" t="s">
        <v>105</v>
      </c>
    </row>
    <row r="14" spans="1:66">
      <c r="A14" s="24" t="s">
        <v>453</v>
      </c>
      <c r="B14" s="24" t="s">
        <v>454</v>
      </c>
      <c r="C14" s="28" t="s">
        <v>104</v>
      </c>
      <c r="D14" s="28" t="s">
        <v>104</v>
      </c>
      <c r="E14" s="28" t="s">
        <v>104</v>
      </c>
      <c r="F14" s="28" t="s">
        <v>104</v>
      </c>
      <c r="G14" s="28" t="s">
        <v>104</v>
      </c>
      <c r="H14" s="25" t="s">
        <v>105</v>
      </c>
      <c r="I14" s="27" t="s">
        <v>106</v>
      </c>
      <c r="J14" s="25" t="s">
        <v>105</v>
      </c>
      <c r="K14" s="25" t="s">
        <v>105</v>
      </c>
      <c r="L14" s="25" t="s">
        <v>105</v>
      </c>
      <c r="M14" s="25" t="s">
        <v>105</v>
      </c>
      <c r="N14" s="25" t="s">
        <v>105</v>
      </c>
      <c r="O14" s="28" t="s">
        <v>104</v>
      </c>
      <c r="P14" s="28" t="s">
        <v>104</v>
      </c>
      <c r="Q14" s="28" t="s">
        <v>104</v>
      </c>
      <c r="R14" s="27" t="s">
        <v>106</v>
      </c>
      <c r="S14" s="28" t="s">
        <v>104</v>
      </c>
      <c r="T14" s="27" t="s">
        <v>106</v>
      </c>
      <c r="U14" s="28" t="s">
        <v>104</v>
      </c>
      <c r="V14" s="28" t="s">
        <v>104</v>
      </c>
      <c r="W14" s="26" t="s">
        <v>107</v>
      </c>
      <c r="X14" s="28" t="s">
        <v>104</v>
      </c>
      <c r="Y14" s="25" t="s">
        <v>105</v>
      </c>
      <c r="Z14" s="28" t="s">
        <v>104</v>
      </c>
      <c r="AA14" s="28" t="s">
        <v>104</v>
      </c>
      <c r="AB14" s="28" t="s">
        <v>104</v>
      </c>
      <c r="AC14" s="28" t="s">
        <v>104</v>
      </c>
      <c r="AD14" s="28" t="s">
        <v>104</v>
      </c>
      <c r="AE14" s="28" t="s">
        <v>104</v>
      </c>
      <c r="AF14" s="28" t="s">
        <v>104</v>
      </c>
      <c r="AG14" s="25" t="s">
        <v>105</v>
      </c>
      <c r="AH14" s="28" t="s">
        <v>104</v>
      </c>
      <c r="AI14" s="25" t="s">
        <v>105</v>
      </c>
      <c r="AJ14" s="28" t="s">
        <v>104</v>
      </c>
      <c r="AK14" s="28" t="s">
        <v>104</v>
      </c>
      <c r="AL14" s="28" t="s">
        <v>104</v>
      </c>
      <c r="AM14" s="28" t="s">
        <v>104</v>
      </c>
      <c r="AN14" s="25" t="s">
        <v>105</v>
      </c>
      <c r="AO14" s="25" t="s">
        <v>105</v>
      </c>
      <c r="AP14" s="28" t="s">
        <v>104</v>
      </c>
      <c r="AQ14" s="25" t="s">
        <v>105</v>
      </c>
      <c r="AR14" s="25" t="s">
        <v>105</v>
      </c>
      <c r="AS14" s="27" t="s">
        <v>106</v>
      </c>
      <c r="AT14" s="26" t="s">
        <v>107</v>
      </c>
      <c r="AU14" s="28" t="s">
        <v>104</v>
      </c>
      <c r="AV14" s="28" t="s">
        <v>104</v>
      </c>
      <c r="AW14" s="28" t="s">
        <v>104</v>
      </c>
      <c r="AX14" s="28" t="s">
        <v>104</v>
      </c>
      <c r="AY14" s="28" t="s">
        <v>104</v>
      </c>
      <c r="AZ14" s="28" t="s">
        <v>104</v>
      </c>
      <c r="BA14" s="26" t="s">
        <v>107</v>
      </c>
      <c r="BB14" s="28" t="s">
        <v>104</v>
      </c>
      <c r="BC14" s="25" t="s">
        <v>105</v>
      </c>
      <c r="BD14" s="25" t="s">
        <v>105</v>
      </c>
      <c r="BE14" s="25" t="s">
        <v>105</v>
      </c>
      <c r="BF14" s="25" t="s">
        <v>105</v>
      </c>
      <c r="BG14" s="25" t="s">
        <v>105</v>
      </c>
      <c r="BH14" s="28" t="s">
        <v>104</v>
      </c>
      <c r="BI14" s="28" t="s">
        <v>104</v>
      </c>
      <c r="BJ14" s="28" t="s">
        <v>104</v>
      </c>
      <c r="BK14" s="28" t="s">
        <v>104</v>
      </c>
      <c r="BL14" s="28" t="s">
        <v>104</v>
      </c>
      <c r="BM14" s="25" t="s">
        <v>105</v>
      </c>
      <c r="BN14" s="25" t="s">
        <v>105</v>
      </c>
    </row>
    <row r="15" spans="1:66">
      <c r="A15" s="24" t="s">
        <v>455</v>
      </c>
      <c r="B15" s="24" t="s">
        <v>456</v>
      </c>
      <c r="C15" s="25" t="s">
        <v>105</v>
      </c>
      <c r="D15" s="28" t="s">
        <v>104</v>
      </c>
      <c r="E15" s="25" t="s">
        <v>105</v>
      </c>
      <c r="F15" s="28" t="s">
        <v>104</v>
      </c>
      <c r="G15" s="28" t="s">
        <v>104</v>
      </c>
      <c r="H15" s="25" t="s">
        <v>105</v>
      </c>
      <c r="I15" s="27" t="s">
        <v>106</v>
      </c>
      <c r="J15" s="25" t="s">
        <v>105</v>
      </c>
      <c r="K15" s="25" t="s">
        <v>105</v>
      </c>
      <c r="L15" s="25" t="s">
        <v>105</v>
      </c>
      <c r="M15" s="27" t="s">
        <v>106</v>
      </c>
      <c r="N15" s="27" t="s">
        <v>106</v>
      </c>
      <c r="O15" s="25" t="s">
        <v>105</v>
      </c>
      <c r="P15" s="27" t="s">
        <v>106</v>
      </c>
      <c r="Q15" s="28" t="s">
        <v>104</v>
      </c>
      <c r="R15" s="27" t="s">
        <v>106</v>
      </c>
      <c r="S15" s="28" t="s">
        <v>104</v>
      </c>
      <c r="T15" s="27" t="s">
        <v>106</v>
      </c>
      <c r="U15" s="28" t="s">
        <v>104</v>
      </c>
      <c r="V15" s="28" t="s">
        <v>104</v>
      </c>
      <c r="W15" s="26" t="s">
        <v>107</v>
      </c>
      <c r="X15" s="28" t="s">
        <v>104</v>
      </c>
      <c r="Y15" s="25" t="s">
        <v>105</v>
      </c>
      <c r="Z15" s="28" t="s">
        <v>104</v>
      </c>
      <c r="AA15" s="28" t="s">
        <v>104</v>
      </c>
      <c r="AB15" s="28" t="s">
        <v>104</v>
      </c>
      <c r="AC15" s="28" t="s">
        <v>104</v>
      </c>
      <c r="AD15" s="28" t="s">
        <v>104</v>
      </c>
      <c r="AE15" s="28" t="s">
        <v>104</v>
      </c>
      <c r="AF15" s="25" t="s">
        <v>105</v>
      </c>
      <c r="AG15" s="25" t="s">
        <v>105</v>
      </c>
      <c r="AH15" s="28" t="s">
        <v>104</v>
      </c>
      <c r="AI15" s="25" t="s">
        <v>105</v>
      </c>
      <c r="AJ15" s="28" t="s">
        <v>104</v>
      </c>
      <c r="AK15" s="28" t="s">
        <v>104</v>
      </c>
      <c r="AL15" s="28" t="s">
        <v>104</v>
      </c>
      <c r="AM15" s="28" t="s">
        <v>104</v>
      </c>
      <c r="AN15" s="25" t="s">
        <v>105</v>
      </c>
      <c r="AO15" s="25" t="s">
        <v>105</v>
      </c>
      <c r="AP15" s="25" t="s">
        <v>105</v>
      </c>
      <c r="AQ15" s="25" t="s">
        <v>105</v>
      </c>
      <c r="AR15" s="25" t="s">
        <v>105</v>
      </c>
      <c r="AS15" s="27" t="s">
        <v>106</v>
      </c>
      <c r="AT15" s="26" t="s">
        <v>107</v>
      </c>
      <c r="AU15" s="28" t="s">
        <v>104</v>
      </c>
      <c r="AV15" s="28" t="s">
        <v>104</v>
      </c>
      <c r="AW15" s="28" t="s">
        <v>104</v>
      </c>
      <c r="AX15" s="28" t="s">
        <v>104</v>
      </c>
      <c r="AY15" s="28" t="s">
        <v>104</v>
      </c>
      <c r="AZ15" s="28" t="s">
        <v>104</v>
      </c>
      <c r="BA15" s="26" t="s">
        <v>107</v>
      </c>
      <c r="BB15" s="28" t="s">
        <v>104</v>
      </c>
      <c r="BC15" s="25" t="s">
        <v>105</v>
      </c>
      <c r="BD15" s="25" t="s">
        <v>105</v>
      </c>
      <c r="BE15" s="25" t="s">
        <v>105</v>
      </c>
      <c r="BF15" s="25" t="s">
        <v>105</v>
      </c>
      <c r="BG15" s="25" t="s">
        <v>105</v>
      </c>
      <c r="BH15" s="28" t="s">
        <v>104</v>
      </c>
      <c r="BI15" s="28" t="s">
        <v>104</v>
      </c>
      <c r="BJ15" s="28" t="s">
        <v>104</v>
      </c>
      <c r="BK15" s="28" t="s">
        <v>104</v>
      </c>
      <c r="BL15" s="28" t="s">
        <v>104</v>
      </c>
      <c r="BM15" s="25" t="s">
        <v>105</v>
      </c>
      <c r="BN15" s="28" t="s">
        <v>104</v>
      </c>
    </row>
    <row r="16" spans="1:66">
      <c r="A16" s="24" t="s">
        <v>457</v>
      </c>
      <c r="B16" s="24" t="s">
        <v>458</v>
      </c>
      <c r="C16" s="25" t="s">
        <v>105</v>
      </c>
      <c r="D16" s="28" t="s">
        <v>104</v>
      </c>
      <c r="E16" s="25" t="s">
        <v>105</v>
      </c>
      <c r="F16" s="28" t="s">
        <v>104</v>
      </c>
      <c r="G16" s="28" t="s">
        <v>104</v>
      </c>
      <c r="H16" s="25" t="s">
        <v>105</v>
      </c>
      <c r="I16" s="27" t="s">
        <v>106</v>
      </c>
      <c r="J16" s="25" t="s">
        <v>105</v>
      </c>
      <c r="K16" s="25" t="s">
        <v>105</v>
      </c>
      <c r="L16" s="25" t="s">
        <v>105</v>
      </c>
      <c r="M16" s="25" t="s">
        <v>105</v>
      </c>
      <c r="N16" s="27" t="s">
        <v>106</v>
      </c>
      <c r="O16" s="28" t="s">
        <v>104</v>
      </c>
      <c r="P16" s="28" t="s">
        <v>104</v>
      </c>
      <c r="Q16" s="28" t="s">
        <v>104</v>
      </c>
      <c r="R16" s="27" t="s">
        <v>106</v>
      </c>
      <c r="S16" s="28" t="s">
        <v>104</v>
      </c>
      <c r="T16" s="27" t="s">
        <v>106</v>
      </c>
      <c r="U16" s="28" t="s">
        <v>104</v>
      </c>
      <c r="V16" s="28" t="s">
        <v>104</v>
      </c>
      <c r="W16" s="26" t="s">
        <v>107</v>
      </c>
      <c r="X16" s="28" t="s">
        <v>104</v>
      </c>
      <c r="Y16" s="25" t="s">
        <v>105</v>
      </c>
      <c r="Z16" s="28" t="s">
        <v>104</v>
      </c>
      <c r="AA16" s="28" t="s">
        <v>104</v>
      </c>
      <c r="AB16" s="28" t="s">
        <v>104</v>
      </c>
      <c r="AC16" s="28" t="s">
        <v>104</v>
      </c>
      <c r="AD16" s="28" t="s">
        <v>104</v>
      </c>
      <c r="AE16" s="28" t="s">
        <v>104</v>
      </c>
      <c r="AF16" s="28" t="s">
        <v>104</v>
      </c>
      <c r="AG16" s="25" t="s">
        <v>105</v>
      </c>
      <c r="AH16" s="28" t="s">
        <v>104</v>
      </c>
      <c r="AI16" s="25" t="s">
        <v>105</v>
      </c>
      <c r="AJ16" s="28" t="s">
        <v>104</v>
      </c>
      <c r="AK16" s="28" t="s">
        <v>104</v>
      </c>
      <c r="AL16" s="28" t="s">
        <v>104</v>
      </c>
      <c r="AM16" s="28" t="s">
        <v>104</v>
      </c>
      <c r="AN16" s="25" t="s">
        <v>105</v>
      </c>
      <c r="AO16" s="25" t="s">
        <v>105</v>
      </c>
      <c r="AP16" s="28" t="s">
        <v>104</v>
      </c>
      <c r="AQ16" s="25" t="s">
        <v>105</v>
      </c>
      <c r="AR16" s="25" t="s">
        <v>105</v>
      </c>
      <c r="AS16" s="27" t="s">
        <v>106</v>
      </c>
      <c r="AT16" s="26" t="s">
        <v>107</v>
      </c>
      <c r="AU16" s="28" t="s">
        <v>104</v>
      </c>
      <c r="AV16" s="28" t="s">
        <v>104</v>
      </c>
      <c r="AW16" s="28" t="s">
        <v>104</v>
      </c>
      <c r="AX16" s="28" t="s">
        <v>104</v>
      </c>
      <c r="AY16" s="28" t="s">
        <v>104</v>
      </c>
      <c r="AZ16" s="28" t="s">
        <v>104</v>
      </c>
      <c r="BA16" s="26" t="s">
        <v>107</v>
      </c>
      <c r="BB16" s="28" t="s">
        <v>104</v>
      </c>
      <c r="BC16" s="25" t="s">
        <v>105</v>
      </c>
      <c r="BD16" s="25" t="s">
        <v>105</v>
      </c>
      <c r="BE16" s="25" t="s">
        <v>105</v>
      </c>
      <c r="BF16" s="25" t="s">
        <v>105</v>
      </c>
      <c r="BG16" s="25" t="s">
        <v>105</v>
      </c>
      <c r="BH16" s="28" t="s">
        <v>104</v>
      </c>
      <c r="BI16" s="28" t="s">
        <v>104</v>
      </c>
      <c r="BJ16" s="28" t="s">
        <v>104</v>
      </c>
      <c r="BK16" s="28" t="s">
        <v>104</v>
      </c>
      <c r="BL16" s="28" t="s">
        <v>104</v>
      </c>
      <c r="BM16" s="25" t="s">
        <v>105</v>
      </c>
      <c r="BN16" s="25" t="s">
        <v>105</v>
      </c>
    </row>
    <row r="17" spans="1:66">
      <c r="A17" s="24" t="s">
        <v>459</v>
      </c>
      <c r="B17" s="24" t="s">
        <v>460</v>
      </c>
      <c r="C17" s="28" t="s">
        <v>104</v>
      </c>
      <c r="D17" s="28" t="s">
        <v>104</v>
      </c>
      <c r="E17" s="28" t="s">
        <v>104</v>
      </c>
      <c r="F17" s="28" t="s">
        <v>104</v>
      </c>
      <c r="G17" s="28" t="s">
        <v>104</v>
      </c>
      <c r="H17" s="25" t="s">
        <v>105</v>
      </c>
      <c r="I17" s="27" t="s">
        <v>106</v>
      </c>
      <c r="J17" s="28" t="s">
        <v>104</v>
      </c>
      <c r="K17" s="25" t="s">
        <v>105</v>
      </c>
      <c r="L17" s="28" t="s">
        <v>104</v>
      </c>
      <c r="M17" s="25" t="s">
        <v>105</v>
      </c>
      <c r="N17" s="27" t="s">
        <v>106</v>
      </c>
      <c r="O17" s="28" t="s">
        <v>104</v>
      </c>
      <c r="P17" s="27" t="s">
        <v>106</v>
      </c>
      <c r="Q17" s="28" t="s">
        <v>104</v>
      </c>
      <c r="R17" s="25" t="s">
        <v>105</v>
      </c>
      <c r="S17" s="28" t="s">
        <v>104</v>
      </c>
      <c r="T17" s="25" t="s">
        <v>105</v>
      </c>
      <c r="U17" s="28" t="s">
        <v>104</v>
      </c>
      <c r="V17" s="28" t="s">
        <v>104</v>
      </c>
      <c r="W17" s="26" t="s">
        <v>107</v>
      </c>
      <c r="X17" s="28" t="s">
        <v>104</v>
      </c>
      <c r="Y17" s="25" t="s">
        <v>105</v>
      </c>
      <c r="Z17" s="28" t="s">
        <v>104</v>
      </c>
      <c r="AA17" s="28" t="s">
        <v>104</v>
      </c>
      <c r="AB17" s="28" t="s">
        <v>104</v>
      </c>
      <c r="AC17" s="28" t="s">
        <v>104</v>
      </c>
      <c r="AD17" s="28" t="s">
        <v>104</v>
      </c>
      <c r="AE17" s="28" t="s">
        <v>104</v>
      </c>
      <c r="AF17" s="28" t="s">
        <v>104</v>
      </c>
      <c r="AG17" s="26" t="s">
        <v>107</v>
      </c>
      <c r="AH17" s="28" t="s">
        <v>104</v>
      </c>
      <c r="AI17" s="25" t="s">
        <v>105</v>
      </c>
      <c r="AJ17" s="28" t="s">
        <v>104</v>
      </c>
      <c r="AK17" s="28" t="s">
        <v>104</v>
      </c>
      <c r="AL17" s="28" t="s">
        <v>104</v>
      </c>
      <c r="AM17" s="28" t="s">
        <v>104</v>
      </c>
      <c r="AN17" s="25" t="s">
        <v>105</v>
      </c>
      <c r="AO17" s="25" t="s">
        <v>105</v>
      </c>
      <c r="AP17" s="25" t="s">
        <v>105</v>
      </c>
      <c r="AQ17" s="28" t="s">
        <v>104</v>
      </c>
      <c r="AR17" s="25" t="s">
        <v>105</v>
      </c>
      <c r="AS17" s="27" t="s">
        <v>106</v>
      </c>
      <c r="AT17" s="26" t="s">
        <v>107</v>
      </c>
      <c r="AU17" s="28" t="s">
        <v>104</v>
      </c>
      <c r="AV17" s="28" t="s">
        <v>104</v>
      </c>
      <c r="AW17" s="28" t="s">
        <v>104</v>
      </c>
      <c r="AX17" s="28" t="s">
        <v>104</v>
      </c>
      <c r="AY17" s="28" t="s">
        <v>104</v>
      </c>
      <c r="AZ17" s="28" t="s">
        <v>104</v>
      </c>
      <c r="BA17" s="28" t="s">
        <v>104</v>
      </c>
      <c r="BB17" s="28" t="s">
        <v>104</v>
      </c>
      <c r="BC17" s="25" t="s">
        <v>105</v>
      </c>
      <c r="BD17" s="25" t="s">
        <v>105</v>
      </c>
      <c r="BE17" s="25" t="s">
        <v>105</v>
      </c>
      <c r="BF17" s="25" t="s">
        <v>105</v>
      </c>
      <c r="BG17" s="25" t="s">
        <v>105</v>
      </c>
      <c r="BH17" s="28" t="s">
        <v>104</v>
      </c>
      <c r="BI17" s="28" t="s">
        <v>104</v>
      </c>
      <c r="BJ17" s="28" t="s">
        <v>104</v>
      </c>
      <c r="BK17" s="25" t="s">
        <v>105</v>
      </c>
      <c r="BL17" s="28" t="s">
        <v>104</v>
      </c>
      <c r="BM17" s="28" t="s">
        <v>104</v>
      </c>
      <c r="BN17" s="28" t="s">
        <v>104</v>
      </c>
    </row>
    <row r="18" spans="1:66">
      <c r="A18" s="24" t="s">
        <v>461</v>
      </c>
      <c r="B18" s="24" t="s">
        <v>462</v>
      </c>
      <c r="C18" s="25" t="s">
        <v>105</v>
      </c>
      <c r="D18" s="28" t="s">
        <v>104</v>
      </c>
      <c r="E18" s="25" t="s">
        <v>105</v>
      </c>
      <c r="F18" s="28" t="s">
        <v>104</v>
      </c>
      <c r="G18" s="28" t="s">
        <v>104</v>
      </c>
      <c r="H18" s="25" t="s">
        <v>105</v>
      </c>
      <c r="I18" s="27" t="s">
        <v>106</v>
      </c>
      <c r="J18" s="28" t="s">
        <v>104</v>
      </c>
      <c r="K18" s="28" t="s">
        <v>104</v>
      </c>
      <c r="L18" s="28" t="s">
        <v>104</v>
      </c>
      <c r="M18" s="27" t="s">
        <v>106</v>
      </c>
      <c r="N18" s="27" t="s">
        <v>106</v>
      </c>
      <c r="O18" s="27" t="s">
        <v>106</v>
      </c>
      <c r="P18" s="27" t="s">
        <v>106</v>
      </c>
      <c r="Q18" s="28" t="s">
        <v>104</v>
      </c>
      <c r="R18" s="25" t="s">
        <v>105</v>
      </c>
      <c r="S18" s="28" t="s">
        <v>104</v>
      </c>
      <c r="T18" s="27" t="s">
        <v>106</v>
      </c>
      <c r="U18" s="28" t="s">
        <v>104</v>
      </c>
      <c r="V18" s="28" t="s">
        <v>104</v>
      </c>
      <c r="W18" s="26" t="s">
        <v>107</v>
      </c>
      <c r="X18" s="28" t="s">
        <v>104</v>
      </c>
      <c r="Y18" s="28" t="s">
        <v>104</v>
      </c>
      <c r="Z18" s="28" t="s">
        <v>104</v>
      </c>
      <c r="AA18" s="28" t="s">
        <v>104</v>
      </c>
      <c r="AB18" s="28" t="s">
        <v>104</v>
      </c>
      <c r="AC18" s="28" t="s">
        <v>104</v>
      </c>
      <c r="AD18" s="28" t="s">
        <v>104</v>
      </c>
      <c r="AE18" s="28" t="s">
        <v>104</v>
      </c>
      <c r="AF18" s="25" t="s">
        <v>105</v>
      </c>
      <c r="AG18" s="25" t="s">
        <v>105</v>
      </c>
      <c r="AH18" s="28" t="s">
        <v>104</v>
      </c>
      <c r="AI18" s="25" t="s">
        <v>105</v>
      </c>
      <c r="AJ18" s="28" t="s">
        <v>104</v>
      </c>
      <c r="AK18" s="28" t="s">
        <v>104</v>
      </c>
      <c r="AL18" s="28" t="s">
        <v>104</v>
      </c>
      <c r="AM18" s="28" t="s">
        <v>104</v>
      </c>
      <c r="AN18" s="25" t="s">
        <v>105</v>
      </c>
      <c r="AO18" s="25" t="s">
        <v>105</v>
      </c>
      <c r="AP18" s="25" t="s">
        <v>105</v>
      </c>
      <c r="AQ18" s="28" t="s">
        <v>104</v>
      </c>
      <c r="AR18" s="25" t="s">
        <v>105</v>
      </c>
      <c r="AS18" s="27" t="s">
        <v>106</v>
      </c>
      <c r="AT18" s="26" t="s">
        <v>107</v>
      </c>
      <c r="AU18" s="28" t="s">
        <v>104</v>
      </c>
      <c r="AV18" s="28" t="s">
        <v>104</v>
      </c>
      <c r="AW18" s="28" t="s">
        <v>104</v>
      </c>
      <c r="AX18" s="28" t="s">
        <v>104</v>
      </c>
      <c r="AY18" s="28" t="s">
        <v>104</v>
      </c>
      <c r="AZ18" s="28" t="s">
        <v>104</v>
      </c>
      <c r="BA18" s="26" t="s">
        <v>107</v>
      </c>
      <c r="BB18" s="28" t="s">
        <v>104</v>
      </c>
      <c r="BC18" s="25" t="s">
        <v>105</v>
      </c>
      <c r="BD18" s="25" t="s">
        <v>105</v>
      </c>
      <c r="BE18" s="25" t="s">
        <v>105</v>
      </c>
      <c r="BF18" s="25" t="s">
        <v>105</v>
      </c>
      <c r="BG18" s="25" t="s">
        <v>105</v>
      </c>
      <c r="BH18" s="28" t="s">
        <v>104</v>
      </c>
      <c r="BI18" s="28" t="s">
        <v>104</v>
      </c>
      <c r="BJ18" s="28" t="s">
        <v>104</v>
      </c>
      <c r="BK18" s="25" t="s">
        <v>105</v>
      </c>
      <c r="BL18" s="28" t="s">
        <v>104</v>
      </c>
      <c r="BM18" s="25" t="s">
        <v>105</v>
      </c>
      <c r="BN18" s="25" t="s">
        <v>105</v>
      </c>
    </row>
    <row r="19" spans="1:66">
      <c r="A19" s="24" t="s">
        <v>463</v>
      </c>
      <c r="B19" s="24" t="s">
        <v>464</v>
      </c>
      <c r="C19" s="28" t="s">
        <v>104</v>
      </c>
      <c r="D19" s="28" t="s">
        <v>104</v>
      </c>
      <c r="E19" s="28" t="s">
        <v>104</v>
      </c>
      <c r="F19" s="28" t="s">
        <v>104</v>
      </c>
      <c r="G19" s="28" t="s">
        <v>104</v>
      </c>
      <c r="H19" s="25" t="s">
        <v>105</v>
      </c>
      <c r="I19" s="27" t="s">
        <v>106</v>
      </c>
      <c r="J19" s="25" t="s">
        <v>105</v>
      </c>
      <c r="K19" s="25" t="s">
        <v>105</v>
      </c>
      <c r="L19" s="28" t="s">
        <v>104</v>
      </c>
      <c r="M19" s="27" t="s">
        <v>106</v>
      </c>
      <c r="N19" s="27" t="s">
        <v>106</v>
      </c>
      <c r="O19" s="25" t="s">
        <v>105</v>
      </c>
      <c r="P19" s="27" t="s">
        <v>106</v>
      </c>
      <c r="Q19" s="28" t="s">
        <v>104</v>
      </c>
      <c r="R19" s="25" t="s">
        <v>105</v>
      </c>
      <c r="S19" s="28" t="s">
        <v>104</v>
      </c>
      <c r="T19" s="25" t="s">
        <v>105</v>
      </c>
      <c r="U19" s="28" t="s">
        <v>104</v>
      </c>
      <c r="V19" s="28" t="s">
        <v>104</v>
      </c>
      <c r="W19" s="26" t="s">
        <v>107</v>
      </c>
      <c r="X19" s="28" t="s">
        <v>104</v>
      </c>
      <c r="Y19" s="28" t="s">
        <v>104</v>
      </c>
      <c r="Z19" s="28" t="s">
        <v>104</v>
      </c>
      <c r="AA19" s="28" t="s">
        <v>104</v>
      </c>
      <c r="AB19" s="28" t="s">
        <v>104</v>
      </c>
      <c r="AC19" s="28" t="s">
        <v>104</v>
      </c>
      <c r="AD19" s="28" t="s">
        <v>104</v>
      </c>
      <c r="AE19" s="28" t="s">
        <v>104</v>
      </c>
      <c r="AF19" s="28" t="s">
        <v>104</v>
      </c>
      <c r="AG19" s="26" t="s">
        <v>107</v>
      </c>
      <c r="AH19" s="28" t="s">
        <v>104</v>
      </c>
      <c r="AI19" s="25" t="s">
        <v>105</v>
      </c>
      <c r="AJ19" s="28" t="s">
        <v>104</v>
      </c>
      <c r="AK19" s="28" t="s">
        <v>104</v>
      </c>
      <c r="AL19" s="28" t="s">
        <v>104</v>
      </c>
      <c r="AM19" s="28" t="s">
        <v>104</v>
      </c>
      <c r="AN19" s="25" t="s">
        <v>105</v>
      </c>
      <c r="AO19" s="25" t="s">
        <v>105</v>
      </c>
      <c r="AP19" s="25" t="s">
        <v>105</v>
      </c>
      <c r="AQ19" s="28" t="s">
        <v>104</v>
      </c>
      <c r="AR19" s="25" t="s">
        <v>105</v>
      </c>
      <c r="AS19" s="27" t="s">
        <v>106</v>
      </c>
      <c r="AT19" s="26" t="s">
        <v>107</v>
      </c>
      <c r="AU19" s="28" t="s">
        <v>104</v>
      </c>
      <c r="AV19" s="28" t="s">
        <v>104</v>
      </c>
      <c r="AW19" s="28" t="s">
        <v>104</v>
      </c>
      <c r="AX19" s="28" t="s">
        <v>104</v>
      </c>
      <c r="AY19" s="28" t="s">
        <v>104</v>
      </c>
      <c r="AZ19" s="28" t="s">
        <v>104</v>
      </c>
      <c r="BA19" s="26" t="s">
        <v>107</v>
      </c>
      <c r="BB19" s="28" t="s">
        <v>104</v>
      </c>
      <c r="BC19" s="25" t="s">
        <v>105</v>
      </c>
      <c r="BD19" s="25" t="s">
        <v>105</v>
      </c>
      <c r="BE19" s="25" t="s">
        <v>105</v>
      </c>
      <c r="BF19" s="25" t="s">
        <v>105</v>
      </c>
      <c r="BG19" s="25" t="s">
        <v>105</v>
      </c>
      <c r="BH19" s="28" t="s">
        <v>104</v>
      </c>
      <c r="BI19" s="28" t="s">
        <v>104</v>
      </c>
      <c r="BJ19" s="28" t="s">
        <v>104</v>
      </c>
      <c r="BK19" s="25" t="s">
        <v>105</v>
      </c>
      <c r="BL19" s="28" t="s">
        <v>104</v>
      </c>
      <c r="BM19" s="28" t="s">
        <v>104</v>
      </c>
      <c r="BN19" s="28" t="s">
        <v>104</v>
      </c>
    </row>
    <row r="20" spans="1:66">
      <c r="A20" s="24" t="s">
        <v>465</v>
      </c>
      <c r="B20" s="24" t="s">
        <v>466</v>
      </c>
      <c r="C20" s="28" t="s">
        <v>104</v>
      </c>
      <c r="D20" s="28" t="s">
        <v>104</v>
      </c>
      <c r="E20" s="28" t="s">
        <v>104</v>
      </c>
      <c r="F20" s="28" t="s">
        <v>104</v>
      </c>
      <c r="G20" s="28" t="s">
        <v>104</v>
      </c>
      <c r="H20" s="25" t="s">
        <v>105</v>
      </c>
      <c r="I20" s="27" t="s">
        <v>106</v>
      </c>
      <c r="J20" s="25" t="s">
        <v>105</v>
      </c>
      <c r="K20" s="25" t="s">
        <v>105</v>
      </c>
      <c r="L20" s="28" t="s">
        <v>104</v>
      </c>
      <c r="M20" s="25" t="s">
        <v>105</v>
      </c>
      <c r="N20" s="27" t="s">
        <v>106</v>
      </c>
      <c r="O20" s="28" t="s">
        <v>104</v>
      </c>
      <c r="P20" s="28" t="s">
        <v>104</v>
      </c>
      <c r="Q20" s="28" t="s">
        <v>104</v>
      </c>
      <c r="R20" s="27" t="s">
        <v>106</v>
      </c>
      <c r="S20" s="28" t="s">
        <v>104</v>
      </c>
      <c r="T20" s="25" t="s">
        <v>105</v>
      </c>
      <c r="U20" s="28" t="s">
        <v>104</v>
      </c>
      <c r="V20" s="28" t="s">
        <v>104</v>
      </c>
      <c r="W20" s="26" t="s">
        <v>107</v>
      </c>
      <c r="X20" s="28" t="s">
        <v>104</v>
      </c>
      <c r="Y20" s="28" t="s">
        <v>104</v>
      </c>
      <c r="Z20" s="28" t="s">
        <v>104</v>
      </c>
      <c r="AA20" s="28" t="s">
        <v>104</v>
      </c>
      <c r="AB20" s="28" t="s">
        <v>104</v>
      </c>
      <c r="AC20" s="28" t="s">
        <v>104</v>
      </c>
      <c r="AD20" s="28" t="s">
        <v>104</v>
      </c>
      <c r="AE20" s="28" t="s">
        <v>104</v>
      </c>
      <c r="AF20" s="28" t="s">
        <v>104</v>
      </c>
      <c r="AG20" s="25" t="s">
        <v>105</v>
      </c>
      <c r="AH20" s="28" t="s">
        <v>104</v>
      </c>
      <c r="AI20" s="28" t="s">
        <v>104</v>
      </c>
      <c r="AJ20" s="28" t="s">
        <v>104</v>
      </c>
      <c r="AK20" s="28" t="s">
        <v>104</v>
      </c>
      <c r="AL20" s="28" t="s">
        <v>104</v>
      </c>
      <c r="AM20" s="28" t="s">
        <v>104</v>
      </c>
      <c r="AN20" s="25" t="s">
        <v>105</v>
      </c>
      <c r="AO20" s="25" t="s">
        <v>105</v>
      </c>
      <c r="AP20" s="28" t="s">
        <v>104</v>
      </c>
      <c r="AQ20" s="28" t="s">
        <v>104</v>
      </c>
      <c r="AR20" s="25" t="s">
        <v>105</v>
      </c>
      <c r="AS20" s="25" t="s">
        <v>105</v>
      </c>
      <c r="AT20" s="26" t="s">
        <v>107</v>
      </c>
      <c r="AU20" s="28" t="s">
        <v>104</v>
      </c>
      <c r="AV20" s="28" t="s">
        <v>104</v>
      </c>
      <c r="AW20" s="28" t="s">
        <v>104</v>
      </c>
      <c r="AX20" s="28" t="s">
        <v>104</v>
      </c>
      <c r="AY20" s="28" t="s">
        <v>104</v>
      </c>
      <c r="AZ20" s="28" t="s">
        <v>104</v>
      </c>
      <c r="BA20" s="26" t="s">
        <v>107</v>
      </c>
      <c r="BB20" s="28" t="s">
        <v>104</v>
      </c>
      <c r="BC20" s="28" t="s">
        <v>104</v>
      </c>
      <c r="BD20" s="28" t="s">
        <v>104</v>
      </c>
      <c r="BE20" s="28" t="s">
        <v>104</v>
      </c>
      <c r="BF20" s="28" t="s">
        <v>104</v>
      </c>
      <c r="BG20" s="25" t="s">
        <v>105</v>
      </c>
      <c r="BH20" s="28" t="s">
        <v>104</v>
      </c>
      <c r="BI20" s="28" t="s">
        <v>104</v>
      </c>
      <c r="BJ20" s="28" t="s">
        <v>104</v>
      </c>
      <c r="BK20" s="28" t="s">
        <v>104</v>
      </c>
      <c r="BL20" s="28" t="s">
        <v>104</v>
      </c>
      <c r="BM20" s="25" t="s">
        <v>105</v>
      </c>
      <c r="BN20" s="25" t="s">
        <v>105</v>
      </c>
    </row>
    <row r="21" spans="1:66">
      <c r="A21" s="24" t="s">
        <v>467</v>
      </c>
      <c r="B21" s="24" t="s">
        <v>468</v>
      </c>
      <c r="C21" s="25" t="s">
        <v>105</v>
      </c>
      <c r="D21" s="28" t="s">
        <v>104</v>
      </c>
      <c r="E21" s="25" t="s">
        <v>105</v>
      </c>
      <c r="F21" s="28" t="s">
        <v>104</v>
      </c>
      <c r="G21" s="28" t="s">
        <v>104</v>
      </c>
      <c r="H21" s="28" t="s">
        <v>104</v>
      </c>
      <c r="I21" s="27" t="s">
        <v>106</v>
      </c>
      <c r="J21" s="28" t="s">
        <v>104</v>
      </c>
      <c r="K21" s="28" t="s">
        <v>104</v>
      </c>
      <c r="L21" s="28" t="s">
        <v>104</v>
      </c>
      <c r="M21" s="25" t="s">
        <v>105</v>
      </c>
      <c r="N21" s="27" t="s">
        <v>106</v>
      </c>
      <c r="O21" s="25" t="s">
        <v>105</v>
      </c>
      <c r="P21" s="27" t="s">
        <v>106</v>
      </c>
      <c r="Q21" s="28" t="s">
        <v>104</v>
      </c>
      <c r="R21" s="27" t="s">
        <v>106</v>
      </c>
      <c r="S21" s="28" t="s">
        <v>104</v>
      </c>
      <c r="T21" s="25" t="s">
        <v>105</v>
      </c>
      <c r="U21" s="28" t="s">
        <v>104</v>
      </c>
      <c r="V21" s="28" t="s">
        <v>104</v>
      </c>
      <c r="W21" s="26" t="s">
        <v>107</v>
      </c>
      <c r="X21" s="28" t="s">
        <v>104</v>
      </c>
      <c r="Y21" s="25" t="s">
        <v>105</v>
      </c>
      <c r="Z21" s="28" t="s">
        <v>104</v>
      </c>
      <c r="AA21" s="28" t="s">
        <v>104</v>
      </c>
      <c r="AB21" s="28" t="s">
        <v>104</v>
      </c>
      <c r="AC21" s="28" t="s">
        <v>104</v>
      </c>
      <c r="AD21" s="28" t="s">
        <v>104</v>
      </c>
      <c r="AE21" s="28" t="s">
        <v>104</v>
      </c>
      <c r="AF21" s="28" t="s">
        <v>104</v>
      </c>
      <c r="AG21" s="25" t="s">
        <v>105</v>
      </c>
      <c r="AH21" s="28" t="s">
        <v>104</v>
      </c>
      <c r="AI21" s="25" t="s">
        <v>105</v>
      </c>
      <c r="AJ21" s="28" t="s">
        <v>104</v>
      </c>
      <c r="AK21" s="28" t="s">
        <v>104</v>
      </c>
      <c r="AL21" s="28" t="s">
        <v>104</v>
      </c>
      <c r="AM21" s="28" t="s">
        <v>104</v>
      </c>
      <c r="AN21" s="25" t="s">
        <v>105</v>
      </c>
      <c r="AO21" s="25" t="s">
        <v>105</v>
      </c>
      <c r="AP21" s="25" t="s">
        <v>105</v>
      </c>
      <c r="AQ21" s="25" t="s">
        <v>105</v>
      </c>
      <c r="AR21" s="25" t="s">
        <v>105</v>
      </c>
      <c r="AS21" s="27" t="s">
        <v>106</v>
      </c>
      <c r="AT21" s="26" t="s">
        <v>107</v>
      </c>
      <c r="AU21" s="28" t="s">
        <v>104</v>
      </c>
      <c r="AV21" s="28" t="s">
        <v>104</v>
      </c>
      <c r="AW21" s="28" t="s">
        <v>104</v>
      </c>
      <c r="AX21" s="28" t="s">
        <v>104</v>
      </c>
      <c r="AY21" s="28" t="s">
        <v>104</v>
      </c>
      <c r="AZ21" s="28" t="s">
        <v>104</v>
      </c>
      <c r="BA21" s="26" t="s">
        <v>107</v>
      </c>
      <c r="BB21" s="28" t="s">
        <v>104</v>
      </c>
      <c r="BC21" s="28" t="s">
        <v>104</v>
      </c>
      <c r="BD21" s="25" t="s">
        <v>105</v>
      </c>
      <c r="BE21" s="25" t="s">
        <v>105</v>
      </c>
      <c r="BF21" s="25" t="s">
        <v>105</v>
      </c>
      <c r="BG21" s="25" t="s">
        <v>105</v>
      </c>
      <c r="BH21" s="28" t="s">
        <v>104</v>
      </c>
      <c r="BI21" s="28" t="s">
        <v>104</v>
      </c>
      <c r="BJ21" s="28" t="s">
        <v>104</v>
      </c>
      <c r="BK21" s="25" t="s">
        <v>105</v>
      </c>
      <c r="BL21" s="28" t="s">
        <v>104</v>
      </c>
      <c r="BM21" s="25" t="s">
        <v>105</v>
      </c>
      <c r="BN21" s="28" t="s">
        <v>104</v>
      </c>
    </row>
    <row r="22" spans="1:66">
      <c r="A22" s="24" t="s">
        <v>469</v>
      </c>
      <c r="B22" s="24" t="s">
        <v>470</v>
      </c>
      <c r="C22" s="25" t="s">
        <v>105</v>
      </c>
      <c r="D22" s="28" t="s">
        <v>104</v>
      </c>
      <c r="E22" s="25" t="s">
        <v>105</v>
      </c>
      <c r="F22" s="28" t="s">
        <v>104</v>
      </c>
      <c r="G22" s="28" t="s">
        <v>104</v>
      </c>
      <c r="H22" s="25" t="s">
        <v>105</v>
      </c>
      <c r="I22" s="27" t="s">
        <v>106</v>
      </c>
      <c r="J22" s="25" t="s">
        <v>105</v>
      </c>
      <c r="K22" s="25" t="s">
        <v>105</v>
      </c>
      <c r="L22" s="25" t="s">
        <v>105</v>
      </c>
      <c r="M22" s="25" t="s">
        <v>105</v>
      </c>
      <c r="N22" s="27" t="s">
        <v>106</v>
      </c>
      <c r="O22" s="28" t="s">
        <v>104</v>
      </c>
      <c r="P22" s="28" t="s">
        <v>104</v>
      </c>
      <c r="Q22" s="28" t="s">
        <v>104</v>
      </c>
      <c r="R22" s="27" t="s">
        <v>106</v>
      </c>
      <c r="S22" s="28" t="s">
        <v>104</v>
      </c>
      <c r="T22" s="27" t="s">
        <v>106</v>
      </c>
      <c r="U22" s="28" t="s">
        <v>104</v>
      </c>
      <c r="V22" s="28" t="s">
        <v>104</v>
      </c>
      <c r="W22" s="26" t="s">
        <v>107</v>
      </c>
      <c r="X22" s="28" t="s">
        <v>104</v>
      </c>
      <c r="Y22" s="25" t="s">
        <v>105</v>
      </c>
      <c r="Z22" s="28" t="s">
        <v>104</v>
      </c>
      <c r="AA22" s="28" t="s">
        <v>104</v>
      </c>
      <c r="AB22" s="28" t="s">
        <v>104</v>
      </c>
      <c r="AC22" s="28" t="s">
        <v>104</v>
      </c>
      <c r="AD22" s="28" t="s">
        <v>104</v>
      </c>
      <c r="AE22" s="28" t="s">
        <v>104</v>
      </c>
      <c r="AF22" s="28" t="s">
        <v>104</v>
      </c>
      <c r="AG22" s="25" t="s">
        <v>105</v>
      </c>
      <c r="AH22" s="28" t="s">
        <v>104</v>
      </c>
      <c r="AI22" s="25" t="s">
        <v>105</v>
      </c>
      <c r="AJ22" s="28" t="s">
        <v>104</v>
      </c>
      <c r="AK22" s="28" t="s">
        <v>104</v>
      </c>
      <c r="AL22" s="28" t="s">
        <v>104</v>
      </c>
      <c r="AM22" s="28" t="s">
        <v>104</v>
      </c>
      <c r="AN22" s="25" t="s">
        <v>105</v>
      </c>
      <c r="AO22" s="25" t="s">
        <v>105</v>
      </c>
      <c r="AP22" s="28" t="s">
        <v>104</v>
      </c>
      <c r="AQ22" s="25" t="s">
        <v>105</v>
      </c>
      <c r="AR22" s="25" t="s">
        <v>105</v>
      </c>
      <c r="AS22" s="27" t="s">
        <v>106</v>
      </c>
      <c r="AT22" s="26" t="s">
        <v>107</v>
      </c>
      <c r="AU22" s="28" t="s">
        <v>104</v>
      </c>
      <c r="AV22" s="28" t="s">
        <v>104</v>
      </c>
      <c r="AW22" s="28" t="s">
        <v>104</v>
      </c>
      <c r="AX22" s="28" t="s">
        <v>104</v>
      </c>
      <c r="AY22" s="28" t="s">
        <v>104</v>
      </c>
      <c r="AZ22" s="28" t="s">
        <v>104</v>
      </c>
      <c r="BA22" s="26" t="s">
        <v>107</v>
      </c>
      <c r="BB22" s="28" t="s">
        <v>104</v>
      </c>
      <c r="BC22" s="25" t="s">
        <v>105</v>
      </c>
      <c r="BD22" s="25" t="s">
        <v>105</v>
      </c>
      <c r="BE22" s="25" t="s">
        <v>105</v>
      </c>
      <c r="BF22" s="25" t="s">
        <v>105</v>
      </c>
      <c r="BG22" s="25" t="s">
        <v>105</v>
      </c>
      <c r="BH22" s="28" t="s">
        <v>104</v>
      </c>
      <c r="BI22" s="28" t="s">
        <v>104</v>
      </c>
      <c r="BJ22" s="28" t="s">
        <v>104</v>
      </c>
      <c r="BK22" s="28" t="s">
        <v>104</v>
      </c>
      <c r="BL22" s="28" t="s">
        <v>104</v>
      </c>
      <c r="BM22" s="25" t="s">
        <v>105</v>
      </c>
      <c r="BN22" s="25" t="s">
        <v>105</v>
      </c>
    </row>
    <row r="23" spans="1:66">
      <c r="A23" s="24" t="s">
        <v>471</v>
      </c>
      <c r="B23" s="24" t="s">
        <v>472</v>
      </c>
      <c r="C23" s="25" t="s">
        <v>105</v>
      </c>
      <c r="D23" s="28" t="s">
        <v>104</v>
      </c>
      <c r="E23" s="25" t="s">
        <v>105</v>
      </c>
      <c r="F23" s="28" t="s">
        <v>104</v>
      </c>
      <c r="G23" s="28" t="s">
        <v>104</v>
      </c>
      <c r="H23" s="25" t="s">
        <v>105</v>
      </c>
      <c r="I23" s="27" t="s">
        <v>106</v>
      </c>
      <c r="J23" s="25" t="s">
        <v>105</v>
      </c>
      <c r="K23" s="25" t="s">
        <v>105</v>
      </c>
      <c r="L23" s="25" t="s">
        <v>105</v>
      </c>
      <c r="M23" s="27" t="s">
        <v>106</v>
      </c>
      <c r="N23" s="27" t="s">
        <v>106</v>
      </c>
      <c r="O23" s="28" t="s">
        <v>104</v>
      </c>
      <c r="P23" s="28" t="s">
        <v>104</v>
      </c>
      <c r="Q23" s="28" t="s">
        <v>104</v>
      </c>
      <c r="R23" s="27" t="s">
        <v>106</v>
      </c>
      <c r="S23" s="28" t="s">
        <v>104</v>
      </c>
      <c r="T23" s="25" t="s">
        <v>105</v>
      </c>
      <c r="U23" s="28" t="s">
        <v>104</v>
      </c>
      <c r="V23" s="28" t="s">
        <v>104</v>
      </c>
      <c r="W23" s="26" t="s">
        <v>107</v>
      </c>
      <c r="X23" s="28" t="s">
        <v>104</v>
      </c>
      <c r="Y23" s="25" t="s">
        <v>105</v>
      </c>
      <c r="Z23" s="28" t="s">
        <v>104</v>
      </c>
      <c r="AA23" s="28" t="s">
        <v>104</v>
      </c>
      <c r="AB23" s="28" t="s">
        <v>104</v>
      </c>
      <c r="AC23" s="28" t="s">
        <v>104</v>
      </c>
      <c r="AD23" s="28" t="s">
        <v>104</v>
      </c>
      <c r="AE23" s="28" t="s">
        <v>104</v>
      </c>
      <c r="AF23" s="28" t="s">
        <v>104</v>
      </c>
      <c r="AG23" s="25" t="s">
        <v>105</v>
      </c>
      <c r="AH23" s="28" t="s">
        <v>104</v>
      </c>
      <c r="AI23" s="25" t="s">
        <v>105</v>
      </c>
      <c r="AJ23" s="28" t="s">
        <v>104</v>
      </c>
      <c r="AK23" s="28" t="s">
        <v>104</v>
      </c>
      <c r="AL23" s="28" t="s">
        <v>104</v>
      </c>
      <c r="AM23" s="28" t="s">
        <v>104</v>
      </c>
      <c r="AN23" s="25" t="s">
        <v>105</v>
      </c>
      <c r="AO23" s="25" t="s">
        <v>105</v>
      </c>
      <c r="AP23" s="25" t="s">
        <v>105</v>
      </c>
      <c r="AQ23" s="25" t="s">
        <v>105</v>
      </c>
      <c r="AR23" s="25" t="s">
        <v>105</v>
      </c>
      <c r="AS23" s="27" t="s">
        <v>106</v>
      </c>
      <c r="AT23" s="26" t="s">
        <v>107</v>
      </c>
      <c r="AU23" s="28" t="s">
        <v>104</v>
      </c>
      <c r="AV23" s="28" t="s">
        <v>104</v>
      </c>
      <c r="AW23" s="28" t="s">
        <v>104</v>
      </c>
      <c r="AX23" s="28" t="s">
        <v>104</v>
      </c>
      <c r="AY23" s="28" t="s">
        <v>104</v>
      </c>
      <c r="AZ23" s="28" t="s">
        <v>104</v>
      </c>
      <c r="BA23" s="26" t="s">
        <v>107</v>
      </c>
      <c r="BB23" s="28" t="s">
        <v>104</v>
      </c>
      <c r="BC23" s="25" t="s">
        <v>105</v>
      </c>
      <c r="BD23" s="25" t="s">
        <v>105</v>
      </c>
      <c r="BE23" s="25" t="s">
        <v>105</v>
      </c>
      <c r="BF23" s="25" t="s">
        <v>105</v>
      </c>
      <c r="BG23" s="25" t="s">
        <v>105</v>
      </c>
      <c r="BH23" s="28" t="s">
        <v>104</v>
      </c>
      <c r="BI23" s="28" t="s">
        <v>104</v>
      </c>
      <c r="BJ23" s="28" t="s">
        <v>104</v>
      </c>
      <c r="BK23" s="28" t="s">
        <v>104</v>
      </c>
      <c r="BL23" s="28" t="s">
        <v>104</v>
      </c>
      <c r="BM23" s="25" t="s">
        <v>105</v>
      </c>
      <c r="BN23" s="25" t="s">
        <v>105</v>
      </c>
    </row>
    <row r="24" spans="1:66">
      <c r="A24" s="24" t="s">
        <v>473</v>
      </c>
      <c r="B24" s="24" t="s">
        <v>474</v>
      </c>
      <c r="C24" s="25" t="s">
        <v>105</v>
      </c>
      <c r="D24" s="28" t="s">
        <v>104</v>
      </c>
      <c r="E24" s="25" t="s">
        <v>105</v>
      </c>
      <c r="F24" s="28" t="s">
        <v>104</v>
      </c>
      <c r="G24" s="28" t="s">
        <v>104</v>
      </c>
      <c r="H24" s="25" t="s">
        <v>105</v>
      </c>
      <c r="I24" s="27" t="s">
        <v>106</v>
      </c>
      <c r="J24" s="25" t="s">
        <v>105</v>
      </c>
      <c r="K24" s="25" t="s">
        <v>105</v>
      </c>
      <c r="L24" s="25" t="s">
        <v>105</v>
      </c>
      <c r="M24" s="27" t="s">
        <v>106</v>
      </c>
      <c r="N24" s="27" t="s">
        <v>106</v>
      </c>
      <c r="O24" s="27" t="s">
        <v>106</v>
      </c>
      <c r="P24" s="28" t="s">
        <v>104</v>
      </c>
      <c r="Q24" s="28" t="s">
        <v>104</v>
      </c>
      <c r="R24" s="27" t="s">
        <v>106</v>
      </c>
      <c r="S24" s="28" t="s">
        <v>104</v>
      </c>
      <c r="T24" s="27" t="s">
        <v>106</v>
      </c>
      <c r="U24" s="28" t="s">
        <v>104</v>
      </c>
      <c r="V24" s="28" t="s">
        <v>104</v>
      </c>
      <c r="W24" s="26" t="s">
        <v>107</v>
      </c>
      <c r="X24" s="28" t="s">
        <v>104</v>
      </c>
      <c r="Y24" s="28" t="s">
        <v>104</v>
      </c>
      <c r="Z24" s="28" t="s">
        <v>104</v>
      </c>
      <c r="AA24" s="28" t="s">
        <v>104</v>
      </c>
      <c r="AB24" s="28" t="s">
        <v>104</v>
      </c>
      <c r="AC24" s="28" t="s">
        <v>104</v>
      </c>
      <c r="AD24" s="28" t="s">
        <v>104</v>
      </c>
      <c r="AE24" s="28" t="s">
        <v>104</v>
      </c>
      <c r="AF24" s="28" t="s">
        <v>104</v>
      </c>
      <c r="AG24" s="26" t="s">
        <v>107</v>
      </c>
      <c r="AH24" s="28" t="s">
        <v>104</v>
      </c>
      <c r="AI24" s="25" t="s">
        <v>105</v>
      </c>
      <c r="AJ24" s="28" t="s">
        <v>104</v>
      </c>
      <c r="AK24" s="28" t="s">
        <v>104</v>
      </c>
      <c r="AL24" s="28" t="s">
        <v>104</v>
      </c>
      <c r="AM24" s="28" t="s">
        <v>104</v>
      </c>
      <c r="AN24" s="25" t="s">
        <v>105</v>
      </c>
      <c r="AO24" s="25" t="s">
        <v>105</v>
      </c>
      <c r="AP24" s="25" t="s">
        <v>105</v>
      </c>
      <c r="AQ24" s="25" t="s">
        <v>105</v>
      </c>
      <c r="AR24" s="25" t="s">
        <v>105</v>
      </c>
      <c r="AS24" s="27" t="s">
        <v>106</v>
      </c>
      <c r="AT24" s="26" t="s">
        <v>107</v>
      </c>
      <c r="AU24" s="28" t="s">
        <v>104</v>
      </c>
      <c r="AV24" s="28" t="s">
        <v>104</v>
      </c>
      <c r="AW24" s="28" t="s">
        <v>104</v>
      </c>
      <c r="AX24" s="28" t="s">
        <v>104</v>
      </c>
      <c r="AY24" s="28" t="s">
        <v>104</v>
      </c>
      <c r="AZ24" s="28" t="s">
        <v>104</v>
      </c>
      <c r="BA24" s="26" t="s">
        <v>107</v>
      </c>
      <c r="BB24" s="28" t="s">
        <v>104</v>
      </c>
      <c r="BC24" s="25" t="s">
        <v>105</v>
      </c>
      <c r="BD24" s="25" t="s">
        <v>105</v>
      </c>
      <c r="BE24" s="25" t="s">
        <v>105</v>
      </c>
      <c r="BF24" s="25" t="s">
        <v>105</v>
      </c>
      <c r="BG24" s="25" t="s">
        <v>105</v>
      </c>
      <c r="BH24" s="28" t="s">
        <v>104</v>
      </c>
      <c r="BI24" s="28" t="s">
        <v>104</v>
      </c>
      <c r="BJ24" s="28" t="s">
        <v>104</v>
      </c>
      <c r="BK24" s="28" t="s">
        <v>104</v>
      </c>
      <c r="BL24" s="28" t="s">
        <v>104</v>
      </c>
      <c r="BM24" s="25" t="s">
        <v>105</v>
      </c>
      <c r="BN24" s="25" t="s">
        <v>105</v>
      </c>
    </row>
    <row r="25" spans="1:66">
      <c r="A25" s="24" t="s">
        <v>476</v>
      </c>
      <c r="B25" s="24" t="s">
        <v>477</v>
      </c>
      <c r="C25" s="25" t="s">
        <v>105</v>
      </c>
      <c r="D25" s="28" t="s">
        <v>104</v>
      </c>
      <c r="E25" s="25" t="s">
        <v>105</v>
      </c>
      <c r="F25" s="26" t="s">
        <v>107</v>
      </c>
      <c r="G25" s="28" t="s">
        <v>104</v>
      </c>
      <c r="H25" s="28" t="s">
        <v>104</v>
      </c>
      <c r="I25" s="27" t="s">
        <v>106</v>
      </c>
      <c r="J25" s="26" t="s">
        <v>107</v>
      </c>
      <c r="K25" s="25" t="s">
        <v>105</v>
      </c>
      <c r="L25" s="26" t="s">
        <v>107</v>
      </c>
      <c r="M25" s="26" t="s">
        <v>107</v>
      </c>
      <c r="N25" s="26" t="s">
        <v>107</v>
      </c>
      <c r="O25" s="26" t="s">
        <v>107</v>
      </c>
      <c r="P25" s="27" t="s">
        <v>106</v>
      </c>
      <c r="Q25" s="28" t="s">
        <v>104</v>
      </c>
      <c r="R25" s="27" t="s">
        <v>106</v>
      </c>
      <c r="S25" s="28" t="s">
        <v>104</v>
      </c>
      <c r="T25" s="27" t="s">
        <v>106</v>
      </c>
      <c r="U25" s="28" t="s">
        <v>104</v>
      </c>
      <c r="V25" s="28" t="s">
        <v>104</v>
      </c>
      <c r="W25" s="27" t="s">
        <v>106</v>
      </c>
      <c r="X25" s="28" t="s">
        <v>104</v>
      </c>
      <c r="Y25" s="25" t="s">
        <v>105</v>
      </c>
      <c r="Z25" s="28" t="s">
        <v>104</v>
      </c>
      <c r="AA25" s="28" t="s">
        <v>104</v>
      </c>
      <c r="AB25" s="28" t="s">
        <v>104</v>
      </c>
      <c r="AC25" s="28" t="s">
        <v>104</v>
      </c>
      <c r="AD25" s="28" t="s">
        <v>104</v>
      </c>
      <c r="AE25" s="28" t="s">
        <v>104</v>
      </c>
      <c r="AF25" s="28" t="s">
        <v>104</v>
      </c>
      <c r="AG25" s="25" t="s">
        <v>105</v>
      </c>
      <c r="AH25" s="28" t="s">
        <v>104</v>
      </c>
      <c r="AI25" s="25" t="s">
        <v>105</v>
      </c>
      <c r="AJ25" s="28" t="s">
        <v>104</v>
      </c>
      <c r="AK25" s="28" t="s">
        <v>104</v>
      </c>
      <c r="AL25" s="28" t="s">
        <v>104</v>
      </c>
      <c r="AM25" s="28" t="s">
        <v>104</v>
      </c>
      <c r="AN25" s="25" t="s">
        <v>105</v>
      </c>
      <c r="AO25" s="25" t="s">
        <v>105</v>
      </c>
      <c r="AP25" s="28" t="s">
        <v>104</v>
      </c>
      <c r="AQ25" s="25" t="s">
        <v>105</v>
      </c>
      <c r="AR25" s="25" t="s">
        <v>105</v>
      </c>
      <c r="AS25" s="27" t="s">
        <v>106</v>
      </c>
      <c r="AT25" s="26" t="s">
        <v>107</v>
      </c>
      <c r="AU25" s="28" t="s">
        <v>104</v>
      </c>
      <c r="AV25" s="28" t="s">
        <v>104</v>
      </c>
      <c r="AW25" s="28" t="s">
        <v>104</v>
      </c>
      <c r="AX25" s="28" t="s">
        <v>104</v>
      </c>
      <c r="AY25" s="28" t="s">
        <v>104</v>
      </c>
      <c r="AZ25" s="28" t="s">
        <v>104</v>
      </c>
      <c r="BA25" s="26" t="s">
        <v>107</v>
      </c>
      <c r="BB25" s="28" t="s">
        <v>104</v>
      </c>
      <c r="BC25" s="25" t="s">
        <v>105</v>
      </c>
      <c r="BD25" s="25" t="s">
        <v>105</v>
      </c>
      <c r="BE25" s="25" t="s">
        <v>105</v>
      </c>
      <c r="BF25" s="25" t="s">
        <v>105</v>
      </c>
      <c r="BG25" s="25" t="s">
        <v>105</v>
      </c>
      <c r="BH25" s="28" t="s">
        <v>104</v>
      </c>
      <c r="BI25" s="28" t="s">
        <v>104</v>
      </c>
      <c r="BJ25" s="28" t="s">
        <v>104</v>
      </c>
      <c r="BK25" s="25" t="s">
        <v>105</v>
      </c>
      <c r="BL25" s="28" t="s">
        <v>104</v>
      </c>
      <c r="BM25" s="26" t="s">
        <v>107</v>
      </c>
      <c r="BN25" s="26" t="s">
        <v>107</v>
      </c>
    </row>
    <row r="26" spans="1:66">
      <c r="A26" s="24" t="s">
        <v>478</v>
      </c>
      <c r="B26" s="24" t="s">
        <v>479</v>
      </c>
      <c r="C26" s="25" t="s">
        <v>105</v>
      </c>
      <c r="D26" s="28" t="s">
        <v>104</v>
      </c>
      <c r="E26" s="25" t="s">
        <v>105</v>
      </c>
      <c r="F26" s="26" t="s">
        <v>107</v>
      </c>
      <c r="G26" s="28" t="s">
        <v>104</v>
      </c>
      <c r="H26" s="25" t="s">
        <v>105</v>
      </c>
      <c r="I26" s="27" t="s">
        <v>106</v>
      </c>
      <c r="J26" s="25" t="s">
        <v>105</v>
      </c>
      <c r="K26" s="25" t="s">
        <v>105</v>
      </c>
      <c r="L26" s="25" t="s">
        <v>105</v>
      </c>
      <c r="M26" s="27" t="s">
        <v>106</v>
      </c>
      <c r="N26" s="27" t="s">
        <v>106</v>
      </c>
      <c r="O26" s="27" t="s">
        <v>106</v>
      </c>
      <c r="P26" s="27" t="s">
        <v>106</v>
      </c>
      <c r="Q26" s="28" t="s">
        <v>104</v>
      </c>
      <c r="R26" s="25" t="s">
        <v>105</v>
      </c>
      <c r="S26" s="28" t="s">
        <v>104</v>
      </c>
      <c r="T26" s="27" t="s">
        <v>106</v>
      </c>
      <c r="U26" s="28" t="s">
        <v>104</v>
      </c>
      <c r="V26" s="28" t="s">
        <v>104</v>
      </c>
      <c r="W26" s="26" t="s">
        <v>107</v>
      </c>
      <c r="X26" s="28" t="s">
        <v>104</v>
      </c>
      <c r="Y26" s="28" t="s">
        <v>104</v>
      </c>
      <c r="Z26" s="28" t="s">
        <v>104</v>
      </c>
      <c r="AA26" s="28" t="s">
        <v>104</v>
      </c>
      <c r="AB26" s="28" t="s">
        <v>104</v>
      </c>
      <c r="AC26" s="28" t="s">
        <v>104</v>
      </c>
      <c r="AD26" s="28" t="s">
        <v>104</v>
      </c>
      <c r="AE26" s="28" t="s">
        <v>104</v>
      </c>
      <c r="AF26" s="25" t="s">
        <v>105</v>
      </c>
      <c r="AG26" s="25" t="s">
        <v>105</v>
      </c>
      <c r="AH26" s="28" t="s">
        <v>104</v>
      </c>
      <c r="AI26" s="25" t="s">
        <v>105</v>
      </c>
      <c r="AJ26" s="28" t="s">
        <v>104</v>
      </c>
      <c r="AK26" s="28" t="s">
        <v>104</v>
      </c>
      <c r="AL26" s="28" t="s">
        <v>104</v>
      </c>
      <c r="AM26" s="28" t="s">
        <v>104</v>
      </c>
      <c r="AN26" s="25" t="s">
        <v>105</v>
      </c>
      <c r="AO26" s="25" t="s">
        <v>105</v>
      </c>
      <c r="AP26" s="25" t="s">
        <v>105</v>
      </c>
      <c r="AQ26" s="28" t="s">
        <v>104</v>
      </c>
      <c r="AR26" s="25" t="s">
        <v>105</v>
      </c>
      <c r="AS26" s="27" t="s">
        <v>106</v>
      </c>
      <c r="AT26" s="26" t="s">
        <v>107</v>
      </c>
      <c r="AU26" s="28" t="s">
        <v>104</v>
      </c>
      <c r="AV26" s="28" t="s">
        <v>104</v>
      </c>
      <c r="AW26" s="28" t="s">
        <v>104</v>
      </c>
      <c r="AX26" s="28" t="s">
        <v>104</v>
      </c>
      <c r="AY26" s="28" t="s">
        <v>104</v>
      </c>
      <c r="AZ26" s="28" t="s">
        <v>104</v>
      </c>
      <c r="BA26" s="26" t="s">
        <v>107</v>
      </c>
      <c r="BB26" s="28" t="s">
        <v>104</v>
      </c>
      <c r="BC26" s="25" t="s">
        <v>105</v>
      </c>
      <c r="BD26" s="25" t="s">
        <v>105</v>
      </c>
      <c r="BE26" s="25" t="s">
        <v>105</v>
      </c>
      <c r="BF26" s="25" t="s">
        <v>105</v>
      </c>
      <c r="BG26" s="25" t="s">
        <v>105</v>
      </c>
      <c r="BH26" s="28" t="s">
        <v>104</v>
      </c>
      <c r="BI26" s="28" t="s">
        <v>104</v>
      </c>
      <c r="BJ26" s="28" t="s">
        <v>104</v>
      </c>
      <c r="BK26" s="28" t="s">
        <v>104</v>
      </c>
      <c r="BL26" s="28" t="s">
        <v>104</v>
      </c>
      <c r="BM26" s="25" t="s">
        <v>105</v>
      </c>
      <c r="BN26" s="25" t="s">
        <v>105</v>
      </c>
    </row>
    <row r="27" spans="1:66">
      <c r="A27" s="24" t="s">
        <v>481</v>
      </c>
      <c r="B27" s="24" t="s">
        <v>482</v>
      </c>
      <c r="C27" s="25" t="s">
        <v>105</v>
      </c>
      <c r="D27" s="28" t="s">
        <v>104</v>
      </c>
      <c r="E27" s="25" t="s">
        <v>105</v>
      </c>
      <c r="F27" s="26" t="s">
        <v>107</v>
      </c>
      <c r="G27" s="28" t="s">
        <v>104</v>
      </c>
      <c r="H27" s="25" t="s">
        <v>105</v>
      </c>
      <c r="I27" s="27" t="s">
        <v>106</v>
      </c>
      <c r="J27" s="25" t="s">
        <v>105</v>
      </c>
      <c r="K27" s="25" t="s">
        <v>105</v>
      </c>
      <c r="L27" s="25" t="s">
        <v>105</v>
      </c>
      <c r="M27" s="27" t="s">
        <v>106</v>
      </c>
      <c r="N27" s="27" t="s">
        <v>106</v>
      </c>
      <c r="O27" s="27" t="s">
        <v>106</v>
      </c>
      <c r="P27" s="27" t="s">
        <v>106</v>
      </c>
      <c r="Q27" s="28" t="s">
        <v>104</v>
      </c>
      <c r="R27" s="25" t="s">
        <v>105</v>
      </c>
      <c r="S27" s="28" t="s">
        <v>104</v>
      </c>
      <c r="T27" s="27" t="s">
        <v>106</v>
      </c>
      <c r="U27" s="28" t="s">
        <v>104</v>
      </c>
      <c r="V27" s="28" t="s">
        <v>104</v>
      </c>
      <c r="W27" s="26" t="s">
        <v>107</v>
      </c>
      <c r="X27" s="28" t="s">
        <v>104</v>
      </c>
      <c r="Y27" s="28" t="s">
        <v>104</v>
      </c>
      <c r="Z27" s="28" t="s">
        <v>104</v>
      </c>
      <c r="AA27" s="28" t="s">
        <v>104</v>
      </c>
      <c r="AB27" s="28" t="s">
        <v>104</v>
      </c>
      <c r="AC27" s="28" t="s">
        <v>104</v>
      </c>
      <c r="AD27" s="28" t="s">
        <v>104</v>
      </c>
      <c r="AE27" s="28" t="s">
        <v>104</v>
      </c>
      <c r="AF27" s="25" t="s">
        <v>105</v>
      </c>
      <c r="AG27" s="25" t="s">
        <v>105</v>
      </c>
      <c r="AH27" s="28" t="s">
        <v>104</v>
      </c>
      <c r="AI27" s="25" t="s">
        <v>105</v>
      </c>
      <c r="AJ27" s="28" t="s">
        <v>104</v>
      </c>
      <c r="AK27" s="28" t="s">
        <v>104</v>
      </c>
      <c r="AL27" s="28" t="s">
        <v>104</v>
      </c>
      <c r="AM27" s="28" t="s">
        <v>104</v>
      </c>
      <c r="AN27" s="25" t="s">
        <v>105</v>
      </c>
      <c r="AO27" s="25" t="s">
        <v>105</v>
      </c>
      <c r="AP27" s="25" t="s">
        <v>105</v>
      </c>
      <c r="AQ27" s="28" t="s">
        <v>104</v>
      </c>
      <c r="AR27" s="25" t="s">
        <v>105</v>
      </c>
      <c r="AS27" s="27" t="s">
        <v>106</v>
      </c>
      <c r="AT27" s="26" t="s">
        <v>107</v>
      </c>
      <c r="AU27" s="28" t="s">
        <v>104</v>
      </c>
      <c r="AV27" s="28" t="s">
        <v>104</v>
      </c>
      <c r="AW27" s="28" t="s">
        <v>104</v>
      </c>
      <c r="AX27" s="28" t="s">
        <v>104</v>
      </c>
      <c r="AY27" s="28" t="s">
        <v>104</v>
      </c>
      <c r="AZ27" s="28" t="s">
        <v>104</v>
      </c>
      <c r="BA27" s="26" t="s">
        <v>107</v>
      </c>
      <c r="BB27" s="28" t="s">
        <v>104</v>
      </c>
      <c r="BC27" s="25" t="s">
        <v>105</v>
      </c>
      <c r="BD27" s="25" t="s">
        <v>105</v>
      </c>
      <c r="BE27" s="25" t="s">
        <v>105</v>
      </c>
      <c r="BF27" s="25" t="s">
        <v>105</v>
      </c>
      <c r="BG27" s="25" t="s">
        <v>105</v>
      </c>
      <c r="BH27" s="28" t="s">
        <v>104</v>
      </c>
      <c r="BI27" s="28" t="s">
        <v>104</v>
      </c>
      <c r="BJ27" s="28" t="s">
        <v>104</v>
      </c>
      <c r="BK27" s="28" t="s">
        <v>104</v>
      </c>
      <c r="BL27" s="28" t="s">
        <v>104</v>
      </c>
      <c r="BM27" s="25" t="s">
        <v>105</v>
      </c>
      <c r="BN27" s="28" t="s">
        <v>104</v>
      </c>
    </row>
    <row r="28" spans="1:66">
      <c r="A28" s="24" t="s">
        <v>484</v>
      </c>
      <c r="B28" s="24" t="s">
        <v>485</v>
      </c>
      <c r="C28" s="28" t="s">
        <v>104</v>
      </c>
      <c r="D28" s="28" t="s">
        <v>104</v>
      </c>
      <c r="E28" s="28" t="s">
        <v>104</v>
      </c>
      <c r="F28" s="28" t="s">
        <v>104</v>
      </c>
      <c r="G28" s="28" t="s">
        <v>104</v>
      </c>
      <c r="H28" s="28" t="s">
        <v>104</v>
      </c>
      <c r="I28" s="27" t="s">
        <v>106</v>
      </c>
      <c r="J28" s="25" t="s">
        <v>105</v>
      </c>
      <c r="K28" s="28" t="s">
        <v>104</v>
      </c>
      <c r="L28" s="28" t="s">
        <v>104</v>
      </c>
      <c r="M28" s="25" t="s">
        <v>105</v>
      </c>
      <c r="N28" s="27" t="s">
        <v>106</v>
      </c>
      <c r="O28" s="27" t="s">
        <v>106</v>
      </c>
      <c r="P28" s="28" t="s">
        <v>104</v>
      </c>
      <c r="Q28" s="28" t="s">
        <v>104</v>
      </c>
      <c r="R28" s="25" t="s">
        <v>105</v>
      </c>
      <c r="S28" s="28" t="s">
        <v>104</v>
      </c>
      <c r="T28" s="27" t="s">
        <v>106</v>
      </c>
      <c r="U28" s="28" t="s">
        <v>104</v>
      </c>
      <c r="V28" s="28" t="s">
        <v>104</v>
      </c>
      <c r="W28" s="26" t="s">
        <v>107</v>
      </c>
      <c r="X28" s="28" t="s">
        <v>104</v>
      </c>
      <c r="Y28" s="28" t="s">
        <v>104</v>
      </c>
      <c r="Z28" s="28" t="s">
        <v>104</v>
      </c>
      <c r="AA28" s="28" t="s">
        <v>104</v>
      </c>
      <c r="AB28" s="28" t="s">
        <v>104</v>
      </c>
      <c r="AC28" s="28" t="s">
        <v>104</v>
      </c>
      <c r="AD28" s="28" t="s">
        <v>104</v>
      </c>
      <c r="AE28" s="28" t="s">
        <v>104</v>
      </c>
      <c r="AF28" s="28" t="s">
        <v>104</v>
      </c>
      <c r="AG28" s="25" t="s">
        <v>105</v>
      </c>
      <c r="AH28" s="28" t="s">
        <v>104</v>
      </c>
      <c r="AI28" s="25" t="s">
        <v>105</v>
      </c>
      <c r="AJ28" s="28" t="s">
        <v>104</v>
      </c>
      <c r="AK28" s="28" t="s">
        <v>104</v>
      </c>
      <c r="AL28" s="28" t="s">
        <v>104</v>
      </c>
      <c r="AM28" s="28" t="s">
        <v>104</v>
      </c>
      <c r="AN28" s="25" t="s">
        <v>105</v>
      </c>
      <c r="AO28" s="25" t="s">
        <v>105</v>
      </c>
      <c r="AP28" s="25" t="s">
        <v>105</v>
      </c>
      <c r="AQ28" s="28" t="s">
        <v>104</v>
      </c>
      <c r="AR28" s="25" t="s">
        <v>105</v>
      </c>
      <c r="AS28" s="27" t="s">
        <v>106</v>
      </c>
      <c r="AT28" s="26" t="s">
        <v>107</v>
      </c>
      <c r="AU28" s="28" t="s">
        <v>104</v>
      </c>
      <c r="AV28" s="28" t="s">
        <v>104</v>
      </c>
      <c r="AW28" s="28" t="s">
        <v>104</v>
      </c>
      <c r="AX28" s="28" t="s">
        <v>104</v>
      </c>
      <c r="AY28" s="28" t="s">
        <v>104</v>
      </c>
      <c r="AZ28" s="28" t="s">
        <v>104</v>
      </c>
      <c r="BA28" s="28" t="s">
        <v>104</v>
      </c>
      <c r="BB28" s="28" t="s">
        <v>104</v>
      </c>
      <c r="BC28" s="28" t="s">
        <v>104</v>
      </c>
      <c r="BD28" s="25" t="s">
        <v>105</v>
      </c>
      <c r="BE28" s="25" t="s">
        <v>105</v>
      </c>
      <c r="BF28" s="25" t="s">
        <v>105</v>
      </c>
      <c r="BG28" s="25" t="s">
        <v>105</v>
      </c>
      <c r="BH28" s="28" t="s">
        <v>104</v>
      </c>
      <c r="BI28" s="28" t="s">
        <v>104</v>
      </c>
      <c r="BJ28" s="28" t="s">
        <v>104</v>
      </c>
      <c r="BK28" s="28" t="s">
        <v>104</v>
      </c>
      <c r="BL28" s="28" t="s">
        <v>104</v>
      </c>
      <c r="BM28" s="28" t="s">
        <v>104</v>
      </c>
      <c r="BN28" s="28" t="s">
        <v>104</v>
      </c>
    </row>
    <row r="29" spans="1:66">
      <c r="A29" s="24" t="s">
        <v>486</v>
      </c>
      <c r="B29" s="24" t="s">
        <v>118</v>
      </c>
      <c r="C29" s="25" t="s">
        <v>105</v>
      </c>
      <c r="D29" s="28" t="s">
        <v>104</v>
      </c>
      <c r="E29" s="25" t="s">
        <v>105</v>
      </c>
      <c r="F29" s="28" t="s">
        <v>104</v>
      </c>
      <c r="G29" s="28" t="s">
        <v>104</v>
      </c>
      <c r="H29" s="28" t="s">
        <v>104</v>
      </c>
      <c r="I29" s="27" t="s">
        <v>106</v>
      </c>
      <c r="J29" s="25" t="s">
        <v>105</v>
      </c>
      <c r="K29" s="28" t="s">
        <v>104</v>
      </c>
      <c r="L29" s="28" t="s">
        <v>104</v>
      </c>
      <c r="M29" s="25" t="s">
        <v>105</v>
      </c>
      <c r="N29" s="25" t="s">
        <v>105</v>
      </c>
      <c r="O29" s="27" t="s">
        <v>106</v>
      </c>
      <c r="P29" s="28" t="s">
        <v>104</v>
      </c>
      <c r="Q29" s="28" t="s">
        <v>104</v>
      </c>
      <c r="R29" s="25" t="s">
        <v>105</v>
      </c>
      <c r="S29" s="28" t="s">
        <v>104</v>
      </c>
      <c r="T29" s="27" t="s">
        <v>106</v>
      </c>
      <c r="U29" s="28" t="s">
        <v>104</v>
      </c>
      <c r="V29" s="28" t="s">
        <v>104</v>
      </c>
      <c r="W29" s="26" t="s">
        <v>107</v>
      </c>
      <c r="X29" s="28" t="s">
        <v>104</v>
      </c>
      <c r="Y29" s="28" t="s">
        <v>104</v>
      </c>
      <c r="Z29" s="28" t="s">
        <v>104</v>
      </c>
      <c r="AA29" s="28" t="s">
        <v>104</v>
      </c>
      <c r="AB29" s="28" t="s">
        <v>104</v>
      </c>
      <c r="AC29" s="28" t="s">
        <v>104</v>
      </c>
      <c r="AD29" s="28" t="s">
        <v>104</v>
      </c>
      <c r="AE29" s="28" t="s">
        <v>104</v>
      </c>
      <c r="AF29" s="28" t="s">
        <v>104</v>
      </c>
      <c r="AG29" s="25" t="s">
        <v>105</v>
      </c>
      <c r="AH29" s="28" t="s">
        <v>104</v>
      </c>
      <c r="AI29" s="28" t="s">
        <v>104</v>
      </c>
      <c r="AJ29" s="28" t="s">
        <v>104</v>
      </c>
      <c r="AK29" s="28" t="s">
        <v>104</v>
      </c>
      <c r="AL29" s="28" t="s">
        <v>104</v>
      </c>
      <c r="AM29" s="28" t="s">
        <v>104</v>
      </c>
      <c r="AN29" s="25" t="s">
        <v>105</v>
      </c>
      <c r="AO29" s="25" t="s">
        <v>105</v>
      </c>
      <c r="AP29" s="28" t="s">
        <v>104</v>
      </c>
      <c r="AQ29" s="28" t="s">
        <v>104</v>
      </c>
      <c r="AR29" s="25" t="s">
        <v>105</v>
      </c>
      <c r="AS29" s="25" t="s">
        <v>105</v>
      </c>
      <c r="AT29" s="25" t="s">
        <v>105</v>
      </c>
      <c r="AU29" s="28" t="s">
        <v>104</v>
      </c>
      <c r="AV29" s="28" t="s">
        <v>104</v>
      </c>
      <c r="AW29" s="28" t="s">
        <v>104</v>
      </c>
      <c r="AX29" s="28" t="s">
        <v>104</v>
      </c>
      <c r="AY29" s="28" t="s">
        <v>104</v>
      </c>
      <c r="AZ29" s="28" t="s">
        <v>104</v>
      </c>
      <c r="BA29" s="26" t="s">
        <v>107</v>
      </c>
      <c r="BB29" s="28" t="s">
        <v>104</v>
      </c>
      <c r="BC29" s="28" t="s">
        <v>104</v>
      </c>
      <c r="BD29" s="28" t="s">
        <v>104</v>
      </c>
      <c r="BE29" s="28" t="s">
        <v>104</v>
      </c>
      <c r="BF29" s="28" t="s">
        <v>104</v>
      </c>
      <c r="BG29" s="25" t="s">
        <v>105</v>
      </c>
      <c r="BH29" s="28" t="s">
        <v>104</v>
      </c>
      <c r="BI29" s="28" t="s">
        <v>104</v>
      </c>
      <c r="BJ29" s="28" t="s">
        <v>104</v>
      </c>
      <c r="BK29" s="28" t="s">
        <v>104</v>
      </c>
      <c r="BL29" s="28" t="s">
        <v>104</v>
      </c>
      <c r="BM29" s="28" t="s">
        <v>104</v>
      </c>
      <c r="BN29" s="28" t="s">
        <v>104</v>
      </c>
    </row>
    <row r="30" spans="1:66">
      <c r="A30" s="24" t="s">
        <v>487</v>
      </c>
      <c r="B30" s="24" t="s">
        <v>488</v>
      </c>
      <c r="C30" s="28" t="s">
        <v>104</v>
      </c>
      <c r="D30" s="28" t="s">
        <v>104</v>
      </c>
      <c r="E30" s="25" t="s">
        <v>105</v>
      </c>
      <c r="F30" s="26" t="s">
        <v>107</v>
      </c>
      <c r="G30" s="28" t="s">
        <v>104</v>
      </c>
      <c r="H30" s="28" t="s">
        <v>104</v>
      </c>
      <c r="I30" s="27" t="s">
        <v>106</v>
      </c>
      <c r="J30" s="25" t="s">
        <v>105</v>
      </c>
      <c r="K30" s="28" t="s">
        <v>104</v>
      </c>
      <c r="L30" s="28" t="s">
        <v>104</v>
      </c>
      <c r="M30" s="27" t="s">
        <v>106</v>
      </c>
      <c r="N30" s="27" t="s">
        <v>106</v>
      </c>
      <c r="O30" s="27" t="s">
        <v>106</v>
      </c>
      <c r="P30" s="27" t="s">
        <v>106</v>
      </c>
      <c r="Q30" s="28" t="s">
        <v>104</v>
      </c>
      <c r="R30" s="27" t="s">
        <v>106</v>
      </c>
      <c r="S30" s="28" t="s">
        <v>104</v>
      </c>
      <c r="T30" s="27" t="s">
        <v>106</v>
      </c>
      <c r="U30" s="28" t="s">
        <v>104</v>
      </c>
      <c r="V30" s="28" t="s">
        <v>104</v>
      </c>
      <c r="W30" s="27" t="s">
        <v>106</v>
      </c>
      <c r="X30" s="28" t="s">
        <v>104</v>
      </c>
      <c r="Y30" s="25" t="s">
        <v>105</v>
      </c>
      <c r="Z30" s="28" t="s">
        <v>104</v>
      </c>
      <c r="AA30" s="28" t="s">
        <v>104</v>
      </c>
      <c r="AB30" s="28" t="s">
        <v>104</v>
      </c>
      <c r="AC30" s="28" t="s">
        <v>104</v>
      </c>
      <c r="AD30" s="28" t="s">
        <v>104</v>
      </c>
      <c r="AE30" s="28" t="s">
        <v>104</v>
      </c>
      <c r="AF30" s="25" t="s">
        <v>105</v>
      </c>
      <c r="AG30" s="25" t="s">
        <v>105</v>
      </c>
      <c r="AH30" s="28" t="s">
        <v>104</v>
      </c>
      <c r="AI30" s="25" t="s">
        <v>105</v>
      </c>
      <c r="AJ30" s="28" t="s">
        <v>104</v>
      </c>
      <c r="AK30" s="28" t="s">
        <v>104</v>
      </c>
      <c r="AL30" s="28" t="s">
        <v>104</v>
      </c>
      <c r="AM30" s="28" t="s">
        <v>104</v>
      </c>
      <c r="AN30" s="25" t="s">
        <v>105</v>
      </c>
      <c r="AO30" s="25" t="s">
        <v>105</v>
      </c>
      <c r="AP30" s="28" t="s">
        <v>104</v>
      </c>
      <c r="AQ30" s="25" t="s">
        <v>105</v>
      </c>
      <c r="AR30" s="25" t="s">
        <v>105</v>
      </c>
      <c r="AS30" s="25" t="s">
        <v>105</v>
      </c>
      <c r="AT30" s="28" t="s">
        <v>104</v>
      </c>
      <c r="AU30" s="28" t="s">
        <v>104</v>
      </c>
      <c r="AV30" s="28" t="s">
        <v>104</v>
      </c>
      <c r="AW30" s="28" t="s">
        <v>104</v>
      </c>
      <c r="AX30" s="28" t="s">
        <v>104</v>
      </c>
      <c r="AY30" s="28" t="s">
        <v>104</v>
      </c>
      <c r="AZ30" s="28" t="s">
        <v>104</v>
      </c>
      <c r="BA30" s="26" t="s">
        <v>107</v>
      </c>
      <c r="BB30" s="28" t="s">
        <v>104</v>
      </c>
      <c r="BC30" s="25" t="s">
        <v>105</v>
      </c>
      <c r="BD30" s="25" t="s">
        <v>105</v>
      </c>
      <c r="BE30" s="25" t="s">
        <v>105</v>
      </c>
      <c r="BF30" s="25" t="s">
        <v>105</v>
      </c>
      <c r="BG30" s="25" t="s">
        <v>105</v>
      </c>
      <c r="BH30" s="28" t="s">
        <v>104</v>
      </c>
      <c r="BI30" s="28" t="s">
        <v>104</v>
      </c>
      <c r="BJ30" s="28" t="s">
        <v>104</v>
      </c>
      <c r="BK30" s="25" t="s">
        <v>105</v>
      </c>
      <c r="BL30" s="28" t="s">
        <v>104</v>
      </c>
      <c r="BM30" s="25" t="s">
        <v>105</v>
      </c>
      <c r="BN30" s="25" t="s">
        <v>105</v>
      </c>
    </row>
    <row r="31" spans="1:66">
      <c r="A31" s="24" t="s">
        <v>489</v>
      </c>
      <c r="B31" s="24" t="s">
        <v>490</v>
      </c>
      <c r="C31" s="25" t="s">
        <v>105</v>
      </c>
      <c r="D31" s="28" t="s">
        <v>104</v>
      </c>
      <c r="E31" s="25" t="s">
        <v>105</v>
      </c>
      <c r="F31" s="26" t="s">
        <v>107</v>
      </c>
      <c r="G31" s="28" t="s">
        <v>104</v>
      </c>
      <c r="H31" s="25" t="s">
        <v>105</v>
      </c>
      <c r="I31" s="27" t="s">
        <v>106</v>
      </c>
      <c r="J31" s="25" t="s">
        <v>105</v>
      </c>
      <c r="K31" s="25" t="s">
        <v>105</v>
      </c>
      <c r="L31" s="25" t="s">
        <v>105</v>
      </c>
      <c r="M31" s="27" t="s">
        <v>106</v>
      </c>
      <c r="N31" s="27" t="s">
        <v>106</v>
      </c>
      <c r="O31" s="27" t="s">
        <v>106</v>
      </c>
      <c r="P31" s="28" t="s">
        <v>104</v>
      </c>
      <c r="Q31" s="28" t="s">
        <v>104</v>
      </c>
      <c r="R31" s="27" t="s">
        <v>106</v>
      </c>
      <c r="S31" s="28" t="s">
        <v>104</v>
      </c>
      <c r="T31" s="25" t="s">
        <v>105</v>
      </c>
      <c r="U31" s="28" t="s">
        <v>104</v>
      </c>
      <c r="V31" s="28" t="s">
        <v>104</v>
      </c>
      <c r="W31" s="26" t="s">
        <v>107</v>
      </c>
      <c r="X31" s="28" t="s">
        <v>104</v>
      </c>
      <c r="Y31" s="25" t="s">
        <v>105</v>
      </c>
      <c r="Z31" s="28" t="s">
        <v>104</v>
      </c>
      <c r="AA31" s="28" t="s">
        <v>104</v>
      </c>
      <c r="AB31" s="28" t="s">
        <v>104</v>
      </c>
      <c r="AC31" s="28" t="s">
        <v>104</v>
      </c>
      <c r="AD31" s="28" t="s">
        <v>104</v>
      </c>
      <c r="AE31" s="28" t="s">
        <v>104</v>
      </c>
      <c r="AF31" s="28" t="s">
        <v>104</v>
      </c>
      <c r="AG31" s="26" t="s">
        <v>107</v>
      </c>
      <c r="AH31" s="28" t="s">
        <v>104</v>
      </c>
      <c r="AI31" s="28" t="s">
        <v>104</v>
      </c>
      <c r="AJ31" s="28" t="s">
        <v>104</v>
      </c>
      <c r="AK31" s="28" t="s">
        <v>104</v>
      </c>
      <c r="AL31" s="28" t="s">
        <v>104</v>
      </c>
      <c r="AM31" s="28" t="s">
        <v>104</v>
      </c>
      <c r="AN31" s="25" t="s">
        <v>105</v>
      </c>
      <c r="AO31" s="25" t="s">
        <v>105</v>
      </c>
      <c r="AP31" s="25" t="s">
        <v>105</v>
      </c>
      <c r="AQ31" s="28" t="s">
        <v>104</v>
      </c>
      <c r="AR31" s="25" t="s">
        <v>105</v>
      </c>
      <c r="AS31" s="27" t="s">
        <v>106</v>
      </c>
      <c r="AT31" s="25" t="s">
        <v>105</v>
      </c>
      <c r="AU31" s="28" t="s">
        <v>104</v>
      </c>
      <c r="AV31" s="28" t="s">
        <v>104</v>
      </c>
      <c r="AW31" s="28" t="s">
        <v>104</v>
      </c>
      <c r="AX31" s="28" t="s">
        <v>104</v>
      </c>
      <c r="AY31" s="28" t="s">
        <v>104</v>
      </c>
      <c r="AZ31" s="28" t="s">
        <v>104</v>
      </c>
      <c r="BA31" s="26" t="s">
        <v>107</v>
      </c>
      <c r="BB31" s="28" t="s">
        <v>104</v>
      </c>
      <c r="BC31" s="25" t="s">
        <v>105</v>
      </c>
      <c r="BD31" s="25" t="s">
        <v>105</v>
      </c>
      <c r="BE31" s="25" t="s">
        <v>105</v>
      </c>
      <c r="BF31" s="25" t="s">
        <v>105</v>
      </c>
      <c r="BG31" s="25" t="s">
        <v>105</v>
      </c>
      <c r="BH31" s="28" t="s">
        <v>104</v>
      </c>
      <c r="BI31" s="28" t="s">
        <v>104</v>
      </c>
      <c r="BJ31" s="28" t="s">
        <v>104</v>
      </c>
      <c r="BK31" s="28" t="s">
        <v>104</v>
      </c>
      <c r="BL31" s="28" t="s">
        <v>104</v>
      </c>
      <c r="BM31" s="28" t="s">
        <v>104</v>
      </c>
      <c r="BN31" s="25" t="s">
        <v>105</v>
      </c>
    </row>
    <row r="32" spans="1:66">
      <c r="A32" s="24" t="s">
        <v>491</v>
      </c>
      <c r="B32" s="24" t="s">
        <v>492</v>
      </c>
      <c r="C32" s="25" t="s">
        <v>105</v>
      </c>
      <c r="D32" s="25" t="s">
        <v>105</v>
      </c>
      <c r="E32" s="26" t="s">
        <v>107</v>
      </c>
      <c r="F32" s="26" t="s">
        <v>107</v>
      </c>
      <c r="G32" s="28" t="s">
        <v>104</v>
      </c>
      <c r="H32" s="25" t="s">
        <v>105</v>
      </c>
      <c r="I32" s="26" t="s">
        <v>107</v>
      </c>
      <c r="J32" s="26" t="s">
        <v>107</v>
      </c>
      <c r="K32" s="26" t="s">
        <v>107</v>
      </c>
      <c r="L32" s="26" t="s">
        <v>107</v>
      </c>
      <c r="M32" s="26" t="s">
        <v>107</v>
      </c>
      <c r="N32" s="26" t="s">
        <v>107</v>
      </c>
      <c r="O32" s="26" t="s">
        <v>107</v>
      </c>
      <c r="P32" s="27" t="s">
        <v>106</v>
      </c>
      <c r="Q32" s="28" t="s">
        <v>104</v>
      </c>
      <c r="R32" s="27" t="s">
        <v>106</v>
      </c>
      <c r="S32" s="28" t="s">
        <v>104</v>
      </c>
      <c r="T32" s="27" t="s">
        <v>106</v>
      </c>
      <c r="U32" s="28" t="s">
        <v>104</v>
      </c>
      <c r="V32" s="28" t="s">
        <v>104</v>
      </c>
      <c r="W32" s="26" t="s">
        <v>107</v>
      </c>
      <c r="X32" s="25" t="s">
        <v>105</v>
      </c>
      <c r="Y32" s="26" t="s">
        <v>107</v>
      </c>
      <c r="Z32" s="28" t="s">
        <v>104</v>
      </c>
      <c r="AA32" s="28" t="s">
        <v>104</v>
      </c>
      <c r="AB32" s="28" t="s">
        <v>104</v>
      </c>
      <c r="AC32" s="28" t="s">
        <v>104</v>
      </c>
      <c r="AD32" s="28" t="s">
        <v>104</v>
      </c>
      <c r="AE32" s="28" t="s">
        <v>104</v>
      </c>
      <c r="AF32" s="26" t="s">
        <v>107</v>
      </c>
      <c r="AG32" s="25" t="s">
        <v>105</v>
      </c>
      <c r="AH32" s="25" t="s">
        <v>105</v>
      </c>
      <c r="AI32" s="26" t="s">
        <v>107</v>
      </c>
      <c r="AJ32" s="25" t="s">
        <v>105</v>
      </c>
      <c r="AK32" s="25" t="s">
        <v>105</v>
      </c>
      <c r="AL32" s="25" t="s">
        <v>105</v>
      </c>
      <c r="AM32" s="25" t="s">
        <v>105</v>
      </c>
      <c r="AN32" s="25" t="s">
        <v>105</v>
      </c>
      <c r="AO32" s="25" t="s">
        <v>105</v>
      </c>
      <c r="AP32" s="28" t="s">
        <v>104</v>
      </c>
      <c r="AQ32" s="25" t="s">
        <v>105</v>
      </c>
      <c r="AR32" s="25" t="s">
        <v>105</v>
      </c>
      <c r="AS32" s="27" t="s">
        <v>106</v>
      </c>
      <c r="AT32" s="26" t="s">
        <v>107</v>
      </c>
      <c r="AU32" s="28" t="s">
        <v>104</v>
      </c>
      <c r="AV32" s="25" t="s">
        <v>105</v>
      </c>
      <c r="AW32" s="25" t="s">
        <v>105</v>
      </c>
      <c r="AX32" s="25" t="s">
        <v>105</v>
      </c>
      <c r="AY32" s="26" t="s">
        <v>107</v>
      </c>
      <c r="AZ32" s="25" t="s">
        <v>105</v>
      </c>
      <c r="BA32" s="26" t="s">
        <v>107</v>
      </c>
      <c r="BB32" s="28" t="s">
        <v>104</v>
      </c>
      <c r="BC32" s="28" t="s">
        <v>104</v>
      </c>
      <c r="BD32" s="25" t="s">
        <v>105</v>
      </c>
      <c r="BE32" s="25" t="s">
        <v>105</v>
      </c>
      <c r="BF32" s="25" t="s">
        <v>105</v>
      </c>
      <c r="BG32" s="25" t="s">
        <v>105</v>
      </c>
      <c r="BH32" s="28" t="s">
        <v>104</v>
      </c>
      <c r="BI32" s="28" t="s">
        <v>104</v>
      </c>
      <c r="BJ32" s="25" t="s">
        <v>105</v>
      </c>
      <c r="BK32" s="28" t="s">
        <v>104</v>
      </c>
      <c r="BL32" s="26" t="s">
        <v>107</v>
      </c>
      <c r="BM32" s="26" t="s">
        <v>107</v>
      </c>
      <c r="BN32" s="26" t="s">
        <v>107</v>
      </c>
    </row>
    <row r="33" spans="1:66">
      <c r="A33" s="24" t="s">
        <v>493</v>
      </c>
      <c r="B33" s="24" t="s">
        <v>494</v>
      </c>
      <c r="C33" s="28" t="s">
        <v>104</v>
      </c>
      <c r="D33" s="28" t="s">
        <v>104</v>
      </c>
      <c r="E33" s="25" t="s">
        <v>105</v>
      </c>
      <c r="F33" s="26" t="s">
        <v>107</v>
      </c>
      <c r="G33" s="28" t="s">
        <v>104</v>
      </c>
      <c r="H33" s="28" t="s">
        <v>104</v>
      </c>
      <c r="I33" s="27" t="s">
        <v>106</v>
      </c>
      <c r="J33" s="25" t="s">
        <v>105</v>
      </c>
      <c r="K33" s="28" t="s">
        <v>104</v>
      </c>
      <c r="L33" s="25" t="s">
        <v>105</v>
      </c>
      <c r="M33" s="27" t="s">
        <v>106</v>
      </c>
      <c r="N33" s="27" t="s">
        <v>106</v>
      </c>
      <c r="O33" s="27" t="s">
        <v>106</v>
      </c>
      <c r="P33" s="28" t="s">
        <v>104</v>
      </c>
      <c r="Q33" s="28" t="s">
        <v>104</v>
      </c>
      <c r="R33" s="27" t="s">
        <v>106</v>
      </c>
      <c r="S33" s="28" t="s">
        <v>104</v>
      </c>
      <c r="T33" s="27" t="s">
        <v>106</v>
      </c>
      <c r="U33" s="28" t="s">
        <v>104</v>
      </c>
      <c r="V33" s="28" t="s">
        <v>104</v>
      </c>
      <c r="W33" s="26" t="s">
        <v>107</v>
      </c>
      <c r="X33" s="28" t="s">
        <v>104</v>
      </c>
      <c r="Y33" s="25" t="s">
        <v>105</v>
      </c>
      <c r="Z33" s="28" t="s">
        <v>104</v>
      </c>
      <c r="AA33" s="28" t="s">
        <v>104</v>
      </c>
      <c r="AB33" s="28" t="s">
        <v>104</v>
      </c>
      <c r="AC33" s="28" t="s">
        <v>104</v>
      </c>
      <c r="AD33" s="28" t="s">
        <v>104</v>
      </c>
      <c r="AE33" s="28" t="s">
        <v>104</v>
      </c>
      <c r="AF33" s="28" t="s">
        <v>104</v>
      </c>
      <c r="AG33" s="25" t="s">
        <v>105</v>
      </c>
      <c r="AH33" s="28" t="s">
        <v>104</v>
      </c>
      <c r="AI33" s="25" t="s">
        <v>105</v>
      </c>
      <c r="AJ33" s="28" t="s">
        <v>104</v>
      </c>
      <c r="AK33" s="28" t="s">
        <v>104</v>
      </c>
      <c r="AL33" s="28" t="s">
        <v>104</v>
      </c>
      <c r="AM33" s="28" t="s">
        <v>104</v>
      </c>
      <c r="AN33" s="25" t="s">
        <v>105</v>
      </c>
      <c r="AO33" s="25" t="s">
        <v>105</v>
      </c>
      <c r="AP33" s="28" t="s">
        <v>104</v>
      </c>
      <c r="AQ33" s="28" t="s">
        <v>104</v>
      </c>
      <c r="AR33" s="25" t="s">
        <v>105</v>
      </c>
      <c r="AS33" s="27" t="s">
        <v>106</v>
      </c>
      <c r="AT33" s="25" t="s">
        <v>105</v>
      </c>
      <c r="AU33" s="28" t="s">
        <v>104</v>
      </c>
      <c r="AV33" s="28" t="s">
        <v>104</v>
      </c>
      <c r="AW33" s="28" t="s">
        <v>104</v>
      </c>
      <c r="AX33" s="28" t="s">
        <v>104</v>
      </c>
      <c r="AY33" s="28" t="s">
        <v>104</v>
      </c>
      <c r="AZ33" s="28" t="s">
        <v>104</v>
      </c>
      <c r="BA33" s="26" t="s">
        <v>107</v>
      </c>
      <c r="BB33" s="28" t="s">
        <v>104</v>
      </c>
      <c r="BC33" s="25" t="s">
        <v>105</v>
      </c>
      <c r="BD33" s="25" t="s">
        <v>105</v>
      </c>
      <c r="BE33" s="25" t="s">
        <v>105</v>
      </c>
      <c r="BF33" s="25" t="s">
        <v>105</v>
      </c>
      <c r="BG33" s="25" t="s">
        <v>105</v>
      </c>
      <c r="BH33" s="28" t="s">
        <v>104</v>
      </c>
      <c r="BI33" s="28" t="s">
        <v>104</v>
      </c>
      <c r="BJ33" s="28" t="s">
        <v>104</v>
      </c>
      <c r="BK33" s="28" t="s">
        <v>104</v>
      </c>
      <c r="BL33" s="28" t="s">
        <v>104</v>
      </c>
      <c r="BM33" s="28" t="s">
        <v>104</v>
      </c>
      <c r="BN33" s="25" t="s">
        <v>105</v>
      </c>
    </row>
    <row r="34" spans="1:66">
      <c r="A34" s="24" t="s">
        <v>495</v>
      </c>
      <c r="B34" s="24" t="s">
        <v>496</v>
      </c>
      <c r="C34" s="25" t="s">
        <v>105</v>
      </c>
      <c r="D34" s="28" t="s">
        <v>104</v>
      </c>
      <c r="E34" s="25" t="s">
        <v>105</v>
      </c>
      <c r="F34" s="28" t="s">
        <v>104</v>
      </c>
      <c r="G34" s="28" t="s">
        <v>104</v>
      </c>
      <c r="H34" s="25" t="s">
        <v>105</v>
      </c>
      <c r="I34" s="27" t="s">
        <v>106</v>
      </c>
      <c r="J34" s="25" t="s">
        <v>105</v>
      </c>
      <c r="K34" s="25" t="s">
        <v>105</v>
      </c>
      <c r="L34" s="25" t="s">
        <v>105</v>
      </c>
      <c r="M34" s="27" t="s">
        <v>106</v>
      </c>
      <c r="N34" s="25" t="s">
        <v>105</v>
      </c>
      <c r="O34" s="27" t="s">
        <v>106</v>
      </c>
      <c r="P34" s="28" t="s">
        <v>104</v>
      </c>
      <c r="Q34" s="28" t="s">
        <v>104</v>
      </c>
      <c r="R34" s="27" t="s">
        <v>106</v>
      </c>
      <c r="S34" s="28" t="s">
        <v>104</v>
      </c>
      <c r="T34" s="27" t="s">
        <v>106</v>
      </c>
      <c r="U34" s="28" t="s">
        <v>104</v>
      </c>
      <c r="V34" s="28" t="s">
        <v>104</v>
      </c>
      <c r="W34" s="26" t="s">
        <v>107</v>
      </c>
      <c r="X34" s="28" t="s">
        <v>104</v>
      </c>
      <c r="Y34" s="28" t="s">
        <v>104</v>
      </c>
      <c r="Z34" s="28" t="s">
        <v>104</v>
      </c>
      <c r="AA34" s="28" t="s">
        <v>104</v>
      </c>
      <c r="AB34" s="28" t="s">
        <v>104</v>
      </c>
      <c r="AC34" s="28" t="s">
        <v>104</v>
      </c>
      <c r="AD34" s="28" t="s">
        <v>104</v>
      </c>
      <c r="AE34" s="28" t="s">
        <v>104</v>
      </c>
      <c r="AF34" s="25" t="s">
        <v>105</v>
      </c>
      <c r="AG34" s="26" t="s">
        <v>107</v>
      </c>
      <c r="AH34" s="28" t="s">
        <v>104</v>
      </c>
      <c r="AI34" s="25" t="s">
        <v>105</v>
      </c>
      <c r="AJ34" s="28" t="s">
        <v>104</v>
      </c>
      <c r="AK34" s="28" t="s">
        <v>104</v>
      </c>
      <c r="AL34" s="28" t="s">
        <v>104</v>
      </c>
      <c r="AM34" s="28" t="s">
        <v>104</v>
      </c>
      <c r="AN34" s="25" t="s">
        <v>105</v>
      </c>
      <c r="AO34" s="25" t="s">
        <v>105</v>
      </c>
      <c r="AP34" s="25" t="s">
        <v>105</v>
      </c>
      <c r="AQ34" s="25" t="s">
        <v>105</v>
      </c>
      <c r="AR34" s="25" t="s">
        <v>105</v>
      </c>
      <c r="AS34" s="27" t="s">
        <v>106</v>
      </c>
      <c r="AT34" s="26" t="s">
        <v>107</v>
      </c>
      <c r="AU34" s="28" t="s">
        <v>104</v>
      </c>
      <c r="AV34" s="28" t="s">
        <v>104</v>
      </c>
      <c r="AW34" s="28" t="s">
        <v>104</v>
      </c>
      <c r="AX34" s="28" t="s">
        <v>104</v>
      </c>
      <c r="AY34" s="28" t="s">
        <v>104</v>
      </c>
      <c r="AZ34" s="28" t="s">
        <v>104</v>
      </c>
      <c r="BA34" s="26" t="s">
        <v>107</v>
      </c>
      <c r="BB34" s="28" t="s">
        <v>104</v>
      </c>
      <c r="BC34" s="28" t="s">
        <v>104</v>
      </c>
      <c r="BD34" s="25" t="s">
        <v>105</v>
      </c>
      <c r="BE34" s="25" t="s">
        <v>105</v>
      </c>
      <c r="BF34" s="25" t="s">
        <v>105</v>
      </c>
      <c r="BG34" s="25" t="s">
        <v>105</v>
      </c>
      <c r="BH34" s="28" t="s">
        <v>104</v>
      </c>
      <c r="BI34" s="28" t="s">
        <v>104</v>
      </c>
      <c r="BJ34" s="28" t="s">
        <v>104</v>
      </c>
      <c r="BK34" s="28" t="s">
        <v>104</v>
      </c>
      <c r="BL34" s="28" t="s">
        <v>104</v>
      </c>
      <c r="BM34" s="25" t="s">
        <v>105</v>
      </c>
      <c r="BN34" s="25" t="s">
        <v>105</v>
      </c>
    </row>
    <row r="35" spans="1:66">
      <c r="A35" s="24" t="s">
        <v>497</v>
      </c>
      <c r="B35" s="24" t="s">
        <v>498</v>
      </c>
      <c r="C35" s="25" t="s">
        <v>105</v>
      </c>
      <c r="D35" s="25" t="s">
        <v>105</v>
      </c>
      <c r="E35" s="26" t="s">
        <v>107</v>
      </c>
      <c r="F35" s="26" t="s">
        <v>107</v>
      </c>
      <c r="G35" s="28" t="s">
        <v>104</v>
      </c>
      <c r="H35" s="25" t="s">
        <v>105</v>
      </c>
      <c r="I35" s="26" t="s">
        <v>107</v>
      </c>
      <c r="J35" s="26" t="s">
        <v>107</v>
      </c>
      <c r="K35" s="26" t="s">
        <v>107</v>
      </c>
      <c r="L35" s="26" t="s">
        <v>107</v>
      </c>
      <c r="M35" s="26" t="s">
        <v>107</v>
      </c>
      <c r="N35" s="26" t="s">
        <v>107</v>
      </c>
      <c r="O35" s="26" t="s">
        <v>107</v>
      </c>
      <c r="P35" s="27" t="s">
        <v>106</v>
      </c>
      <c r="Q35" s="28" t="s">
        <v>104</v>
      </c>
      <c r="R35" s="27" t="s">
        <v>106</v>
      </c>
      <c r="S35" s="28" t="s">
        <v>104</v>
      </c>
      <c r="T35" s="27" t="s">
        <v>106</v>
      </c>
      <c r="U35" s="28" t="s">
        <v>104</v>
      </c>
      <c r="V35" s="28" t="s">
        <v>104</v>
      </c>
      <c r="W35" s="26" t="s">
        <v>107</v>
      </c>
      <c r="X35" s="25" t="s">
        <v>105</v>
      </c>
      <c r="Y35" s="26" t="s">
        <v>107</v>
      </c>
      <c r="Z35" s="28" t="s">
        <v>104</v>
      </c>
      <c r="AA35" s="28" t="s">
        <v>104</v>
      </c>
      <c r="AB35" s="28" t="s">
        <v>104</v>
      </c>
      <c r="AC35" s="28" t="s">
        <v>104</v>
      </c>
      <c r="AD35" s="28" t="s">
        <v>104</v>
      </c>
      <c r="AE35" s="28" t="s">
        <v>104</v>
      </c>
      <c r="AF35" s="26" t="s">
        <v>107</v>
      </c>
      <c r="AG35" s="25" t="s">
        <v>105</v>
      </c>
      <c r="AH35" s="25" t="s">
        <v>105</v>
      </c>
      <c r="AI35" s="26" t="s">
        <v>107</v>
      </c>
      <c r="AJ35" s="25" t="s">
        <v>105</v>
      </c>
      <c r="AK35" s="25" t="s">
        <v>105</v>
      </c>
      <c r="AL35" s="25" t="s">
        <v>105</v>
      </c>
      <c r="AM35" s="25" t="s">
        <v>105</v>
      </c>
      <c r="AN35" s="25" t="s">
        <v>105</v>
      </c>
      <c r="AO35" s="25" t="s">
        <v>105</v>
      </c>
      <c r="AP35" s="28" t="s">
        <v>104</v>
      </c>
      <c r="AQ35" s="25" t="s">
        <v>105</v>
      </c>
      <c r="AR35" s="25" t="s">
        <v>105</v>
      </c>
      <c r="AS35" s="27" t="s">
        <v>106</v>
      </c>
      <c r="AT35" s="26" t="s">
        <v>107</v>
      </c>
      <c r="AU35" s="28" t="s">
        <v>104</v>
      </c>
      <c r="AV35" s="25" t="s">
        <v>105</v>
      </c>
      <c r="AW35" s="25" t="s">
        <v>105</v>
      </c>
      <c r="AX35" s="25" t="s">
        <v>105</v>
      </c>
      <c r="AY35" s="26" t="s">
        <v>107</v>
      </c>
      <c r="AZ35" s="25" t="s">
        <v>105</v>
      </c>
      <c r="BA35" s="26" t="s">
        <v>107</v>
      </c>
      <c r="BB35" s="28" t="s">
        <v>104</v>
      </c>
      <c r="BC35" s="25" t="s">
        <v>105</v>
      </c>
      <c r="BD35" s="25" t="s">
        <v>105</v>
      </c>
      <c r="BE35" s="25" t="s">
        <v>105</v>
      </c>
      <c r="BF35" s="25" t="s">
        <v>105</v>
      </c>
      <c r="BG35" s="25" t="s">
        <v>105</v>
      </c>
      <c r="BH35" s="28" t="s">
        <v>104</v>
      </c>
      <c r="BI35" s="28" t="s">
        <v>104</v>
      </c>
      <c r="BJ35" s="25" t="s">
        <v>105</v>
      </c>
      <c r="BK35" s="28" t="s">
        <v>104</v>
      </c>
      <c r="BL35" s="26" t="s">
        <v>107</v>
      </c>
      <c r="BM35" s="26" t="s">
        <v>107</v>
      </c>
      <c r="BN35" s="26" t="s">
        <v>107</v>
      </c>
    </row>
    <row r="36" spans="1:66">
      <c r="A36" s="24" t="s">
        <v>499</v>
      </c>
      <c r="B36" s="24" t="s">
        <v>500</v>
      </c>
      <c r="C36" s="28" t="s">
        <v>104</v>
      </c>
      <c r="D36" s="28" t="s">
        <v>104</v>
      </c>
      <c r="E36" s="28" t="s">
        <v>104</v>
      </c>
      <c r="F36" s="26" t="s">
        <v>107</v>
      </c>
      <c r="G36" s="28" t="s">
        <v>104</v>
      </c>
      <c r="H36" s="28" t="s">
        <v>104</v>
      </c>
      <c r="I36" s="27" t="s">
        <v>106</v>
      </c>
      <c r="J36" s="25" t="s">
        <v>105</v>
      </c>
      <c r="K36" s="28" t="s">
        <v>104</v>
      </c>
      <c r="L36" s="25" t="s">
        <v>105</v>
      </c>
      <c r="M36" s="27" t="s">
        <v>106</v>
      </c>
      <c r="N36" s="27" t="s">
        <v>106</v>
      </c>
      <c r="O36" s="27" t="s">
        <v>106</v>
      </c>
      <c r="P36" s="27" t="s">
        <v>106</v>
      </c>
      <c r="Q36" s="28" t="s">
        <v>104</v>
      </c>
      <c r="R36" s="25" t="s">
        <v>105</v>
      </c>
      <c r="S36" s="28" t="s">
        <v>104</v>
      </c>
      <c r="T36" s="27" t="s">
        <v>106</v>
      </c>
      <c r="U36" s="28" t="s">
        <v>104</v>
      </c>
      <c r="V36" s="28" t="s">
        <v>104</v>
      </c>
      <c r="W36" s="26" t="s">
        <v>107</v>
      </c>
      <c r="X36" s="28" t="s">
        <v>104</v>
      </c>
      <c r="Y36" s="28" t="s">
        <v>104</v>
      </c>
      <c r="Z36" s="28" t="s">
        <v>104</v>
      </c>
      <c r="AA36" s="28" t="s">
        <v>104</v>
      </c>
      <c r="AB36" s="28" t="s">
        <v>104</v>
      </c>
      <c r="AC36" s="28" t="s">
        <v>104</v>
      </c>
      <c r="AD36" s="28" t="s">
        <v>104</v>
      </c>
      <c r="AE36" s="28" t="s">
        <v>104</v>
      </c>
      <c r="AF36" s="28" t="s">
        <v>104</v>
      </c>
      <c r="AG36" s="25" t="s">
        <v>105</v>
      </c>
      <c r="AH36" s="28" t="s">
        <v>104</v>
      </c>
      <c r="AI36" s="25" t="s">
        <v>105</v>
      </c>
      <c r="AJ36" s="28" t="s">
        <v>104</v>
      </c>
      <c r="AK36" s="28" t="s">
        <v>104</v>
      </c>
      <c r="AL36" s="28" t="s">
        <v>104</v>
      </c>
      <c r="AM36" s="28" t="s">
        <v>104</v>
      </c>
      <c r="AN36" s="25" t="s">
        <v>105</v>
      </c>
      <c r="AO36" s="25" t="s">
        <v>105</v>
      </c>
      <c r="AP36" s="25" t="s">
        <v>105</v>
      </c>
      <c r="AQ36" s="28" t="s">
        <v>104</v>
      </c>
      <c r="AR36" s="25" t="s">
        <v>105</v>
      </c>
      <c r="AS36" s="27" t="s">
        <v>106</v>
      </c>
      <c r="AT36" s="26" t="s">
        <v>107</v>
      </c>
      <c r="AU36" s="28" t="s">
        <v>104</v>
      </c>
      <c r="AV36" s="28" t="s">
        <v>104</v>
      </c>
      <c r="AW36" s="28" t="s">
        <v>104</v>
      </c>
      <c r="AX36" s="28" t="s">
        <v>104</v>
      </c>
      <c r="AY36" s="28" t="s">
        <v>104</v>
      </c>
      <c r="AZ36" s="28" t="s">
        <v>104</v>
      </c>
      <c r="BA36" s="26" t="s">
        <v>107</v>
      </c>
      <c r="BB36" s="28" t="s">
        <v>104</v>
      </c>
      <c r="BC36" s="25" t="s">
        <v>105</v>
      </c>
      <c r="BD36" s="25" t="s">
        <v>105</v>
      </c>
      <c r="BE36" s="25" t="s">
        <v>105</v>
      </c>
      <c r="BF36" s="25" t="s">
        <v>105</v>
      </c>
      <c r="BG36" s="25" t="s">
        <v>105</v>
      </c>
      <c r="BH36" s="28" t="s">
        <v>104</v>
      </c>
      <c r="BI36" s="28" t="s">
        <v>104</v>
      </c>
      <c r="BJ36" s="28" t="s">
        <v>104</v>
      </c>
      <c r="BK36" s="25" t="s">
        <v>105</v>
      </c>
      <c r="BL36" s="28" t="s">
        <v>104</v>
      </c>
      <c r="BM36" s="25" t="s">
        <v>105</v>
      </c>
      <c r="BN36" s="28" t="s">
        <v>104</v>
      </c>
    </row>
    <row r="37" spans="1:66">
      <c r="A37" s="24" t="s">
        <v>501</v>
      </c>
      <c r="B37" s="24" t="s">
        <v>502</v>
      </c>
      <c r="C37" s="28" t="s">
        <v>104</v>
      </c>
      <c r="D37" s="28" t="s">
        <v>104</v>
      </c>
      <c r="E37" s="28" t="s">
        <v>104</v>
      </c>
      <c r="F37" s="28" t="s">
        <v>104</v>
      </c>
      <c r="G37" s="28" t="s">
        <v>104</v>
      </c>
      <c r="H37" s="25" t="s">
        <v>105</v>
      </c>
      <c r="I37" s="27" t="s">
        <v>106</v>
      </c>
      <c r="J37" s="25" t="s">
        <v>105</v>
      </c>
      <c r="K37" s="28" t="s">
        <v>104</v>
      </c>
      <c r="L37" s="28" t="s">
        <v>104</v>
      </c>
      <c r="M37" s="25" t="s">
        <v>105</v>
      </c>
      <c r="N37" s="27" t="s">
        <v>106</v>
      </c>
      <c r="O37" s="27" t="s">
        <v>106</v>
      </c>
      <c r="P37" s="28" t="s">
        <v>104</v>
      </c>
      <c r="Q37" s="28" t="s">
        <v>104</v>
      </c>
      <c r="R37" s="27" t="s">
        <v>106</v>
      </c>
      <c r="S37" s="28" t="s">
        <v>104</v>
      </c>
      <c r="T37" s="27" t="s">
        <v>106</v>
      </c>
      <c r="U37" s="28" t="s">
        <v>104</v>
      </c>
      <c r="V37" s="28" t="s">
        <v>104</v>
      </c>
      <c r="W37" s="26" t="s">
        <v>107</v>
      </c>
      <c r="X37" s="28" t="s">
        <v>104</v>
      </c>
      <c r="Y37" s="28" t="s">
        <v>104</v>
      </c>
      <c r="Z37" s="28" t="s">
        <v>104</v>
      </c>
      <c r="AA37" s="28" t="s">
        <v>104</v>
      </c>
      <c r="AB37" s="28" t="s">
        <v>104</v>
      </c>
      <c r="AC37" s="28" t="s">
        <v>104</v>
      </c>
      <c r="AD37" s="28" t="s">
        <v>104</v>
      </c>
      <c r="AE37" s="28" t="s">
        <v>104</v>
      </c>
      <c r="AF37" s="28" t="s">
        <v>104</v>
      </c>
      <c r="AG37" s="26" t="s">
        <v>107</v>
      </c>
      <c r="AH37" s="28" t="s">
        <v>104</v>
      </c>
      <c r="AI37" s="25" t="s">
        <v>105</v>
      </c>
      <c r="AJ37" s="28" t="s">
        <v>104</v>
      </c>
      <c r="AK37" s="28" t="s">
        <v>104</v>
      </c>
      <c r="AL37" s="28" t="s">
        <v>104</v>
      </c>
      <c r="AM37" s="28" t="s">
        <v>104</v>
      </c>
      <c r="AN37" s="25" t="s">
        <v>105</v>
      </c>
      <c r="AO37" s="25" t="s">
        <v>105</v>
      </c>
      <c r="AP37" s="25" t="s">
        <v>105</v>
      </c>
      <c r="AQ37" s="28" t="s">
        <v>104</v>
      </c>
      <c r="AR37" s="25" t="s">
        <v>105</v>
      </c>
      <c r="AS37" s="27" t="s">
        <v>106</v>
      </c>
      <c r="AT37" s="26" t="s">
        <v>107</v>
      </c>
      <c r="AU37" s="28" t="s">
        <v>104</v>
      </c>
      <c r="AV37" s="28" t="s">
        <v>104</v>
      </c>
      <c r="AW37" s="28" t="s">
        <v>104</v>
      </c>
      <c r="AX37" s="28" t="s">
        <v>104</v>
      </c>
      <c r="AY37" s="28" t="s">
        <v>104</v>
      </c>
      <c r="AZ37" s="28" t="s">
        <v>104</v>
      </c>
      <c r="BA37" s="28" t="s">
        <v>104</v>
      </c>
      <c r="BB37" s="28" t="s">
        <v>104</v>
      </c>
      <c r="BC37" s="25" t="s">
        <v>105</v>
      </c>
      <c r="BD37" s="25" t="s">
        <v>105</v>
      </c>
      <c r="BE37" s="25" t="s">
        <v>105</v>
      </c>
      <c r="BF37" s="25" t="s">
        <v>105</v>
      </c>
      <c r="BG37" s="25" t="s">
        <v>105</v>
      </c>
      <c r="BH37" s="28" t="s">
        <v>104</v>
      </c>
      <c r="BI37" s="28" t="s">
        <v>104</v>
      </c>
      <c r="BJ37" s="28" t="s">
        <v>104</v>
      </c>
      <c r="BK37" s="28" t="s">
        <v>104</v>
      </c>
      <c r="BL37" s="28" t="s">
        <v>104</v>
      </c>
      <c r="BM37" s="28" t="s">
        <v>104</v>
      </c>
      <c r="BN37" s="28" t="s">
        <v>104</v>
      </c>
    </row>
    <row r="38" spans="1:66">
      <c r="A38" s="24" t="s">
        <v>503</v>
      </c>
      <c r="B38" s="24" t="s">
        <v>328</v>
      </c>
      <c r="C38" s="25" t="s">
        <v>105</v>
      </c>
      <c r="D38" s="28" t="s">
        <v>104</v>
      </c>
      <c r="E38" s="25" t="s">
        <v>105</v>
      </c>
      <c r="F38" s="28" t="s">
        <v>104</v>
      </c>
      <c r="G38" s="28" t="s">
        <v>104</v>
      </c>
      <c r="H38" s="28" t="s">
        <v>104</v>
      </c>
      <c r="I38" s="27" t="s">
        <v>106</v>
      </c>
      <c r="J38" s="25" t="s">
        <v>105</v>
      </c>
      <c r="K38" s="28" t="s">
        <v>104</v>
      </c>
      <c r="L38" s="25" t="s">
        <v>105</v>
      </c>
      <c r="M38" s="25" t="s">
        <v>105</v>
      </c>
      <c r="N38" s="25" t="s">
        <v>105</v>
      </c>
      <c r="O38" s="27" t="s">
        <v>106</v>
      </c>
      <c r="P38" s="28" t="s">
        <v>104</v>
      </c>
      <c r="Q38" s="28" t="s">
        <v>104</v>
      </c>
      <c r="R38" s="27" t="s">
        <v>106</v>
      </c>
      <c r="S38" s="28" t="s">
        <v>104</v>
      </c>
      <c r="T38" s="27" t="s">
        <v>106</v>
      </c>
      <c r="U38" s="28" t="s">
        <v>104</v>
      </c>
      <c r="V38" s="28" t="s">
        <v>104</v>
      </c>
      <c r="W38" s="26" t="s">
        <v>107</v>
      </c>
      <c r="X38" s="28" t="s">
        <v>104</v>
      </c>
      <c r="Y38" s="25" t="s">
        <v>105</v>
      </c>
      <c r="Z38" s="28" t="s">
        <v>104</v>
      </c>
      <c r="AA38" s="28" t="s">
        <v>104</v>
      </c>
      <c r="AB38" s="28" t="s">
        <v>104</v>
      </c>
      <c r="AC38" s="28" t="s">
        <v>104</v>
      </c>
      <c r="AD38" s="28" t="s">
        <v>104</v>
      </c>
      <c r="AE38" s="28" t="s">
        <v>104</v>
      </c>
      <c r="AF38" s="28" t="s">
        <v>104</v>
      </c>
      <c r="AG38" s="25" t="s">
        <v>105</v>
      </c>
      <c r="AH38" s="28" t="s">
        <v>104</v>
      </c>
      <c r="AI38" s="25" t="s">
        <v>105</v>
      </c>
      <c r="AJ38" s="28" t="s">
        <v>104</v>
      </c>
      <c r="AK38" s="28" t="s">
        <v>104</v>
      </c>
      <c r="AL38" s="28" t="s">
        <v>104</v>
      </c>
      <c r="AM38" s="28" t="s">
        <v>104</v>
      </c>
      <c r="AN38" s="25" t="s">
        <v>105</v>
      </c>
      <c r="AO38" s="25" t="s">
        <v>105</v>
      </c>
      <c r="AP38" s="28" t="s">
        <v>104</v>
      </c>
      <c r="AQ38" s="28" t="s">
        <v>104</v>
      </c>
      <c r="AR38" s="25" t="s">
        <v>105</v>
      </c>
      <c r="AS38" s="27" t="s">
        <v>106</v>
      </c>
      <c r="AT38" s="28" t="s">
        <v>104</v>
      </c>
      <c r="AU38" s="28" t="s">
        <v>104</v>
      </c>
      <c r="AV38" s="28" t="s">
        <v>104</v>
      </c>
      <c r="AW38" s="28" t="s">
        <v>104</v>
      </c>
      <c r="AX38" s="28" t="s">
        <v>104</v>
      </c>
      <c r="AY38" s="28" t="s">
        <v>104</v>
      </c>
      <c r="AZ38" s="28" t="s">
        <v>104</v>
      </c>
      <c r="BA38" s="26" t="s">
        <v>107</v>
      </c>
      <c r="BB38" s="28" t="s">
        <v>104</v>
      </c>
      <c r="BC38" s="28" t="s">
        <v>104</v>
      </c>
      <c r="BD38" s="25" t="s">
        <v>105</v>
      </c>
      <c r="BE38" s="25" t="s">
        <v>105</v>
      </c>
      <c r="BF38" s="25" t="s">
        <v>105</v>
      </c>
      <c r="BG38" s="25" t="s">
        <v>105</v>
      </c>
      <c r="BH38" s="28" t="s">
        <v>104</v>
      </c>
      <c r="BI38" s="28" t="s">
        <v>104</v>
      </c>
      <c r="BJ38" s="28" t="s">
        <v>104</v>
      </c>
      <c r="BK38" s="28" t="s">
        <v>104</v>
      </c>
      <c r="BL38" s="28" t="s">
        <v>104</v>
      </c>
      <c r="BM38" s="28" t="s">
        <v>104</v>
      </c>
      <c r="BN38" s="25" t="s">
        <v>105</v>
      </c>
    </row>
    <row r="39" spans="1:66">
      <c r="A39" s="24" t="s">
        <v>504</v>
      </c>
      <c r="B39" s="24" t="s">
        <v>329</v>
      </c>
      <c r="C39" s="25" t="s">
        <v>105</v>
      </c>
      <c r="D39" s="28" t="s">
        <v>104</v>
      </c>
      <c r="E39" s="25" t="s">
        <v>105</v>
      </c>
      <c r="F39" s="28" t="s">
        <v>104</v>
      </c>
      <c r="G39" s="28" t="s">
        <v>104</v>
      </c>
      <c r="H39" s="25" t="s">
        <v>105</v>
      </c>
      <c r="I39" s="27" t="s">
        <v>106</v>
      </c>
      <c r="J39" s="25" t="s">
        <v>105</v>
      </c>
      <c r="K39" s="28" t="s">
        <v>104</v>
      </c>
      <c r="L39" s="28" t="s">
        <v>104</v>
      </c>
      <c r="M39" s="28" t="s">
        <v>104</v>
      </c>
      <c r="N39" s="25" t="s">
        <v>105</v>
      </c>
      <c r="O39" s="27" t="s">
        <v>106</v>
      </c>
      <c r="P39" s="28" t="s">
        <v>104</v>
      </c>
      <c r="Q39" s="28" t="s">
        <v>104</v>
      </c>
      <c r="R39" s="27" t="s">
        <v>106</v>
      </c>
      <c r="S39" s="28" t="s">
        <v>104</v>
      </c>
      <c r="T39" s="27" t="s">
        <v>106</v>
      </c>
      <c r="U39" s="28" t="s">
        <v>104</v>
      </c>
      <c r="V39" s="28" t="s">
        <v>104</v>
      </c>
      <c r="W39" s="26" t="s">
        <v>107</v>
      </c>
      <c r="X39" s="28" t="s">
        <v>104</v>
      </c>
      <c r="Y39" s="28" t="s">
        <v>104</v>
      </c>
      <c r="Z39" s="28" t="s">
        <v>104</v>
      </c>
      <c r="AA39" s="28" t="s">
        <v>104</v>
      </c>
      <c r="AB39" s="28" t="s">
        <v>104</v>
      </c>
      <c r="AC39" s="28" t="s">
        <v>104</v>
      </c>
      <c r="AD39" s="28" t="s">
        <v>104</v>
      </c>
      <c r="AE39" s="28" t="s">
        <v>104</v>
      </c>
      <c r="AF39" s="28" t="s">
        <v>104</v>
      </c>
      <c r="AG39" s="26" t="s">
        <v>107</v>
      </c>
      <c r="AH39" s="28" t="s">
        <v>104</v>
      </c>
      <c r="AI39" s="25" t="s">
        <v>105</v>
      </c>
      <c r="AJ39" s="28" t="s">
        <v>104</v>
      </c>
      <c r="AK39" s="28" t="s">
        <v>104</v>
      </c>
      <c r="AL39" s="28" t="s">
        <v>104</v>
      </c>
      <c r="AM39" s="28" t="s">
        <v>104</v>
      </c>
      <c r="AN39" s="25" t="s">
        <v>105</v>
      </c>
      <c r="AO39" s="25" t="s">
        <v>105</v>
      </c>
      <c r="AP39" s="28" t="s">
        <v>104</v>
      </c>
      <c r="AQ39" s="28" t="s">
        <v>104</v>
      </c>
      <c r="AR39" s="25" t="s">
        <v>105</v>
      </c>
      <c r="AS39" s="27" t="s">
        <v>106</v>
      </c>
      <c r="AT39" s="28" t="s">
        <v>104</v>
      </c>
      <c r="AU39" s="28" t="s">
        <v>104</v>
      </c>
      <c r="AV39" s="28" t="s">
        <v>104</v>
      </c>
      <c r="AW39" s="28" t="s">
        <v>104</v>
      </c>
      <c r="AX39" s="28" t="s">
        <v>104</v>
      </c>
      <c r="AY39" s="28" t="s">
        <v>104</v>
      </c>
      <c r="AZ39" s="28" t="s">
        <v>104</v>
      </c>
      <c r="BA39" s="26" t="s">
        <v>107</v>
      </c>
      <c r="BB39" s="28" t="s">
        <v>104</v>
      </c>
      <c r="BC39" s="28" t="s">
        <v>104</v>
      </c>
      <c r="BD39" s="25" t="s">
        <v>105</v>
      </c>
      <c r="BE39" s="25" t="s">
        <v>105</v>
      </c>
      <c r="BF39" s="25" t="s">
        <v>105</v>
      </c>
      <c r="BG39" s="25" t="s">
        <v>105</v>
      </c>
      <c r="BH39" s="28" t="s">
        <v>104</v>
      </c>
      <c r="BI39" s="28" t="s">
        <v>104</v>
      </c>
      <c r="BJ39" s="28" t="s">
        <v>104</v>
      </c>
      <c r="BK39" s="28" t="s">
        <v>104</v>
      </c>
      <c r="BL39" s="28" t="s">
        <v>104</v>
      </c>
      <c r="BM39" s="28" t="s">
        <v>104</v>
      </c>
      <c r="BN39" s="28" t="s">
        <v>104</v>
      </c>
    </row>
    <row r="40" spans="1:66">
      <c r="A40" s="24" t="s">
        <v>505</v>
      </c>
      <c r="B40" s="24" t="s">
        <v>506</v>
      </c>
      <c r="C40" s="25" t="s">
        <v>105</v>
      </c>
      <c r="D40" s="28" t="s">
        <v>104</v>
      </c>
      <c r="E40" s="25" t="s">
        <v>105</v>
      </c>
      <c r="F40" s="26" t="s">
        <v>107</v>
      </c>
      <c r="G40" s="28" t="s">
        <v>104</v>
      </c>
      <c r="H40" s="25" t="s">
        <v>105</v>
      </c>
      <c r="I40" s="27" t="s">
        <v>106</v>
      </c>
      <c r="J40" s="25" t="s">
        <v>105</v>
      </c>
      <c r="K40" s="25" t="s">
        <v>105</v>
      </c>
      <c r="L40" s="25" t="s">
        <v>105</v>
      </c>
      <c r="M40" s="27" t="s">
        <v>106</v>
      </c>
      <c r="N40" s="27" t="s">
        <v>106</v>
      </c>
      <c r="O40" s="27" t="s">
        <v>106</v>
      </c>
      <c r="P40" s="28" t="s">
        <v>104</v>
      </c>
      <c r="Q40" s="28" t="s">
        <v>104</v>
      </c>
      <c r="R40" s="27" t="s">
        <v>106</v>
      </c>
      <c r="S40" s="28" t="s">
        <v>104</v>
      </c>
      <c r="T40" s="27" t="s">
        <v>106</v>
      </c>
      <c r="U40" s="28" t="s">
        <v>104</v>
      </c>
      <c r="V40" s="28" t="s">
        <v>104</v>
      </c>
      <c r="W40" s="26" t="s">
        <v>107</v>
      </c>
      <c r="X40" s="28" t="s">
        <v>104</v>
      </c>
      <c r="Y40" s="25" t="s">
        <v>105</v>
      </c>
      <c r="Z40" s="28" t="s">
        <v>104</v>
      </c>
      <c r="AA40" s="28" t="s">
        <v>104</v>
      </c>
      <c r="AB40" s="28" t="s">
        <v>104</v>
      </c>
      <c r="AC40" s="28" t="s">
        <v>104</v>
      </c>
      <c r="AD40" s="28" t="s">
        <v>104</v>
      </c>
      <c r="AE40" s="28" t="s">
        <v>104</v>
      </c>
      <c r="AF40" s="28" t="s">
        <v>104</v>
      </c>
      <c r="AG40" s="26" t="s">
        <v>107</v>
      </c>
      <c r="AH40" s="28" t="s">
        <v>104</v>
      </c>
      <c r="AI40" s="25" t="s">
        <v>105</v>
      </c>
      <c r="AJ40" s="28" t="s">
        <v>104</v>
      </c>
      <c r="AK40" s="28" t="s">
        <v>104</v>
      </c>
      <c r="AL40" s="28" t="s">
        <v>104</v>
      </c>
      <c r="AM40" s="28" t="s">
        <v>104</v>
      </c>
      <c r="AN40" s="25" t="s">
        <v>105</v>
      </c>
      <c r="AO40" s="25" t="s">
        <v>105</v>
      </c>
      <c r="AP40" s="25" t="s">
        <v>105</v>
      </c>
      <c r="AQ40" s="28" t="s">
        <v>104</v>
      </c>
      <c r="AR40" s="25" t="s">
        <v>105</v>
      </c>
      <c r="AS40" s="27" t="s">
        <v>106</v>
      </c>
      <c r="AT40" s="25" t="s">
        <v>105</v>
      </c>
      <c r="AU40" s="28" t="s">
        <v>104</v>
      </c>
      <c r="AV40" s="28" t="s">
        <v>104</v>
      </c>
      <c r="AW40" s="28" t="s">
        <v>104</v>
      </c>
      <c r="AX40" s="28" t="s">
        <v>104</v>
      </c>
      <c r="AY40" s="28" t="s">
        <v>104</v>
      </c>
      <c r="AZ40" s="28" t="s">
        <v>104</v>
      </c>
      <c r="BA40" s="26" t="s">
        <v>107</v>
      </c>
      <c r="BB40" s="28" t="s">
        <v>104</v>
      </c>
      <c r="BC40" s="28" t="s">
        <v>104</v>
      </c>
      <c r="BD40" s="25" t="s">
        <v>105</v>
      </c>
      <c r="BE40" s="25" t="s">
        <v>105</v>
      </c>
      <c r="BF40" s="25" t="s">
        <v>105</v>
      </c>
      <c r="BG40" s="25" t="s">
        <v>105</v>
      </c>
      <c r="BH40" s="28" t="s">
        <v>104</v>
      </c>
      <c r="BI40" s="28" t="s">
        <v>104</v>
      </c>
      <c r="BJ40" s="28" t="s">
        <v>104</v>
      </c>
      <c r="BK40" s="28" t="s">
        <v>104</v>
      </c>
      <c r="BL40" s="28" t="s">
        <v>104</v>
      </c>
      <c r="BM40" s="28" t="s">
        <v>104</v>
      </c>
      <c r="BN40" s="25" t="s">
        <v>105</v>
      </c>
    </row>
    <row r="41" spans="1:66">
      <c r="A41" s="24" t="s">
        <v>507</v>
      </c>
      <c r="B41" s="24" t="s">
        <v>508</v>
      </c>
      <c r="C41" s="25" t="s">
        <v>105</v>
      </c>
      <c r="D41" s="28" t="s">
        <v>104</v>
      </c>
      <c r="E41" s="25" t="s">
        <v>105</v>
      </c>
      <c r="F41" s="26" t="s">
        <v>107</v>
      </c>
      <c r="G41" s="25" t="s">
        <v>105</v>
      </c>
      <c r="H41" s="25" t="s">
        <v>105</v>
      </c>
      <c r="I41" s="27" t="s">
        <v>106</v>
      </c>
      <c r="J41" s="25" t="s">
        <v>105</v>
      </c>
      <c r="K41" s="25" t="s">
        <v>105</v>
      </c>
      <c r="L41" s="25" t="s">
        <v>105</v>
      </c>
      <c r="M41" s="27" t="s">
        <v>106</v>
      </c>
      <c r="N41" s="27" t="s">
        <v>106</v>
      </c>
      <c r="O41" s="27" t="s">
        <v>106</v>
      </c>
      <c r="P41" s="28" t="s">
        <v>104</v>
      </c>
      <c r="Q41" s="28" t="s">
        <v>104</v>
      </c>
      <c r="R41" s="27" t="s">
        <v>106</v>
      </c>
      <c r="S41" s="28" t="s">
        <v>104</v>
      </c>
      <c r="T41" s="27" t="s">
        <v>106</v>
      </c>
      <c r="U41" s="28" t="s">
        <v>104</v>
      </c>
      <c r="V41" s="28" t="s">
        <v>104</v>
      </c>
      <c r="W41" s="26" t="s">
        <v>107</v>
      </c>
      <c r="X41" s="28" t="s">
        <v>104</v>
      </c>
      <c r="Y41" s="25" t="s">
        <v>105</v>
      </c>
      <c r="Z41" s="28" t="s">
        <v>104</v>
      </c>
      <c r="AA41" s="28" t="s">
        <v>104</v>
      </c>
      <c r="AB41" s="28" t="s">
        <v>104</v>
      </c>
      <c r="AC41" s="28" t="s">
        <v>104</v>
      </c>
      <c r="AD41" s="28" t="s">
        <v>104</v>
      </c>
      <c r="AE41" s="28" t="s">
        <v>104</v>
      </c>
      <c r="AF41" s="28" t="s">
        <v>104</v>
      </c>
      <c r="AG41" s="26" t="s">
        <v>107</v>
      </c>
      <c r="AH41" s="28" t="s">
        <v>104</v>
      </c>
      <c r="AI41" s="25" t="s">
        <v>105</v>
      </c>
      <c r="AJ41" s="28" t="s">
        <v>104</v>
      </c>
      <c r="AK41" s="28" t="s">
        <v>104</v>
      </c>
      <c r="AL41" s="28" t="s">
        <v>104</v>
      </c>
      <c r="AM41" s="28" t="s">
        <v>104</v>
      </c>
      <c r="AN41" s="25" t="s">
        <v>105</v>
      </c>
      <c r="AO41" s="25" t="s">
        <v>105</v>
      </c>
      <c r="AP41" s="25" t="s">
        <v>105</v>
      </c>
      <c r="AQ41" s="28" t="s">
        <v>104</v>
      </c>
      <c r="AR41" s="25" t="s">
        <v>105</v>
      </c>
      <c r="AS41" s="27" t="s">
        <v>106</v>
      </c>
      <c r="AT41" s="25" t="s">
        <v>105</v>
      </c>
      <c r="AU41" s="28" t="s">
        <v>104</v>
      </c>
      <c r="AV41" s="28" t="s">
        <v>104</v>
      </c>
      <c r="AW41" s="28" t="s">
        <v>104</v>
      </c>
      <c r="AX41" s="28" t="s">
        <v>104</v>
      </c>
      <c r="AY41" s="28" t="s">
        <v>104</v>
      </c>
      <c r="AZ41" s="28" t="s">
        <v>104</v>
      </c>
      <c r="BA41" s="26" t="s">
        <v>107</v>
      </c>
      <c r="BB41" s="28" t="s">
        <v>104</v>
      </c>
      <c r="BC41" s="28" t="s">
        <v>104</v>
      </c>
      <c r="BD41" s="25" t="s">
        <v>105</v>
      </c>
      <c r="BE41" s="25" t="s">
        <v>105</v>
      </c>
      <c r="BF41" s="25" t="s">
        <v>105</v>
      </c>
      <c r="BG41" s="25" t="s">
        <v>105</v>
      </c>
      <c r="BH41" s="28" t="s">
        <v>104</v>
      </c>
      <c r="BI41" s="28" t="s">
        <v>104</v>
      </c>
      <c r="BJ41" s="28" t="s">
        <v>104</v>
      </c>
      <c r="BK41" s="28" t="s">
        <v>104</v>
      </c>
      <c r="BL41" s="28" t="s">
        <v>104</v>
      </c>
      <c r="BM41" s="28" t="s">
        <v>104</v>
      </c>
      <c r="BN41" s="25" t="s">
        <v>105</v>
      </c>
    </row>
    <row r="42" spans="1:66">
      <c r="A42" s="24" t="s">
        <v>509</v>
      </c>
      <c r="B42" s="24" t="s">
        <v>510</v>
      </c>
      <c r="C42" s="28" t="s">
        <v>104</v>
      </c>
      <c r="D42" s="28" t="s">
        <v>104</v>
      </c>
      <c r="E42" s="25" t="s">
        <v>105</v>
      </c>
      <c r="F42" s="28" t="s">
        <v>104</v>
      </c>
      <c r="G42" s="28" t="s">
        <v>104</v>
      </c>
      <c r="H42" s="25" t="s">
        <v>105</v>
      </c>
      <c r="I42" s="28" t="s">
        <v>104</v>
      </c>
      <c r="J42" s="25" t="s">
        <v>105</v>
      </c>
      <c r="K42" s="25" t="s">
        <v>105</v>
      </c>
      <c r="L42" s="25" t="s">
        <v>105</v>
      </c>
      <c r="M42" s="27" t="s">
        <v>106</v>
      </c>
      <c r="N42" s="25" t="s">
        <v>105</v>
      </c>
      <c r="O42" s="27" t="s">
        <v>106</v>
      </c>
      <c r="P42" s="28" t="s">
        <v>104</v>
      </c>
      <c r="Q42" s="28" t="s">
        <v>104</v>
      </c>
      <c r="R42" s="27" t="s">
        <v>106</v>
      </c>
      <c r="S42" s="28" t="s">
        <v>104</v>
      </c>
      <c r="T42" s="27" t="s">
        <v>106</v>
      </c>
      <c r="U42" s="28" t="s">
        <v>104</v>
      </c>
      <c r="V42" s="28" t="s">
        <v>104</v>
      </c>
      <c r="W42" s="26" t="s">
        <v>107</v>
      </c>
      <c r="X42" s="28" t="s">
        <v>104</v>
      </c>
      <c r="Y42" s="25" t="s">
        <v>105</v>
      </c>
      <c r="Z42" s="28" t="s">
        <v>104</v>
      </c>
      <c r="AA42" s="28" t="s">
        <v>104</v>
      </c>
      <c r="AB42" s="28" t="s">
        <v>104</v>
      </c>
      <c r="AC42" s="28" t="s">
        <v>104</v>
      </c>
      <c r="AD42" s="28" t="s">
        <v>104</v>
      </c>
      <c r="AE42" s="28" t="s">
        <v>104</v>
      </c>
      <c r="AF42" s="28" t="s">
        <v>104</v>
      </c>
      <c r="AG42" s="25" t="s">
        <v>105</v>
      </c>
      <c r="AH42" s="28" t="s">
        <v>104</v>
      </c>
      <c r="AI42" s="25" t="s">
        <v>105</v>
      </c>
      <c r="AJ42" s="28" t="s">
        <v>104</v>
      </c>
      <c r="AK42" s="28" t="s">
        <v>104</v>
      </c>
      <c r="AL42" s="28" t="s">
        <v>104</v>
      </c>
      <c r="AM42" s="28" t="s">
        <v>104</v>
      </c>
      <c r="AN42" s="25" t="s">
        <v>105</v>
      </c>
      <c r="AO42" s="25" t="s">
        <v>105</v>
      </c>
      <c r="AP42" s="25" t="s">
        <v>105</v>
      </c>
      <c r="AQ42" s="25" t="s">
        <v>105</v>
      </c>
      <c r="AR42" s="25" t="s">
        <v>105</v>
      </c>
      <c r="AS42" s="27" t="s">
        <v>106</v>
      </c>
      <c r="AT42" s="26" t="s">
        <v>107</v>
      </c>
      <c r="AU42" s="28" t="s">
        <v>104</v>
      </c>
      <c r="AV42" s="28" t="s">
        <v>104</v>
      </c>
      <c r="AW42" s="28" t="s">
        <v>104</v>
      </c>
      <c r="AX42" s="28" t="s">
        <v>104</v>
      </c>
      <c r="AY42" s="28" t="s">
        <v>104</v>
      </c>
      <c r="AZ42" s="28" t="s">
        <v>104</v>
      </c>
      <c r="BA42" s="28" t="s">
        <v>104</v>
      </c>
      <c r="BB42" s="28" t="s">
        <v>104</v>
      </c>
      <c r="BC42" s="25" t="s">
        <v>105</v>
      </c>
      <c r="BD42" s="25" t="s">
        <v>105</v>
      </c>
      <c r="BE42" s="25" t="s">
        <v>105</v>
      </c>
      <c r="BF42" s="25" t="s">
        <v>105</v>
      </c>
      <c r="BG42" s="25" t="s">
        <v>105</v>
      </c>
      <c r="BH42" s="28" t="s">
        <v>104</v>
      </c>
      <c r="BI42" s="28" t="s">
        <v>104</v>
      </c>
      <c r="BJ42" s="28" t="s">
        <v>104</v>
      </c>
      <c r="BK42" s="28" t="s">
        <v>104</v>
      </c>
      <c r="BL42" s="28" t="s">
        <v>104</v>
      </c>
      <c r="BM42" s="25" t="s">
        <v>105</v>
      </c>
      <c r="BN42" s="25" t="s">
        <v>105</v>
      </c>
    </row>
    <row r="43" spans="1:66">
      <c r="A43" s="24" t="s">
        <v>513</v>
      </c>
      <c r="B43" s="24" t="s">
        <v>514</v>
      </c>
      <c r="C43" s="28" t="s">
        <v>104</v>
      </c>
      <c r="D43" s="28" t="s">
        <v>104</v>
      </c>
      <c r="E43" s="25" t="s">
        <v>105</v>
      </c>
      <c r="F43" s="28" t="s">
        <v>104</v>
      </c>
      <c r="G43" s="28" t="s">
        <v>104</v>
      </c>
      <c r="H43" s="25" t="s">
        <v>105</v>
      </c>
      <c r="I43" s="27" t="s">
        <v>106</v>
      </c>
      <c r="J43" s="25" t="s">
        <v>105</v>
      </c>
      <c r="K43" s="25" t="s">
        <v>105</v>
      </c>
      <c r="L43" s="25" t="s">
        <v>105</v>
      </c>
      <c r="M43" s="25" t="s">
        <v>105</v>
      </c>
      <c r="N43" s="27" t="s">
        <v>106</v>
      </c>
      <c r="O43" s="25" t="s">
        <v>105</v>
      </c>
      <c r="P43" s="28" t="s">
        <v>104</v>
      </c>
      <c r="Q43" s="28" t="s">
        <v>104</v>
      </c>
      <c r="R43" s="27" t="s">
        <v>106</v>
      </c>
      <c r="S43" s="28" t="s">
        <v>104</v>
      </c>
      <c r="T43" s="25" t="s">
        <v>105</v>
      </c>
      <c r="U43" s="28" t="s">
        <v>104</v>
      </c>
      <c r="V43" s="28" t="s">
        <v>104</v>
      </c>
      <c r="W43" s="27" t="s">
        <v>106</v>
      </c>
      <c r="X43" s="28" t="s">
        <v>104</v>
      </c>
      <c r="Y43" s="28" t="s">
        <v>104</v>
      </c>
      <c r="Z43" s="28" t="s">
        <v>104</v>
      </c>
      <c r="AA43" s="28" t="s">
        <v>104</v>
      </c>
      <c r="AB43" s="28" t="s">
        <v>104</v>
      </c>
      <c r="AC43" s="28" t="s">
        <v>104</v>
      </c>
      <c r="AD43" s="28" t="s">
        <v>104</v>
      </c>
      <c r="AE43" s="28" t="s">
        <v>104</v>
      </c>
      <c r="AF43" s="28" t="s">
        <v>104</v>
      </c>
      <c r="AG43" s="25" t="s">
        <v>105</v>
      </c>
      <c r="AH43" s="28" t="s">
        <v>104</v>
      </c>
      <c r="AI43" s="25" t="s">
        <v>105</v>
      </c>
      <c r="AJ43" s="28" t="s">
        <v>104</v>
      </c>
      <c r="AK43" s="28" t="s">
        <v>104</v>
      </c>
      <c r="AL43" s="28" t="s">
        <v>104</v>
      </c>
      <c r="AM43" s="28" t="s">
        <v>104</v>
      </c>
      <c r="AN43" s="25" t="s">
        <v>105</v>
      </c>
      <c r="AO43" s="25" t="s">
        <v>105</v>
      </c>
      <c r="AP43" s="25" t="s">
        <v>105</v>
      </c>
      <c r="AQ43" s="25" t="s">
        <v>105</v>
      </c>
      <c r="AR43" s="25" t="s">
        <v>105</v>
      </c>
      <c r="AS43" s="27" t="s">
        <v>106</v>
      </c>
      <c r="AT43" s="26" t="s">
        <v>107</v>
      </c>
      <c r="AU43" s="28" t="s">
        <v>104</v>
      </c>
      <c r="AV43" s="28" t="s">
        <v>104</v>
      </c>
      <c r="AW43" s="28" t="s">
        <v>104</v>
      </c>
      <c r="AX43" s="28" t="s">
        <v>104</v>
      </c>
      <c r="AY43" s="28" t="s">
        <v>104</v>
      </c>
      <c r="AZ43" s="28" t="s">
        <v>104</v>
      </c>
      <c r="BA43" s="28" t="s">
        <v>104</v>
      </c>
      <c r="BB43" s="28" t="s">
        <v>104</v>
      </c>
      <c r="BC43" s="28" t="s">
        <v>104</v>
      </c>
      <c r="BD43" s="25" t="s">
        <v>105</v>
      </c>
      <c r="BE43" s="25" t="s">
        <v>105</v>
      </c>
      <c r="BF43" s="25" t="s">
        <v>105</v>
      </c>
      <c r="BG43" s="25" t="s">
        <v>105</v>
      </c>
      <c r="BH43" s="28" t="s">
        <v>104</v>
      </c>
      <c r="BI43" s="28" t="s">
        <v>104</v>
      </c>
      <c r="BJ43" s="28" t="s">
        <v>104</v>
      </c>
      <c r="BK43" s="28" t="s">
        <v>104</v>
      </c>
      <c r="BL43" s="28" t="s">
        <v>104</v>
      </c>
      <c r="BM43" s="25" t="s">
        <v>105</v>
      </c>
      <c r="BN43" s="28" t="s">
        <v>104</v>
      </c>
    </row>
    <row r="44" spans="1:66">
      <c r="A44" s="24" t="s">
        <v>515</v>
      </c>
      <c r="B44" s="24" t="s">
        <v>516</v>
      </c>
      <c r="C44" s="28" t="s">
        <v>104</v>
      </c>
      <c r="D44" s="28" t="s">
        <v>104</v>
      </c>
      <c r="E44" s="28" t="s">
        <v>104</v>
      </c>
      <c r="F44" s="28" t="s">
        <v>104</v>
      </c>
      <c r="G44" s="28" t="s">
        <v>104</v>
      </c>
      <c r="H44" s="25" t="s">
        <v>105</v>
      </c>
      <c r="I44" s="27" t="s">
        <v>106</v>
      </c>
      <c r="J44" s="25" t="s">
        <v>105</v>
      </c>
      <c r="K44" s="25" t="s">
        <v>105</v>
      </c>
      <c r="L44" s="25" t="s">
        <v>105</v>
      </c>
      <c r="M44" s="25" t="s">
        <v>105</v>
      </c>
      <c r="N44" s="27" t="s">
        <v>106</v>
      </c>
      <c r="O44" s="27" t="s">
        <v>106</v>
      </c>
      <c r="P44" s="28" t="s">
        <v>104</v>
      </c>
      <c r="Q44" s="28" t="s">
        <v>104</v>
      </c>
      <c r="R44" s="27" t="s">
        <v>106</v>
      </c>
      <c r="S44" s="28" t="s">
        <v>104</v>
      </c>
      <c r="T44" s="27" t="s">
        <v>106</v>
      </c>
      <c r="U44" s="28" t="s">
        <v>104</v>
      </c>
      <c r="V44" s="28" t="s">
        <v>104</v>
      </c>
      <c r="W44" s="26" t="s">
        <v>107</v>
      </c>
      <c r="X44" s="28" t="s">
        <v>104</v>
      </c>
      <c r="Y44" s="28" t="s">
        <v>104</v>
      </c>
      <c r="Z44" s="28" t="s">
        <v>104</v>
      </c>
      <c r="AA44" s="28" t="s">
        <v>104</v>
      </c>
      <c r="AB44" s="28" t="s">
        <v>104</v>
      </c>
      <c r="AC44" s="28" t="s">
        <v>104</v>
      </c>
      <c r="AD44" s="28" t="s">
        <v>104</v>
      </c>
      <c r="AE44" s="28" t="s">
        <v>104</v>
      </c>
      <c r="AF44" s="28" t="s">
        <v>104</v>
      </c>
      <c r="AG44" s="26" t="s">
        <v>107</v>
      </c>
      <c r="AH44" s="28" t="s">
        <v>104</v>
      </c>
      <c r="AI44" s="25" t="s">
        <v>105</v>
      </c>
      <c r="AJ44" s="28" t="s">
        <v>104</v>
      </c>
      <c r="AK44" s="28" t="s">
        <v>104</v>
      </c>
      <c r="AL44" s="28" t="s">
        <v>104</v>
      </c>
      <c r="AM44" s="28" t="s">
        <v>104</v>
      </c>
      <c r="AN44" s="25" t="s">
        <v>105</v>
      </c>
      <c r="AO44" s="25" t="s">
        <v>105</v>
      </c>
      <c r="AP44" s="25" t="s">
        <v>105</v>
      </c>
      <c r="AQ44" s="25" t="s">
        <v>105</v>
      </c>
      <c r="AR44" s="25" t="s">
        <v>105</v>
      </c>
      <c r="AS44" s="27" t="s">
        <v>106</v>
      </c>
      <c r="AT44" s="26" t="s">
        <v>107</v>
      </c>
      <c r="AU44" s="28" t="s">
        <v>104</v>
      </c>
      <c r="AV44" s="28" t="s">
        <v>104</v>
      </c>
      <c r="AW44" s="28" t="s">
        <v>104</v>
      </c>
      <c r="AX44" s="28" t="s">
        <v>104</v>
      </c>
      <c r="AY44" s="28" t="s">
        <v>104</v>
      </c>
      <c r="AZ44" s="28" t="s">
        <v>104</v>
      </c>
      <c r="BA44" s="26" t="s">
        <v>107</v>
      </c>
      <c r="BB44" s="28" t="s">
        <v>104</v>
      </c>
      <c r="BC44" s="25" t="s">
        <v>105</v>
      </c>
      <c r="BD44" s="25" t="s">
        <v>105</v>
      </c>
      <c r="BE44" s="25" t="s">
        <v>105</v>
      </c>
      <c r="BF44" s="25" t="s">
        <v>105</v>
      </c>
      <c r="BG44" s="25" t="s">
        <v>105</v>
      </c>
      <c r="BH44" s="28" t="s">
        <v>104</v>
      </c>
      <c r="BI44" s="28" t="s">
        <v>104</v>
      </c>
      <c r="BJ44" s="28" t="s">
        <v>104</v>
      </c>
      <c r="BK44" s="28" t="s">
        <v>104</v>
      </c>
      <c r="BL44" s="28" t="s">
        <v>104</v>
      </c>
      <c r="BM44" s="25" t="s">
        <v>105</v>
      </c>
      <c r="BN44" s="25" t="s">
        <v>105</v>
      </c>
    </row>
    <row r="45" spans="1:66">
      <c r="A45" s="24" t="s">
        <v>517</v>
      </c>
      <c r="B45" s="24" t="s">
        <v>518</v>
      </c>
      <c r="C45" s="28" t="s">
        <v>104</v>
      </c>
      <c r="D45" s="28" t="s">
        <v>104</v>
      </c>
      <c r="E45" s="28" t="s">
        <v>104</v>
      </c>
      <c r="F45" s="28" t="s">
        <v>104</v>
      </c>
      <c r="G45" s="28" t="s">
        <v>104</v>
      </c>
      <c r="H45" s="25" t="s">
        <v>105</v>
      </c>
      <c r="I45" s="27" t="s">
        <v>106</v>
      </c>
      <c r="J45" s="25" t="s">
        <v>105</v>
      </c>
      <c r="K45" s="25" t="s">
        <v>105</v>
      </c>
      <c r="L45" s="25" t="s">
        <v>105</v>
      </c>
      <c r="M45" s="27" t="s">
        <v>106</v>
      </c>
      <c r="N45" s="27" t="s">
        <v>106</v>
      </c>
      <c r="O45" s="27" t="s">
        <v>106</v>
      </c>
      <c r="P45" s="27" t="s">
        <v>106</v>
      </c>
      <c r="Q45" s="28" t="s">
        <v>104</v>
      </c>
      <c r="R45" s="25" t="s">
        <v>105</v>
      </c>
      <c r="S45" s="28" t="s">
        <v>104</v>
      </c>
      <c r="T45" s="27" t="s">
        <v>106</v>
      </c>
      <c r="U45" s="28" t="s">
        <v>104</v>
      </c>
      <c r="V45" s="28" t="s">
        <v>104</v>
      </c>
      <c r="W45" s="26" t="s">
        <v>107</v>
      </c>
      <c r="X45" s="28" t="s">
        <v>104</v>
      </c>
      <c r="Y45" s="28" t="s">
        <v>104</v>
      </c>
      <c r="Z45" s="28" t="s">
        <v>104</v>
      </c>
      <c r="AA45" s="28" t="s">
        <v>104</v>
      </c>
      <c r="AB45" s="28" t="s">
        <v>104</v>
      </c>
      <c r="AC45" s="28" t="s">
        <v>104</v>
      </c>
      <c r="AD45" s="28" t="s">
        <v>104</v>
      </c>
      <c r="AE45" s="28" t="s">
        <v>104</v>
      </c>
      <c r="AF45" s="28" t="s">
        <v>104</v>
      </c>
      <c r="AG45" s="26" t="s">
        <v>107</v>
      </c>
      <c r="AH45" s="28" t="s">
        <v>104</v>
      </c>
      <c r="AI45" s="25" t="s">
        <v>105</v>
      </c>
      <c r="AJ45" s="28" t="s">
        <v>104</v>
      </c>
      <c r="AK45" s="28" t="s">
        <v>104</v>
      </c>
      <c r="AL45" s="28" t="s">
        <v>104</v>
      </c>
      <c r="AM45" s="28" t="s">
        <v>104</v>
      </c>
      <c r="AN45" s="25" t="s">
        <v>105</v>
      </c>
      <c r="AO45" s="25" t="s">
        <v>105</v>
      </c>
      <c r="AP45" s="25" t="s">
        <v>105</v>
      </c>
      <c r="AQ45" s="28" t="s">
        <v>104</v>
      </c>
      <c r="AR45" s="25" t="s">
        <v>105</v>
      </c>
      <c r="AS45" s="27" t="s">
        <v>106</v>
      </c>
      <c r="AT45" s="26" t="s">
        <v>107</v>
      </c>
      <c r="AU45" s="28" t="s">
        <v>104</v>
      </c>
      <c r="AV45" s="28" t="s">
        <v>104</v>
      </c>
      <c r="AW45" s="28" t="s">
        <v>104</v>
      </c>
      <c r="AX45" s="28" t="s">
        <v>104</v>
      </c>
      <c r="AY45" s="28" t="s">
        <v>104</v>
      </c>
      <c r="AZ45" s="28" t="s">
        <v>104</v>
      </c>
      <c r="BA45" s="28" t="s">
        <v>104</v>
      </c>
      <c r="BB45" s="28" t="s">
        <v>104</v>
      </c>
      <c r="BC45" s="25" t="s">
        <v>105</v>
      </c>
      <c r="BD45" s="25" t="s">
        <v>105</v>
      </c>
      <c r="BE45" s="25" t="s">
        <v>105</v>
      </c>
      <c r="BF45" s="25" t="s">
        <v>105</v>
      </c>
      <c r="BG45" s="25" t="s">
        <v>105</v>
      </c>
      <c r="BH45" s="28" t="s">
        <v>104</v>
      </c>
      <c r="BI45" s="28" t="s">
        <v>104</v>
      </c>
      <c r="BJ45" s="28" t="s">
        <v>104</v>
      </c>
      <c r="BK45" s="28" t="s">
        <v>104</v>
      </c>
      <c r="BL45" s="28" t="s">
        <v>104</v>
      </c>
      <c r="BM45" s="28" t="s">
        <v>104</v>
      </c>
      <c r="BN45" s="28" t="s">
        <v>104</v>
      </c>
    </row>
    <row r="46" spans="1:66">
      <c r="A46" s="24" t="s">
        <v>519</v>
      </c>
      <c r="B46" s="24" t="s">
        <v>520</v>
      </c>
      <c r="C46" s="25" t="s">
        <v>105</v>
      </c>
      <c r="D46" s="28" t="s">
        <v>104</v>
      </c>
      <c r="E46" s="25" t="s">
        <v>105</v>
      </c>
      <c r="F46" s="28" t="s">
        <v>104</v>
      </c>
      <c r="G46" s="28" t="s">
        <v>104</v>
      </c>
      <c r="H46" s="25" t="s">
        <v>105</v>
      </c>
      <c r="I46" s="27" t="s">
        <v>106</v>
      </c>
      <c r="J46" s="25" t="s">
        <v>105</v>
      </c>
      <c r="K46" s="25" t="s">
        <v>105</v>
      </c>
      <c r="L46" s="25" t="s">
        <v>105</v>
      </c>
      <c r="M46" s="28" t="s">
        <v>104</v>
      </c>
      <c r="N46" s="27" t="s">
        <v>106</v>
      </c>
      <c r="O46" s="27" t="s">
        <v>106</v>
      </c>
      <c r="P46" s="28" t="s">
        <v>104</v>
      </c>
      <c r="Q46" s="28" t="s">
        <v>104</v>
      </c>
      <c r="R46" s="27" t="s">
        <v>106</v>
      </c>
      <c r="S46" s="28" t="s">
        <v>104</v>
      </c>
      <c r="T46" s="27" t="s">
        <v>106</v>
      </c>
      <c r="U46" s="28" t="s">
        <v>104</v>
      </c>
      <c r="V46" s="28" t="s">
        <v>104</v>
      </c>
      <c r="W46" s="26" t="s">
        <v>107</v>
      </c>
      <c r="X46" s="28" t="s">
        <v>104</v>
      </c>
      <c r="Y46" s="25" t="s">
        <v>105</v>
      </c>
      <c r="Z46" s="28" t="s">
        <v>104</v>
      </c>
      <c r="AA46" s="28" t="s">
        <v>104</v>
      </c>
      <c r="AB46" s="28" t="s">
        <v>104</v>
      </c>
      <c r="AC46" s="28" t="s">
        <v>104</v>
      </c>
      <c r="AD46" s="28" t="s">
        <v>104</v>
      </c>
      <c r="AE46" s="28" t="s">
        <v>104</v>
      </c>
      <c r="AF46" s="28" t="s">
        <v>104</v>
      </c>
      <c r="AG46" s="25" t="s">
        <v>105</v>
      </c>
      <c r="AH46" s="28" t="s">
        <v>104</v>
      </c>
      <c r="AI46" s="25" t="s">
        <v>105</v>
      </c>
      <c r="AJ46" s="28" t="s">
        <v>104</v>
      </c>
      <c r="AK46" s="28" t="s">
        <v>104</v>
      </c>
      <c r="AL46" s="28" t="s">
        <v>104</v>
      </c>
      <c r="AM46" s="28" t="s">
        <v>104</v>
      </c>
      <c r="AN46" s="25" t="s">
        <v>105</v>
      </c>
      <c r="AO46" s="25" t="s">
        <v>105</v>
      </c>
      <c r="AP46" s="25" t="s">
        <v>105</v>
      </c>
      <c r="AQ46" s="25" t="s">
        <v>105</v>
      </c>
      <c r="AR46" s="25" t="s">
        <v>105</v>
      </c>
      <c r="AS46" s="27" t="s">
        <v>106</v>
      </c>
      <c r="AT46" s="26" t="s">
        <v>107</v>
      </c>
      <c r="AU46" s="28" t="s">
        <v>104</v>
      </c>
      <c r="AV46" s="28" t="s">
        <v>104</v>
      </c>
      <c r="AW46" s="28" t="s">
        <v>104</v>
      </c>
      <c r="AX46" s="28" t="s">
        <v>104</v>
      </c>
      <c r="AY46" s="28" t="s">
        <v>104</v>
      </c>
      <c r="AZ46" s="28" t="s">
        <v>104</v>
      </c>
      <c r="BA46" s="26" t="s">
        <v>107</v>
      </c>
      <c r="BB46" s="28" t="s">
        <v>104</v>
      </c>
      <c r="BC46" s="25" t="s">
        <v>105</v>
      </c>
      <c r="BD46" s="25" t="s">
        <v>105</v>
      </c>
      <c r="BE46" s="25" t="s">
        <v>105</v>
      </c>
      <c r="BF46" s="25" t="s">
        <v>105</v>
      </c>
      <c r="BG46" s="25" t="s">
        <v>105</v>
      </c>
      <c r="BH46" s="28" t="s">
        <v>104</v>
      </c>
      <c r="BI46" s="28" t="s">
        <v>104</v>
      </c>
      <c r="BJ46" s="28" t="s">
        <v>104</v>
      </c>
      <c r="BK46" s="28" t="s">
        <v>104</v>
      </c>
      <c r="BL46" s="28" t="s">
        <v>104</v>
      </c>
      <c r="BM46" s="25" t="s">
        <v>105</v>
      </c>
      <c r="BN46" s="25" t="s">
        <v>105</v>
      </c>
    </row>
    <row r="47" spans="1:66">
      <c r="A47" s="24" t="s">
        <v>522</v>
      </c>
      <c r="B47" s="24" t="s">
        <v>327</v>
      </c>
      <c r="C47" s="28" t="s">
        <v>104</v>
      </c>
      <c r="D47" s="28" t="s">
        <v>104</v>
      </c>
      <c r="E47" s="28" t="s">
        <v>104</v>
      </c>
      <c r="F47" s="28" t="s">
        <v>104</v>
      </c>
      <c r="G47" s="28" t="s">
        <v>104</v>
      </c>
      <c r="H47" s="28" t="s">
        <v>104</v>
      </c>
      <c r="I47" s="27" t="s">
        <v>106</v>
      </c>
      <c r="J47" s="25" t="s">
        <v>105</v>
      </c>
      <c r="K47" s="25" t="s">
        <v>105</v>
      </c>
      <c r="L47" s="25" t="s">
        <v>105</v>
      </c>
      <c r="M47" s="28" t="s">
        <v>104</v>
      </c>
      <c r="N47" s="25" t="s">
        <v>105</v>
      </c>
      <c r="O47" s="27" t="s">
        <v>106</v>
      </c>
      <c r="P47" s="28" t="s">
        <v>104</v>
      </c>
      <c r="Q47" s="28" t="s">
        <v>104</v>
      </c>
      <c r="R47" s="27" t="s">
        <v>106</v>
      </c>
      <c r="S47" s="28" t="s">
        <v>104</v>
      </c>
      <c r="T47" s="25" t="s">
        <v>105</v>
      </c>
      <c r="U47" s="28" t="s">
        <v>104</v>
      </c>
      <c r="V47" s="28" t="s">
        <v>104</v>
      </c>
      <c r="W47" s="27" t="s">
        <v>106</v>
      </c>
      <c r="X47" s="28" t="s">
        <v>104</v>
      </c>
      <c r="Y47" s="28" t="s">
        <v>104</v>
      </c>
      <c r="Z47" s="28" t="s">
        <v>104</v>
      </c>
      <c r="AA47" s="28" t="s">
        <v>104</v>
      </c>
      <c r="AB47" s="28" t="s">
        <v>104</v>
      </c>
      <c r="AC47" s="28" t="s">
        <v>104</v>
      </c>
      <c r="AD47" s="28" t="s">
        <v>104</v>
      </c>
      <c r="AE47" s="28" t="s">
        <v>104</v>
      </c>
      <c r="AF47" s="28" t="s">
        <v>104</v>
      </c>
      <c r="AG47" s="25" t="s">
        <v>105</v>
      </c>
      <c r="AH47" s="28" t="s">
        <v>104</v>
      </c>
      <c r="AI47" s="28" t="s">
        <v>104</v>
      </c>
      <c r="AJ47" s="28" t="s">
        <v>104</v>
      </c>
      <c r="AK47" s="28" t="s">
        <v>104</v>
      </c>
      <c r="AL47" s="28" t="s">
        <v>104</v>
      </c>
      <c r="AM47" s="28" t="s">
        <v>104</v>
      </c>
      <c r="AN47" s="25" t="s">
        <v>105</v>
      </c>
      <c r="AO47" s="25" t="s">
        <v>105</v>
      </c>
      <c r="AP47" s="28" t="s">
        <v>104</v>
      </c>
      <c r="AQ47" s="25" t="s">
        <v>105</v>
      </c>
      <c r="AR47" s="25" t="s">
        <v>105</v>
      </c>
      <c r="AS47" s="27" t="s">
        <v>106</v>
      </c>
      <c r="AT47" s="28" t="s">
        <v>104</v>
      </c>
      <c r="AU47" s="28" t="s">
        <v>104</v>
      </c>
      <c r="AV47" s="28" t="s">
        <v>104</v>
      </c>
      <c r="AW47" s="28" t="s">
        <v>104</v>
      </c>
      <c r="AX47" s="28" t="s">
        <v>104</v>
      </c>
      <c r="AY47" s="28" t="s">
        <v>104</v>
      </c>
      <c r="AZ47" s="28" t="s">
        <v>104</v>
      </c>
      <c r="BA47" s="26" t="s">
        <v>107</v>
      </c>
      <c r="BB47" s="28" t="s">
        <v>104</v>
      </c>
      <c r="BC47" s="28" t="s">
        <v>104</v>
      </c>
      <c r="BD47" s="25" t="s">
        <v>105</v>
      </c>
      <c r="BE47" s="25" t="s">
        <v>105</v>
      </c>
      <c r="BF47" s="25" t="s">
        <v>105</v>
      </c>
      <c r="BG47" s="25" t="s">
        <v>105</v>
      </c>
      <c r="BH47" s="28" t="s">
        <v>104</v>
      </c>
      <c r="BI47" s="28" t="s">
        <v>104</v>
      </c>
      <c r="BJ47" s="28" t="s">
        <v>104</v>
      </c>
      <c r="BK47" s="28" t="s">
        <v>104</v>
      </c>
      <c r="BL47" s="28" t="s">
        <v>104</v>
      </c>
      <c r="BM47" s="28" t="s">
        <v>104</v>
      </c>
      <c r="BN47" s="25" t="s">
        <v>105</v>
      </c>
    </row>
    <row r="48" spans="1:66">
      <c r="A48" s="24" t="s">
        <v>523</v>
      </c>
      <c r="B48" s="24" t="s">
        <v>524</v>
      </c>
      <c r="C48" s="25" t="s">
        <v>105</v>
      </c>
      <c r="D48" s="28" t="s">
        <v>104</v>
      </c>
      <c r="E48" s="25" t="s">
        <v>105</v>
      </c>
      <c r="F48" s="28" t="s">
        <v>104</v>
      </c>
      <c r="G48" s="28" t="s">
        <v>104</v>
      </c>
      <c r="H48" s="25" t="s">
        <v>105</v>
      </c>
      <c r="I48" s="27" t="s">
        <v>106</v>
      </c>
      <c r="J48" s="25" t="s">
        <v>105</v>
      </c>
      <c r="K48" s="25" t="s">
        <v>105</v>
      </c>
      <c r="L48" s="25" t="s">
        <v>105</v>
      </c>
      <c r="M48" s="27" t="s">
        <v>106</v>
      </c>
      <c r="N48" s="25" t="s">
        <v>105</v>
      </c>
      <c r="O48" s="27" t="s">
        <v>106</v>
      </c>
      <c r="P48" s="28" t="s">
        <v>104</v>
      </c>
      <c r="Q48" s="28" t="s">
        <v>104</v>
      </c>
      <c r="R48" s="27" t="s">
        <v>106</v>
      </c>
      <c r="S48" s="28" t="s">
        <v>104</v>
      </c>
      <c r="T48" s="27" t="s">
        <v>106</v>
      </c>
      <c r="U48" s="28" t="s">
        <v>104</v>
      </c>
      <c r="V48" s="28" t="s">
        <v>104</v>
      </c>
      <c r="W48" s="26" t="s">
        <v>107</v>
      </c>
      <c r="X48" s="28" t="s">
        <v>104</v>
      </c>
      <c r="Y48" s="25" t="s">
        <v>105</v>
      </c>
      <c r="Z48" s="28" t="s">
        <v>104</v>
      </c>
      <c r="AA48" s="28" t="s">
        <v>104</v>
      </c>
      <c r="AB48" s="28" t="s">
        <v>104</v>
      </c>
      <c r="AC48" s="28" t="s">
        <v>104</v>
      </c>
      <c r="AD48" s="28" t="s">
        <v>104</v>
      </c>
      <c r="AE48" s="28" t="s">
        <v>104</v>
      </c>
      <c r="AF48" s="25" t="s">
        <v>105</v>
      </c>
      <c r="AG48" s="26" t="s">
        <v>107</v>
      </c>
      <c r="AH48" s="28" t="s">
        <v>104</v>
      </c>
      <c r="AI48" s="25" t="s">
        <v>105</v>
      </c>
      <c r="AJ48" s="28" t="s">
        <v>104</v>
      </c>
      <c r="AK48" s="28" t="s">
        <v>104</v>
      </c>
      <c r="AL48" s="28" t="s">
        <v>104</v>
      </c>
      <c r="AM48" s="28" t="s">
        <v>104</v>
      </c>
      <c r="AN48" s="25" t="s">
        <v>105</v>
      </c>
      <c r="AO48" s="25" t="s">
        <v>105</v>
      </c>
      <c r="AP48" s="25" t="s">
        <v>105</v>
      </c>
      <c r="AQ48" s="25" t="s">
        <v>105</v>
      </c>
      <c r="AR48" s="25" t="s">
        <v>105</v>
      </c>
      <c r="AS48" s="27" t="s">
        <v>106</v>
      </c>
      <c r="AT48" s="26" t="s">
        <v>107</v>
      </c>
      <c r="AU48" s="28" t="s">
        <v>104</v>
      </c>
      <c r="AV48" s="28" t="s">
        <v>104</v>
      </c>
      <c r="AW48" s="28" t="s">
        <v>104</v>
      </c>
      <c r="AX48" s="28" t="s">
        <v>104</v>
      </c>
      <c r="AY48" s="28" t="s">
        <v>104</v>
      </c>
      <c r="AZ48" s="28" t="s">
        <v>104</v>
      </c>
      <c r="BA48" s="26" t="s">
        <v>107</v>
      </c>
      <c r="BB48" s="28" t="s">
        <v>104</v>
      </c>
      <c r="BC48" s="25" t="s">
        <v>105</v>
      </c>
      <c r="BD48" s="25" t="s">
        <v>105</v>
      </c>
      <c r="BE48" s="25" t="s">
        <v>105</v>
      </c>
      <c r="BF48" s="25" t="s">
        <v>105</v>
      </c>
      <c r="BG48" s="25" t="s">
        <v>105</v>
      </c>
      <c r="BH48" s="28" t="s">
        <v>104</v>
      </c>
      <c r="BI48" s="28" t="s">
        <v>104</v>
      </c>
      <c r="BJ48" s="28" t="s">
        <v>104</v>
      </c>
      <c r="BK48" s="28" t="s">
        <v>104</v>
      </c>
      <c r="BL48" s="28" t="s">
        <v>104</v>
      </c>
      <c r="BM48" s="25" t="s">
        <v>105</v>
      </c>
      <c r="BN48" s="25" t="s">
        <v>105</v>
      </c>
    </row>
    <row r="49" spans="1:66">
      <c r="A49" s="24" t="s">
        <v>526</v>
      </c>
      <c r="B49" s="24" t="s">
        <v>527</v>
      </c>
      <c r="C49" s="25" t="s">
        <v>105</v>
      </c>
      <c r="D49" s="28" t="s">
        <v>104</v>
      </c>
      <c r="E49" s="25" t="s">
        <v>105</v>
      </c>
      <c r="F49" s="28" t="s">
        <v>104</v>
      </c>
      <c r="G49" s="28" t="s">
        <v>104</v>
      </c>
      <c r="H49" s="25" t="s">
        <v>105</v>
      </c>
      <c r="I49" s="28" t="s">
        <v>104</v>
      </c>
      <c r="J49" s="25" t="s">
        <v>105</v>
      </c>
      <c r="K49" s="25" t="s">
        <v>105</v>
      </c>
      <c r="L49" s="25" t="s">
        <v>105</v>
      </c>
      <c r="M49" s="28" t="s">
        <v>104</v>
      </c>
      <c r="N49" s="27" t="s">
        <v>106</v>
      </c>
      <c r="O49" s="27" t="s">
        <v>106</v>
      </c>
      <c r="P49" s="28" t="s">
        <v>104</v>
      </c>
      <c r="Q49" s="28" t="s">
        <v>104</v>
      </c>
      <c r="R49" s="27" t="s">
        <v>106</v>
      </c>
      <c r="S49" s="28" t="s">
        <v>104</v>
      </c>
      <c r="T49" s="27" t="s">
        <v>106</v>
      </c>
      <c r="U49" s="28" t="s">
        <v>104</v>
      </c>
      <c r="V49" s="28" t="s">
        <v>104</v>
      </c>
      <c r="W49" s="26" t="s">
        <v>107</v>
      </c>
      <c r="X49" s="28" t="s">
        <v>104</v>
      </c>
      <c r="Y49" s="25" t="s">
        <v>105</v>
      </c>
      <c r="Z49" s="28" t="s">
        <v>104</v>
      </c>
      <c r="AA49" s="28" t="s">
        <v>104</v>
      </c>
      <c r="AB49" s="28" t="s">
        <v>104</v>
      </c>
      <c r="AC49" s="28" t="s">
        <v>104</v>
      </c>
      <c r="AD49" s="28" t="s">
        <v>104</v>
      </c>
      <c r="AE49" s="28" t="s">
        <v>104</v>
      </c>
      <c r="AF49" s="25" t="s">
        <v>105</v>
      </c>
      <c r="AG49" s="25" t="s">
        <v>105</v>
      </c>
      <c r="AH49" s="25" t="s">
        <v>105</v>
      </c>
      <c r="AI49" s="25" t="s">
        <v>105</v>
      </c>
      <c r="AJ49" s="28" t="s">
        <v>104</v>
      </c>
      <c r="AK49" s="28" t="s">
        <v>104</v>
      </c>
      <c r="AL49" s="28" t="s">
        <v>104</v>
      </c>
      <c r="AM49" s="28" t="s">
        <v>104</v>
      </c>
      <c r="AN49" s="25" t="s">
        <v>105</v>
      </c>
      <c r="AO49" s="25" t="s">
        <v>105</v>
      </c>
      <c r="AP49" s="25" t="s">
        <v>105</v>
      </c>
      <c r="AQ49" s="25" t="s">
        <v>105</v>
      </c>
      <c r="AR49" s="25" t="s">
        <v>105</v>
      </c>
      <c r="AS49" s="27" t="s">
        <v>106</v>
      </c>
      <c r="AT49" s="26" t="s">
        <v>107</v>
      </c>
      <c r="AU49" s="28" t="s">
        <v>104</v>
      </c>
      <c r="AV49" s="28" t="s">
        <v>104</v>
      </c>
      <c r="AW49" s="28" t="s">
        <v>104</v>
      </c>
      <c r="AX49" s="28" t="s">
        <v>104</v>
      </c>
      <c r="AY49" s="28" t="s">
        <v>104</v>
      </c>
      <c r="AZ49" s="28" t="s">
        <v>104</v>
      </c>
      <c r="BA49" s="26" t="s">
        <v>107</v>
      </c>
      <c r="BB49" s="28" t="s">
        <v>104</v>
      </c>
      <c r="BC49" s="25" t="s">
        <v>105</v>
      </c>
      <c r="BD49" s="25" t="s">
        <v>105</v>
      </c>
      <c r="BE49" s="25" t="s">
        <v>105</v>
      </c>
      <c r="BF49" s="25" t="s">
        <v>105</v>
      </c>
      <c r="BG49" s="25" t="s">
        <v>105</v>
      </c>
      <c r="BH49" s="28" t="s">
        <v>104</v>
      </c>
      <c r="BI49" s="28" t="s">
        <v>104</v>
      </c>
      <c r="BJ49" s="28" t="s">
        <v>104</v>
      </c>
      <c r="BK49" s="28" t="s">
        <v>104</v>
      </c>
      <c r="BL49" s="28" t="s">
        <v>104</v>
      </c>
      <c r="BM49" s="25" t="s">
        <v>105</v>
      </c>
      <c r="BN49" s="25" t="s">
        <v>105</v>
      </c>
    </row>
    <row r="50" spans="1:66">
      <c r="A50" s="24" t="s">
        <v>528</v>
      </c>
      <c r="B50" s="24" t="s">
        <v>529</v>
      </c>
      <c r="C50" s="25" t="s">
        <v>105</v>
      </c>
      <c r="D50" s="25" t="s">
        <v>105</v>
      </c>
      <c r="E50" s="25" t="s">
        <v>105</v>
      </c>
      <c r="F50" s="28" t="s">
        <v>104</v>
      </c>
      <c r="G50" s="28" t="s">
        <v>104</v>
      </c>
      <c r="H50" s="25" t="s">
        <v>105</v>
      </c>
      <c r="I50" s="27" t="s">
        <v>106</v>
      </c>
      <c r="J50" s="26" t="s">
        <v>107</v>
      </c>
      <c r="K50" s="26" t="s">
        <v>107</v>
      </c>
      <c r="L50" s="26" t="s">
        <v>107</v>
      </c>
      <c r="M50" s="26" t="s">
        <v>107</v>
      </c>
      <c r="N50" s="26" t="s">
        <v>107</v>
      </c>
      <c r="O50" s="26" t="s">
        <v>107</v>
      </c>
      <c r="P50" s="27" t="s">
        <v>106</v>
      </c>
      <c r="Q50" s="28" t="s">
        <v>104</v>
      </c>
      <c r="R50" s="27" t="s">
        <v>106</v>
      </c>
      <c r="S50" s="28" t="s">
        <v>104</v>
      </c>
      <c r="T50" s="27" t="s">
        <v>106</v>
      </c>
      <c r="U50" s="28" t="s">
        <v>104</v>
      </c>
      <c r="V50" s="28" t="s">
        <v>104</v>
      </c>
      <c r="W50" s="26" t="s">
        <v>107</v>
      </c>
      <c r="X50" s="28" t="s">
        <v>104</v>
      </c>
      <c r="Y50" s="25" t="s">
        <v>105</v>
      </c>
      <c r="Z50" s="28" t="s">
        <v>104</v>
      </c>
      <c r="AA50" s="28" t="s">
        <v>104</v>
      </c>
      <c r="AB50" s="28" t="s">
        <v>104</v>
      </c>
      <c r="AC50" s="28" t="s">
        <v>104</v>
      </c>
      <c r="AD50" s="28" t="s">
        <v>104</v>
      </c>
      <c r="AE50" s="28" t="s">
        <v>104</v>
      </c>
      <c r="AF50" s="25" t="s">
        <v>105</v>
      </c>
      <c r="AG50" s="25" t="s">
        <v>105</v>
      </c>
      <c r="AH50" s="28" t="s">
        <v>104</v>
      </c>
      <c r="AI50" s="25" t="s">
        <v>105</v>
      </c>
      <c r="AJ50" s="28" t="s">
        <v>104</v>
      </c>
      <c r="AK50" s="28" t="s">
        <v>104</v>
      </c>
      <c r="AL50" s="28" t="s">
        <v>104</v>
      </c>
      <c r="AM50" s="28" t="s">
        <v>104</v>
      </c>
      <c r="AN50" s="25" t="s">
        <v>105</v>
      </c>
      <c r="AO50" s="25" t="s">
        <v>105</v>
      </c>
      <c r="AP50" s="25" t="s">
        <v>105</v>
      </c>
      <c r="AQ50" s="25" t="s">
        <v>105</v>
      </c>
      <c r="AR50" s="25" t="s">
        <v>105</v>
      </c>
      <c r="AS50" s="27" t="s">
        <v>106</v>
      </c>
      <c r="AT50" s="26" t="s">
        <v>107</v>
      </c>
      <c r="AU50" s="28" t="s">
        <v>104</v>
      </c>
      <c r="AV50" s="28" t="s">
        <v>104</v>
      </c>
      <c r="AW50" s="28" t="s">
        <v>104</v>
      </c>
      <c r="AX50" s="28" t="s">
        <v>104</v>
      </c>
      <c r="AY50" s="28" t="s">
        <v>104</v>
      </c>
      <c r="AZ50" s="28" t="s">
        <v>104</v>
      </c>
      <c r="BA50" s="26" t="s">
        <v>107</v>
      </c>
      <c r="BB50" s="28" t="s">
        <v>104</v>
      </c>
      <c r="BC50" s="25" t="s">
        <v>105</v>
      </c>
      <c r="BD50" s="25" t="s">
        <v>105</v>
      </c>
      <c r="BE50" s="25" t="s">
        <v>105</v>
      </c>
      <c r="BF50" s="25" t="s">
        <v>105</v>
      </c>
      <c r="BG50" s="25" t="s">
        <v>105</v>
      </c>
      <c r="BH50" s="28" t="s">
        <v>104</v>
      </c>
      <c r="BI50" s="28" t="s">
        <v>104</v>
      </c>
      <c r="BJ50" s="28" t="s">
        <v>104</v>
      </c>
      <c r="BK50" s="28" t="s">
        <v>104</v>
      </c>
      <c r="BL50" s="26" t="s">
        <v>107</v>
      </c>
      <c r="BM50" s="26" t="s">
        <v>107</v>
      </c>
      <c r="BN50" s="26" t="s">
        <v>107</v>
      </c>
    </row>
    <row r="51" spans="1:66">
      <c r="A51" s="24" t="s">
        <v>530</v>
      </c>
      <c r="B51" s="24" t="s">
        <v>531</v>
      </c>
      <c r="C51" s="25" t="s">
        <v>105</v>
      </c>
      <c r="D51" s="25" t="s">
        <v>105</v>
      </c>
      <c r="E51" s="25" t="s">
        <v>105</v>
      </c>
      <c r="F51" s="26" t="s">
        <v>107</v>
      </c>
      <c r="G51" s="25" t="s">
        <v>105</v>
      </c>
      <c r="H51" s="25" t="s">
        <v>105</v>
      </c>
      <c r="I51" s="27" t="s">
        <v>106</v>
      </c>
      <c r="J51" s="25" t="s">
        <v>105</v>
      </c>
      <c r="K51" s="28" t="s">
        <v>104</v>
      </c>
      <c r="L51" s="25" t="s">
        <v>105</v>
      </c>
      <c r="M51" s="26" t="s">
        <v>107</v>
      </c>
      <c r="N51" s="27" t="s">
        <v>106</v>
      </c>
      <c r="O51" s="26" t="s">
        <v>107</v>
      </c>
      <c r="P51" s="27" t="s">
        <v>106</v>
      </c>
      <c r="Q51" s="28" t="s">
        <v>104</v>
      </c>
      <c r="R51" s="27" t="s">
        <v>106</v>
      </c>
      <c r="S51" s="28" t="s">
        <v>104</v>
      </c>
      <c r="T51" s="27" t="s">
        <v>106</v>
      </c>
      <c r="U51" s="28" t="s">
        <v>104</v>
      </c>
      <c r="V51" s="28" t="s">
        <v>104</v>
      </c>
      <c r="W51" s="26" t="s">
        <v>107</v>
      </c>
      <c r="X51" s="28" t="s">
        <v>104</v>
      </c>
      <c r="Y51" s="25" t="s">
        <v>105</v>
      </c>
      <c r="Z51" s="28" t="s">
        <v>104</v>
      </c>
      <c r="AA51" s="28" t="s">
        <v>104</v>
      </c>
      <c r="AB51" s="28" t="s">
        <v>104</v>
      </c>
      <c r="AC51" s="28" t="s">
        <v>104</v>
      </c>
      <c r="AD51" s="28" t="s">
        <v>104</v>
      </c>
      <c r="AE51" s="28" t="s">
        <v>104</v>
      </c>
      <c r="AF51" s="25" t="s">
        <v>105</v>
      </c>
      <c r="AG51" s="26" t="s">
        <v>107</v>
      </c>
      <c r="AH51" s="25" t="s">
        <v>105</v>
      </c>
      <c r="AI51" s="25" t="s">
        <v>105</v>
      </c>
      <c r="AJ51" s="28" t="s">
        <v>104</v>
      </c>
      <c r="AK51" s="28" t="s">
        <v>104</v>
      </c>
      <c r="AL51" s="28" t="s">
        <v>104</v>
      </c>
      <c r="AM51" s="28" t="s">
        <v>104</v>
      </c>
      <c r="AN51" s="25" t="s">
        <v>105</v>
      </c>
      <c r="AO51" s="25" t="s">
        <v>105</v>
      </c>
      <c r="AP51" s="25" t="s">
        <v>105</v>
      </c>
      <c r="AQ51" s="25" t="s">
        <v>105</v>
      </c>
      <c r="AR51" s="25" t="s">
        <v>105</v>
      </c>
      <c r="AS51" s="27" t="s">
        <v>106</v>
      </c>
      <c r="AT51" s="26" t="s">
        <v>107</v>
      </c>
      <c r="AU51" s="28" t="s">
        <v>104</v>
      </c>
      <c r="AV51" s="28" t="s">
        <v>104</v>
      </c>
      <c r="AW51" s="28" t="s">
        <v>104</v>
      </c>
      <c r="AX51" s="28" t="s">
        <v>104</v>
      </c>
      <c r="AY51" s="28" t="s">
        <v>104</v>
      </c>
      <c r="AZ51" s="28" t="s">
        <v>104</v>
      </c>
      <c r="BA51" s="26" t="s">
        <v>107</v>
      </c>
      <c r="BB51" s="28" t="s">
        <v>104</v>
      </c>
      <c r="BC51" s="28" t="s">
        <v>104</v>
      </c>
      <c r="BD51" s="25" t="s">
        <v>105</v>
      </c>
      <c r="BE51" s="25" t="s">
        <v>105</v>
      </c>
      <c r="BF51" s="25" t="s">
        <v>105</v>
      </c>
      <c r="BG51" s="25" t="s">
        <v>105</v>
      </c>
      <c r="BH51" s="28" t="s">
        <v>104</v>
      </c>
      <c r="BI51" s="28" t="s">
        <v>104</v>
      </c>
      <c r="BJ51" s="28" t="s">
        <v>104</v>
      </c>
      <c r="BK51" s="28" t="s">
        <v>104</v>
      </c>
      <c r="BL51" s="28" t="s">
        <v>104</v>
      </c>
      <c r="BM51" s="25" t="s">
        <v>105</v>
      </c>
      <c r="BN51" s="25" t="s">
        <v>105</v>
      </c>
    </row>
    <row r="52" spans="1:66">
      <c r="A52" s="24" t="s">
        <v>533</v>
      </c>
      <c r="B52" s="24" t="s">
        <v>534</v>
      </c>
      <c r="C52" s="25" t="s">
        <v>105</v>
      </c>
      <c r="D52" s="25" t="s">
        <v>105</v>
      </c>
      <c r="E52" s="25" t="s">
        <v>105</v>
      </c>
      <c r="F52" s="26" t="s">
        <v>107</v>
      </c>
      <c r="G52" s="25" t="s">
        <v>105</v>
      </c>
      <c r="H52" s="26" t="s">
        <v>107</v>
      </c>
      <c r="I52" s="26" t="s">
        <v>107</v>
      </c>
      <c r="J52" s="25" t="s">
        <v>105</v>
      </c>
      <c r="K52" s="25" t="s">
        <v>105</v>
      </c>
      <c r="L52" s="25" t="s">
        <v>105</v>
      </c>
      <c r="M52" s="26" t="s">
        <v>107</v>
      </c>
      <c r="N52" s="26" t="s">
        <v>107</v>
      </c>
      <c r="O52" s="26" t="s">
        <v>107</v>
      </c>
      <c r="P52" s="27" t="s">
        <v>106</v>
      </c>
      <c r="Q52" s="28" t="s">
        <v>104</v>
      </c>
      <c r="R52" s="27" t="s">
        <v>106</v>
      </c>
      <c r="S52" s="28" t="s">
        <v>104</v>
      </c>
      <c r="T52" s="25" t="s">
        <v>105</v>
      </c>
      <c r="U52" s="28" t="s">
        <v>104</v>
      </c>
      <c r="V52" s="28" t="s">
        <v>104</v>
      </c>
      <c r="W52" s="26" t="s">
        <v>107</v>
      </c>
      <c r="X52" s="28" t="s">
        <v>104</v>
      </c>
      <c r="Y52" s="25" t="s">
        <v>105</v>
      </c>
      <c r="Z52" s="28" t="s">
        <v>104</v>
      </c>
      <c r="AA52" s="28" t="s">
        <v>104</v>
      </c>
      <c r="AB52" s="28" t="s">
        <v>104</v>
      </c>
      <c r="AC52" s="28" t="s">
        <v>104</v>
      </c>
      <c r="AD52" s="28" t="s">
        <v>104</v>
      </c>
      <c r="AE52" s="28" t="s">
        <v>104</v>
      </c>
      <c r="AF52" s="25" t="s">
        <v>105</v>
      </c>
      <c r="AG52" s="26" t="s">
        <v>107</v>
      </c>
      <c r="AH52" s="25" t="s">
        <v>105</v>
      </c>
      <c r="AI52" s="25" t="s">
        <v>105</v>
      </c>
      <c r="AJ52" s="28" t="s">
        <v>104</v>
      </c>
      <c r="AK52" s="28" t="s">
        <v>104</v>
      </c>
      <c r="AL52" s="28" t="s">
        <v>104</v>
      </c>
      <c r="AM52" s="28" t="s">
        <v>104</v>
      </c>
      <c r="AN52" s="25" t="s">
        <v>105</v>
      </c>
      <c r="AO52" s="25" t="s">
        <v>105</v>
      </c>
      <c r="AP52" s="25" t="s">
        <v>105</v>
      </c>
      <c r="AQ52" s="25" t="s">
        <v>105</v>
      </c>
      <c r="AR52" s="25" t="s">
        <v>105</v>
      </c>
      <c r="AS52" s="27" t="s">
        <v>106</v>
      </c>
      <c r="AT52" s="26" t="s">
        <v>107</v>
      </c>
      <c r="AU52" s="28" t="s">
        <v>104</v>
      </c>
      <c r="AV52" s="28" t="s">
        <v>104</v>
      </c>
      <c r="AW52" s="28" t="s">
        <v>104</v>
      </c>
      <c r="AX52" s="28" t="s">
        <v>104</v>
      </c>
      <c r="AY52" s="26" t="s">
        <v>107</v>
      </c>
      <c r="AZ52" s="28" t="s">
        <v>104</v>
      </c>
      <c r="BA52" s="26" t="s">
        <v>107</v>
      </c>
      <c r="BB52" s="28" t="s">
        <v>104</v>
      </c>
      <c r="BC52" s="25" t="s">
        <v>105</v>
      </c>
      <c r="BD52" s="25" t="s">
        <v>105</v>
      </c>
      <c r="BE52" s="25" t="s">
        <v>105</v>
      </c>
      <c r="BF52" s="25" t="s">
        <v>105</v>
      </c>
      <c r="BG52" s="25" t="s">
        <v>105</v>
      </c>
      <c r="BH52" s="28" t="s">
        <v>104</v>
      </c>
      <c r="BI52" s="28" t="s">
        <v>104</v>
      </c>
      <c r="BJ52" s="28" t="s">
        <v>104</v>
      </c>
      <c r="BK52" s="28" t="s">
        <v>104</v>
      </c>
      <c r="BL52" s="28" t="s">
        <v>104</v>
      </c>
      <c r="BM52" s="25" t="s">
        <v>105</v>
      </c>
      <c r="BN52" s="26" t="s">
        <v>107</v>
      </c>
    </row>
    <row r="53" spans="1:66">
      <c r="A53" s="24" t="s">
        <v>535</v>
      </c>
      <c r="B53" s="24" t="s">
        <v>536</v>
      </c>
      <c r="C53" s="25" t="s">
        <v>105</v>
      </c>
      <c r="D53" s="25" t="s">
        <v>105</v>
      </c>
      <c r="E53" s="25" t="s">
        <v>105</v>
      </c>
      <c r="F53" s="26" t="s">
        <v>107</v>
      </c>
      <c r="G53" s="25" t="s">
        <v>105</v>
      </c>
      <c r="H53" s="25" t="s">
        <v>105</v>
      </c>
      <c r="I53" s="27" t="s">
        <v>106</v>
      </c>
      <c r="J53" s="25" t="s">
        <v>105</v>
      </c>
      <c r="K53" s="28" t="s">
        <v>104</v>
      </c>
      <c r="L53" s="28" t="s">
        <v>104</v>
      </c>
      <c r="M53" s="27" t="s">
        <v>106</v>
      </c>
      <c r="N53" s="27" t="s">
        <v>106</v>
      </c>
      <c r="O53" s="26" t="s">
        <v>107</v>
      </c>
      <c r="P53" s="27" t="s">
        <v>106</v>
      </c>
      <c r="Q53" s="28" t="s">
        <v>104</v>
      </c>
      <c r="R53" s="27" t="s">
        <v>106</v>
      </c>
      <c r="S53" s="28" t="s">
        <v>104</v>
      </c>
      <c r="T53" s="27" t="s">
        <v>106</v>
      </c>
      <c r="U53" s="28" t="s">
        <v>104</v>
      </c>
      <c r="V53" s="28" t="s">
        <v>104</v>
      </c>
      <c r="W53" s="26" t="s">
        <v>107</v>
      </c>
      <c r="X53" s="28" t="s">
        <v>104</v>
      </c>
      <c r="Y53" s="25" t="s">
        <v>105</v>
      </c>
      <c r="Z53" s="28" t="s">
        <v>104</v>
      </c>
      <c r="AA53" s="28" t="s">
        <v>104</v>
      </c>
      <c r="AB53" s="28" t="s">
        <v>104</v>
      </c>
      <c r="AC53" s="28" t="s">
        <v>104</v>
      </c>
      <c r="AD53" s="28" t="s">
        <v>104</v>
      </c>
      <c r="AE53" s="28" t="s">
        <v>104</v>
      </c>
      <c r="AF53" s="25" t="s">
        <v>105</v>
      </c>
      <c r="AG53" s="25" t="s">
        <v>105</v>
      </c>
      <c r="AH53" s="25" t="s">
        <v>105</v>
      </c>
      <c r="AI53" s="25" t="s">
        <v>105</v>
      </c>
      <c r="AJ53" s="28" t="s">
        <v>104</v>
      </c>
      <c r="AK53" s="28" t="s">
        <v>104</v>
      </c>
      <c r="AL53" s="28" t="s">
        <v>104</v>
      </c>
      <c r="AM53" s="28" t="s">
        <v>104</v>
      </c>
      <c r="AN53" s="25" t="s">
        <v>105</v>
      </c>
      <c r="AO53" s="25" t="s">
        <v>105</v>
      </c>
      <c r="AP53" s="25" t="s">
        <v>105</v>
      </c>
      <c r="AQ53" s="25" t="s">
        <v>105</v>
      </c>
      <c r="AR53" s="25" t="s">
        <v>105</v>
      </c>
      <c r="AS53" s="27" t="s">
        <v>106</v>
      </c>
      <c r="AT53" s="26" t="s">
        <v>107</v>
      </c>
      <c r="AU53" s="28" t="s">
        <v>104</v>
      </c>
      <c r="AV53" s="28" t="s">
        <v>104</v>
      </c>
      <c r="AW53" s="28" t="s">
        <v>104</v>
      </c>
      <c r="AX53" s="28" t="s">
        <v>104</v>
      </c>
      <c r="AY53" s="28" t="s">
        <v>104</v>
      </c>
      <c r="AZ53" s="28" t="s">
        <v>104</v>
      </c>
      <c r="BA53" s="26" t="s">
        <v>107</v>
      </c>
      <c r="BB53" s="28" t="s">
        <v>104</v>
      </c>
      <c r="BC53" s="28" t="s">
        <v>104</v>
      </c>
      <c r="BD53" s="25" t="s">
        <v>105</v>
      </c>
      <c r="BE53" s="25" t="s">
        <v>105</v>
      </c>
      <c r="BF53" s="25" t="s">
        <v>105</v>
      </c>
      <c r="BG53" s="25" t="s">
        <v>105</v>
      </c>
      <c r="BH53" s="28" t="s">
        <v>104</v>
      </c>
      <c r="BI53" s="28" t="s">
        <v>104</v>
      </c>
      <c r="BJ53" s="28" t="s">
        <v>104</v>
      </c>
      <c r="BK53" s="28" t="s">
        <v>104</v>
      </c>
      <c r="BL53" s="28" t="s">
        <v>104</v>
      </c>
      <c r="BM53" s="28" t="s">
        <v>104</v>
      </c>
      <c r="BN53" s="25" t="s">
        <v>105</v>
      </c>
    </row>
    <row r="54" spans="1:66">
      <c r="A54" s="24" t="s">
        <v>537</v>
      </c>
      <c r="B54" s="24" t="s">
        <v>538</v>
      </c>
      <c r="C54" s="25" t="s">
        <v>105</v>
      </c>
      <c r="D54" s="28" t="s">
        <v>104</v>
      </c>
      <c r="E54" s="25" t="s">
        <v>105</v>
      </c>
      <c r="F54" s="26" t="s">
        <v>107</v>
      </c>
      <c r="G54" s="25" t="s">
        <v>105</v>
      </c>
      <c r="H54" s="25" t="s">
        <v>105</v>
      </c>
      <c r="I54" s="27" t="s">
        <v>106</v>
      </c>
      <c r="J54" s="28" t="s">
        <v>104</v>
      </c>
      <c r="K54" s="28" t="s">
        <v>104</v>
      </c>
      <c r="L54" s="28" t="s">
        <v>104</v>
      </c>
      <c r="M54" s="27" t="s">
        <v>106</v>
      </c>
      <c r="N54" s="25" t="s">
        <v>105</v>
      </c>
      <c r="O54" s="26" t="s">
        <v>107</v>
      </c>
      <c r="P54" s="28" t="s">
        <v>104</v>
      </c>
      <c r="Q54" s="28" t="s">
        <v>104</v>
      </c>
      <c r="R54" s="27" t="s">
        <v>106</v>
      </c>
      <c r="S54" s="28" t="s">
        <v>104</v>
      </c>
      <c r="T54" s="25" t="s">
        <v>105</v>
      </c>
      <c r="U54" s="28" t="s">
        <v>104</v>
      </c>
      <c r="V54" s="28" t="s">
        <v>104</v>
      </c>
      <c r="W54" s="26" t="s">
        <v>107</v>
      </c>
      <c r="X54" s="28" t="s">
        <v>104</v>
      </c>
      <c r="Y54" s="25" t="s">
        <v>105</v>
      </c>
      <c r="Z54" s="28" t="s">
        <v>104</v>
      </c>
      <c r="AA54" s="28" t="s">
        <v>104</v>
      </c>
      <c r="AB54" s="28" t="s">
        <v>104</v>
      </c>
      <c r="AC54" s="28" t="s">
        <v>104</v>
      </c>
      <c r="AD54" s="28" t="s">
        <v>104</v>
      </c>
      <c r="AE54" s="28" t="s">
        <v>104</v>
      </c>
      <c r="AF54" s="25" t="s">
        <v>105</v>
      </c>
      <c r="AG54" s="25" t="s">
        <v>105</v>
      </c>
      <c r="AH54" s="25" t="s">
        <v>105</v>
      </c>
      <c r="AI54" s="25" t="s">
        <v>105</v>
      </c>
      <c r="AJ54" s="28" t="s">
        <v>104</v>
      </c>
      <c r="AK54" s="28" t="s">
        <v>104</v>
      </c>
      <c r="AL54" s="28" t="s">
        <v>104</v>
      </c>
      <c r="AM54" s="28" t="s">
        <v>104</v>
      </c>
      <c r="AN54" s="25" t="s">
        <v>105</v>
      </c>
      <c r="AO54" s="25" t="s">
        <v>105</v>
      </c>
      <c r="AP54" s="25" t="s">
        <v>105</v>
      </c>
      <c r="AQ54" s="25" t="s">
        <v>105</v>
      </c>
      <c r="AR54" s="25" t="s">
        <v>105</v>
      </c>
      <c r="AS54" s="27" t="s">
        <v>106</v>
      </c>
      <c r="AT54" s="26" t="s">
        <v>107</v>
      </c>
      <c r="AU54" s="28" t="s">
        <v>104</v>
      </c>
      <c r="AV54" s="28" t="s">
        <v>104</v>
      </c>
      <c r="AW54" s="28" t="s">
        <v>104</v>
      </c>
      <c r="AX54" s="28" t="s">
        <v>104</v>
      </c>
      <c r="AY54" s="28" t="s">
        <v>104</v>
      </c>
      <c r="AZ54" s="28" t="s">
        <v>104</v>
      </c>
      <c r="BA54" s="26" t="s">
        <v>107</v>
      </c>
      <c r="BB54" s="28" t="s">
        <v>104</v>
      </c>
      <c r="BC54" s="28" t="s">
        <v>104</v>
      </c>
      <c r="BD54" s="28" t="s">
        <v>104</v>
      </c>
      <c r="BE54" s="28" t="s">
        <v>104</v>
      </c>
      <c r="BF54" s="28" t="s">
        <v>104</v>
      </c>
      <c r="BG54" s="28" t="s">
        <v>104</v>
      </c>
      <c r="BH54" s="28" t="s">
        <v>104</v>
      </c>
      <c r="BI54" s="28" t="s">
        <v>104</v>
      </c>
      <c r="BJ54" s="28" t="s">
        <v>104</v>
      </c>
      <c r="BK54" s="28" t="s">
        <v>104</v>
      </c>
      <c r="BL54" s="28" t="s">
        <v>104</v>
      </c>
      <c r="BM54" s="28" t="s">
        <v>104</v>
      </c>
      <c r="BN54" s="25" t="s">
        <v>105</v>
      </c>
    </row>
    <row r="55" spans="1:66">
      <c r="A55" s="24" t="s">
        <v>539</v>
      </c>
      <c r="B55" s="24" t="s">
        <v>540</v>
      </c>
      <c r="C55" s="25" t="s">
        <v>105</v>
      </c>
      <c r="D55" s="25" t="s">
        <v>105</v>
      </c>
      <c r="E55" s="25" t="s">
        <v>105</v>
      </c>
      <c r="F55" s="26" t="s">
        <v>107</v>
      </c>
      <c r="G55" s="25" t="s">
        <v>105</v>
      </c>
      <c r="H55" s="26" t="s">
        <v>107</v>
      </c>
      <c r="I55" s="26" t="s">
        <v>107</v>
      </c>
      <c r="J55" s="25" t="s">
        <v>105</v>
      </c>
      <c r="K55" s="25" t="s">
        <v>105</v>
      </c>
      <c r="L55" s="25" t="s">
        <v>105</v>
      </c>
      <c r="M55" s="26" t="s">
        <v>107</v>
      </c>
      <c r="N55" s="26" t="s">
        <v>107</v>
      </c>
      <c r="O55" s="26" t="s">
        <v>107</v>
      </c>
      <c r="P55" s="27" t="s">
        <v>106</v>
      </c>
      <c r="Q55" s="28" t="s">
        <v>104</v>
      </c>
      <c r="R55" s="27" t="s">
        <v>106</v>
      </c>
      <c r="S55" s="28" t="s">
        <v>104</v>
      </c>
      <c r="T55" s="27" t="s">
        <v>106</v>
      </c>
      <c r="U55" s="28" t="s">
        <v>104</v>
      </c>
      <c r="V55" s="28" t="s">
        <v>104</v>
      </c>
      <c r="W55" s="26" t="s">
        <v>107</v>
      </c>
      <c r="X55" s="28" t="s">
        <v>104</v>
      </c>
      <c r="Y55" s="25" t="s">
        <v>105</v>
      </c>
      <c r="Z55" s="28" t="s">
        <v>104</v>
      </c>
      <c r="AA55" s="28" t="s">
        <v>104</v>
      </c>
      <c r="AB55" s="28" t="s">
        <v>104</v>
      </c>
      <c r="AC55" s="28" t="s">
        <v>104</v>
      </c>
      <c r="AD55" s="28" t="s">
        <v>104</v>
      </c>
      <c r="AE55" s="28" t="s">
        <v>104</v>
      </c>
      <c r="AF55" s="25" t="s">
        <v>105</v>
      </c>
      <c r="AG55" s="26" t="s">
        <v>107</v>
      </c>
      <c r="AH55" s="25" t="s">
        <v>105</v>
      </c>
      <c r="AI55" s="25" t="s">
        <v>105</v>
      </c>
      <c r="AJ55" s="28" t="s">
        <v>104</v>
      </c>
      <c r="AK55" s="28" t="s">
        <v>104</v>
      </c>
      <c r="AL55" s="28" t="s">
        <v>104</v>
      </c>
      <c r="AM55" s="28" t="s">
        <v>104</v>
      </c>
      <c r="AN55" s="25" t="s">
        <v>105</v>
      </c>
      <c r="AO55" s="25" t="s">
        <v>105</v>
      </c>
      <c r="AP55" s="25" t="s">
        <v>105</v>
      </c>
      <c r="AQ55" s="25" t="s">
        <v>105</v>
      </c>
      <c r="AR55" s="25" t="s">
        <v>105</v>
      </c>
      <c r="AS55" s="27" t="s">
        <v>106</v>
      </c>
      <c r="AT55" s="26" t="s">
        <v>107</v>
      </c>
      <c r="AU55" s="28" t="s">
        <v>104</v>
      </c>
      <c r="AV55" s="28" t="s">
        <v>104</v>
      </c>
      <c r="AW55" s="28" t="s">
        <v>104</v>
      </c>
      <c r="AX55" s="28" t="s">
        <v>104</v>
      </c>
      <c r="AY55" s="28" t="s">
        <v>104</v>
      </c>
      <c r="AZ55" s="28" t="s">
        <v>104</v>
      </c>
      <c r="BA55" s="26" t="s">
        <v>107</v>
      </c>
      <c r="BB55" s="28" t="s">
        <v>104</v>
      </c>
      <c r="BC55" s="25" t="s">
        <v>105</v>
      </c>
      <c r="BD55" s="25" t="s">
        <v>105</v>
      </c>
      <c r="BE55" s="25" t="s">
        <v>105</v>
      </c>
      <c r="BF55" s="25" t="s">
        <v>105</v>
      </c>
      <c r="BG55" s="25" t="s">
        <v>105</v>
      </c>
      <c r="BH55" s="28" t="s">
        <v>104</v>
      </c>
      <c r="BI55" s="28" t="s">
        <v>104</v>
      </c>
      <c r="BJ55" s="28" t="s">
        <v>104</v>
      </c>
      <c r="BK55" s="28" t="s">
        <v>104</v>
      </c>
      <c r="BL55" s="28" t="s">
        <v>104</v>
      </c>
      <c r="BM55" s="25" t="s">
        <v>105</v>
      </c>
      <c r="BN55" s="26" t="s">
        <v>107</v>
      </c>
    </row>
    <row r="58" spans="1:66">
      <c r="A58" s="29" t="s">
        <v>604</v>
      </c>
    </row>
  </sheetData>
  <dataValidations count="1">
    <dataValidation type="list" sqref="C2:BN55">
      <formula1>"Endemic,Sporadic,Emerging,Not present"</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workbookViewId="0">
      <pane xSplit="2" ySplit="4" topLeftCell="C5" activePane="bottomRight" state="frozen"/>
      <selection/>
      <selection pane="topRight"/>
      <selection pane="bottomLeft"/>
      <selection pane="bottomRight" activeCell="B21" sqref="B21"/>
    </sheetView>
  </sheetViews>
  <sheetFormatPr defaultColWidth="8.5" defaultRowHeight="15" customHeight="1" outlineLevelCol="7"/>
  <cols>
    <col min="1" max="1" width="18" customWidth="1"/>
    <col min="2" max="2" width="36" customWidth="1"/>
    <col min="3" max="8" width="18" customWidth="1"/>
  </cols>
  <sheetData>
    <row r="1" ht="19.5" customHeight="1" spans="1:8">
      <c r="A1" s="1" t="s">
        <v>605</v>
      </c>
    </row>
    <row r="2" customHeight="1" spans="1:8">
      <c r="A2" s="16" t="s">
        <v>606</v>
      </c>
    </row>
    <row r="4" ht="26.25" customHeight="1" spans="1:8">
      <c r="A4" s="17" t="s">
        <v>147</v>
      </c>
      <c r="B4" s="17" t="s">
        <v>148</v>
      </c>
      <c r="C4" s="17" t="s">
        <v>607</v>
      </c>
      <c r="D4" s="17" t="s">
        <v>547</v>
      </c>
      <c r="E4" s="17" t="s">
        <v>608</v>
      </c>
      <c r="F4" s="17" t="s">
        <v>609</v>
      </c>
      <c r="G4" s="17" t="s">
        <v>610</v>
      </c>
      <c r="H4" s="17" t="s">
        <v>611</v>
      </c>
    </row>
    <row r="5" customHeight="1" spans="1:8">
      <c r="A5" s="18" t="s">
        <v>169</v>
      </c>
      <c r="B5" t="s">
        <v>170</v>
      </c>
      <c r="C5" s="19">
        <f>Pathogens!I2</f>
        <v>0.5</v>
      </c>
      <c r="D5" s="19">
        <f>Pathogens!J2</f>
        <v>5</v>
      </c>
      <c r="E5" s="19">
        <f>Calculator!$B$7</f>
        <v>38.8</v>
      </c>
      <c r="F5" s="19">
        <f>Pathogens!N2</f>
        <v>1</v>
      </c>
      <c r="G5" s="19">
        <f>Calculator!$B$10</f>
        <v>45.2</v>
      </c>
      <c r="H5" s="20">
        <f>ROUND(MIN(5,IF(Pathogens!I2&gt;=500,5,IF(Pathogens!I2&gt;=200,4,IF(Pathogens!I2&gt;=50,3,IF(Pathogens!I2&gt;=10,2,1))))*0.5+IF(Pathogens!J2&gt;=30,5,IF(Pathogens!J2&gt;=10,4,IF(Pathogens!J2&gt;=3,3,IF(Pathogens!J2&gt;=1,2,1))))*0.4+IF(AND($B$7&gt;=80,Pathogens!N2&gt;=0.5),1,0)*0.1+IF($B$10&lt;50,0.3,0)),0)</f>
        <v>2</v>
      </c>
    </row>
    <row r="6" customHeight="1" spans="1:8">
      <c r="A6" s="18" t="s">
        <v>172</v>
      </c>
      <c r="B6" t="s">
        <v>173</v>
      </c>
      <c r="C6" s="19">
        <f>Pathogens!I3</f>
        <v>120</v>
      </c>
      <c r="D6" s="19">
        <f>Pathogens!J3</f>
        <v>1.5</v>
      </c>
      <c r="E6" s="19">
        <f>Calculator!$B$7</f>
        <v>38.8</v>
      </c>
      <c r="F6" s="19">
        <f>Pathogens!N3</f>
        <v>0.3</v>
      </c>
      <c r="G6" s="19">
        <f>Calculator!$B$10</f>
        <v>45.2</v>
      </c>
      <c r="H6" s="20">
        <f>ROUND(MIN(5,IF(Pathogens!I3&gt;=500,5,IF(Pathogens!I3&gt;=200,4,IF(Pathogens!I3&gt;=50,3,IF(Pathogens!I3&gt;=10,2,1))))*0.5+IF(Pathogens!J3&gt;=30,5,IF(Pathogens!J3&gt;=10,4,IF(Pathogens!J3&gt;=3,3,IF(Pathogens!J3&gt;=1,2,1))))*0.4+IF(AND($B$7&gt;=80,Pathogens!N3&gt;=0.5),1,0)*0.1+IF($B$10&lt;50,0.3,0)),0)</f>
        <v>2</v>
      </c>
    </row>
    <row r="7" customHeight="1" spans="1:8">
      <c r="A7" s="18" t="s">
        <v>174</v>
      </c>
      <c r="B7" t="s">
        <v>175</v>
      </c>
      <c r="C7" s="19">
        <f>Pathogens!I4</f>
        <v>15</v>
      </c>
      <c r="D7" s="19">
        <f>Pathogens!J4</f>
        <v>0.1</v>
      </c>
      <c r="E7" s="19">
        <f>Calculator!$B$7</f>
        <v>38.8</v>
      </c>
      <c r="F7" s="19">
        <f>Pathogens!N4</f>
        <v>0.2</v>
      </c>
      <c r="G7" s="19">
        <f>Calculator!$B$10</f>
        <v>45.2</v>
      </c>
      <c r="H7" s="20">
        <f>ROUND(MIN(5,IF(Pathogens!I4&gt;=500,5,IF(Pathogens!I4&gt;=200,4,IF(Pathogens!I4&gt;=50,3,IF(Pathogens!I4&gt;=10,2,1))))*0.5+IF(Pathogens!J4&gt;=30,5,IF(Pathogens!J4&gt;=10,4,IF(Pathogens!J4&gt;=3,3,IF(Pathogens!J4&gt;=1,2,1))))*0.4+IF(AND($B$7&gt;=80,Pathogens!N4&gt;=0.5),1,0)*0.1+IF($B$10&lt;50,0.3,0)),0)</f>
        <v>1</v>
      </c>
    </row>
    <row r="8" customHeight="1" spans="1:8">
      <c r="A8" s="18" t="s">
        <v>176</v>
      </c>
      <c r="B8" t="s">
        <v>177</v>
      </c>
      <c r="C8" s="19">
        <f>Pathogens!I5</f>
        <v>1.2</v>
      </c>
      <c r="D8" s="19">
        <f>Pathogens!J5</f>
        <v>30</v>
      </c>
      <c r="E8" s="19">
        <f>Calculator!$B$7</f>
        <v>38.8</v>
      </c>
      <c r="F8" s="19">
        <f>Pathogens!N5</f>
        <v>0.1</v>
      </c>
      <c r="G8" s="19">
        <f>Calculator!$B$10</f>
        <v>45.2</v>
      </c>
      <c r="H8" s="20">
        <f>ROUND(MIN(5,IF(Pathogens!I5&gt;=500,5,IF(Pathogens!I5&gt;=200,4,IF(Pathogens!I5&gt;=50,3,IF(Pathogens!I5&gt;=10,2,1))))*0.5+IF(Pathogens!J5&gt;=30,5,IF(Pathogens!J5&gt;=10,4,IF(Pathogens!J5&gt;=3,3,IF(Pathogens!J5&gt;=1,2,1))))*0.4+IF(AND($B$7&gt;=80,Pathogens!N5&gt;=0.5),1,0)*0.1+IF($B$10&lt;50,0.3,0)),0)</f>
        <v>3</v>
      </c>
    </row>
    <row r="9" customHeight="1" spans="1:8">
      <c r="A9" s="18" t="s">
        <v>179</v>
      </c>
      <c r="B9" t="s">
        <v>180</v>
      </c>
      <c r="C9" s="19">
        <f>Pathogens!I6</f>
        <v>40</v>
      </c>
      <c r="D9" s="19">
        <f>Pathogens!J6</f>
        <v>0.5</v>
      </c>
      <c r="E9" s="19">
        <f>Calculator!$B$7</f>
        <v>38.8</v>
      </c>
      <c r="F9" s="19">
        <f>Pathogens!N6</f>
        <v>0.2</v>
      </c>
      <c r="G9" s="19">
        <f>Calculator!$B$10</f>
        <v>45.2</v>
      </c>
      <c r="H9" s="20">
        <f>ROUND(MIN(5,IF(Pathogens!I6&gt;=500,5,IF(Pathogens!I6&gt;=200,4,IF(Pathogens!I6&gt;=50,3,IF(Pathogens!I6&gt;=10,2,1))))*0.5+IF(Pathogens!J6&gt;=30,5,IF(Pathogens!J6&gt;=10,4,IF(Pathogens!J6&gt;=3,3,IF(Pathogens!J6&gt;=1,2,1))))*0.4+IF(AND($B$7&gt;=80,Pathogens!N6&gt;=0.5),1,0)*0.1+IF($B$10&lt;50,0.3,0)),0)</f>
        <v>1</v>
      </c>
    </row>
    <row r="10" customHeight="1" spans="1:8">
      <c r="A10" s="18" t="s">
        <v>181</v>
      </c>
      <c r="B10" t="s">
        <v>182</v>
      </c>
      <c r="C10" s="19">
        <f>Pathogens!I7</f>
        <v>10</v>
      </c>
      <c r="D10" s="19">
        <f>Pathogens!J7</f>
        <v>0.1</v>
      </c>
      <c r="E10" s="19">
        <f>Calculator!$B$7</f>
        <v>38.8</v>
      </c>
      <c r="F10" s="19">
        <f>Pathogens!N7</f>
        <v>0.1</v>
      </c>
      <c r="G10" s="19">
        <f>Calculator!$B$10</f>
        <v>45.2</v>
      </c>
      <c r="H10" s="20">
        <f>ROUND(MIN(5,IF(Pathogens!I7&gt;=500,5,IF(Pathogens!I7&gt;=200,4,IF(Pathogens!I7&gt;=50,3,IF(Pathogens!I7&gt;=10,2,1))))*0.5+IF(Pathogens!J7&gt;=30,5,IF(Pathogens!J7&gt;=10,4,IF(Pathogens!J7&gt;=3,3,IF(Pathogens!J7&gt;=1,2,1))))*0.4+IF(AND($B$7&gt;=80,Pathogens!N7&gt;=0.5),1,0)*0.1+IF($B$10&lt;50,0.3,0)),0)</f>
        <v>1</v>
      </c>
    </row>
    <row r="11" customHeight="1" spans="1:8">
      <c r="A11" s="18" t="s">
        <v>183</v>
      </c>
      <c r="B11" t="s">
        <v>184</v>
      </c>
      <c r="C11" s="19">
        <f>Pathogens!I8</f>
        <v>2</v>
      </c>
      <c r="D11" s="19">
        <f>Pathogens!J8</f>
        <v>0.1</v>
      </c>
      <c r="E11" s="19">
        <f>Calculator!$B$7</f>
        <v>38.8</v>
      </c>
      <c r="F11" s="19">
        <f>Pathogens!N8</f>
        <v>0.1</v>
      </c>
      <c r="G11" s="19">
        <f>Calculator!$B$10</f>
        <v>45.2</v>
      </c>
      <c r="H11" s="20">
        <f>ROUND(MIN(5,IF(Pathogens!I8&gt;=500,5,IF(Pathogens!I8&gt;=200,4,IF(Pathogens!I8&gt;=50,3,IF(Pathogens!I8&gt;=10,2,1))))*0.5+IF(Pathogens!J8&gt;=30,5,IF(Pathogens!J8&gt;=10,4,IF(Pathogens!J8&gt;=3,3,IF(Pathogens!J8&gt;=1,2,1))))*0.4+IF(AND($B$7&gt;=80,Pathogens!N8&gt;=0.5),1,0)*0.1+IF($B$10&lt;50,0.3,0)),0)</f>
        <v>1</v>
      </c>
    </row>
    <row r="12" customHeight="1" spans="1:8">
      <c r="A12" s="18" t="s">
        <v>185</v>
      </c>
      <c r="B12" t="s">
        <v>186</v>
      </c>
      <c r="C12" s="19">
        <f>Pathogens!I9</f>
        <v>1</v>
      </c>
      <c r="D12" s="19">
        <f>Pathogens!J9</f>
        <v>5</v>
      </c>
      <c r="E12" s="19">
        <f>Calculator!$B$7</f>
        <v>38.8</v>
      </c>
      <c r="F12" s="19">
        <f>Pathogens!N9</f>
        <v>0.1</v>
      </c>
      <c r="G12" s="19">
        <f>Calculator!$B$10</f>
        <v>45.2</v>
      </c>
      <c r="H12" s="20">
        <f>ROUND(MIN(5,IF(Pathogens!I9&gt;=500,5,IF(Pathogens!I9&gt;=200,4,IF(Pathogens!I9&gt;=50,3,IF(Pathogens!I9&gt;=10,2,1))))*0.5+IF(Pathogens!J9&gt;=30,5,IF(Pathogens!J9&gt;=10,4,IF(Pathogens!J9&gt;=3,3,IF(Pathogens!J9&gt;=1,2,1))))*0.4+IF(AND($B$7&gt;=80,Pathogens!N9&gt;=0.5),1,0)*0.1+IF($B$10&lt;50,0.3,0)),0)</f>
        <v>2</v>
      </c>
    </row>
    <row r="13" customHeight="1" spans="1:8">
      <c r="A13" s="18" t="s">
        <v>187</v>
      </c>
      <c r="B13" t="s">
        <v>188</v>
      </c>
      <c r="C13" s="19">
        <f>Pathogens!I10</f>
        <v>3</v>
      </c>
      <c r="D13" s="19">
        <f>Pathogens!J10</f>
        <v>15</v>
      </c>
      <c r="E13" s="19">
        <f>Calculator!$B$7</f>
        <v>38.8</v>
      </c>
      <c r="F13" s="19">
        <f>Pathogens!N10</f>
        <v>0.4</v>
      </c>
      <c r="G13" s="19">
        <f>Calculator!$B$10</f>
        <v>45.2</v>
      </c>
      <c r="H13" s="20">
        <f>ROUND(MIN(5,IF(Pathogens!I10&gt;=500,5,IF(Pathogens!I10&gt;=200,4,IF(Pathogens!I10&gt;=50,3,IF(Pathogens!I10&gt;=10,2,1))))*0.5+IF(Pathogens!J10&gt;=30,5,IF(Pathogens!J10&gt;=10,4,IF(Pathogens!J10&gt;=3,3,IF(Pathogens!J10&gt;=1,2,1))))*0.4+IF(AND($B$7&gt;=80,Pathogens!N10&gt;=0.5),1,0)*0.1+IF($B$10&lt;50,0.3,0)),0)</f>
        <v>2</v>
      </c>
    </row>
    <row r="14" customHeight="1" spans="1:8">
      <c r="A14" s="18" t="s">
        <v>190</v>
      </c>
      <c r="B14" t="s">
        <v>191</v>
      </c>
      <c r="C14" s="19">
        <f>Pathogens!I11</f>
        <v>1</v>
      </c>
      <c r="D14" s="19">
        <f>Pathogens!J11</f>
        <v>30</v>
      </c>
      <c r="E14" s="19">
        <f>Calculator!$B$7</f>
        <v>38.8</v>
      </c>
      <c r="F14" s="19">
        <f>Pathogens!N11</f>
        <v>0.2</v>
      </c>
      <c r="G14" s="19">
        <f>Calculator!$B$10</f>
        <v>45.2</v>
      </c>
      <c r="H14" s="20">
        <f>ROUND(MIN(5,IF(Pathogens!I11&gt;=500,5,IF(Pathogens!I11&gt;=200,4,IF(Pathogens!I11&gt;=50,3,IF(Pathogens!I11&gt;=10,2,1))))*0.5+IF(Pathogens!J11&gt;=30,5,IF(Pathogens!J11&gt;=10,4,IF(Pathogens!J11&gt;=3,3,IF(Pathogens!J11&gt;=1,2,1))))*0.4+IF(AND($B$7&gt;=80,Pathogens!N11&gt;=0.5),1,0)*0.1+IF($B$10&lt;50,0.3,0)),0)</f>
        <v>3</v>
      </c>
    </row>
    <row r="15" customHeight="1" spans="1:8">
      <c r="A15" s="18" t="s">
        <v>192</v>
      </c>
      <c r="B15" t="s">
        <v>193</v>
      </c>
      <c r="C15" s="19">
        <f>Pathogens!I12</f>
        <v>0.3</v>
      </c>
      <c r="D15" s="19">
        <f>Pathogens!J12</f>
        <v>50</v>
      </c>
      <c r="E15" s="19">
        <f>Calculator!$B$7</f>
        <v>38.8</v>
      </c>
      <c r="F15" s="19">
        <f>Pathogens!N12</f>
        <v>0.5</v>
      </c>
      <c r="G15" s="19">
        <f>Calculator!$B$10</f>
        <v>45.2</v>
      </c>
      <c r="H15" s="20">
        <f>ROUND(MIN(5,IF(Pathogens!I12&gt;=500,5,IF(Pathogens!I12&gt;=200,4,IF(Pathogens!I12&gt;=50,3,IF(Pathogens!I12&gt;=10,2,1))))*0.5+IF(Pathogens!J12&gt;=30,5,IF(Pathogens!J12&gt;=10,4,IF(Pathogens!J12&gt;=3,3,IF(Pathogens!J12&gt;=1,2,1))))*0.4+IF(AND($B$7&gt;=80,Pathogens!N12&gt;=0.5),1,0)*0.1+IF($B$10&lt;50,0.3,0)),0)</f>
        <v>3</v>
      </c>
    </row>
    <row r="16" customHeight="1" spans="1:8">
      <c r="A16" s="18" t="s">
        <v>194</v>
      </c>
      <c r="B16" t="s">
        <v>195</v>
      </c>
      <c r="C16" s="19">
        <f>Pathogens!I13</f>
        <v>0.05</v>
      </c>
      <c r="D16" s="19">
        <f>Pathogens!J13</f>
        <v>80</v>
      </c>
      <c r="E16" s="19">
        <f>Calculator!$B$7</f>
        <v>38.8</v>
      </c>
      <c r="F16" s="19">
        <f>Pathogens!N13</f>
        <v>0.5</v>
      </c>
      <c r="G16" s="19">
        <f>Calculator!$B$10</f>
        <v>45.2</v>
      </c>
      <c r="H16" s="20">
        <f>ROUND(MIN(5,IF(Pathogens!I13&gt;=500,5,IF(Pathogens!I13&gt;=200,4,IF(Pathogens!I13&gt;=50,3,IF(Pathogens!I13&gt;=10,2,1))))*0.5+IF(Pathogens!J13&gt;=30,5,IF(Pathogens!J13&gt;=10,4,IF(Pathogens!J13&gt;=3,3,IF(Pathogens!J13&gt;=1,2,1))))*0.4+IF(AND($B$7&gt;=80,Pathogens!N13&gt;=0.5),1,0)*0.1+IF($B$10&lt;50,0.3,0)),0)</f>
        <v>3</v>
      </c>
    </row>
    <row r="17" customHeight="1" spans="1:8">
      <c r="A17" s="18" t="s">
        <v>196</v>
      </c>
      <c r="B17" t="s">
        <v>197</v>
      </c>
      <c r="C17" s="19">
        <f>Pathogens!I14</f>
        <v>5</v>
      </c>
      <c r="D17" s="19">
        <f>Pathogens!J14</f>
        <v>15</v>
      </c>
      <c r="E17" s="19">
        <f>Calculator!$B$7</f>
        <v>38.8</v>
      </c>
      <c r="F17" s="19">
        <f>Pathogens!N14</f>
        <v>0.7</v>
      </c>
      <c r="G17" s="19">
        <f>Calculator!$B$10</f>
        <v>45.2</v>
      </c>
      <c r="H17" s="20">
        <f>ROUND(MIN(5,IF(Pathogens!I14&gt;=500,5,IF(Pathogens!I14&gt;=200,4,IF(Pathogens!I14&gt;=50,3,IF(Pathogens!I14&gt;=10,2,1))))*0.5+IF(Pathogens!J14&gt;=30,5,IF(Pathogens!J14&gt;=10,4,IF(Pathogens!J14&gt;=3,3,IF(Pathogens!J14&gt;=1,2,1))))*0.4+IF(AND($B$7&gt;=80,Pathogens!N14&gt;=0.5),1,0)*0.1+IF($B$10&lt;50,0.3,0)),0)</f>
        <v>2</v>
      </c>
    </row>
    <row r="18" customHeight="1" spans="1:8">
      <c r="A18" s="18" t="s">
        <v>198</v>
      </c>
      <c r="B18" t="s">
        <v>199</v>
      </c>
      <c r="C18" s="19">
        <f>Pathogens!I15</f>
        <v>3</v>
      </c>
      <c r="D18" s="19">
        <f>Pathogens!J15</f>
        <v>3</v>
      </c>
      <c r="E18" s="19">
        <f>Calculator!$B$7</f>
        <v>38.8</v>
      </c>
      <c r="F18" s="19">
        <f>Pathogens!N15</f>
        <v>0.3</v>
      </c>
      <c r="G18" s="19">
        <f>Calculator!$B$10</f>
        <v>45.2</v>
      </c>
      <c r="H18" s="20">
        <f>ROUND(MIN(5,IF(Pathogens!I15&gt;=500,5,IF(Pathogens!I15&gt;=200,4,IF(Pathogens!I15&gt;=50,3,IF(Pathogens!I15&gt;=10,2,1))))*0.5+IF(Pathogens!J15&gt;=30,5,IF(Pathogens!J15&gt;=10,4,IF(Pathogens!J15&gt;=3,3,IF(Pathogens!J15&gt;=1,2,1))))*0.4+IF(AND($B$7&gt;=80,Pathogens!N15&gt;=0.5),1,0)*0.1+IF($B$10&lt;50,0.3,0)),0)</f>
        <v>2</v>
      </c>
    </row>
    <row r="19" customHeight="1" spans="1:8">
      <c r="A19" s="18" t="s">
        <v>201</v>
      </c>
      <c r="B19" t="s">
        <v>202</v>
      </c>
      <c r="C19" s="19">
        <f>Pathogens!I16</f>
        <v>300</v>
      </c>
      <c r="D19" s="19">
        <f>Pathogens!J16</f>
        <v>1</v>
      </c>
      <c r="E19" s="19">
        <f>Calculator!$B$7</f>
        <v>38.8</v>
      </c>
      <c r="F19" s="19">
        <f>Pathogens!N16</f>
        <v>0.2</v>
      </c>
      <c r="G19" s="19">
        <f>Calculator!$B$10</f>
        <v>45.2</v>
      </c>
      <c r="H19" s="20">
        <f>ROUND(MIN(5,IF(Pathogens!I16&gt;=500,5,IF(Pathogens!I16&gt;=200,4,IF(Pathogens!I16&gt;=50,3,IF(Pathogens!I16&gt;=10,2,1))))*0.5+IF(Pathogens!J16&gt;=30,5,IF(Pathogens!J16&gt;=10,4,IF(Pathogens!J16&gt;=3,3,IF(Pathogens!J16&gt;=1,2,1))))*0.4+IF(AND($B$7&gt;=80,Pathogens!N16&gt;=0.5),1,0)*0.1+IF($B$10&lt;50,0.3,0)),0)</f>
        <v>3</v>
      </c>
    </row>
    <row r="20" customHeight="1" spans="1:8">
      <c r="A20" s="18" t="s">
        <v>204</v>
      </c>
      <c r="B20" t="s">
        <v>205</v>
      </c>
      <c r="C20" s="19">
        <f>Pathogens!I17</f>
        <v>0.1</v>
      </c>
      <c r="D20" s="19">
        <f>Pathogens!J17</f>
        <v>35</v>
      </c>
      <c r="E20" s="19">
        <f>Calculator!$B$7</f>
        <v>38.8</v>
      </c>
      <c r="F20" s="19">
        <f>Pathogens!N17</f>
        <v>0.1</v>
      </c>
      <c r="G20" s="19">
        <f>Calculator!$B$10</f>
        <v>45.2</v>
      </c>
      <c r="H20" s="20">
        <f>ROUND(MIN(5,IF(Pathogens!I17&gt;=500,5,IF(Pathogens!I17&gt;=200,4,IF(Pathogens!I17&gt;=50,3,IF(Pathogens!I17&gt;=10,2,1))))*0.5+IF(Pathogens!J17&gt;=30,5,IF(Pathogens!J17&gt;=10,4,IF(Pathogens!J17&gt;=3,3,IF(Pathogens!J17&gt;=1,2,1))))*0.4+IF(AND($B$7&gt;=80,Pathogens!N17&gt;=0.5),1,0)*0.1+IF($B$10&lt;50,0.3,0)),0)</f>
        <v>3</v>
      </c>
    </row>
    <row r="21" customHeight="1" spans="1:8">
      <c r="A21" s="18" t="s">
        <v>206</v>
      </c>
      <c r="B21" t="s">
        <v>207</v>
      </c>
      <c r="C21" s="19">
        <f>Pathogens!I18</f>
        <v>200</v>
      </c>
      <c r="D21" s="19">
        <f>Pathogens!J18</f>
        <v>0.2</v>
      </c>
      <c r="E21" s="19">
        <f>Calculator!$B$7</f>
        <v>38.8</v>
      </c>
      <c r="F21" s="19">
        <f>Pathogens!N18</f>
        <v>0.2</v>
      </c>
      <c r="G21" s="19">
        <f>Calculator!$B$10</f>
        <v>45.2</v>
      </c>
      <c r="H21" s="20">
        <f>ROUND(MIN(5,IF(Pathogens!I18&gt;=500,5,IF(Pathogens!I18&gt;=200,4,IF(Pathogens!I18&gt;=50,3,IF(Pathogens!I18&gt;=10,2,1))))*0.5+IF(Pathogens!J18&gt;=30,5,IF(Pathogens!J18&gt;=10,4,IF(Pathogens!J18&gt;=3,3,IF(Pathogens!J18&gt;=1,2,1))))*0.4+IF(AND($B$7&gt;=80,Pathogens!N18&gt;=0.5),1,0)*0.1+IF($B$10&lt;50,0.3,0)),0)</f>
        <v>2</v>
      </c>
    </row>
    <row r="22" customHeight="1" spans="1:8">
      <c r="A22" s="18" t="s">
        <v>208</v>
      </c>
      <c r="B22" t="s">
        <v>209</v>
      </c>
      <c r="C22" s="19">
        <f>Pathogens!I19</f>
        <v>0.05</v>
      </c>
      <c r="D22" s="19">
        <f>Pathogens!J19</f>
        <v>53</v>
      </c>
      <c r="E22" s="19">
        <f>Calculator!$B$7</f>
        <v>38.8</v>
      </c>
      <c r="F22" s="19">
        <f>Pathogens!N19</f>
        <v>0.3</v>
      </c>
      <c r="G22" s="19">
        <f>Calculator!$B$10</f>
        <v>45.2</v>
      </c>
      <c r="H22" s="20">
        <f>ROUND(MIN(5,IF(Pathogens!I19&gt;=500,5,IF(Pathogens!I19&gt;=200,4,IF(Pathogens!I19&gt;=50,3,IF(Pathogens!I19&gt;=10,2,1))))*0.5+IF(Pathogens!J19&gt;=30,5,IF(Pathogens!J19&gt;=10,4,IF(Pathogens!J19&gt;=3,3,IF(Pathogens!J19&gt;=1,2,1))))*0.4+IF(AND($B$7&gt;=80,Pathogens!N19&gt;=0.5),1,0)*0.1+IF($B$10&lt;50,0.3,0)),0)</f>
        <v>3</v>
      </c>
    </row>
    <row r="23" customHeight="1" spans="1:8">
      <c r="A23" s="18" t="s">
        <v>211</v>
      </c>
      <c r="B23" t="s">
        <v>212</v>
      </c>
      <c r="C23" s="19">
        <f>Pathogens!I20</f>
        <v>300</v>
      </c>
      <c r="D23" s="19">
        <f>Pathogens!J20</f>
        <v>0.5</v>
      </c>
      <c r="E23" s="19">
        <f>Calculator!$B$7</f>
        <v>38.8</v>
      </c>
      <c r="F23" s="19">
        <f>Pathogens!N20</f>
        <v>0.2</v>
      </c>
      <c r="G23" s="19">
        <f>Calculator!$B$10</f>
        <v>45.2</v>
      </c>
      <c r="H23" s="20">
        <f>ROUND(MIN(5,IF(Pathogens!I20&gt;=500,5,IF(Pathogens!I20&gt;=200,4,IF(Pathogens!I20&gt;=50,3,IF(Pathogens!I20&gt;=10,2,1))))*0.5+IF(Pathogens!J20&gt;=30,5,IF(Pathogens!J20&gt;=10,4,IF(Pathogens!J20&gt;=3,3,IF(Pathogens!J20&gt;=1,2,1))))*0.4+IF(AND($B$7&gt;=80,Pathogens!N20&gt;=0.5),1,0)*0.1+IF($B$10&lt;50,0.3,0)),0)</f>
        <v>2</v>
      </c>
    </row>
    <row r="24" customHeight="1" spans="1:8">
      <c r="A24" s="18" t="s">
        <v>213</v>
      </c>
      <c r="B24" t="s">
        <v>214</v>
      </c>
      <c r="C24" s="19">
        <f>Pathogens!I21</f>
        <v>200</v>
      </c>
      <c r="D24" s="19">
        <f>Pathogens!J21</f>
        <v>0.1</v>
      </c>
      <c r="E24" s="19">
        <f>Calculator!$B$7</f>
        <v>38.8</v>
      </c>
      <c r="F24" s="19">
        <f>Pathogens!N21</f>
        <v>0.5</v>
      </c>
      <c r="G24" s="19">
        <f>Calculator!$B$10</f>
        <v>45.2</v>
      </c>
      <c r="H24" s="20">
        <f>ROUND(MIN(5,IF(Pathogens!I21&gt;=500,5,IF(Pathogens!I21&gt;=200,4,IF(Pathogens!I21&gt;=50,3,IF(Pathogens!I21&gt;=10,2,1))))*0.5+IF(Pathogens!J21&gt;=30,5,IF(Pathogens!J21&gt;=10,4,IF(Pathogens!J21&gt;=3,3,IF(Pathogens!J21&gt;=1,2,1))))*0.4+IF(AND($B$7&gt;=80,Pathogens!N21&gt;=0.5),1,0)*0.1+IF($B$10&lt;50,0.3,0)),0)</f>
        <v>3</v>
      </c>
    </row>
    <row r="25" customHeight="1" spans="1:8">
      <c r="A25" s="18" t="s">
        <v>216</v>
      </c>
      <c r="B25" t="s">
        <v>217</v>
      </c>
      <c r="C25" s="19">
        <f>Pathogens!I22</f>
        <v>0.01</v>
      </c>
      <c r="D25" s="19">
        <f>Pathogens!J22</f>
        <v>70</v>
      </c>
      <c r="E25" s="19">
        <f>Calculator!$B$7</f>
        <v>38.8</v>
      </c>
      <c r="F25" s="19">
        <f>Pathogens!N22</f>
        <v>0.4</v>
      </c>
      <c r="G25" s="19">
        <f>Calculator!$B$10</f>
        <v>45.2</v>
      </c>
      <c r="H25" s="20">
        <f>ROUND(MIN(5,IF(Pathogens!I22&gt;=500,5,IF(Pathogens!I22&gt;=200,4,IF(Pathogens!I22&gt;=50,3,IF(Pathogens!I22&gt;=10,2,1))))*0.5+IF(Pathogens!J22&gt;=30,5,IF(Pathogens!J22&gt;=10,4,IF(Pathogens!J22&gt;=3,3,IF(Pathogens!J22&gt;=1,2,1))))*0.4+IF(AND($B$7&gt;=80,Pathogens!N22&gt;=0.5),1,0)*0.1+IF($B$10&lt;50,0.3,0)),0)</f>
        <v>3</v>
      </c>
    </row>
    <row r="26" customHeight="1" spans="1:8">
      <c r="A26" s="18" t="s">
        <v>219</v>
      </c>
      <c r="B26" t="s">
        <v>220</v>
      </c>
      <c r="C26" s="19">
        <f>Pathogens!I23</f>
        <v>60</v>
      </c>
      <c r="D26" s="19">
        <f>Pathogens!J23</f>
        <v>0.3</v>
      </c>
      <c r="E26" s="19">
        <f>Calculator!$B$7</f>
        <v>38.8</v>
      </c>
      <c r="F26" s="19">
        <f>Pathogens!N23</f>
        <v>0.95</v>
      </c>
      <c r="G26" s="19">
        <f>Calculator!$B$10</f>
        <v>45.2</v>
      </c>
      <c r="H26" s="20">
        <f>ROUND(MIN(5,IF(Pathogens!I23&gt;=500,5,IF(Pathogens!I23&gt;=200,4,IF(Pathogens!I23&gt;=50,3,IF(Pathogens!I23&gt;=10,2,1))))*0.5+IF(Pathogens!J23&gt;=30,5,IF(Pathogens!J23&gt;=10,4,IF(Pathogens!J23&gt;=3,3,IF(Pathogens!J23&gt;=1,2,1))))*0.4+IF(AND($B$7&gt;=80,Pathogens!N23&gt;=0.5),1,0)*0.1+IF($B$10&lt;50,0.3,0)),0)</f>
        <v>2</v>
      </c>
    </row>
    <row r="27" customHeight="1" spans="1:8">
      <c r="A27" s="18" t="s">
        <v>222</v>
      </c>
      <c r="B27" t="s">
        <v>223</v>
      </c>
      <c r="C27" s="19">
        <f>Pathogens!I24</f>
        <v>35</v>
      </c>
      <c r="D27" s="19">
        <f>Pathogens!J24</f>
        <v>3</v>
      </c>
      <c r="E27" s="19">
        <f>Calculator!$B$7</f>
        <v>38.8</v>
      </c>
      <c r="F27" s="19">
        <f>Pathogens!N24</f>
        <v>0.95</v>
      </c>
      <c r="G27" s="19">
        <f>Calculator!$B$10</f>
        <v>45.2</v>
      </c>
      <c r="H27" s="20">
        <f>ROUND(MIN(5,IF(Pathogens!I24&gt;=500,5,IF(Pathogens!I24&gt;=200,4,IF(Pathogens!I24&gt;=50,3,IF(Pathogens!I24&gt;=10,2,1))))*0.5+IF(Pathogens!J24&gt;=30,5,IF(Pathogens!J24&gt;=10,4,IF(Pathogens!J24&gt;=3,3,IF(Pathogens!J24&gt;=1,2,1))))*0.4+IF(AND($B$7&gt;=80,Pathogens!N24&gt;=0.5),1,0)*0.1+IF($B$10&lt;50,0.3,0)),0)</f>
        <v>2</v>
      </c>
    </row>
    <row r="28" customHeight="1" spans="1:8">
      <c r="A28" s="18" t="s">
        <v>224</v>
      </c>
      <c r="B28" t="s">
        <v>225</v>
      </c>
      <c r="C28" s="19">
        <f>Pathogens!I25</f>
        <v>500</v>
      </c>
      <c r="D28" s="19">
        <f>Pathogens!J25</f>
        <v>0.05</v>
      </c>
      <c r="E28" s="19">
        <f>Calculator!$B$7</f>
        <v>38.8</v>
      </c>
      <c r="F28" s="19">
        <f>Pathogens!N25</f>
        <v>0.85</v>
      </c>
      <c r="G28" s="19">
        <f>Calculator!$B$10</f>
        <v>45.2</v>
      </c>
      <c r="H28" s="20">
        <f>ROUND(MIN(5,IF(Pathogens!I25&gt;=500,5,IF(Pathogens!I25&gt;=200,4,IF(Pathogens!I25&gt;=50,3,IF(Pathogens!I25&gt;=10,2,1))))*0.5+IF(Pathogens!J25&gt;=30,5,IF(Pathogens!J25&gt;=10,4,IF(Pathogens!J25&gt;=3,3,IF(Pathogens!J25&gt;=1,2,1))))*0.4+IF(AND($B$7&gt;=80,Pathogens!N25&gt;=0.5),1,0)*0.1+IF($B$10&lt;50,0.3,0)),0)</f>
        <v>3</v>
      </c>
    </row>
    <row r="29" customHeight="1" spans="1:8">
      <c r="A29" s="18" t="s">
        <v>226</v>
      </c>
      <c r="B29" t="s">
        <v>227</v>
      </c>
      <c r="C29" s="19">
        <f>Pathogens!I26</f>
        <v>450</v>
      </c>
      <c r="D29" s="19">
        <f>Pathogens!J26</f>
        <v>0.4</v>
      </c>
      <c r="E29" s="19">
        <f>Calculator!$B$7</f>
        <v>38.8</v>
      </c>
      <c r="F29" s="19">
        <f>Pathogens!N26</f>
        <v>0.85</v>
      </c>
      <c r="G29" s="19">
        <f>Calculator!$B$10</f>
        <v>45.2</v>
      </c>
      <c r="H29" s="20">
        <f>ROUND(MIN(5,IF(Pathogens!I26&gt;=500,5,IF(Pathogens!I26&gt;=200,4,IF(Pathogens!I26&gt;=50,3,IF(Pathogens!I26&gt;=10,2,1))))*0.5+IF(Pathogens!J26&gt;=30,5,IF(Pathogens!J26&gt;=10,4,IF(Pathogens!J26&gt;=3,3,IF(Pathogens!J26&gt;=1,2,1))))*0.4+IF(AND($B$7&gt;=80,Pathogens!N26&gt;=0.5),1,0)*0.1+IF($B$10&lt;50,0.3,0)),0)</f>
        <v>3</v>
      </c>
    </row>
    <row r="30" customHeight="1" spans="1:8">
      <c r="A30" s="18" t="s">
        <v>228</v>
      </c>
      <c r="B30" t="s">
        <v>229</v>
      </c>
      <c r="C30" s="19">
        <f>Pathogens!I27</f>
        <v>150</v>
      </c>
      <c r="D30" s="19">
        <f>Pathogens!J27</f>
        <v>0.05</v>
      </c>
      <c r="E30" s="19">
        <f>Calculator!$B$7</f>
        <v>38.8</v>
      </c>
      <c r="F30" s="19">
        <f>Pathogens!N27</f>
        <v>0.85</v>
      </c>
      <c r="G30" s="19">
        <f>Calculator!$B$10</f>
        <v>45.2</v>
      </c>
      <c r="H30" s="20">
        <f>ROUND(MIN(5,IF(Pathogens!I27&gt;=500,5,IF(Pathogens!I27&gt;=200,4,IF(Pathogens!I27&gt;=50,3,IF(Pathogens!I27&gt;=10,2,1))))*0.5+IF(Pathogens!J27&gt;=30,5,IF(Pathogens!J27&gt;=10,4,IF(Pathogens!J27&gt;=3,3,IF(Pathogens!J27&gt;=1,2,1))))*0.4+IF(AND($B$7&gt;=80,Pathogens!N27&gt;=0.5),1,0)*0.1+IF($B$10&lt;50,0.3,0)),0)</f>
        <v>2</v>
      </c>
    </row>
    <row r="31" customHeight="1" spans="1:8">
      <c r="A31" s="18" t="s">
        <v>230</v>
      </c>
      <c r="B31" t="s">
        <v>231</v>
      </c>
      <c r="C31" s="19">
        <f>Pathogens!I28</f>
        <v>120</v>
      </c>
      <c r="D31" s="19">
        <f>Pathogens!J28</f>
        <v>0.05</v>
      </c>
      <c r="E31" s="19">
        <f>Calculator!$B$7</f>
        <v>38.8</v>
      </c>
      <c r="F31" s="19">
        <f>Pathogens!N28</f>
        <v>0.85</v>
      </c>
      <c r="G31" s="19">
        <f>Calculator!$B$10</f>
        <v>45.2</v>
      </c>
      <c r="H31" s="20">
        <f>ROUND(MIN(5,IF(Pathogens!I28&gt;=500,5,IF(Pathogens!I28&gt;=200,4,IF(Pathogens!I28&gt;=50,3,IF(Pathogens!I28&gt;=10,2,1))))*0.5+IF(Pathogens!J28&gt;=30,5,IF(Pathogens!J28&gt;=10,4,IF(Pathogens!J28&gt;=3,3,IF(Pathogens!J28&gt;=1,2,1))))*0.4+IF(AND($B$7&gt;=80,Pathogens!N28&gt;=0.5),1,0)*0.1+IF($B$10&lt;50,0.3,0)),0)</f>
        <v>2</v>
      </c>
    </row>
    <row r="32" customHeight="1" spans="1:8">
      <c r="A32" s="18" t="s">
        <v>232</v>
      </c>
      <c r="B32" t="s">
        <v>233</v>
      </c>
      <c r="C32" s="19">
        <f>Pathogens!I29</f>
        <v>200</v>
      </c>
      <c r="D32" s="19">
        <f>Pathogens!J29</f>
        <v>0.1</v>
      </c>
      <c r="E32" s="19">
        <f>Calculator!$B$7</f>
        <v>38.8</v>
      </c>
      <c r="F32" s="19">
        <f>Pathogens!N29</f>
        <v>0.7</v>
      </c>
      <c r="G32" s="19">
        <f>Calculator!$B$10</f>
        <v>45.2</v>
      </c>
      <c r="H32" s="20">
        <f>ROUND(MIN(5,IF(Pathogens!I29&gt;=500,5,IF(Pathogens!I29&gt;=200,4,IF(Pathogens!I29&gt;=50,3,IF(Pathogens!I29&gt;=10,2,1))))*0.5+IF(Pathogens!J29&gt;=30,5,IF(Pathogens!J29&gt;=10,4,IF(Pathogens!J29&gt;=3,3,IF(Pathogens!J29&gt;=1,2,1))))*0.4+IF(AND($B$7&gt;=80,Pathogens!N29&gt;=0.5),1,0)*0.1+IF($B$10&lt;50,0.3,0)),0)</f>
        <v>3</v>
      </c>
    </row>
    <row r="33" customHeight="1" spans="1:8">
      <c r="A33" s="18" t="s">
        <v>234</v>
      </c>
      <c r="B33" t="s">
        <v>235</v>
      </c>
      <c r="C33" s="19">
        <f>Pathogens!I30</f>
        <v>40</v>
      </c>
      <c r="D33" s="19">
        <f>Pathogens!J30</f>
        <v>0.1</v>
      </c>
      <c r="E33" s="19">
        <f>Calculator!$B$7</f>
        <v>38.8</v>
      </c>
      <c r="F33" s="19">
        <f>Pathogens!N30</f>
        <v>0.7</v>
      </c>
      <c r="G33" s="19">
        <f>Calculator!$B$10</f>
        <v>45.2</v>
      </c>
      <c r="H33" s="20">
        <f>ROUND(MIN(5,IF(Pathogens!I30&gt;=500,5,IF(Pathogens!I30&gt;=200,4,IF(Pathogens!I30&gt;=50,3,IF(Pathogens!I30&gt;=10,2,1))))*0.5+IF(Pathogens!J30&gt;=30,5,IF(Pathogens!J30&gt;=10,4,IF(Pathogens!J30&gt;=3,3,IF(Pathogens!J30&gt;=1,2,1))))*0.4+IF(AND($B$7&gt;=80,Pathogens!N30&gt;=0.5),1,0)*0.1+IF($B$10&lt;50,0.3,0)),0)</f>
        <v>2</v>
      </c>
    </row>
    <row r="34" customHeight="1" spans="1:8">
      <c r="A34" s="18" t="s">
        <v>236</v>
      </c>
      <c r="B34" t="s">
        <v>237</v>
      </c>
      <c r="C34" s="19">
        <f>Pathogens!I31</f>
        <v>35</v>
      </c>
      <c r="D34" s="19">
        <f>Pathogens!J31</f>
        <v>2</v>
      </c>
      <c r="E34" s="19">
        <f>Calculator!$B$7</f>
        <v>38.8</v>
      </c>
      <c r="F34" s="19">
        <f>Pathogens!N31</f>
        <v>1</v>
      </c>
      <c r="G34" s="19">
        <f>Calculator!$B$10</f>
        <v>45.2</v>
      </c>
      <c r="H34" s="20">
        <f>ROUND(MIN(5,IF(Pathogens!I31&gt;=500,5,IF(Pathogens!I31&gt;=200,4,IF(Pathogens!I31&gt;=50,3,IF(Pathogens!I31&gt;=10,2,1))))*0.5+IF(Pathogens!J31&gt;=30,5,IF(Pathogens!J31&gt;=10,4,IF(Pathogens!J31&gt;=3,3,IF(Pathogens!J31&gt;=1,2,1))))*0.4+IF(AND($B$7&gt;=80,Pathogens!N31&gt;=0.5),1,0)*0.1+IF($B$10&lt;50,0.3,0)),0)</f>
        <v>2</v>
      </c>
    </row>
    <row r="35" customHeight="1" spans="1:8">
      <c r="A35" s="18" t="s">
        <v>239</v>
      </c>
      <c r="B35" t="s">
        <v>240</v>
      </c>
      <c r="C35" s="19">
        <f>Pathogens!I32</f>
        <v>12</v>
      </c>
      <c r="D35" s="19">
        <f>Pathogens!J32</f>
        <v>0.1</v>
      </c>
      <c r="E35" s="19">
        <f>Calculator!$B$7</f>
        <v>38.8</v>
      </c>
      <c r="F35" s="19">
        <f>Pathogens!N32</f>
        <v>0.9</v>
      </c>
      <c r="G35" s="19">
        <f>Calculator!$B$10</f>
        <v>45.2</v>
      </c>
      <c r="H35" s="20">
        <f>ROUND(MIN(5,IF(Pathogens!I32&gt;=500,5,IF(Pathogens!I32&gt;=200,4,IF(Pathogens!I32&gt;=50,3,IF(Pathogens!I32&gt;=10,2,1))))*0.5+IF(Pathogens!J32&gt;=30,5,IF(Pathogens!J32&gt;=10,4,IF(Pathogens!J32&gt;=3,3,IF(Pathogens!J32&gt;=1,2,1))))*0.4+IF(AND($B$7&gt;=80,Pathogens!N32&gt;=0.5),1,0)*0.1+IF($B$10&lt;50,0.3,0)),0)</f>
        <v>2</v>
      </c>
    </row>
    <row r="36" customHeight="1" spans="1:8">
      <c r="A36" s="18" t="s">
        <v>241</v>
      </c>
      <c r="B36" t="s">
        <v>242</v>
      </c>
      <c r="C36" s="19">
        <f>Pathogens!I33</f>
        <v>180</v>
      </c>
      <c r="D36" s="19">
        <f>Pathogens!J33</f>
        <v>1</v>
      </c>
      <c r="E36" s="19">
        <f>Calculator!$B$7</f>
        <v>38.8</v>
      </c>
      <c r="F36" s="19">
        <f>Pathogens!N33</f>
        <v>0.95</v>
      </c>
      <c r="G36" s="19">
        <f>Calculator!$B$10</f>
        <v>45.2</v>
      </c>
      <c r="H36" s="20">
        <f>ROUND(MIN(5,IF(Pathogens!I33&gt;=500,5,IF(Pathogens!I33&gt;=200,4,IF(Pathogens!I33&gt;=50,3,IF(Pathogens!I33&gt;=10,2,1))))*0.5+IF(Pathogens!J33&gt;=30,5,IF(Pathogens!J33&gt;=10,4,IF(Pathogens!J33&gt;=3,3,IF(Pathogens!J33&gt;=1,2,1))))*0.4+IF(AND($B$7&gt;=80,Pathogens!N33&gt;=0.5),1,0)*0.1+IF($B$10&lt;50,0.3,0)),0)</f>
        <v>2</v>
      </c>
    </row>
    <row r="37" customHeight="1" spans="1:8">
      <c r="A37" s="18" t="s">
        <v>243</v>
      </c>
      <c r="B37" t="s">
        <v>244</v>
      </c>
      <c r="C37" s="19">
        <f>Pathogens!I34</f>
        <v>40</v>
      </c>
      <c r="D37" s="19">
        <f>Pathogens!J34</f>
        <v>0.5</v>
      </c>
      <c r="E37" s="19">
        <f>Calculator!$B$7</f>
        <v>38.8</v>
      </c>
      <c r="F37" s="19">
        <f>Pathogens!N34</f>
        <v>0.95</v>
      </c>
      <c r="G37" s="19">
        <f>Calculator!$B$10</f>
        <v>45.2</v>
      </c>
      <c r="H37" s="20">
        <f>ROUND(MIN(5,IF(Pathogens!I34&gt;=500,5,IF(Pathogens!I34&gt;=200,4,IF(Pathogens!I34&gt;=50,3,IF(Pathogens!I34&gt;=10,2,1))))*0.5+IF(Pathogens!J34&gt;=30,5,IF(Pathogens!J34&gt;=10,4,IF(Pathogens!J34&gt;=3,3,IF(Pathogens!J34&gt;=1,2,1))))*0.4+IF(AND($B$7&gt;=80,Pathogens!N34&gt;=0.5),1,0)*0.1+IF($B$10&lt;50,0.3,0)),0)</f>
        <v>2</v>
      </c>
    </row>
    <row r="38" customHeight="1" spans="1:8">
      <c r="A38" s="18" t="s">
        <v>245</v>
      </c>
      <c r="B38" t="s">
        <v>246</v>
      </c>
      <c r="C38" s="19">
        <f>Pathogens!I35</f>
        <v>100</v>
      </c>
      <c r="D38" s="19">
        <f>Pathogens!J35</f>
        <v>20</v>
      </c>
      <c r="E38" s="19">
        <f>Calculator!$B$7</f>
        <v>38.8</v>
      </c>
      <c r="F38" s="19">
        <f>Pathogens!N35</f>
        <v>0.85</v>
      </c>
      <c r="G38" s="19">
        <f>Calculator!$B$10</f>
        <v>45.2</v>
      </c>
      <c r="H38" s="20">
        <f>ROUND(MIN(5,IF(Pathogens!I35&gt;=500,5,IF(Pathogens!I35&gt;=200,4,IF(Pathogens!I35&gt;=50,3,IF(Pathogens!I35&gt;=10,2,1))))*0.5+IF(Pathogens!J35&gt;=30,5,IF(Pathogens!J35&gt;=10,4,IF(Pathogens!J35&gt;=3,3,IF(Pathogens!J35&gt;=1,2,1))))*0.4+IF(AND($B$7&gt;=80,Pathogens!N35&gt;=0.5),1,0)*0.1+IF($B$10&lt;50,0.3,0)),0)</f>
        <v>3</v>
      </c>
    </row>
    <row r="39" customHeight="1" spans="1:8">
      <c r="A39" s="18" t="s">
        <v>247</v>
      </c>
      <c r="B39" t="s">
        <v>248</v>
      </c>
      <c r="C39" s="19">
        <f>Pathogens!I36</f>
        <v>190</v>
      </c>
      <c r="D39" s="19">
        <f>Pathogens!J36</f>
        <v>1</v>
      </c>
      <c r="E39" s="19">
        <f>Calculator!$B$7</f>
        <v>38.8</v>
      </c>
      <c r="F39" s="19">
        <f>Pathogens!N36</f>
        <v>0.95</v>
      </c>
      <c r="G39" s="19">
        <f>Calculator!$B$10</f>
        <v>45.2</v>
      </c>
      <c r="H39" s="20">
        <f>ROUND(MIN(5,IF(Pathogens!I36&gt;=500,5,IF(Pathogens!I36&gt;=200,4,IF(Pathogens!I36&gt;=50,3,IF(Pathogens!I36&gt;=10,2,1))))*0.5+IF(Pathogens!J36&gt;=30,5,IF(Pathogens!J36&gt;=10,4,IF(Pathogens!J36&gt;=3,3,IF(Pathogens!J36&gt;=1,2,1))))*0.4+IF(AND($B$7&gt;=80,Pathogens!N36&gt;=0.5),1,0)*0.1+IF($B$10&lt;50,0.3,0)),0)</f>
        <v>2</v>
      </c>
    </row>
    <row r="40" customHeight="1" spans="1:8">
      <c r="A40" s="18" t="s">
        <v>249</v>
      </c>
      <c r="B40" t="s">
        <v>250</v>
      </c>
      <c r="C40" s="19">
        <f>Pathogens!I37</f>
        <v>250</v>
      </c>
      <c r="D40" s="19">
        <f>Pathogens!J37</f>
        <v>1</v>
      </c>
      <c r="E40" s="19">
        <f>Calculator!$B$7</f>
        <v>38.8</v>
      </c>
      <c r="F40" s="19">
        <f>Pathogens!N37</f>
        <v>0.9</v>
      </c>
      <c r="G40" s="19">
        <f>Calculator!$B$10</f>
        <v>45.2</v>
      </c>
      <c r="H40" s="20">
        <f>ROUND(MIN(5,IF(Pathogens!I37&gt;=500,5,IF(Pathogens!I37&gt;=200,4,IF(Pathogens!I37&gt;=50,3,IF(Pathogens!I37&gt;=10,2,1))))*0.5+IF(Pathogens!J37&gt;=30,5,IF(Pathogens!J37&gt;=10,4,IF(Pathogens!J37&gt;=3,3,IF(Pathogens!J37&gt;=1,2,1))))*0.4+IF(AND($B$7&gt;=80,Pathogens!N37&gt;=0.5),1,0)*0.1+IF($B$10&lt;50,0.3,0)),0)</f>
        <v>3</v>
      </c>
    </row>
    <row r="41" customHeight="1" spans="1:8">
      <c r="A41" s="18" t="s">
        <v>251</v>
      </c>
      <c r="B41" t="s">
        <v>252</v>
      </c>
      <c r="C41" s="19">
        <f>Pathogens!I38</f>
        <v>120</v>
      </c>
      <c r="D41" s="19">
        <f>Pathogens!J38</f>
        <v>0.1</v>
      </c>
      <c r="E41" s="19">
        <f>Calculator!$B$7</f>
        <v>38.8</v>
      </c>
      <c r="F41" s="19">
        <f>Pathogens!N38</f>
        <v>0.85</v>
      </c>
      <c r="G41" s="19">
        <f>Calculator!$B$10</f>
        <v>45.2</v>
      </c>
      <c r="H41" s="20">
        <f>ROUND(MIN(5,IF(Pathogens!I38&gt;=500,5,IF(Pathogens!I38&gt;=200,4,IF(Pathogens!I38&gt;=50,3,IF(Pathogens!I38&gt;=10,2,1))))*0.5+IF(Pathogens!J38&gt;=30,5,IF(Pathogens!J38&gt;=10,4,IF(Pathogens!J38&gt;=3,3,IF(Pathogens!J38&gt;=1,2,1))))*0.4+IF(AND($B$7&gt;=80,Pathogens!N38&gt;=0.5),1,0)*0.1+IF($B$10&lt;50,0.3,0)),0)</f>
        <v>2</v>
      </c>
    </row>
    <row r="42" customHeight="1" spans="1:8">
      <c r="A42" s="18" t="s">
        <v>253</v>
      </c>
      <c r="B42" t="s">
        <v>254</v>
      </c>
      <c r="C42" s="19">
        <f>Pathogens!I39</f>
        <v>10</v>
      </c>
      <c r="D42" s="19">
        <f>Pathogens!J39</f>
        <v>0.5</v>
      </c>
      <c r="E42" s="19">
        <f>Calculator!$B$7</f>
        <v>38.8</v>
      </c>
      <c r="F42" s="19">
        <f>Pathogens!N39</f>
        <v>0.7</v>
      </c>
      <c r="G42" s="19">
        <f>Calculator!$B$10</f>
        <v>45.2</v>
      </c>
      <c r="H42" s="20">
        <f>ROUND(MIN(5,IF(Pathogens!I39&gt;=500,5,IF(Pathogens!I39&gt;=200,4,IF(Pathogens!I39&gt;=50,3,IF(Pathogens!I39&gt;=10,2,1))))*0.5+IF(Pathogens!J39&gt;=30,5,IF(Pathogens!J39&gt;=10,4,IF(Pathogens!J39&gt;=3,3,IF(Pathogens!J39&gt;=1,2,1))))*0.4+IF(AND($B$7&gt;=80,Pathogens!N39&gt;=0.5),1,0)*0.1+IF($B$10&lt;50,0.3,0)),0)</f>
        <v>2</v>
      </c>
    </row>
    <row r="43" customHeight="1" spans="1:8">
      <c r="A43" s="18" t="s">
        <v>255</v>
      </c>
      <c r="B43" t="s">
        <v>256</v>
      </c>
      <c r="C43" s="19">
        <f>Pathogens!I40</f>
        <v>30</v>
      </c>
      <c r="D43" s="19">
        <f>Pathogens!J40</f>
        <v>6</v>
      </c>
      <c r="E43" s="19">
        <f>Calculator!$B$7</f>
        <v>38.8</v>
      </c>
      <c r="F43" s="19">
        <f>Pathogens!N40</f>
        <v>0.6</v>
      </c>
      <c r="G43" s="19">
        <f>Calculator!$B$10</f>
        <v>45.2</v>
      </c>
      <c r="H43" s="20">
        <f>ROUND(MIN(5,IF(Pathogens!I40&gt;=500,5,IF(Pathogens!I40&gt;=200,4,IF(Pathogens!I40&gt;=50,3,IF(Pathogens!I40&gt;=10,2,1))))*0.5+IF(Pathogens!J40&gt;=30,5,IF(Pathogens!J40&gt;=10,4,IF(Pathogens!J40&gt;=3,3,IF(Pathogens!J40&gt;=1,2,1))))*0.4+IF(AND($B$7&gt;=80,Pathogens!N40&gt;=0.5),1,0)*0.1+IF($B$10&lt;50,0.3,0)),0)</f>
        <v>2</v>
      </c>
    </row>
    <row r="44" customHeight="1" spans="1:8">
      <c r="A44" s="18" t="s">
        <v>257</v>
      </c>
      <c r="B44" t="s">
        <v>258</v>
      </c>
      <c r="C44" s="19">
        <f>Pathogens!I41</f>
        <v>20</v>
      </c>
      <c r="D44" s="19">
        <f>Pathogens!J41</f>
        <v>10</v>
      </c>
      <c r="E44" s="19">
        <f>Calculator!$B$7</f>
        <v>38.8</v>
      </c>
      <c r="F44" s="19">
        <f>Pathogens!N41</f>
        <v>0.85</v>
      </c>
      <c r="G44" s="19">
        <f>Calculator!$B$10</f>
        <v>45.2</v>
      </c>
      <c r="H44" s="20">
        <f>ROUND(MIN(5,IF(Pathogens!I41&gt;=500,5,IF(Pathogens!I41&gt;=200,4,IF(Pathogens!I41&gt;=50,3,IF(Pathogens!I41&gt;=10,2,1))))*0.5+IF(Pathogens!J41&gt;=30,5,IF(Pathogens!J41&gt;=10,4,IF(Pathogens!J41&gt;=3,3,IF(Pathogens!J41&gt;=1,2,1))))*0.4+IF(AND($B$7&gt;=80,Pathogens!N41&gt;=0.5),1,0)*0.1+IF($B$10&lt;50,0.3,0)),0)</f>
        <v>3</v>
      </c>
    </row>
    <row r="45" customHeight="1" spans="1:8">
      <c r="A45" s="18" t="s">
        <v>260</v>
      </c>
      <c r="B45" t="s">
        <v>261</v>
      </c>
      <c r="C45" s="19">
        <f>Pathogens!I42</f>
        <v>10</v>
      </c>
      <c r="D45" s="19">
        <f>Pathogens!J42</f>
        <v>2</v>
      </c>
      <c r="E45" s="19">
        <f>Calculator!$B$7</f>
        <v>38.8</v>
      </c>
      <c r="F45" s="19">
        <f>Pathogens!N42</f>
        <v>0.5</v>
      </c>
      <c r="G45" s="19">
        <f>Calculator!$B$10</f>
        <v>45.2</v>
      </c>
      <c r="H45" s="20">
        <f>ROUND(MIN(5,IF(Pathogens!I42&gt;=500,5,IF(Pathogens!I42&gt;=200,4,IF(Pathogens!I42&gt;=50,3,IF(Pathogens!I42&gt;=10,2,1))))*0.5+IF(Pathogens!J42&gt;=30,5,IF(Pathogens!J42&gt;=10,4,IF(Pathogens!J42&gt;=3,3,IF(Pathogens!J42&gt;=1,2,1))))*0.4+IF(AND($B$7&gt;=80,Pathogens!N42&gt;=0.5),1,0)*0.1+IF($B$10&lt;50,0.3,0)),0)</f>
        <v>2</v>
      </c>
    </row>
    <row r="46" customHeight="1" spans="1:8">
      <c r="A46" s="18" t="s">
        <v>262</v>
      </c>
      <c r="B46" t="s">
        <v>263</v>
      </c>
      <c r="C46" s="19">
        <f>Pathogens!I43</f>
        <v>5</v>
      </c>
      <c r="D46" s="19">
        <f>Pathogens!J43</f>
        <v>2</v>
      </c>
      <c r="E46" s="19">
        <f>Calculator!$B$7</f>
        <v>38.8</v>
      </c>
      <c r="F46" s="19">
        <f>Pathogens!N43</f>
        <v>0.4</v>
      </c>
      <c r="G46" s="19">
        <f>Calculator!$B$10</f>
        <v>45.2</v>
      </c>
      <c r="H46" s="20">
        <f>ROUND(MIN(5,IF(Pathogens!I43&gt;=500,5,IF(Pathogens!I43&gt;=200,4,IF(Pathogens!I43&gt;=50,3,IF(Pathogens!I43&gt;=10,2,1))))*0.5+IF(Pathogens!J43&gt;=30,5,IF(Pathogens!J43&gt;=10,4,IF(Pathogens!J43&gt;=3,3,IF(Pathogens!J43&gt;=1,2,1))))*0.4+IF(AND($B$7&gt;=80,Pathogens!N43&gt;=0.5),1,0)*0.1+IF($B$10&lt;50,0.3,0)),0)</f>
        <v>1</v>
      </c>
    </row>
    <row r="47" customHeight="1" spans="1:8">
      <c r="A47" s="18" t="s">
        <v>264</v>
      </c>
      <c r="B47" t="s">
        <v>265</v>
      </c>
      <c r="C47" s="19">
        <f>Pathogens!I44</f>
        <v>4</v>
      </c>
      <c r="D47" s="19">
        <f>Pathogens!J44</f>
        <v>40</v>
      </c>
      <c r="E47" s="19">
        <f>Calculator!$B$7</f>
        <v>38.8</v>
      </c>
      <c r="F47" s="19">
        <f>Pathogens!N44</f>
        <v>0.3</v>
      </c>
      <c r="G47" s="19">
        <f>Calculator!$B$10</f>
        <v>45.2</v>
      </c>
      <c r="H47" s="20">
        <f>ROUND(MIN(5,IF(Pathogens!I44&gt;=500,5,IF(Pathogens!I44&gt;=200,4,IF(Pathogens!I44&gt;=50,3,IF(Pathogens!I44&gt;=10,2,1))))*0.5+IF(Pathogens!J44&gt;=30,5,IF(Pathogens!J44&gt;=10,4,IF(Pathogens!J44&gt;=3,3,IF(Pathogens!J44&gt;=1,2,1))))*0.4+IF(AND($B$7&gt;=80,Pathogens!N44&gt;=0.5),1,0)*0.1+IF($B$10&lt;50,0.3,0)),0)</f>
        <v>3</v>
      </c>
    </row>
    <row r="48" customHeight="1" spans="1:8">
      <c r="A48" s="18" t="s">
        <v>267</v>
      </c>
      <c r="B48" t="s">
        <v>268</v>
      </c>
      <c r="C48" s="19">
        <f>Pathogens!I45</f>
        <v>0.5</v>
      </c>
      <c r="D48" s="19">
        <f>Pathogens!J45</f>
        <v>30</v>
      </c>
      <c r="E48" s="19">
        <f>Calculator!$B$7</f>
        <v>38.8</v>
      </c>
      <c r="F48" s="19">
        <f>Pathogens!N45</f>
        <v>0.4</v>
      </c>
      <c r="G48" s="19">
        <f>Calculator!$B$10</f>
        <v>45.2</v>
      </c>
      <c r="H48" s="20">
        <f>ROUND(MIN(5,IF(Pathogens!I45&gt;=500,5,IF(Pathogens!I45&gt;=200,4,IF(Pathogens!I45&gt;=50,3,IF(Pathogens!I45&gt;=10,2,1))))*0.5+IF(Pathogens!J45&gt;=30,5,IF(Pathogens!J45&gt;=10,4,IF(Pathogens!J45&gt;=3,3,IF(Pathogens!J45&gt;=1,2,1))))*0.4+IF(AND($B$7&gt;=80,Pathogens!N45&gt;=0.5),1,0)*0.1+IF($B$10&lt;50,0.3,0)),0)</f>
        <v>3</v>
      </c>
    </row>
    <row r="49" customHeight="1" spans="1:8">
      <c r="A49" s="18" t="s">
        <v>269</v>
      </c>
      <c r="B49" t="s">
        <v>270</v>
      </c>
      <c r="C49" s="19">
        <f>Pathogens!I46</f>
        <v>220</v>
      </c>
      <c r="D49" s="19">
        <f>Pathogens!J46</f>
        <v>12</v>
      </c>
      <c r="E49" s="19">
        <f>Calculator!$B$7</f>
        <v>38.8</v>
      </c>
      <c r="F49" s="19">
        <f>Pathogens!N46</f>
        <v>0.3</v>
      </c>
      <c r="G49" s="19">
        <f>Calculator!$B$10</f>
        <v>45.2</v>
      </c>
      <c r="H49" s="20">
        <f>ROUND(MIN(5,IF(Pathogens!I46&gt;=500,5,IF(Pathogens!I46&gt;=200,4,IF(Pathogens!I46&gt;=50,3,IF(Pathogens!I46&gt;=10,2,1))))*0.5+IF(Pathogens!J46&gt;=30,5,IF(Pathogens!J46&gt;=10,4,IF(Pathogens!J46&gt;=3,3,IF(Pathogens!J46&gt;=1,2,1))))*0.4+IF(AND($B$7&gt;=80,Pathogens!N46&gt;=0.5),1,0)*0.1+IF($B$10&lt;50,0.3,0)),0)</f>
        <v>4</v>
      </c>
    </row>
    <row r="50" customHeight="1" spans="1:8">
      <c r="A50" s="18" t="s">
        <v>272</v>
      </c>
      <c r="B50" t="s">
        <v>273</v>
      </c>
      <c r="C50" s="19">
        <f>Pathogens!I47</f>
        <v>300</v>
      </c>
      <c r="D50" s="19">
        <f>Pathogens!J47</f>
        <v>1</v>
      </c>
      <c r="E50" s="19">
        <f>Calculator!$B$7</f>
        <v>38.8</v>
      </c>
      <c r="F50" s="19">
        <f>Pathogens!N47</f>
        <v>0.9</v>
      </c>
      <c r="G50" s="19">
        <f>Calculator!$B$10</f>
        <v>45.2</v>
      </c>
      <c r="H50" s="20">
        <f>ROUND(MIN(5,IF(Pathogens!I47&gt;=500,5,IF(Pathogens!I47&gt;=200,4,IF(Pathogens!I47&gt;=50,3,IF(Pathogens!I47&gt;=10,2,1))))*0.5+IF(Pathogens!J47&gt;=30,5,IF(Pathogens!J47&gt;=10,4,IF(Pathogens!J47&gt;=3,3,IF(Pathogens!J47&gt;=1,2,1))))*0.4+IF(AND($B$7&gt;=80,Pathogens!N47&gt;=0.5),1,0)*0.1+IF($B$10&lt;50,0.3,0)),0)</f>
        <v>3</v>
      </c>
    </row>
    <row r="51" customHeight="1" spans="1:8">
      <c r="A51" s="18" t="s">
        <v>275</v>
      </c>
      <c r="B51" t="s">
        <v>276</v>
      </c>
      <c r="C51" s="19">
        <f>Pathogens!I48</f>
        <v>350</v>
      </c>
      <c r="D51" s="19">
        <f>Pathogens!J48</f>
        <v>0.1</v>
      </c>
      <c r="E51" s="19">
        <f>Calculator!$B$7</f>
        <v>38.8</v>
      </c>
      <c r="F51" s="19">
        <f>Pathogens!N48</f>
        <v>0.95</v>
      </c>
      <c r="G51" s="19">
        <f>Calculator!$B$10</f>
        <v>45.2</v>
      </c>
      <c r="H51" s="20">
        <f>ROUND(MIN(5,IF(Pathogens!I48&gt;=500,5,IF(Pathogens!I48&gt;=200,4,IF(Pathogens!I48&gt;=50,3,IF(Pathogens!I48&gt;=10,2,1))))*0.5+IF(Pathogens!J48&gt;=30,5,IF(Pathogens!J48&gt;=10,4,IF(Pathogens!J48&gt;=3,3,IF(Pathogens!J48&gt;=1,2,1))))*0.4+IF(AND($B$7&gt;=80,Pathogens!N48&gt;=0.5),1,0)*0.1+IF($B$10&lt;50,0.3,0)),0)</f>
        <v>3</v>
      </c>
    </row>
    <row r="52" customHeight="1" spans="1:8">
      <c r="A52" s="18" t="s">
        <v>277</v>
      </c>
      <c r="B52" t="s">
        <v>278</v>
      </c>
      <c r="C52" s="19">
        <f>Pathogens!I49</f>
        <v>90</v>
      </c>
      <c r="D52" s="19">
        <f>Pathogens!J49</f>
        <v>0.5</v>
      </c>
      <c r="E52" s="19">
        <f>Calculator!$B$7</f>
        <v>38.8</v>
      </c>
      <c r="F52" s="19">
        <f>Pathogens!N49</f>
        <v>0.9</v>
      </c>
      <c r="G52" s="19">
        <f>Calculator!$B$10</f>
        <v>45.2</v>
      </c>
      <c r="H52" s="20">
        <f>ROUND(MIN(5,IF(Pathogens!I49&gt;=500,5,IF(Pathogens!I49&gt;=200,4,IF(Pathogens!I49&gt;=50,3,IF(Pathogens!I49&gt;=10,2,1))))*0.5+IF(Pathogens!J49&gt;=30,5,IF(Pathogens!J49&gt;=10,4,IF(Pathogens!J49&gt;=3,3,IF(Pathogens!J49&gt;=1,2,1))))*0.4+IF(AND($B$7&gt;=80,Pathogens!N49&gt;=0.5),1,0)*0.1+IF($B$10&lt;50,0.3,0)),0)</f>
        <v>2</v>
      </c>
    </row>
    <row r="53" customHeight="1" spans="1:8">
      <c r="A53" s="18" t="s">
        <v>279</v>
      </c>
      <c r="B53" t="s">
        <v>280</v>
      </c>
      <c r="C53" s="19">
        <f>Pathogens!I50</f>
        <v>1500</v>
      </c>
      <c r="D53" s="19">
        <f>Pathogens!J50</f>
        <v>0.5</v>
      </c>
      <c r="E53" s="19">
        <f>Calculator!$B$7</f>
        <v>38.8</v>
      </c>
      <c r="F53" s="19">
        <f>Pathogens!N50</f>
        <v>0.95</v>
      </c>
      <c r="G53" s="19">
        <f>Calculator!$B$10</f>
        <v>45.2</v>
      </c>
      <c r="H53" s="20">
        <f>ROUND(MIN(5,IF(Pathogens!I50&gt;=500,5,IF(Pathogens!I50&gt;=200,4,IF(Pathogens!I50&gt;=50,3,IF(Pathogens!I50&gt;=10,2,1))))*0.5+IF(Pathogens!J50&gt;=30,5,IF(Pathogens!J50&gt;=10,4,IF(Pathogens!J50&gt;=3,3,IF(Pathogens!J50&gt;=1,2,1))))*0.4+IF(AND($B$7&gt;=80,Pathogens!N50&gt;=0.5),1,0)*0.1+IF($B$10&lt;50,0.3,0)),0)</f>
        <v>3</v>
      </c>
    </row>
    <row r="54" customHeight="1" spans="1:8">
      <c r="A54" s="18" t="s">
        <v>282</v>
      </c>
      <c r="B54" t="s">
        <v>283</v>
      </c>
      <c r="C54" s="19">
        <f>Pathogens!I51</f>
        <v>3000</v>
      </c>
      <c r="D54" s="19">
        <f>Pathogens!J51</f>
        <v>0.05</v>
      </c>
      <c r="E54" s="19">
        <f>Calculator!$B$7</f>
        <v>38.8</v>
      </c>
      <c r="F54" s="19">
        <f>Pathogens!N51</f>
        <v>0.95</v>
      </c>
      <c r="G54" s="19">
        <f>Calculator!$B$10</f>
        <v>45.2</v>
      </c>
      <c r="H54" s="20">
        <f>ROUND(MIN(5,IF(Pathogens!I51&gt;=500,5,IF(Pathogens!I51&gt;=200,4,IF(Pathogens!I51&gt;=50,3,IF(Pathogens!I51&gt;=10,2,1))))*0.5+IF(Pathogens!J51&gt;=30,5,IF(Pathogens!J51&gt;=10,4,IF(Pathogens!J51&gt;=3,3,IF(Pathogens!J51&gt;=1,2,1))))*0.4+IF(AND($B$7&gt;=80,Pathogens!N51&gt;=0.5),1,0)*0.1+IF($B$10&lt;50,0.3,0)),0)</f>
        <v>3</v>
      </c>
    </row>
    <row r="55" customHeight="1" spans="1:8">
      <c r="A55" s="18" t="s">
        <v>284</v>
      </c>
      <c r="B55" t="s">
        <v>285</v>
      </c>
      <c r="C55" s="19">
        <f>Pathogens!I52</f>
        <v>0.001</v>
      </c>
      <c r="D55" s="19">
        <f>Pathogens!J52</f>
        <v>0</v>
      </c>
      <c r="E55" s="19">
        <f>Calculator!$B$7</f>
        <v>38.8</v>
      </c>
      <c r="F55" s="19">
        <f>Pathogens!N52</f>
        <v>1</v>
      </c>
      <c r="G55" s="19">
        <f>Calculator!$B$10</f>
        <v>45.2</v>
      </c>
      <c r="H55" s="20">
        <f>ROUND(MIN(5,IF(Pathogens!I52&gt;=500,5,IF(Pathogens!I52&gt;=200,4,IF(Pathogens!I52&gt;=50,3,IF(Pathogens!I52&gt;=10,2,1))))*0.5+IF(Pathogens!J52&gt;=30,5,IF(Pathogens!J52&gt;=10,4,IF(Pathogens!J52&gt;=3,3,IF(Pathogens!J52&gt;=1,2,1))))*0.4+IF(AND($B$7&gt;=80,Pathogens!N52&gt;=0.5),1,0)*0.1+IF($B$10&lt;50,0.3,0)),0)</f>
        <v>1</v>
      </c>
    </row>
    <row r="56" customHeight="1" spans="1:8">
      <c r="A56" s="18" t="s">
        <v>286</v>
      </c>
      <c r="B56" t="s">
        <v>287</v>
      </c>
      <c r="C56" s="19">
        <f>Pathogens!I53</f>
        <v>2000</v>
      </c>
      <c r="D56" s="19">
        <f>Pathogens!J53</f>
        <v>0</v>
      </c>
      <c r="E56" s="19">
        <f>Calculator!$B$7</f>
        <v>38.8</v>
      </c>
      <c r="F56" s="19">
        <f>Pathogens!N53</f>
        <v>0.7</v>
      </c>
      <c r="G56" s="19">
        <f>Calculator!$B$10</f>
        <v>45.2</v>
      </c>
      <c r="H56" s="20">
        <f>ROUND(MIN(5,IF(Pathogens!I53&gt;=500,5,IF(Pathogens!I53&gt;=200,4,IF(Pathogens!I53&gt;=50,3,IF(Pathogens!I53&gt;=10,2,1))))*0.5+IF(Pathogens!J53&gt;=30,5,IF(Pathogens!J53&gt;=10,4,IF(Pathogens!J53&gt;=3,3,IF(Pathogens!J53&gt;=1,2,1))))*0.4+IF(AND($B$7&gt;=80,Pathogens!N53&gt;=0.5),1,0)*0.1+IF($B$10&lt;50,0.3,0)),0)</f>
        <v>3</v>
      </c>
    </row>
    <row r="57" customHeight="1" spans="1:8">
      <c r="A57" s="18" t="s">
        <v>289</v>
      </c>
      <c r="B57" t="s">
        <v>290</v>
      </c>
      <c r="C57" s="19">
        <f>Pathogens!I54</f>
        <v>300</v>
      </c>
      <c r="D57" s="19">
        <f>Pathogens!J54</f>
        <v>0</v>
      </c>
      <c r="E57" s="19">
        <f>Calculator!$B$7</f>
        <v>38.8</v>
      </c>
      <c r="F57" s="19">
        <f>Pathogens!N54</f>
        <v>0.7</v>
      </c>
      <c r="G57" s="19">
        <f>Calculator!$B$10</f>
        <v>45.2</v>
      </c>
      <c r="H57" s="20">
        <f>ROUND(MIN(5,IF(Pathogens!I54&gt;=500,5,IF(Pathogens!I54&gt;=200,4,IF(Pathogens!I54&gt;=50,3,IF(Pathogens!I54&gt;=10,2,1))))*0.5+IF(Pathogens!J54&gt;=30,5,IF(Pathogens!J54&gt;=10,4,IF(Pathogens!J54&gt;=3,3,IF(Pathogens!J54&gt;=1,2,1))))*0.4+IF(AND($B$7&gt;=80,Pathogens!N54&gt;=0.5),1,0)*0.1+IF($B$10&lt;50,0.3,0)),0)</f>
        <v>3</v>
      </c>
    </row>
    <row r="58" customHeight="1" spans="1:8">
      <c r="A58" s="18" t="s">
        <v>291</v>
      </c>
      <c r="B58" t="s">
        <v>292</v>
      </c>
      <c r="C58" s="19">
        <f>Pathogens!I55</f>
        <v>50</v>
      </c>
      <c r="D58" s="19">
        <f>Pathogens!J55</f>
        <v>0</v>
      </c>
      <c r="E58" s="19">
        <f>Calculator!$B$7</f>
        <v>38.8</v>
      </c>
      <c r="F58" s="19">
        <f>Pathogens!N55</f>
        <v>0.6</v>
      </c>
      <c r="G58" s="19">
        <f>Calculator!$B$10</f>
        <v>45.2</v>
      </c>
      <c r="H58" s="20">
        <f>ROUND(MIN(5,IF(Pathogens!I55&gt;=500,5,IF(Pathogens!I55&gt;=200,4,IF(Pathogens!I55&gt;=50,3,IF(Pathogens!I55&gt;=10,2,1))))*0.5+IF(Pathogens!J55&gt;=30,5,IF(Pathogens!J55&gt;=10,4,IF(Pathogens!J55&gt;=3,3,IF(Pathogens!J55&gt;=1,2,1))))*0.4+IF(AND($B$7&gt;=80,Pathogens!N55&gt;=0.5),1,0)*0.1+IF($B$10&lt;50,0.3,0)),0)</f>
        <v>2</v>
      </c>
    </row>
    <row r="59" customHeight="1" spans="1:8">
      <c r="A59" s="18" t="s">
        <v>293</v>
      </c>
      <c r="B59" t="s">
        <v>294</v>
      </c>
      <c r="C59" s="19">
        <f>Pathogens!I56</f>
        <v>200</v>
      </c>
      <c r="D59" s="19">
        <f>Pathogens!J56</f>
        <v>0</v>
      </c>
      <c r="E59" s="19">
        <f>Calculator!$B$7</f>
        <v>38.8</v>
      </c>
      <c r="F59" s="19">
        <f>Pathogens!N56</f>
        <v>0.6</v>
      </c>
      <c r="G59" s="19">
        <f>Calculator!$B$10</f>
        <v>45.2</v>
      </c>
      <c r="H59" s="20">
        <f>ROUND(MIN(5,IF(Pathogens!I56&gt;=500,5,IF(Pathogens!I56&gt;=200,4,IF(Pathogens!I56&gt;=50,3,IF(Pathogens!I56&gt;=10,2,1))))*0.5+IF(Pathogens!J56&gt;=30,5,IF(Pathogens!J56&gt;=10,4,IF(Pathogens!J56&gt;=3,3,IF(Pathogens!J56&gt;=1,2,1))))*0.4+IF(AND($B$7&gt;=80,Pathogens!N56&gt;=0.5),1,0)*0.1+IF($B$10&lt;50,0.3,0)),0)</f>
        <v>3</v>
      </c>
    </row>
    <row r="60" customHeight="1" spans="1:8">
      <c r="A60" s="18" t="s">
        <v>295</v>
      </c>
      <c r="B60" t="s">
        <v>296</v>
      </c>
      <c r="C60" s="19">
        <f>Pathogens!I57</f>
        <v>100</v>
      </c>
      <c r="D60" s="19">
        <f>Pathogens!J57</f>
        <v>0</v>
      </c>
      <c r="E60" s="19">
        <f>Calculator!$B$7</f>
        <v>38.8</v>
      </c>
      <c r="F60" s="19">
        <f>Pathogens!N57</f>
        <v>0.6</v>
      </c>
      <c r="G60" s="19">
        <f>Calculator!$B$10</f>
        <v>45.2</v>
      </c>
      <c r="H60" s="20">
        <f>ROUND(MIN(5,IF(Pathogens!I57&gt;=500,5,IF(Pathogens!I57&gt;=200,4,IF(Pathogens!I57&gt;=50,3,IF(Pathogens!I57&gt;=10,2,1))))*0.5+IF(Pathogens!J57&gt;=30,5,IF(Pathogens!J57&gt;=10,4,IF(Pathogens!J57&gt;=3,3,IF(Pathogens!J57&gt;=1,2,1))))*0.4+IF(AND($B$7&gt;=80,Pathogens!N57&gt;=0.5),1,0)*0.1+IF($B$10&lt;50,0.3,0)),0)</f>
        <v>2</v>
      </c>
    </row>
    <row r="61" customHeight="1" spans="1:8">
      <c r="A61" s="18" t="s">
        <v>297</v>
      </c>
      <c r="B61" t="s">
        <v>298</v>
      </c>
      <c r="C61" s="19">
        <f>Pathogens!I58</f>
        <v>40</v>
      </c>
      <c r="D61" s="19">
        <f>Pathogens!J58</f>
        <v>0</v>
      </c>
      <c r="E61" s="19">
        <f>Calculator!$B$7</f>
        <v>38.8</v>
      </c>
      <c r="F61" s="19">
        <f>Pathogens!N58</f>
        <v>0.5</v>
      </c>
      <c r="G61" s="19">
        <f>Calculator!$B$10</f>
        <v>45.2</v>
      </c>
      <c r="H61" s="20">
        <f>ROUND(MIN(5,IF(Pathogens!I58&gt;=500,5,IF(Pathogens!I58&gt;=200,4,IF(Pathogens!I58&gt;=50,3,IF(Pathogens!I58&gt;=10,2,1))))*0.5+IF(Pathogens!J58&gt;=30,5,IF(Pathogens!J58&gt;=10,4,IF(Pathogens!J58&gt;=3,3,IF(Pathogens!J58&gt;=1,2,1))))*0.4+IF(AND($B$7&gt;=80,Pathogens!N58&gt;=0.5),1,0)*0.1+IF($B$10&lt;50,0.3,0)),0)</f>
        <v>2</v>
      </c>
    </row>
    <row r="62" customHeight="1" spans="1:8">
      <c r="A62" s="18" t="s">
        <v>299</v>
      </c>
      <c r="B62" t="s">
        <v>300</v>
      </c>
      <c r="C62" s="19">
        <f>Pathogens!I59</f>
        <v>300</v>
      </c>
      <c r="D62" s="19">
        <f>Pathogens!J59</f>
        <v>0</v>
      </c>
      <c r="E62" s="19">
        <f>Calculator!$B$7</f>
        <v>38.8</v>
      </c>
      <c r="F62" s="19">
        <f>Pathogens!N59</f>
        <v>0.4</v>
      </c>
      <c r="G62" s="19">
        <f>Calculator!$B$10</f>
        <v>45.2</v>
      </c>
      <c r="H62" s="20">
        <f>ROUND(MIN(5,IF(Pathogens!I59&gt;=500,5,IF(Pathogens!I59&gt;=200,4,IF(Pathogens!I59&gt;=50,3,IF(Pathogens!I59&gt;=10,2,1))))*0.5+IF(Pathogens!J59&gt;=30,5,IF(Pathogens!J59&gt;=10,4,IF(Pathogens!J59&gt;=3,3,IF(Pathogens!J59&gt;=1,2,1))))*0.4+IF(AND($B$7&gt;=80,Pathogens!N59&gt;=0.5),1,0)*0.1+IF($B$10&lt;50,0.3,0)),0)</f>
        <v>2</v>
      </c>
    </row>
    <row r="63" customHeight="1" spans="1:8">
      <c r="A63" s="18" t="s">
        <v>301</v>
      </c>
      <c r="B63" t="s">
        <v>302</v>
      </c>
      <c r="C63" s="19">
        <f>Pathogens!I60</f>
        <v>1500</v>
      </c>
      <c r="D63" s="19">
        <f>Pathogens!J60</f>
        <v>0</v>
      </c>
      <c r="E63" s="19">
        <f>Calculator!$B$7</f>
        <v>38.8</v>
      </c>
      <c r="F63" s="19">
        <f>Pathogens!N60</f>
        <v>0.7</v>
      </c>
      <c r="G63" s="19">
        <f>Calculator!$B$10</f>
        <v>45.2</v>
      </c>
      <c r="H63" s="20">
        <f>ROUND(MIN(5,IF(Pathogens!I60&gt;=500,5,IF(Pathogens!I60&gt;=200,4,IF(Pathogens!I60&gt;=50,3,IF(Pathogens!I60&gt;=10,2,1))))*0.5+IF(Pathogens!J60&gt;=30,5,IF(Pathogens!J60&gt;=10,4,IF(Pathogens!J60&gt;=3,3,IF(Pathogens!J60&gt;=1,2,1))))*0.4+IF(AND($B$7&gt;=80,Pathogens!N60&gt;=0.5),1,0)*0.1+IF($B$10&lt;50,0.3,0)),0)</f>
        <v>3</v>
      </c>
    </row>
    <row r="64" customHeight="1" spans="1:8">
      <c r="A64" s="18" t="s">
        <v>303</v>
      </c>
      <c r="B64" t="s">
        <v>304</v>
      </c>
      <c r="C64" s="19">
        <f>Pathogens!I61</f>
        <v>350</v>
      </c>
      <c r="D64" s="19">
        <f>Pathogens!J61</f>
        <v>1</v>
      </c>
      <c r="E64" s="19">
        <f>Calculator!$B$7</f>
        <v>38.8</v>
      </c>
      <c r="F64" s="19">
        <f>Pathogens!N61</f>
        <v>0.1</v>
      </c>
      <c r="G64" s="19">
        <f>Calculator!$B$10</f>
        <v>45.2</v>
      </c>
      <c r="H64" s="20">
        <f>ROUND(MIN(5,IF(Pathogens!I61&gt;=500,5,IF(Pathogens!I61&gt;=200,4,IF(Pathogens!I61&gt;=50,3,IF(Pathogens!I61&gt;=10,2,1))))*0.5+IF(Pathogens!J61&gt;=30,5,IF(Pathogens!J61&gt;=10,4,IF(Pathogens!J61&gt;=3,3,IF(Pathogens!J61&gt;=1,2,1))))*0.4+IF(AND($B$7&gt;=80,Pathogens!N61&gt;=0.5),1,0)*0.1+IF($B$10&lt;50,0.3,0)),0)</f>
        <v>3</v>
      </c>
    </row>
    <row r="65" customHeight="1" spans="1:8">
      <c r="A65" s="18" t="s">
        <v>306</v>
      </c>
      <c r="B65" t="s">
        <v>307</v>
      </c>
      <c r="C65" s="19">
        <f>Pathogens!I62</f>
        <v>450</v>
      </c>
      <c r="D65" s="19">
        <f>Pathogens!J62</f>
        <v>1</v>
      </c>
      <c r="E65" s="19">
        <f>Calculator!$B$7</f>
        <v>38.8</v>
      </c>
      <c r="F65" s="19">
        <f>Pathogens!N62</f>
        <v>0.1</v>
      </c>
      <c r="G65" s="19">
        <f>Calculator!$B$10</f>
        <v>45.2</v>
      </c>
      <c r="H65" s="20">
        <f>ROUND(MIN(5,IF(Pathogens!I62&gt;=500,5,IF(Pathogens!I62&gt;=200,4,IF(Pathogens!I62&gt;=50,3,IF(Pathogens!I62&gt;=10,2,1))))*0.5+IF(Pathogens!J62&gt;=30,5,IF(Pathogens!J62&gt;=10,4,IF(Pathogens!J62&gt;=3,3,IF(Pathogens!J62&gt;=1,2,1))))*0.4+IF(AND($B$7&gt;=80,Pathogens!N62&gt;=0.5),1,0)*0.1+IF($B$10&lt;50,0.3,0)),0)</f>
        <v>3</v>
      </c>
    </row>
    <row r="66" customHeight="1" spans="1:8">
      <c r="A66" s="18" t="s">
        <v>308</v>
      </c>
      <c r="B66" t="s">
        <v>309</v>
      </c>
      <c r="C66" s="19">
        <f>Pathogens!I63</f>
        <v>1</v>
      </c>
      <c r="D66" s="19">
        <f>Pathogens!J63</f>
        <v>100</v>
      </c>
      <c r="E66" s="19">
        <f>Calculator!$B$7</f>
        <v>38.8</v>
      </c>
      <c r="F66" s="19">
        <f>Pathogens!N63</f>
        <v>0.1</v>
      </c>
      <c r="G66" s="19">
        <f>Calculator!$B$10</f>
        <v>45.2</v>
      </c>
      <c r="H66" s="20">
        <f>ROUND(MIN(5,IF(Pathogens!I63&gt;=500,5,IF(Pathogens!I63&gt;=200,4,IF(Pathogens!I63&gt;=50,3,IF(Pathogens!I63&gt;=10,2,1))))*0.5+IF(Pathogens!J63&gt;=30,5,IF(Pathogens!J63&gt;=10,4,IF(Pathogens!J63&gt;=3,3,IF(Pathogens!J63&gt;=1,2,1))))*0.4+IF(AND($B$7&gt;=80,Pathogens!N63&gt;=0.5),1,0)*0.1+IF($B$10&lt;50,0.3,0)),0)</f>
        <v>3</v>
      </c>
    </row>
    <row r="67" customHeight="1" spans="1:8">
      <c r="A67" s="18" t="s">
        <v>311</v>
      </c>
      <c r="B67" t="s">
        <v>312</v>
      </c>
      <c r="C67" s="19">
        <f>Pathogens!I64</f>
        <v>0.3</v>
      </c>
      <c r="D67" s="19">
        <f>Pathogens!J64</f>
        <v>30</v>
      </c>
      <c r="E67" s="19">
        <f>Calculator!$B$7</f>
        <v>38.8</v>
      </c>
      <c r="F67" s="19">
        <f>Pathogens!N64</f>
        <v>0.4</v>
      </c>
      <c r="G67" s="19">
        <f>Calculator!$B$10</f>
        <v>45.2</v>
      </c>
      <c r="H67" s="20">
        <f>ROUND(MIN(5,IF(Pathogens!I64&gt;=500,5,IF(Pathogens!I64&gt;=200,4,IF(Pathogens!I64&gt;=50,3,IF(Pathogens!I64&gt;=10,2,1))))*0.5+IF(Pathogens!J64&gt;=30,5,IF(Pathogens!J64&gt;=10,4,IF(Pathogens!J64&gt;=3,3,IF(Pathogens!J64&gt;=1,2,1))))*0.4+IF(AND($B$7&gt;=80,Pathogens!N64&gt;=0.5),1,0)*0.1+IF($B$10&lt;50,0.3,0)),0)</f>
        <v>3</v>
      </c>
    </row>
    <row r="68" customHeight="1" spans="1:8">
      <c r="A68" s="18" t="s">
        <v>313</v>
      </c>
      <c r="B68" t="s">
        <v>314</v>
      </c>
      <c r="C68" s="19">
        <f>Pathogens!I65</f>
        <v>40</v>
      </c>
      <c r="D68" s="19">
        <f>Pathogens!J65</f>
        <v>10</v>
      </c>
      <c r="E68" s="19">
        <f>Calculator!$B$7</f>
        <v>38.8</v>
      </c>
      <c r="F68" s="19">
        <f>Pathogens!N65</f>
        <v>0.2</v>
      </c>
      <c r="G68" s="19">
        <f>Calculator!$B$10</f>
        <v>45.2</v>
      </c>
      <c r="H68" s="20">
        <f>ROUND(MIN(5,IF(Pathogens!I65&gt;=500,5,IF(Pathogens!I65&gt;=200,4,IF(Pathogens!I65&gt;=50,3,IF(Pathogens!I65&gt;=10,2,1))))*0.5+IF(Pathogens!J65&gt;=30,5,IF(Pathogens!J65&gt;=10,4,IF(Pathogens!J65&gt;=3,3,IF(Pathogens!J65&gt;=1,2,1))))*0.4+IF(AND($B$7&gt;=80,Pathogens!N65&gt;=0.5),1,0)*0.1+IF($B$10&lt;50,0.3,0)),0)</f>
        <v>3</v>
      </c>
    </row>
  </sheetData>
  <pageMargins left="0.75" right="0.75" top="1" bottom="1" header="0.511811023622047" footer="0.511811023622047"/>
  <pageSetup paperSize="9" orientation="portrait"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outlineLevelCol="7"/>
  <cols>
    <col min="1" max="1" width="18" customWidth="1"/>
    <col min="2" max="2" width="36" customWidth="1"/>
    <col min="3" max="8" width="18" customWidth="1"/>
  </cols>
  <sheetData>
    <row r="1" ht="19.5" customHeight="1" spans="1:8">
      <c r="A1" s="1" t="s">
        <v>612</v>
      </c>
    </row>
    <row r="2" customHeight="1" spans="1:8">
      <c r="A2" s="16" t="s">
        <v>606</v>
      </c>
    </row>
    <row r="4" ht="26.25" customHeight="1" spans="1:8">
      <c r="A4" s="17" t="s">
        <v>147</v>
      </c>
      <c r="B4" s="17" t="s">
        <v>148</v>
      </c>
      <c r="C4" s="17" t="s">
        <v>613</v>
      </c>
      <c r="D4" s="17" t="s">
        <v>614</v>
      </c>
      <c r="E4" s="17" t="s">
        <v>615</v>
      </c>
      <c r="F4" s="17" t="s">
        <v>616</v>
      </c>
      <c r="G4" s="17" t="s">
        <v>617</v>
      </c>
      <c r="H4" s="17" t="s">
        <v>611</v>
      </c>
    </row>
    <row r="5" customHeight="1" spans="1:8">
      <c r="A5" s="18" t="s">
        <v>169</v>
      </c>
      <c r="B5" t="s">
        <v>170</v>
      </c>
      <c r="C5" s="19">
        <f>Pathogens!K2</f>
        <v>8</v>
      </c>
      <c r="D5" s="19">
        <f>Pathogens!L2</f>
        <v>6</v>
      </c>
      <c r="E5" s="19">
        <f>Pathogens!M2</f>
        <v>1</v>
      </c>
      <c r="F5" s="19">
        <f>Calculator!$B$13</f>
        <v>3</v>
      </c>
      <c r="G5" s="19">
        <f>Calculator!$B$14</f>
        <v>87.8</v>
      </c>
      <c r="H5" s="20">
        <f>ROUND(MIN(5,IF(Pathogens!K2&gt;=8,5,IF(Pathogens!K2&gt;=5,4,IF(Pathogens!K2&gt;=3,3,IF(Pathogens!K2&gt;=1,2,1))))*0.5+IF(Pathogens!L2&gt;=5,5,IF(Pathogens!L2&gt;=3,4,IF(Pathogens!L2&gt;=2,3,IF(Pathogens!L2&gt;=1.2,2,1))))*0.3+IF(Pathogens!M2=1,2,0)*0.2+IF($B$13&gt;=2,0.5,0)),0)</f>
        <v>5</v>
      </c>
    </row>
    <row r="6" customHeight="1" spans="1:8">
      <c r="A6" s="18" t="s">
        <v>172</v>
      </c>
      <c r="B6" t="s">
        <v>173</v>
      </c>
      <c r="C6" s="19">
        <f>Pathogens!K3</f>
        <v>9</v>
      </c>
      <c r="D6" s="19">
        <f>Pathogens!L3</f>
        <v>15</v>
      </c>
      <c r="E6" s="19">
        <f>Pathogens!M3</f>
        <v>1</v>
      </c>
      <c r="F6" s="19">
        <f>Calculator!$B$13</f>
        <v>3</v>
      </c>
      <c r="G6" s="19">
        <f>Calculator!$B$14</f>
        <v>87.8</v>
      </c>
      <c r="H6" s="20">
        <f>ROUND(MIN(5,IF(Pathogens!K3&gt;=8,5,IF(Pathogens!K3&gt;=5,4,IF(Pathogens!K3&gt;=3,3,IF(Pathogens!K3&gt;=1,2,1))))*0.5+IF(Pathogens!L3&gt;=5,5,IF(Pathogens!L3&gt;=3,4,IF(Pathogens!L3&gt;=2,3,IF(Pathogens!L3&gt;=1.2,2,1))))*0.3+IF(Pathogens!M3=1,2,0)*0.2+IF($B$13&gt;=2,0.5,0)),0)</f>
        <v>5</v>
      </c>
    </row>
    <row r="7" customHeight="1" spans="1:8">
      <c r="A7" s="18" t="s">
        <v>174</v>
      </c>
      <c r="B7" t="s">
        <v>175</v>
      </c>
      <c r="C7" s="19">
        <f>Pathogens!K4</f>
        <v>3</v>
      </c>
      <c r="D7" s="19">
        <f>Pathogens!L4</f>
        <v>6</v>
      </c>
      <c r="E7" s="19">
        <f>Pathogens!M4</f>
        <v>0</v>
      </c>
      <c r="F7" s="19">
        <f>Calculator!$B$13</f>
        <v>3</v>
      </c>
      <c r="G7" s="19">
        <f>Calculator!$B$14</f>
        <v>87.8</v>
      </c>
      <c r="H7" s="20">
        <f>ROUND(MIN(5,IF(Pathogens!K4&gt;=8,5,IF(Pathogens!K4&gt;=5,4,IF(Pathogens!K4&gt;=3,3,IF(Pathogens!K4&gt;=1,2,1))))*0.5+IF(Pathogens!L4&gt;=5,5,IF(Pathogens!L4&gt;=3,4,IF(Pathogens!L4&gt;=2,3,IF(Pathogens!L4&gt;=1.2,2,1))))*0.3+IF(Pathogens!M4=1,2,0)*0.2+IF($B$13&gt;=2,0.5,0)),0)</f>
        <v>4</v>
      </c>
    </row>
    <row r="8" customHeight="1" spans="1:8">
      <c r="A8" s="18" t="s">
        <v>176</v>
      </c>
      <c r="B8" t="s">
        <v>177</v>
      </c>
      <c r="C8" s="19">
        <f>Pathogens!K5</f>
        <v>6</v>
      </c>
      <c r="D8" s="19">
        <f>Pathogens!L5</f>
        <v>3</v>
      </c>
      <c r="E8" s="19">
        <f>Pathogens!M5</f>
        <v>1</v>
      </c>
      <c r="F8" s="19">
        <f>Calculator!$B$13</f>
        <v>3</v>
      </c>
      <c r="G8" s="19">
        <f>Calculator!$B$14</f>
        <v>87.8</v>
      </c>
      <c r="H8" s="20">
        <f>ROUND(MIN(5,IF(Pathogens!K5&gt;=8,5,IF(Pathogens!K5&gt;=5,4,IF(Pathogens!K5&gt;=3,3,IF(Pathogens!K5&gt;=1,2,1))))*0.5+IF(Pathogens!L5&gt;=5,5,IF(Pathogens!L5&gt;=3,4,IF(Pathogens!L5&gt;=2,3,IF(Pathogens!L5&gt;=1.2,2,1))))*0.3+IF(Pathogens!M5=1,2,0)*0.2+IF($B$13&gt;=2,0.5,0)),0)</f>
        <v>4</v>
      </c>
    </row>
    <row r="9" customHeight="1" spans="1:8">
      <c r="A9" s="18" t="s">
        <v>179</v>
      </c>
      <c r="B9" t="s">
        <v>180</v>
      </c>
      <c r="C9" s="19">
        <f>Pathogens!K6</f>
        <v>7</v>
      </c>
      <c r="D9" s="19">
        <f>Pathogens!L6</f>
        <v>4</v>
      </c>
      <c r="E9" s="19">
        <f>Pathogens!M6</f>
        <v>0</v>
      </c>
      <c r="F9" s="19">
        <f>Calculator!$B$13</f>
        <v>3</v>
      </c>
      <c r="G9" s="19">
        <f>Calculator!$B$14</f>
        <v>87.8</v>
      </c>
      <c r="H9" s="20">
        <f>ROUND(MIN(5,IF(Pathogens!K6&gt;=8,5,IF(Pathogens!K6&gt;=5,4,IF(Pathogens!K6&gt;=3,3,IF(Pathogens!K6&gt;=1,2,1))))*0.5+IF(Pathogens!L6&gt;=5,5,IF(Pathogens!L6&gt;=3,4,IF(Pathogens!L6&gt;=2,3,IF(Pathogens!L6&gt;=1.2,2,1))))*0.3+IF(Pathogens!M6=1,2,0)*0.2+IF($B$13&gt;=2,0.5,0)),0)</f>
        <v>4</v>
      </c>
    </row>
    <row r="10" customHeight="1" spans="1:8">
      <c r="A10" s="18" t="s">
        <v>181</v>
      </c>
      <c r="B10" t="s">
        <v>182</v>
      </c>
      <c r="C10" s="19">
        <f>Pathogens!K7</f>
        <v>5</v>
      </c>
      <c r="D10" s="19">
        <f>Pathogens!L7</f>
        <v>3</v>
      </c>
      <c r="E10" s="19">
        <f>Pathogens!M7</f>
        <v>0</v>
      </c>
      <c r="F10" s="19">
        <f>Calculator!$B$13</f>
        <v>3</v>
      </c>
      <c r="G10" s="19">
        <f>Calculator!$B$14</f>
        <v>87.8</v>
      </c>
      <c r="H10" s="20">
        <f>ROUND(MIN(5,IF(Pathogens!K7&gt;=8,5,IF(Pathogens!K7&gt;=5,4,IF(Pathogens!K7&gt;=3,3,IF(Pathogens!K7&gt;=1,2,1))))*0.5+IF(Pathogens!L7&gt;=5,5,IF(Pathogens!L7&gt;=3,4,IF(Pathogens!L7&gt;=2,3,IF(Pathogens!L7&gt;=1.2,2,1))))*0.3+IF(Pathogens!M7=1,2,0)*0.2+IF($B$13&gt;=2,0.5,0)),0)</f>
        <v>4</v>
      </c>
    </row>
    <row r="11" customHeight="1" spans="1:8">
      <c r="A11" s="18" t="s">
        <v>183</v>
      </c>
      <c r="B11" t="s">
        <v>184</v>
      </c>
      <c r="C11" s="19">
        <f>Pathogens!K8</f>
        <v>3</v>
      </c>
      <c r="D11" s="19">
        <f>Pathogens!L8</f>
        <v>2</v>
      </c>
      <c r="E11" s="19">
        <f>Pathogens!M8</f>
        <v>1</v>
      </c>
      <c r="F11" s="19">
        <f>Calculator!$B$13</f>
        <v>3</v>
      </c>
      <c r="G11" s="19">
        <f>Calculator!$B$14</f>
        <v>87.8</v>
      </c>
      <c r="H11" s="20">
        <f>ROUND(MIN(5,IF(Pathogens!K8&gt;=8,5,IF(Pathogens!K8&gt;=5,4,IF(Pathogens!K8&gt;=3,3,IF(Pathogens!K8&gt;=1,2,1))))*0.5+IF(Pathogens!L8&gt;=5,5,IF(Pathogens!L8&gt;=3,4,IF(Pathogens!L8&gt;=2,3,IF(Pathogens!L8&gt;=1.2,2,1))))*0.3+IF(Pathogens!M8=1,2,0)*0.2+IF($B$13&gt;=2,0.5,0)),0)</f>
        <v>3</v>
      </c>
    </row>
    <row r="12" customHeight="1" spans="1:8">
      <c r="A12" s="18" t="s">
        <v>185</v>
      </c>
      <c r="B12" t="s">
        <v>186</v>
      </c>
      <c r="C12" s="19">
        <f>Pathogens!K9</f>
        <v>3</v>
      </c>
      <c r="D12" s="19">
        <f>Pathogens!L9</f>
        <v>1.5</v>
      </c>
      <c r="E12" s="19">
        <f>Pathogens!M9</f>
        <v>0</v>
      </c>
      <c r="F12" s="19">
        <f>Calculator!$B$13</f>
        <v>3</v>
      </c>
      <c r="G12" s="19">
        <f>Calculator!$B$14</f>
        <v>87.8</v>
      </c>
      <c r="H12" s="20">
        <f>ROUND(MIN(5,IF(Pathogens!K9&gt;=8,5,IF(Pathogens!K9&gt;=5,4,IF(Pathogens!K9&gt;=3,3,IF(Pathogens!K9&gt;=1,2,1))))*0.5+IF(Pathogens!L9&gt;=5,5,IF(Pathogens!L9&gt;=3,4,IF(Pathogens!L9&gt;=2,3,IF(Pathogens!L9&gt;=1.2,2,1))))*0.3+IF(Pathogens!M9=1,2,0)*0.2+IF($B$13&gt;=2,0.5,0)),0)</f>
        <v>3</v>
      </c>
    </row>
    <row r="13" customHeight="1" spans="1:8">
      <c r="A13" s="18" t="s">
        <v>187</v>
      </c>
      <c r="B13" t="s">
        <v>188</v>
      </c>
      <c r="C13" s="19">
        <f>Pathogens!K10</f>
        <v>6</v>
      </c>
      <c r="D13" s="19">
        <f>Pathogens!L10</f>
        <v>1.5</v>
      </c>
      <c r="E13" s="19">
        <f>Pathogens!M10</f>
        <v>0</v>
      </c>
      <c r="F13" s="19">
        <f>Calculator!$B$13</f>
        <v>3</v>
      </c>
      <c r="G13" s="19">
        <f>Calculator!$B$14</f>
        <v>87.8</v>
      </c>
      <c r="H13" s="20">
        <f>ROUND(MIN(5,IF(Pathogens!K10&gt;=8,5,IF(Pathogens!K10&gt;=5,4,IF(Pathogens!K10&gt;=3,3,IF(Pathogens!K10&gt;=1,2,1))))*0.5+IF(Pathogens!L10&gt;=5,5,IF(Pathogens!L10&gt;=3,4,IF(Pathogens!L10&gt;=2,3,IF(Pathogens!L10&gt;=1.2,2,1))))*0.3+IF(Pathogens!M10=1,2,0)*0.2+IF($B$13&gt;=2,0.5,0)),0)</f>
        <v>3</v>
      </c>
    </row>
    <row r="14" customHeight="1" spans="1:8">
      <c r="A14" s="18" t="s">
        <v>190</v>
      </c>
      <c r="B14" t="s">
        <v>191</v>
      </c>
      <c r="C14" s="19">
        <f>Pathogens!K11</f>
        <v>4</v>
      </c>
      <c r="D14" s="19">
        <f>Pathogens!L11</f>
        <v>1</v>
      </c>
      <c r="E14" s="19">
        <f>Pathogens!M11</f>
        <v>0</v>
      </c>
      <c r="F14" s="19">
        <f>Calculator!$B$13</f>
        <v>3</v>
      </c>
      <c r="G14" s="19">
        <f>Calculator!$B$14</f>
        <v>87.8</v>
      </c>
      <c r="H14" s="20">
        <f>ROUND(MIN(5,IF(Pathogens!K11&gt;=8,5,IF(Pathogens!K11&gt;=5,4,IF(Pathogens!K11&gt;=3,3,IF(Pathogens!K11&gt;=1,2,1))))*0.5+IF(Pathogens!L11&gt;=5,5,IF(Pathogens!L11&gt;=3,4,IF(Pathogens!L11&gt;=2,3,IF(Pathogens!L11&gt;=1.2,2,1))))*0.3+IF(Pathogens!M11=1,2,0)*0.2+IF($B$13&gt;=2,0.5,0)),0)</f>
        <v>2</v>
      </c>
    </row>
    <row r="15" customHeight="1" spans="1:8">
      <c r="A15" s="18" t="s">
        <v>192</v>
      </c>
      <c r="B15" t="s">
        <v>193</v>
      </c>
      <c r="C15" s="19">
        <f>Pathogens!K12</f>
        <v>9</v>
      </c>
      <c r="D15" s="19">
        <f>Pathogens!L12</f>
        <v>2</v>
      </c>
      <c r="E15" s="19">
        <f>Pathogens!M12</f>
        <v>1</v>
      </c>
      <c r="F15" s="19">
        <f>Calculator!$B$13</f>
        <v>3</v>
      </c>
      <c r="G15" s="19">
        <f>Calculator!$B$14</f>
        <v>87.8</v>
      </c>
      <c r="H15" s="20">
        <f>ROUND(MIN(5,IF(Pathogens!K12&gt;=8,5,IF(Pathogens!K12&gt;=5,4,IF(Pathogens!K12&gt;=3,3,IF(Pathogens!K12&gt;=1,2,1))))*0.5+IF(Pathogens!L12&gt;=5,5,IF(Pathogens!L12&gt;=3,4,IF(Pathogens!L12&gt;=2,3,IF(Pathogens!L12&gt;=1.2,2,1))))*0.3+IF(Pathogens!M12=1,2,0)*0.2+IF($B$13&gt;=2,0.5,0)),0)</f>
        <v>4</v>
      </c>
    </row>
    <row r="16" customHeight="1" spans="1:8">
      <c r="A16" s="18" t="s">
        <v>194</v>
      </c>
      <c r="B16" t="s">
        <v>195</v>
      </c>
      <c r="C16" s="19">
        <f>Pathogens!K13</f>
        <v>4</v>
      </c>
      <c r="D16" s="19">
        <f>Pathogens!L13</f>
        <v>1.5</v>
      </c>
      <c r="E16" s="19">
        <f>Pathogens!M13</f>
        <v>1</v>
      </c>
      <c r="F16" s="19">
        <f>Calculator!$B$13</f>
        <v>3</v>
      </c>
      <c r="G16" s="19">
        <f>Calculator!$B$14</f>
        <v>87.8</v>
      </c>
      <c r="H16" s="20">
        <f>ROUND(MIN(5,IF(Pathogens!K13&gt;=8,5,IF(Pathogens!K13&gt;=5,4,IF(Pathogens!K13&gt;=3,3,IF(Pathogens!K13&gt;=1,2,1))))*0.5+IF(Pathogens!L13&gt;=5,5,IF(Pathogens!L13&gt;=3,4,IF(Pathogens!L13&gt;=2,3,IF(Pathogens!L13&gt;=1.2,2,1))))*0.3+IF(Pathogens!M13=1,2,0)*0.2+IF($B$13&gt;=2,0.5,0)),0)</f>
        <v>3</v>
      </c>
    </row>
    <row r="17" customHeight="1" spans="1:8">
      <c r="A17" s="18" t="s">
        <v>196</v>
      </c>
      <c r="B17" t="s">
        <v>197</v>
      </c>
      <c r="C17" s="19">
        <f>Pathogens!K14</f>
        <v>9</v>
      </c>
      <c r="D17" s="19">
        <f>Pathogens!L14</f>
        <v>1.4</v>
      </c>
      <c r="E17" s="19">
        <f>Pathogens!M14</f>
        <v>0</v>
      </c>
      <c r="F17" s="19">
        <f>Calculator!$B$13</f>
        <v>3</v>
      </c>
      <c r="G17" s="19">
        <f>Calculator!$B$14</f>
        <v>87.8</v>
      </c>
      <c r="H17" s="20">
        <f>ROUND(MIN(5,IF(Pathogens!K14&gt;=8,5,IF(Pathogens!K14&gt;=5,4,IF(Pathogens!K14&gt;=3,3,IF(Pathogens!K14&gt;=1,2,1))))*0.5+IF(Pathogens!L14&gt;=5,5,IF(Pathogens!L14&gt;=3,4,IF(Pathogens!L14&gt;=2,3,IF(Pathogens!L14&gt;=1.2,2,1))))*0.3+IF(Pathogens!M14=1,2,0)*0.2+IF($B$13&gt;=2,0.5,0)),0)</f>
        <v>4</v>
      </c>
    </row>
    <row r="18" customHeight="1" spans="1:8">
      <c r="A18" s="18" t="s">
        <v>198</v>
      </c>
      <c r="B18" t="s">
        <v>199</v>
      </c>
      <c r="C18" s="19">
        <f>Pathogens!K15</f>
        <v>8</v>
      </c>
      <c r="D18" s="19">
        <f>Pathogens!L15</f>
        <v>2.1</v>
      </c>
      <c r="E18" s="19">
        <f>Pathogens!M15</f>
        <v>1</v>
      </c>
      <c r="F18" s="19">
        <f>Calculator!$B$13</f>
        <v>3</v>
      </c>
      <c r="G18" s="19">
        <f>Calculator!$B$14</f>
        <v>87.8</v>
      </c>
      <c r="H18" s="20">
        <f>ROUND(MIN(5,IF(Pathogens!K15&gt;=8,5,IF(Pathogens!K15&gt;=5,4,IF(Pathogens!K15&gt;=3,3,IF(Pathogens!K15&gt;=1,2,1))))*0.5+IF(Pathogens!L15&gt;=5,5,IF(Pathogens!L15&gt;=3,4,IF(Pathogens!L15&gt;=2,3,IF(Pathogens!L15&gt;=1.2,2,1))))*0.3+IF(Pathogens!M15=1,2,0)*0.2+IF($B$13&gt;=2,0.5,0)),0)</f>
        <v>4</v>
      </c>
    </row>
    <row r="19" customHeight="1" spans="1:8">
      <c r="A19" s="18" t="s">
        <v>201</v>
      </c>
      <c r="B19" t="s">
        <v>202</v>
      </c>
      <c r="C19" s="19">
        <f>Pathogens!K16</f>
        <v>10</v>
      </c>
      <c r="D19" s="19">
        <f>Pathogens!L16</f>
        <v>3</v>
      </c>
      <c r="E19" s="19">
        <f>Pathogens!M16</f>
        <v>1</v>
      </c>
      <c r="F19" s="19">
        <f>Calculator!$B$13</f>
        <v>3</v>
      </c>
      <c r="G19" s="19">
        <f>Calculator!$B$14</f>
        <v>87.8</v>
      </c>
      <c r="H19" s="20">
        <f>ROUND(MIN(5,IF(Pathogens!K16&gt;=8,5,IF(Pathogens!K16&gt;=5,4,IF(Pathogens!K16&gt;=3,3,IF(Pathogens!K16&gt;=1,2,1))))*0.5+IF(Pathogens!L16&gt;=5,5,IF(Pathogens!L16&gt;=3,4,IF(Pathogens!L16&gt;=2,3,IF(Pathogens!L16&gt;=1.2,2,1))))*0.3+IF(Pathogens!M16=1,2,0)*0.2+IF($B$13&gt;=2,0.5,0)),0)</f>
        <v>5</v>
      </c>
    </row>
    <row r="20" customHeight="1" spans="1:8">
      <c r="A20" s="18" t="s">
        <v>204</v>
      </c>
      <c r="B20" t="s">
        <v>205</v>
      </c>
      <c r="C20" s="19">
        <f>Pathogens!K17</f>
        <v>3</v>
      </c>
      <c r="D20" s="19">
        <f>Pathogens!L17</f>
        <v>0.8</v>
      </c>
      <c r="E20" s="19">
        <f>Pathogens!M17</f>
        <v>1</v>
      </c>
      <c r="F20" s="19">
        <f>Calculator!$B$13</f>
        <v>3</v>
      </c>
      <c r="G20" s="19">
        <f>Calculator!$B$14</f>
        <v>87.8</v>
      </c>
      <c r="H20" s="20">
        <f>ROUND(MIN(5,IF(Pathogens!K17&gt;=8,5,IF(Pathogens!K17&gt;=5,4,IF(Pathogens!K17&gt;=3,3,IF(Pathogens!K17&gt;=1,2,1))))*0.5+IF(Pathogens!L17&gt;=5,5,IF(Pathogens!L17&gt;=3,4,IF(Pathogens!L17&gt;=2,3,IF(Pathogens!L17&gt;=1.2,2,1))))*0.3+IF(Pathogens!M17=1,2,0)*0.2+IF($B$13&gt;=2,0.5,0)),0)</f>
        <v>3</v>
      </c>
    </row>
    <row r="21" customHeight="1" spans="1:8">
      <c r="A21" s="18" t="s">
        <v>206</v>
      </c>
      <c r="B21" t="s">
        <v>207</v>
      </c>
      <c r="C21" s="19">
        <f>Pathogens!K18</f>
        <v>10</v>
      </c>
      <c r="D21" s="19">
        <f>Pathogens!L18</f>
        <v>1.5</v>
      </c>
      <c r="E21" s="19">
        <f>Pathogens!M18</f>
        <v>1</v>
      </c>
      <c r="F21" s="19">
        <f>Calculator!$B$13</f>
        <v>3</v>
      </c>
      <c r="G21" s="19">
        <f>Calculator!$B$14</f>
        <v>87.8</v>
      </c>
      <c r="H21" s="20">
        <f>ROUND(MIN(5,IF(Pathogens!K18&gt;=8,5,IF(Pathogens!K18&gt;=5,4,IF(Pathogens!K18&gt;=3,3,IF(Pathogens!K18&gt;=1,2,1))))*0.5+IF(Pathogens!L18&gt;=5,5,IF(Pathogens!L18&gt;=3,4,IF(Pathogens!L18&gt;=2,3,IF(Pathogens!L18&gt;=1.2,2,1))))*0.3+IF(Pathogens!M18=1,2,0)*0.2+IF($B$13&gt;=2,0.5,0)),0)</f>
        <v>4</v>
      </c>
    </row>
    <row r="22" customHeight="1" spans="1:8">
      <c r="A22" s="18" t="s">
        <v>208</v>
      </c>
      <c r="B22" t="s">
        <v>209</v>
      </c>
      <c r="C22" s="19">
        <f>Pathogens!K19</f>
        <v>4</v>
      </c>
      <c r="D22" s="19">
        <f>Pathogens!L19</f>
        <v>0.5</v>
      </c>
      <c r="E22" s="19">
        <f>Pathogens!M19</f>
        <v>1</v>
      </c>
      <c r="F22" s="19">
        <f>Calculator!$B$13</f>
        <v>3</v>
      </c>
      <c r="G22" s="19">
        <f>Calculator!$B$14</f>
        <v>87.8</v>
      </c>
      <c r="H22" s="20">
        <f>ROUND(MIN(5,IF(Pathogens!K19&gt;=8,5,IF(Pathogens!K19&gt;=5,4,IF(Pathogens!K19&gt;=3,3,IF(Pathogens!K19&gt;=1,2,1))))*0.5+IF(Pathogens!L19&gt;=5,5,IF(Pathogens!L19&gt;=3,4,IF(Pathogens!L19&gt;=2,3,IF(Pathogens!L19&gt;=1.2,2,1))))*0.3+IF(Pathogens!M19=1,2,0)*0.2+IF($B$13&gt;=2,0.5,0)),0)</f>
        <v>3</v>
      </c>
    </row>
    <row r="23" customHeight="1" spans="1:8">
      <c r="A23" s="18" t="s">
        <v>211</v>
      </c>
      <c r="B23" t="s">
        <v>212</v>
      </c>
      <c r="C23" s="19">
        <f>Pathogens!K20</f>
        <v>10</v>
      </c>
      <c r="D23" s="19">
        <f>Pathogens!L20</f>
        <v>2</v>
      </c>
      <c r="E23" s="19">
        <f>Pathogens!M20</f>
        <v>0</v>
      </c>
      <c r="F23" s="19">
        <f>Calculator!$B$13</f>
        <v>3</v>
      </c>
      <c r="G23" s="19">
        <f>Calculator!$B$14</f>
        <v>87.8</v>
      </c>
      <c r="H23" s="20">
        <f>ROUND(MIN(5,IF(Pathogens!K20&gt;=8,5,IF(Pathogens!K20&gt;=5,4,IF(Pathogens!K20&gt;=3,3,IF(Pathogens!K20&gt;=1,2,1))))*0.5+IF(Pathogens!L20&gt;=5,5,IF(Pathogens!L20&gt;=3,4,IF(Pathogens!L20&gt;=2,3,IF(Pathogens!L20&gt;=1.2,2,1))))*0.3+IF(Pathogens!M20=1,2,0)*0.2+IF($B$13&gt;=2,0.5,0)),0)</f>
        <v>4</v>
      </c>
    </row>
    <row r="24" customHeight="1" spans="1:8">
      <c r="A24" s="18" t="s">
        <v>213</v>
      </c>
      <c r="B24" t="s">
        <v>214</v>
      </c>
      <c r="C24" s="19">
        <f>Pathogens!K21</f>
        <v>8</v>
      </c>
      <c r="D24" s="19">
        <f>Pathogens!L21</f>
        <v>2</v>
      </c>
      <c r="E24" s="19">
        <f>Pathogens!M21</f>
        <v>0</v>
      </c>
      <c r="F24" s="19">
        <f>Calculator!$B$13</f>
        <v>3</v>
      </c>
      <c r="G24" s="19">
        <f>Calculator!$B$14</f>
        <v>87.8</v>
      </c>
      <c r="H24" s="20">
        <f>ROUND(MIN(5,IF(Pathogens!K21&gt;=8,5,IF(Pathogens!K21&gt;=5,4,IF(Pathogens!K21&gt;=3,3,IF(Pathogens!K21&gt;=1,2,1))))*0.5+IF(Pathogens!L21&gt;=5,5,IF(Pathogens!L21&gt;=3,4,IF(Pathogens!L21&gt;=2,3,IF(Pathogens!L21&gt;=1.2,2,1))))*0.3+IF(Pathogens!M21=1,2,0)*0.2+IF($B$13&gt;=2,0.5,0)),0)</f>
        <v>4</v>
      </c>
    </row>
    <row r="25" customHeight="1" spans="1:8">
      <c r="A25" s="18" t="s">
        <v>216</v>
      </c>
      <c r="B25" t="s">
        <v>217</v>
      </c>
      <c r="C25" s="19">
        <f>Pathogens!K22</f>
        <v>1</v>
      </c>
      <c r="D25" s="19">
        <f>Pathogens!L22</f>
        <v>0.5</v>
      </c>
      <c r="E25" s="19">
        <f>Pathogens!M22</f>
        <v>1</v>
      </c>
      <c r="F25" s="19">
        <f>Calculator!$B$13</f>
        <v>3</v>
      </c>
      <c r="G25" s="19">
        <f>Calculator!$B$14</f>
        <v>87.8</v>
      </c>
      <c r="H25" s="20">
        <f>ROUND(MIN(5,IF(Pathogens!K22&gt;=8,5,IF(Pathogens!K22&gt;=5,4,IF(Pathogens!K22&gt;=3,3,IF(Pathogens!K22&gt;=1,2,1))))*0.5+IF(Pathogens!L22&gt;=5,5,IF(Pathogens!L22&gt;=3,4,IF(Pathogens!L22&gt;=2,3,IF(Pathogens!L22&gt;=1.2,2,1))))*0.3+IF(Pathogens!M22=1,2,0)*0.2+IF($B$13&gt;=2,0.5,0)),0)</f>
        <v>2</v>
      </c>
    </row>
    <row r="26" customHeight="1" spans="1:8">
      <c r="A26" s="18" t="s">
        <v>219</v>
      </c>
      <c r="B26" t="s">
        <v>220</v>
      </c>
      <c r="C26" s="19">
        <f>Pathogens!K23</f>
        <v>8</v>
      </c>
      <c r="D26" s="19">
        <f>Pathogens!L23</f>
        <v>2</v>
      </c>
      <c r="E26" s="19">
        <f>Pathogens!M23</f>
        <v>0</v>
      </c>
      <c r="F26" s="19">
        <f>Calculator!$B$13</f>
        <v>3</v>
      </c>
      <c r="G26" s="19">
        <f>Calculator!$B$14</f>
        <v>87.8</v>
      </c>
      <c r="H26" s="20">
        <f>ROUND(MIN(5,IF(Pathogens!K23&gt;=8,5,IF(Pathogens!K23&gt;=5,4,IF(Pathogens!K23&gt;=3,3,IF(Pathogens!K23&gt;=1,2,1))))*0.5+IF(Pathogens!L23&gt;=5,5,IF(Pathogens!L23&gt;=3,4,IF(Pathogens!L23&gt;=2,3,IF(Pathogens!L23&gt;=1.2,2,1))))*0.3+IF(Pathogens!M23=1,2,0)*0.2+IF($B$13&gt;=2,0.5,0)),0)</f>
        <v>4</v>
      </c>
    </row>
    <row r="27" customHeight="1" spans="1:8">
      <c r="A27" s="18" t="s">
        <v>222</v>
      </c>
      <c r="B27" t="s">
        <v>223</v>
      </c>
      <c r="C27" s="19">
        <f>Pathogens!K24</f>
        <v>7</v>
      </c>
      <c r="D27" s="19">
        <f>Pathogens!L24</f>
        <v>2</v>
      </c>
      <c r="E27" s="19">
        <f>Pathogens!M24</f>
        <v>0</v>
      </c>
      <c r="F27" s="19">
        <f>Calculator!$B$13</f>
        <v>3</v>
      </c>
      <c r="G27" s="19">
        <f>Calculator!$B$14</f>
        <v>87.8</v>
      </c>
      <c r="H27" s="20">
        <f>ROUND(MIN(5,IF(Pathogens!K24&gt;=8,5,IF(Pathogens!K24&gt;=5,4,IF(Pathogens!K24&gt;=3,3,IF(Pathogens!K24&gt;=1,2,1))))*0.5+IF(Pathogens!L24&gt;=5,5,IF(Pathogens!L24&gt;=3,4,IF(Pathogens!L24&gt;=2,3,IF(Pathogens!L24&gt;=1.2,2,1))))*0.3+IF(Pathogens!M24=1,2,0)*0.2+IF($B$13&gt;=2,0.5,0)),0)</f>
        <v>3</v>
      </c>
    </row>
    <row r="28" customHeight="1" spans="1:8">
      <c r="A28" s="18" t="s">
        <v>224</v>
      </c>
      <c r="B28" t="s">
        <v>225</v>
      </c>
      <c r="C28" s="19">
        <f>Pathogens!K25</f>
        <v>10</v>
      </c>
      <c r="D28" s="19">
        <f>Pathogens!L25</f>
        <v>2.5</v>
      </c>
      <c r="E28" s="19">
        <f>Pathogens!M25</f>
        <v>0</v>
      </c>
      <c r="F28" s="19">
        <f>Calculator!$B$13</f>
        <v>3</v>
      </c>
      <c r="G28" s="19">
        <f>Calculator!$B$14</f>
        <v>87.8</v>
      </c>
      <c r="H28" s="20">
        <f>ROUND(MIN(5,IF(Pathogens!K25&gt;=8,5,IF(Pathogens!K25&gt;=5,4,IF(Pathogens!K25&gt;=3,3,IF(Pathogens!K25&gt;=1,2,1))))*0.5+IF(Pathogens!L25&gt;=5,5,IF(Pathogens!L25&gt;=3,4,IF(Pathogens!L25&gt;=2,3,IF(Pathogens!L25&gt;=1.2,2,1))))*0.3+IF(Pathogens!M25=1,2,0)*0.2+IF($B$13&gt;=2,0.5,0)),0)</f>
        <v>4</v>
      </c>
    </row>
    <row r="29" customHeight="1" spans="1:8">
      <c r="A29" s="18" t="s">
        <v>226</v>
      </c>
      <c r="B29" t="s">
        <v>227</v>
      </c>
      <c r="C29" s="19">
        <f>Pathogens!K26</f>
        <v>10</v>
      </c>
      <c r="D29" s="19">
        <f>Pathogens!L26</f>
        <v>3</v>
      </c>
      <c r="E29" s="19">
        <f>Pathogens!M26</f>
        <v>0</v>
      </c>
      <c r="F29" s="19">
        <f>Calculator!$B$13</f>
        <v>3</v>
      </c>
      <c r="G29" s="19">
        <f>Calculator!$B$14</f>
        <v>87.8</v>
      </c>
      <c r="H29" s="20">
        <f>ROUND(MIN(5,IF(Pathogens!K26&gt;=8,5,IF(Pathogens!K26&gt;=5,4,IF(Pathogens!K26&gt;=3,3,IF(Pathogens!K26&gt;=1,2,1))))*0.5+IF(Pathogens!L26&gt;=5,5,IF(Pathogens!L26&gt;=3,4,IF(Pathogens!L26&gt;=2,3,IF(Pathogens!L26&gt;=1.2,2,1))))*0.3+IF(Pathogens!M26=1,2,0)*0.2+IF($B$13&gt;=2,0.5,0)),0)</f>
        <v>4</v>
      </c>
    </row>
    <row r="30" customHeight="1" spans="1:8">
      <c r="A30" s="18" t="s">
        <v>228</v>
      </c>
      <c r="B30" t="s">
        <v>229</v>
      </c>
      <c r="C30" s="19">
        <f>Pathogens!K27</f>
        <v>7</v>
      </c>
      <c r="D30" s="19">
        <f>Pathogens!L27</f>
        <v>2</v>
      </c>
      <c r="E30" s="19">
        <f>Pathogens!M27</f>
        <v>0</v>
      </c>
      <c r="F30" s="19">
        <f>Calculator!$B$13</f>
        <v>3</v>
      </c>
      <c r="G30" s="19">
        <f>Calculator!$B$14</f>
        <v>87.8</v>
      </c>
      <c r="H30" s="20">
        <f>ROUND(MIN(5,IF(Pathogens!K27&gt;=8,5,IF(Pathogens!K27&gt;=5,4,IF(Pathogens!K27&gt;=3,3,IF(Pathogens!K27&gt;=1,2,1))))*0.5+IF(Pathogens!L27&gt;=5,5,IF(Pathogens!L27&gt;=3,4,IF(Pathogens!L27&gt;=2,3,IF(Pathogens!L27&gt;=1.2,2,1))))*0.3+IF(Pathogens!M27=1,2,0)*0.2+IF($B$13&gt;=2,0.5,0)),0)</f>
        <v>3</v>
      </c>
    </row>
    <row r="31" customHeight="1" spans="1:8">
      <c r="A31" s="18" t="s">
        <v>230</v>
      </c>
      <c r="B31" t="s">
        <v>231</v>
      </c>
      <c r="C31" s="19">
        <f>Pathogens!K28</f>
        <v>7</v>
      </c>
      <c r="D31" s="19">
        <f>Pathogens!L28</f>
        <v>2</v>
      </c>
      <c r="E31" s="19">
        <f>Pathogens!M28</f>
        <v>0</v>
      </c>
      <c r="F31" s="19">
        <f>Calculator!$B$13</f>
        <v>3</v>
      </c>
      <c r="G31" s="19">
        <f>Calculator!$B$14</f>
        <v>87.8</v>
      </c>
      <c r="H31" s="20">
        <f>ROUND(MIN(5,IF(Pathogens!K28&gt;=8,5,IF(Pathogens!K28&gt;=5,4,IF(Pathogens!K28&gt;=3,3,IF(Pathogens!K28&gt;=1,2,1))))*0.5+IF(Pathogens!L28&gt;=5,5,IF(Pathogens!L28&gt;=3,4,IF(Pathogens!L28&gt;=2,3,IF(Pathogens!L28&gt;=1.2,2,1))))*0.3+IF(Pathogens!M28=1,2,0)*0.2+IF($B$13&gt;=2,0.5,0)),0)</f>
        <v>3</v>
      </c>
    </row>
    <row r="32" customHeight="1" spans="1:8">
      <c r="A32" s="18" t="s">
        <v>232</v>
      </c>
      <c r="B32" t="s">
        <v>233</v>
      </c>
      <c r="C32" s="19">
        <f>Pathogens!K29</f>
        <v>8</v>
      </c>
      <c r="D32" s="19">
        <f>Pathogens!L29</f>
        <v>4</v>
      </c>
      <c r="E32" s="19">
        <f>Pathogens!M29</f>
        <v>0</v>
      </c>
      <c r="F32" s="19">
        <f>Calculator!$B$13</f>
        <v>3</v>
      </c>
      <c r="G32" s="19">
        <f>Calculator!$B$14</f>
        <v>87.8</v>
      </c>
      <c r="H32" s="20">
        <f>ROUND(MIN(5,IF(Pathogens!K29&gt;=8,5,IF(Pathogens!K29&gt;=5,4,IF(Pathogens!K29&gt;=3,3,IF(Pathogens!K29&gt;=1,2,1))))*0.5+IF(Pathogens!L29&gt;=5,5,IF(Pathogens!L29&gt;=3,4,IF(Pathogens!L29&gt;=2,3,IF(Pathogens!L29&gt;=1.2,2,1))))*0.3+IF(Pathogens!M29=1,2,0)*0.2+IF($B$13&gt;=2,0.5,0)),0)</f>
        <v>4</v>
      </c>
    </row>
    <row r="33" customHeight="1" spans="1:8">
      <c r="A33" s="18" t="s">
        <v>234</v>
      </c>
      <c r="B33" t="s">
        <v>235</v>
      </c>
      <c r="C33" s="19">
        <f>Pathogens!K30</f>
        <v>5</v>
      </c>
      <c r="D33" s="19">
        <f>Pathogens!L30</f>
        <v>2</v>
      </c>
      <c r="E33" s="19">
        <f>Pathogens!M30</f>
        <v>0</v>
      </c>
      <c r="F33" s="19">
        <f>Calculator!$B$13</f>
        <v>3</v>
      </c>
      <c r="G33" s="19">
        <f>Calculator!$B$14</f>
        <v>87.8</v>
      </c>
      <c r="H33" s="20">
        <f>ROUND(MIN(5,IF(Pathogens!K30&gt;=8,5,IF(Pathogens!K30&gt;=5,4,IF(Pathogens!K30&gt;=3,3,IF(Pathogens!K30&gt;=1,2,1))))*0.5+IF(Pathogens!L30&gt;=5,5,IF(Pathogens!L30&gt;=3,4,IF(Pathogens!L30&gt;=2,3,IF(Pathogens!L30&gt;=1.2,2,1))))*0.3+IF(Pathogens!M30=1,2,0)*0.2+IF($B$13&gt;=2,0.5,0)),0)</f>
        <v>3</v>
      </c>
    </row>
    <row r="34" customHeight="1" spans="1:8">
      <c r="A34" s="18" t="s">
        <v>236</v>
      </c>
      <c r="B34" t="s">
        <v>237</v>
      </c>
      <c r="C34" s="19">
        <f>Pathogens!K31</f>
        <v>10</v>
      </c>
      <c r="D34" s="19">
        <f>Pathogens!L31</f>
        <v>2</v>
      </c>
      <c r="E34" s="19">
        <f>Pathogens!M31</f>
        <v>1</v>
      </c>
      <c r="F34" s="19">
        <f>Calculator!$B$13</f>
        <v>3</v>
      </c>
      <c r="G34" s="19">
        <f>Calculator!$B$14</f>
        <v>87.8</v>
      </c>
      <c r="H34" s="20">
        <f>ROUND(MIN(5,IF(Pathogens!K31&gt;=8,5,IF(Pathogens!K31&gt;=5,4,IF(Pathogens!K31&gt;=3,3,IF(Pathogens!K31&gt;=1,2,1))))*0.5+IF(Pathogens!L31&gt;=5,5,IF(Pathogens!L31&gt;=3,4,IF(Pathogens!L31&gt;=2,3,IF(Pathogens!L31&gt;=1.2,2,1))))*0.3+IF(Pathogens!M31=1,2,0)*0.2+IF($B$13&gt;=2,0.5,0)),0)</f>
        <v>4</v>
      </c>
    </row>
    <row r="35" customHeight="1" spans="1:8">
      <c r="A35" s="18" t="s">
        <v>239</v>
      </c>
      <c r="B35" t="s">
        <v>240</v>
      </c>
      <c r="C35" s="19">
        <f>Pathogens!K32</f>
        <v>5</v>
      </c>
      <c r="D35" s="19">
        <f>Pathogens!L32</f>
        <v>1.5</v>
      </c>
      <c r="E35" s="19">
        <f>Pathogens!M32</f>
        <v>0</v>
      </c>
      <c r="F35" s="19">
        <f>Calculator!$B$13</f>
        <v>3</v>
      </c>
      <c r="G35" s="19">
        <f>Calculator!$B$14</f>
        <v>87.8</v>
      </c>
      <c r="H35" s="20">
        <f>ROUND(MIN(5,IF(Pathogens!K32&gt;=8,5,IF(Pathogens!K32&gt;=5,4,IF(Pathogens!K32&gt;=3,3,IF(Pathogens!K32&gt;=1,2,1))))*0.5+IF(Pathogens!L32&gt;=5,5,IF(Pathogens!L32&gt;=3,4,IF(Pathogens!L32&gt;=2,3,IF(Pathogens!L32&gt;=1.2,2,1))))*0.3+IF(Pathogens!M32=1,2,0)*0.2+IF($B$13&gt;=2,0.5,0)),0)</f>
        <v>3</v>
      </c>
    </row>
    <row r="36" customHeight="1" spans="1:8">
      <c r="A36" s="18" t="s">
        <v>241</v>
      </c>
      <c r="B36" t="s">
        <v>242</v>
      </c>
      <c r="C36" s="19">
        <f>Pathogens!K33</f>
        <v>8</v>
      </c>
      <c r="D36" s="19">
        <f>Pathogens!L33</f>
        <v>2.8</v>
      </c>
      <c r="E36" s="19">
        <f>Pathogens!M33</f>
        <v>0</v>
      </c>
      <c r="F36" s="19">
        <f>Calculator!$B$13</f>
        <v>3</v>
      </c>
      <c r="G36" s="19">
        <f>Calculator!$B$14</f>
        <v>87.8</v>
      </c>
      <c r="H36" s="20">
        <f>ROUND(MIN(5,IF(Pathogens!K33&gt;=8,5,IF(Pathogens!K33&gt;=5,4,IF(Pathogens!K33&gt;=3,3,IF(Pathogens!K33&gt;=1,2,1))))*0.5+IF(Pathogens!L33&gt;=5,5,IF(Pathogens!L33&gt;=3,4,IF(Pathogens!L33&gt;=2,3,IF(Pathogens!L33&gt;=1.2,2,1))))*0.3+IF(Pathogens!M33=1,2,0)*0.2+IF($B$13&gt;=2,0.5,0)),0)</f>
        <v>4</v>
      </c>
    </row>
    <row r="37" customHeight="1" spans="1:8">
      <c r="A37" s="18" t="s">
        <v>243</v>
      </c>
      <c r="B37" t="s">
        <v>244</v>
      </c>
      <c r="C37" s="19">
        <f>Pathogens!K34</f>
        <v>5</v>
      </c>
      <c r="D37" s="19">
        <f>Pathogens!L34</f>
        <v>2</v>
      </c>
      <c r="E37" s="19">
        <f>Pathogens!M34</f>
        <v>0</v>
      </c>
      <c r="F37" s="19">
        <f>Calculator!$B$13</f>
        <v>3</v>
      </c>
      <c r="G37" s="19">
        <f>Calculator!$B$14</f>
        <v>87.8</v>
      </c>
      <c r="H37" s="20">
        <f>ROUND(MIN(5,IF(Pathogens!K34&gt;=8,5,IF(Pathogens!K34&gt;=5,4,IF(Pathogens!K34&gt;=3,3,IF(Pathogens!K34&gt;=1,2,1))))*0.5+IF(Pathogens!L34&gt;=5,5,IF(Pathogens!L34&gt;=3,4,IF(Pathogens!L34&gt;=2,3,IF(Pathogens!L34&gt;=1.2,2,1))))*0.3+IF(Pathogens!M34=1,2,0)*0.2+IF($B$13&gt;=2,0.5,0)),0)</f>
        <v>3</v>
      </c>
    </row>
    <row r="38" customHeight="1" spans="1:8">
      <c r="A38" s="18" t="s">
        <v>245</v>
      </c>
      <c r="B38" t="s">
        <v>246</v>
      </c>
      <c r="C38" s="19">
        <f>Pathogens!K35</f>
        <v>8</v>
      </c>
      <c r="D38" s="19">
        <f>Pathogens!L35</f>
        <v>1.5</v>
      </c>
      <c r="E38" s="19">
        <f>Pathogens!M35</f>
        <v>0</v>
      </c>
      <c r="F38" s="19">
        <f>Calculator!$B$13</f>
        <v>3</v>
      </c>
      <c r="G38" s="19">
        <f>Calculator!$B$14</f>
        <v>87.8</v>
      </c>
      <c r="H38" s="20">
        <f>ROUND(MIN(5,IF(Pathogens!K35&gt;=8,5,IF(Pathogens!K35&gt;=5,4,IF(Pathogens!K35&gt;=3,3,IF(Pathogens!K35&gt;=1,2,1))))*0.5+IF(Pathogens!L35&gt;=5,5,IF(Pathogens!L35&gt;=3,4,IF(Pathogens!L35&gt;=2,3,IF(Pathogens!L35&gt;=1.2,2,1))))*0.3+IF(Pathogens!M35=1,2,0)*0.2+IF($B$13&gt;=2,0.5,0)),0)</f>
        <v>4</v>
      </c>
    </row>
    <row r="39" customHeight="1" spans="1:8">
      <c r="A39" s="18" t="s">
        <v>247</v>
      </c>
      <c r="B39" t="s">
        <v>248</v>
      </c>
      <c r="C39" s="19">
        <f>Pathogens!K36</f>
        <v>9</v>
      </c>
      <c r="D39" s="19">
        <f>Pathogens!L36</f>
        <v>3</v>
      </c>
      <c r="E39" s="19">
        <f>Pathogens!M36</f>
        <v>0</v>
      </c>
      <c r="F39" s="19">
        <f>Calculator!$B$13</f>
        <v>3</v>
      </c>
      <c r="G39" s="19">
        <f>Calculator!$B$14</f>
        <v>87.8</v>
      </c>
      <c r="H39" s="20">
        <f>ROUND(MIN(5,IF(Pathogens!K36&gt;=8,5,IF(Pathogens!K36&gt;=5,4,IF(Pathogens!K36&gt;=3,3,IF(Pathogens!K36&gt;=1,2,1))))*0.5+IF(Pathogens!L36&gt;=5,5,IF(Pathogens!L36&gt;=3,4,IF(Pathogens!L36&gt;=2,3,IF(Pathogens!L36&gt;=1.2,2,1))))*0.3+IF(Pathogens!M36=1,2,0)*0.2+IF($B$13&gt;=2,0.5,0)),0)</f>
        <v>4</v>
      </c>
    </row>
    <row r="40" customHeight="1" spans="1:8">
      <c r="A40" s="18" t="s">
        <v>249</v>
      </c>
      <c r="B40" t="s">
        <v>250</v>
      </c>
      <c r="C40" s="19">
        <f>Pathogens!K37</f>
        <v>9</v>
      </c>
      <c r="D40" s="19">
        <f>Pathogens!L37</f>
        <v>2</v>
      </c>
      <c r="E40" s="19">
        <f>Pathogens!M37</f>
        <v>0</v>
      </c>
      <c r="F40" s="19">
        <f>Calculator!$B$13</f>
        <v>3</v>
      </c>
      <c r="G40" s="19">
        <f>Calculator!$B$14</f>
        <v>87.8</v>
      </c>
      <c r="H40" s="20">
        <f>ROUND(MIN(5,IF(Pathogens!K37&gt;=8,5,IF(Pathogens!K37&gt;=5,4,IF(Pathogens!K37&gt;=3,3,IF(Pathogens!K37&gt;=1,2,1))))*0.5+IF(Pathogens!L37&gt;=5,5,IF(Pathogens!L37&gt;=3,4,IF(Pathogens!L37&gt;=2,3,IF(Pathogens!L37&gt;=1.2,2,1))))*0.3+IF(Pathogens!M37=1,2,0)*0.2+IF($B$13&gt;=2,0.5,0)),0)</f>
        <v>4</v>
      </c>
    </row>
    <row r="41" customHeight="1" spans="1:8">
      <c r="A41" s="18" t="s">
        <v>251</v>
      </c>
      <c r="B41" t="s">
        <v>252</v>
      </c>
      <c r="C41" s="19">
        <f>Pathogens!K38</f>
        <v>6</v>
      </c>
      <c r="D41" s="19">
        <f>Pathogens!L38</f>
        <v>1.5</v>
      </c>
      <c r="E41" s="19">
        <f>Pathogens!M38</f>
        <v>0</v>
      </c>
      <c r="F41" s="19">
        <f>Calculator!$B$13</f>
        <v>3</v>
      </c>
      <c r="G41" s="19">
        <f>Calculator!$B$14</f>
        <v>87.8</v>
      </c>
      <c r="H41" s="20">
        <f>ROUND(MIN(5,IF(Pathogens!K38&gt;=8,5,IF(Pathogens!K38&gt;=5,4,IF(Pathogens!K38&gt;=3,3,IF(Pathogens!K38&gt;=1,2,1))))*0.5+IF(Pathogens!L38&gt;=5,5,IF(Pathogens!L38&gt;=3,4,IF(Pathogens!L38&gt;=2,3,IF(Pathogens!L38&gt;=1.2,2,1))))*0.3+IF(Pathogens!M38=1,2,0)*0.2+IF($B$13&gt;=2,0.5,0)),0)</f>
        <v>3</v>
      </c>
    </row>
    <row r="42" customHeight="1" spans="1:8">
      <c r="A42" s="18" t="s">
        <v>253</v>
      </c>
      <c r="B42" t="s">
        <v>254</v>
      </c>
      <c r="C42" s="19">
        <f>Pathogens!K39</f>
        <v>3</v>
      </c>
      <c r="D42" s="19">
        <f>Pathogens!L39</f>
        <v>1.2</v>
      </c>
      <c r="E42" s="19">
        <f>Pathogens!M39</f>
        <v>0</v>
      </c>
      <c r="F42" s="19">
        <f>Calculator!$B$13</f>
        <v>3</v>
      </c>
      <c r="G42" s="19">
        <f>Calculator!$B$14</f>
        <v>87.8</v>
      </c>
      <c r="H42" s="20">
        <f>ROUND(MIN(5,IF(Pathogens!K39&gt;=8,5,IF(Pathogens!K39&gt;=5,4,IF(Pathogens!K39&gt;=3,3,IF(Pathogens!K39&gt;=1,2,1))))*0.5+IF(Pathogens!L39&gt;=5,5,IF(Pathogens!L39&gt;=3,4,IF(Pathogens!L39&gt;=2,3,IF(Pathogens!L39&gt;=1.2,2,1))))*0.3+IF(Pathogens!M39=1,2,0)*0.2+IF($B$13&gt;=2,0.5,0)),0)</f>
        <v>3</v>
      </c>
    </row>
    <row r="43" customHeight="1" spans="1:8">
      <c r="A43" s="18" t="s">
        <v>255</v>
      </c>
      <c r="B43" t="s">
        <v>256</v>
      </c>
      <c r="C43" s="19">
        <f>Pathogens!K40</f>
        <v>5</v>
      </c>
      <c r="D43" s="19">
        <f>Pathogens!L40</f>
        <v>1.5</v>
      </c>
      <c r="E43" s="19">
        <f>Pathogens!M40</f>
        <v>0</v>
      </c>
      <c r="F43" s="19">
        <f>Calculator!$B$13</f>
        <v>3</v>
      </c>
      <c r="G43" s="19">
        <f>Calculator!$B$14</f>
        <v>87.8</v>
      </c>
      <c r="H43" s="20">
        <f>ROUND(MIN(5,IF(Pathogens!K40&gt;=8,5,IF(Pathogens!K40&gt;=5,4,IF(Pathogens!K40&gt;=3,3,IF(Pathogens!K40&gt;=1,2,1))))*0.5+IF(Pathogens!L40&gt;=5,5,IF(Pathogens!L40&gt;=3,4,IF(Pathogens!L40&gt;=2,3,IF(Pathogens!L40&gt;=1.2,2,1))))*0.3+IF(Pathogens!M40=1,2,0)*0.2+IF($B$13&gt;=2,0.5,0)),0)</f>
        <v>3</v>
      </c>
    </row>
    <row r="44" customHeight="1" spans="1:8">
      <c r="A44" s="18" t="s">
        <v>257</v>
      </c>
      <c r="B44" t="s">
        <v>258</v>
      </c>
      <c r="C44" s="19">
        <f>Pathogens!K41</f>
        <v>6</v>
      </c>
      <c r="D44" s="19">
        <f>Pathogens!L41</f>
        <v>1</v>
      </c>
      <c r="E44" s="19">
        <f>Pathogens!M41</f>
        <v>0</v>
      </c>
      <c r="F44" s="19">
        <f>Calculator!$B$13</f>
        <v>3</v>
      </c>
      <c r="G44" s="19">
        <f>Calculator!$B$14</f>
        <v>87.8</v>
      </c>
      <c r="H44" s="20">
        <f>ROUND(MIN(5,IF(Pathogens!K41&gt;=8,5,IF(Pathogens!K41&gt;=5,4,IF(Pathogens!K41&gt;=3,3,IF(Pathogens!K41&gt;=1,2,1))))*0.5+IF(Pathogens!L41&gt;=5,5,IF(Pathogens!L41&gt;=3,4,IF(Pathogens!L41&gt;=2,3,IF(Pathogens!L41&gt;=1.2,2,1))))*0.3+IF(Pathogens!M41=1,2,0)*0.2+IF($B$13&gt;=2,0.5,0)),0)</f>
        <v>3</v>
      </c>
    </row>
    <row r="45" customHeight="1" spans="1:8">
      <c r="A45" s="18" t="s">
        <v>260</v>
      </c>
      <c r="B45" t="s">
        <v>261</v>
      </c>
      <c r="C45" s="19">
        <f>Pathogens!K42</f>
        <v>5</v>
      </c>
      <c r="D45" s="19">
        <f>Pathogens!L42</f>
        <v>1</v>
      </c>
      <c r="E45" s="19">
        <f>Pathogens!M42</f>
        <v>0</v>
      </c>
      <c r="F45" s="19">
        <f>Calculator!$B$13</f>
        <v>3</v>
      </c>
      <c r="G45" s="19">
        <f>Calculator!$B$14</f>
        <v>87.8</v>
      </c>
      <c r="H45" s="20">
        <f>ROUND(MIN(5,IF(Pathogens!K42&gt;=8,5,IF(Pathogens!K42&gt;=5,4,IF(Pathogens!K42&gt;=3,3,IF(Pathogens!K42&gt;=1,2,1))))*0.5+IF(Pathogens!L42&gt;=5,5,IF(Pathogens!L42&gt;=3,4,IF(Pathogens!L42&gt;=2,3,IF(Pathogens!L42&gt;=1.2,2,1))))*0.3+IF(Pathogens!M42=1,2,0)*0.2+IF($B$13&gt;=2,0.5,0)),0)</f>
        <v>3</v>
      </c>
    </row>
    <row r="46" customHeight="1" spans="1:8">
      <c r="A46" s="18" t="s">
        <v>262</v>
      </c>
      <c r="B46" t="s">
        <v>263</v>
      </c>
      <c r="C46" s="19">
        <f>Pathogens!K43</f>
        <v>3</v>
      </c>
      <c r="D46" s="19">
        <f>Pathogens!L43</f>
        <v>1</v>
      </c>
      <c r="E46" s="19">
        <f>Pathogens!M43</f>
        <v>0</v>
      </c>
      <c r="F46" s="19">
        <f>Calculator!$B$13</f>
        <v>3</v>
      </c>
      <c r="G46" s="19">
        <f>Calculator!$B$14</f>
        <v>87.8</v>
      </c>
      <c r="H46" s="20">
        <f>ROUND(MIN(5,IF(Pathogens!K43&gt;=8,5,IF(Pathogens!K43&gt;=5,4,IF(Pathogens!K43&gt;=3,3,IF(Pathogens!K43&gt;=1,2,1))))*0.5+IF(Pathogens!L43&gt;=5,5,IF(Pathogens!L43&gt;=3,4,IF(Pathogens!L43&gt;=2,3,IF(Pathogens!L43&gt;=1.2,2,1))))*0.3+IF(Pathogens!M43=1,2,0)*0.2+IF($B$13&gt;=2,0.5,0)),0)</f>
        <v>2</v>
      </c>
    </row>
    <row r="47" customHeight="1" spans="1:8">
      <c r="A47" s="18" t="s">
        <v>264</v>
      </c>
      <c r="B47" t="s">
        <v>265</v>
      </c>
      <c r="C47" s="19">
        <f>Pathogens!K44</f>
        <v>4</v>
      </c>
      <c r="D47" s="19">
        <f>Pathogens!L44</f>
        <v>1</v>
      </c>
      <c r="E47" s="19">
        <f>Pathogens!M44</f>
        <v>0</v>
      </c>
      <c r="F47" s="19">
        <f>Calculator!$B$13</f>
        <v>3</v>
      </c>
      <c r="G47" s="19">
        <f>Calculator!$B$14</f>
        <v>87.8</v>
      </c>
      <c r="H47" s="20">
        <f>ROUND(MIN(5,IF(Pathogens!K44&gt;=8,5,IF(Pathogens!K44&gt;=5,4,IF(Pathogens!K44&gt;=3,3,IF(Pathogens!K44&gt;=1,2,1))))*0.5+IF(Pathogens!L44&gt;=5,5,IF(Pathogens!L44&gt;=3,4,IF(Pathogens!L44&gt;=2,3,IF(Pathogens!L44&gt;=1.2,2,1))))*0.3+IF(Pathogens!M44=1,2,0)*0.2+IF($B$13&gt;=2,0.5,0)),0)</f>
        <v>2</v>
      </c>
    </row>
    <row r="48" customHeight="1" spans="1:8">
      <c r="A48" s="18" t="s">
        <v>267</v>
      </c>
      <c r="B48" t="s">
        <v>268</v>
      </c>
      <c r="C48" s="19">
        <f>Pathogens!K45</f>
        <v>5</v>
      </c>
      <c r="D48" s="19">
        <f>Pathogens!L45</f>
        <v>1.3</v>
      </c>
      <c r="E48" s="19">
        <f>Pathogens!M45</f>
        <v>1</v>
      </c>
      <c r="F48" s="19">
        <f>Calculator!$B$13</f>
        <v>3</v>
      </c>
      <c r="G48" s="19">
        <f>Calculator!$B$14</f>
        <v>87.8</v>
      </c>
      <c r="H48" s="20">
        <f>ROUND(MIN(5,IF(Pathogens!K45&gt;=8,5,IF(Pathogens!K45&gt;=5,4,IF(Pathogens!K45&gt;=3,3,IF(Pathogens!K45&gt;=1,2,1))))*0.5+IF(Pathogens!L45&gt;=5,5,IF(Pathogens!L45&gt;=3,4,IF(Pathogens!L45&gt;=2,3,IF(Pathogens!L45&gt;=1.2,2,1))))*0.3+IF(Pathogens!M45=1,2,0)*0.2+IF($B$13&gt;=2,0.5,0)),0)</f>
        <v>4</v>
      </c>
    </row>
    <row r="49" customHeight="1" spans="1:8">
      <c r="A49" s="18" t="s">
        <v>269</v>
      </c>
      <c r="B49" t="s">
        <v>270</v>
      </c>
      <c r="C49" s="19">
        <f>Pathogens!K46</f>
        <v>10</v>
      </c>
      <c r="D49" s="19">
        <f>Pathogens!L46</f>
        <v>1.5</v>
      </c>
      <c r="E49" s="19">
        <f>Pathogens!M46</f>
        <v>0</v>
      </c>
      <c r="F49" s="19">
        <f>Calculator!$B$13</f>
        <v>3</v>
      </c>
      <c r="G49" s="19">
        <f>Calculator!$B$14</f>
        <v>87.8</v>
      </c>
      <c r="H49" s="20">
        <f>ROUND(MIN(5,IF(Pathogens!K46&gt;=8,5,IF(Pathogens!K46&gt;=5,4,IF(Pathogens!K46&gt;=3,3,IF(Pathogens!K46&gt;=1,2,1))))*0.5+IF(Pathogens!L46&gt;=5,5,IF(Pathogens!L46&gt;=3,4,IF(Pathogens!L46&gt;=2,3,IF(Pathogens!L46&gt;=1.2,2,1))))*0.3+IF(Pathogens!M46=1,2,0)*0.2+IF($B$13&gt;=2,0.5,0)),0)</f>
        <v>4</v>
      </c>
    </row>
    <row r="50" customHeight="1" spans="1:8">
      <c r="A50" s="18" t="s">
        <v>272</v>
      </c>
      <c r="B50" t="s">
        <v>273</v>
      </c>
      <c r="C50" s="19">
        <f>Pathogens!K47</f>
        <v>8</v>
      </c>
      <c r="D50" s="19">
        <f>Pathogens!L47</f>
        <v>2</v>
      </c>
      <c r="E50" s="19">
        <f>Pathogens!M47</f>
        <v>0</v>
      </c>
      <c r="F50" s="19">
        <f>Calculator!$B$13</f>
        <v>3</v>
      </c>
      <c r="G50" s="19">
        <f>Calculator!$B$14</f>
        <v>87.8</v>
      </c>
      <c r="H50" s="20">
        <f>ROUND(MIN(5,IF(Pathogens!K47&gt;=8,5,IF(Pathogens!K47&gt;=5,4,IF(Pathogens!K47&gt;=3,3,IF(Pathogens!K47&gt;=1,2,1))))*0.5+IF(Pathogens!L47&gt;=5,5,IF(Pathogens!L47&gt;=3,4,IF(Pathogens!L47&gt;=2,3,IF(Pathogens!L47&gt;=1.2,2,1))))*0.3+IF(Pathogens!M47=1,2,0)*0.2+IF($B$13&gt;=2,0.5,0)),0)</f>
        <v>4</v>
      </c>
    </row>
    <row r="51" customHeight="1" spans="1:8">
      <c r="A51" s="18" t="s">
        <v>275</v>
      </c>
      <c r="B51" t="s">
        <v>276</v>
      </c>
      <c r="C51" s="19">
        <f>Pathogens!K48</f>
        <v>8</v>
      </c>
      <c r="D51" s="19">
        <f>Pathogens!L48</f>
        <v>2</v>
      </c>
      <c r="E51" s="19">
        <f>Pathogens!M48</f>
        <v>0</v>
      </c>
      <c r="F51" s="19">
        <f>Calculator!$B$13</f>
        <v>3</v>
      </c>
      <c r="G51" s="19">
        <f>Calculator!$B$14</f>
        <v>87.8</v>
      </c>
      <c r="H51" s="20">
        <f>ROUND(MIN(5,IF(Pathogens!K48&gt;=8,5,IF(Pathogens!K48&gt;=5,4,IF(Pathogens!K48&gt;=3,3,IF(Pathogens!K48&gt;=1,2,1))))*0.5+IF(Pathogens!L48&gt;=5,5,IF(Pathogens!L48&gt;=3,4,IF(Pathogens!L48&gt;=2,3,IF(Pathogens!L48&gt;=1.2,2,1))))*0.3+IF(Pathogens!M48=1,2,0)*0.2+IF($B$13&gt;=2,0.5,0)),0)</f>
        <v>4</v>
      </c>
    </row>
    <row r="52" customHeight="1" spans="1:8">
      <c r="A52" s="18" t="s">
        <v>277</v>
      </c>
      <c r="B52" t="s">
        <v>278</v>
      </c>
      <c r="C52" s="19">
        <f>Pathogens!K49</f>
        <v>6</v>
      </c>
      <c r="D52" s="19">
        <f>Pathogens!L49</f>
        <v>1.5</v>
      </c>
      <c r="E52" s="19">
        <f>Pathogens!M49</f>
        <v>0</v>
      </c>
      <c r="F52" s="19">
        <f>Calculator!$B$13</f>
        <v>3</v>
      </c>
      <c r="G52" s="19">
        <f>Calculator!$B$14</f>
        <v>87.8</v>
      </c>
      <c r="H52" s="20">
        <f>ROUND(MIN(5,IF(Pathogens!K49&gt;=8,5,IF(Pathogens!K49&gt;=5,4,IF(Pathogens!K49&gt;=3,3,IF(Pathogens!K49&gt;=1,2,1))))*0.5+IF(Pathogens!L49&gt;=5,5,IF(Pathogens!L49&gt;=3,4,IF(Pathogens!L49&gt;=2,3,IF(Pathogens!L49&gt;=1.2,2,1))))*0.3+IF(Pathogens!M49=1,2,0)*0.2+IF($B$13&gt;=2,0.5,0)),0)</f>
        <v>3</v>
      </c>
    </row>
    <row r="53" customHeight="1" spans="1:8">
      <c r="A53" s="18" t="s">
        <v>279</v>
      </c>
      <c r="B53" t="s">
        <v>280</v>
      </c>
      <c r="C53" s="19">
        <f>Pathogens!K50</f>
        <v>10</v>
      </c>
      <c r="D53" s="19">
        <f>Pathogens!L50</f>
        <v>2</v>
      </c>
      <c r="E53" s="19">
        <f>Pathogens!M50</f>
        <v>0</v>
      </c>
      <c r="F53" s="19">
        <f>Calculator!$B$13</f>
        <v>3</v>
      </c>
      <c r="G53" s="19">
        <f>Calculator!$B$14</f>
        <v>87.8</v>
      </c>
      <c r="H53" s="20">
        <f>ROUND(MIN(5,IF(Pathogens!K50&gt;=8,5,IF(Pathogens!K50&gt;=5,4,IF(Pathogens!K50&gt;=3,3,IF(Pathogens!K50&gt;=1,2,1))))*0.5+IF(Pathogens!L50&gt;=5,5,IF(Pathogens!L50&gt;=3,4,IF(Pathogens!L50&gt;=2,3,IF(Pathogens!L50&gt;=1.2,2,1))))*0.3+IF(Pathogens!M50=1,2,0)*0.2+IF($B$13&gt;=2,0.5,0)),0)</f>
        <v>4</v>
      </c>
    </row>
    <row r="54" customHeight="1" spans="1:8">
      <c r="A54" s="18" t="s">
        <v>282</v>
      </c>
      <c r="B54" t="s">
        <v>283</v>
      </c>
      <c r="C54" s="19">
        <f>Pathogens!K51</f>
        <v>10</v>
      </c>
      <c r="D54" s="19">
        <f>Pathogens!L51</f>
        <v>2</v>
      </c>
      <c r="E54" s="19">
        <f>Pathogens!M51</f>
        <v>0</v>
      </c>
      <c r="F54" s="19">
        <f>Calculator!$B$13</f>
        <v>3</v>
      </c>
      <c r="G54" s="19">
        <f>Calculator!$B$14</f>
        <v>87.8</v>
      </c>
      <c r="H54" s="20">
        <f>ROUND(MIN(5,IF(Pathogens!K51&gt;=8,5,IF(Pathogens!K51&gt;=5,4,IF(Pathogens!K51&gt;=3,3,IF(Pathogens!K51&gt;=1,2,1))))*0.5+IF(Pathogens!L51&gt;=5,5,IF(Pathogens!L51&gt;=3,4,IF(Pathogens!L51&gt;=2,3,IF(Pathogens!L51&gt;=1.2,2,1))))*0.3+IF(Pathogens!M51=1,2,0)*0.2+IF($B$13&gt;=2,0.5,0)),0)</f>
        <v>4</v>
      </c>
    </row>
    <row r="55" customHeight="1" spans="1:8">
      <c r="A55" s="18" t="s">
        <v>284</v>
      </c>
      <c r="B55" t="s">
        <v>285</v>
      </c>
      <c r="C55" s="19">
        <f>Pathogens!K52</f>
        <v>3</v>
      </c>
      <c r="D55" s="19">
        <f>Pathogens!L52</f>
        <v>0.5</v>
      </c>
      <c r="E55" s="19">
        <f>Pathogens!M52</f>
        <v>1</v>
      </c>
      <c r="F55" s="19">
        <f>Calculator!$B$13</f>
        <v>3</v>
      </c>
      <c r="G55" s="19">
        <f>Calculator!$B$14</f>
        <v>87.8</v>
      </c>
      <c r="H55" s="20">
        <f>ROUND(MIN(5,IF(Pathogens!K52&gt;=8,5,IF(Pathogens!K52&gt;=5,4,IF(Pathogens!K52&gt;=3,3,IF(Pathogens!K52&gt;=1,2,1))))*0.5+IF(Pathogens!L52&gt;=5,5,IF(Pathogens!L52&gt;=3,4,IF(Pathogens!L52&gt;=2,3,IF(Pathogens!L52&gt;=1.2,2,1))))*0.3+IF(Pathogens!M52=1,2,0)*0.2+IF($B$13&gt;=2,0.5,0)),0)</f>
        <v>3</v>
      </c>
    </row>
    <row r="56" customHeight="1" spans="1:8">
      <c r="A56" s="18" t="s">
        <v>286</v>
      </c>
      <c r="B56" t="s">
        <v>287</v>
      </c>
      <c r="C56" s="19">
        <f>Pathogens!K53</f>
        <v>10</v>
      </c>
      <c r="D56" s="19">
        <f>Pathogens!L53</f>
        <v>1</v>
      </c>
      <c r="E56" s="19">
        <f>Pathogens!M53</f>
        <v>0</v>
      </c>
      <c r="F56" s="19">
        <f>Calculator!$B$13</f>
        <v>3</v>
      </c>
      <c r="G56" s="19">
        <f>Calculator!$B$14</f>
        <v>87.8</v>
      </c>
      <c r="H56" s="20">
        <f>ROUND(MIN(5,IF(Pathogens!K53&gt;=8,5,IF(Pathogens!K53&gt;=5,4,IF(Pathogens!K53&gt;=3,3,IF(Pathogens!K53&gt;=1,2,1))))*0.5+IF(Pathogens!L53&gt;=5,5,IF(Pathogens!L53&gt;=3,4,IF(Pathogens!L53&gt;=2,3,IF(Pathogens!L53&gt;=1.2,2,1))))*0.3+IF(Pathogens!M53=1,2,0)*0.2+IF($B$13&gt;=2,0.5,0)),0)</f>
        <v>3</v>
      </c>
    </row>
    <row r="57" customHeight="1" spans="1:8">
      <c r="A57" s="18" t="s">
        <v>289</v>
      </c>
      <c r="B57" t="s">
        <v>290</v>
      </c>
      <c r="C57" s="19">
        <f>Pathogens!K54</f>
        <v>8</v>
      </c>
      <c r="D57" s="19">
        <f>Pathogens!L54</f>
        <v>1</v>
      </c>
      <c r="E57" s="19">
        <f>Pathogens!M54</f>
        <v>0</v>
      </c>
      <c r="F57" s="19">
        <f>Calculator!$B$13</f>
        <v>3</v>
      </c>
      <c r="G57" s="19">
        <f>Calculator!$B$14</f>
        <v>87.8</v>
      </c>
      <c r="H57" s="20">
        <f>ROUND(MIN(5,IF(Pathogens!K54&gt;=8,5,IF(Pathogens!K54&gt;=5,4,IF(Pathogens!K54&gt;=3,3,IF(Pathogens!K54&gt;=1,2,1))))*0.5+IF(Pathogens!L54&gt;=5,5,IF(Pathogens!L54&gt;=3,4,IF(Pathogens!L54&gt;=2,3,IF(Pathogens!L54&gt;=1.2,2,1))))*0.3+IF(Pathogens!M54=1,2,0)*0.2+IF($B$13&gt;=2,0.5,0)),0)</f>
        <v>3</v>
      </c>
    </row>
    <row r="58" customHeight="1" spans="1:8">
      <c r="A58" s="18" t="s">
        <v>291</v>
      </c>
      <c r="B58" t="s">
        <v>292</v>
      </c>
      <c r="C58" s="19">
        <f>Pathogens!K55</f>
        <v>5</v>
      </c>
      <c r="D58" s="19">
        <f>Pathogens!L55</f>
        <v>1</v>
      </c>
      <c r="E58" s="19">
        <f>Pathogens!M55</f>
        <v>0</v>
      </c>
      <c r="F58" s="19">
        <f>Calculator!$B$13</f>
        <v>3</v>
      </c>
      <c r="G58" s="19">
        <f>Calculator!$B$14</f>
        <v>87.8</v>
      </c>
      <c r="H58" s="20">
        <f>ROUND(MIN(5,IF(Pathogens!K55&gt;=8,5,IF(Pathogens!K55&gt;=5,4,IF(Pathogens!K55&gt;=3,3,IF(Pathogens!K55&gt;=1,2,1))))*0.5+IF(Pathogens!L55&gt;=5,5,IF(Pathogens!L55&gt;=3,4,IF(Pathogens!L55&gt;=2,3,IF(Pathogens!L55&gt;=1.2,2,1))))*0.3+IF(Pathogens!M55=1,2,0)*0.2+IF($B$13&gt;=2,0.5,0)),0)</f>
        <v>3</v>
      </c>
    </row>
    <row r="59" customHeight="1" spans="1:8">
      <c r="A59" s="18" t="s">
        <v>293</v>
      </c>
      <c r="B59" t="s">
        <v>294</v>
      </c>
      <c r="C59" s="19">
        <f>Pathogens!K56</f>
        <v>7</v>
      </c>
      <c r="D59" s="19">
        <f>Pathogens!L56</f>
        <v>1</v>
      </c>
      <c r="E59" s="19">
        <f>Pathogens!M56</f>
        <v>0</v>
      </c>
      <c r="F59" s="19">
        <f>Calculator!$B$13</f>
        <v>3</v>
      </c>
      <c r="G59" s="19">
        <f>Calculator!$B$14</f>
        <v>87.8</v>
      </c>
      <c r="H59" s="20">
        <f>ROUND(MIN(5,IF(Pathogens!K56&gt;=8,5,IF(Pathogens!K56&gt;=5,4,IF(Pathogens!K56&gt;=3,3,IF(Pathogens!K56&gt;=1,2,1))))*0.5+IF(Pathogens!L56&gt;=5,5,IF(Pathogens!L56&gt;=3,4,IF(Pathogens!L56&gt;=2,3,IF(Pathogens!L56&gt;=1.2,2,1))))*0.3+IF(Pathogens!M56=1,2,0)*0.2+IF($B$13&gt;=2,0.5,0)),0)</f>
        <v>3</v>
      </c>
    </row>
    <row r="60" customHeight="1" spans="1:8">
      <c r="A60" s="18" t="s">
        <v>295</v>
      </c>
      <c r="B60" t="s">
        <v>296</v>
      </c>
      <c r="C60" s="19">
        <f>Pathogens!K57</f>
        <v>6</v>
      </c>
      <c r="D60" s="19">
        <f>Pathogens!L57</f>
        <v>1</v>
      </c>
      <c r="E60" s="19">
        <f>Pathogens!M57</f>
        <v>0</v>
      </c>
      <c r="F60" s="19">
        <f>Calculator!$B$13</f>
        <v>3</v>
      </c>
      <c r="G60" s="19">
        <f>Calculator!$B$14</f>
        <v>87.8</v>
      </c>
      <c r="H60" s="20">
        <f>ROUND(MIN(5,IF(Pathogens!K57&gt;=8,5,IF(Pathogens!K57&gt;=5,4,IF(Pathogens!K57&gt;=3,3,IF(Pathogens!K57&gt;=1,2,1))))*0.5+IF(Pathogens!L57&gt;=5,5,IF(Pathogens!L57&gt;=3,4,IF(Pathogens!L57&gt;=2,3,IF(Pathogens!L57&gt;=1.2,2,1))))*0.3+IF(Pathogens!M57=1,2,0)*0.2+IF($B$13&gt;=2,0.5,0)),0)</f>
        <v>3</v>
      </c>
    </row>
    <row r="61" customHeight="1" spans="1:8">
      <c r="A61" s="18" t="s">
        <v>297</v>
      </c>
      <c r="B61" t="s">
        <v>298</v>
      </c>
      <c r="C61" s="19">
        <f>Pathogens!K58</f>
        <v>4</v>
      </c>
      <c r="D61" s="19">
        <f>Pathogens!L58</f>
        <v>1</v>
      </c>
      <c r="E61" s="19">
        <f>Pathogens!M58</f>
        <v>0</v>
      </c>
      <c r="F61" s="19">
        <f>Calculator!$B$13</f>
        <v>3</v>
      </c>
      <c r="G61" s="19">
        <f>Calculator!$B$14</f>
        <v>87.8</v>
      </c>
      <c r="H61" s="20">
        <f>ROUND(MIN(5,IF(Pathogens!K58&gt;=8,5,IF(Pathogens!K58&gt;=5,4,IF(Pathogens!K58&gt;=3,3,IF(Pathogens!K58&gt;=1,2,1))))*0.5+IF(Pathogens!L58&gt;=5,5,IF(Pathogens!L58&gt;=3,4,IF(Pathogens!L58&gt;=2,3,IF(Pathogens!L58&gt;=1.2,2,1))))*0.3+IF(Pathogens!M58=1,2,0)*0.2+IF($B$13&gt;=2,0.5,0)),0)</f>
        <v>2</v>
      </c>
    </row>
    <row r="62" customHeight="1" spans="1:8">
      <c r="A62" s="18" t="s">
        <v>299</v>
      </c>
      <c r="B62" t="s">
        <v>300</v>
      </c>
      <c r="C62" s="19">
        <f>Pathogens!K59</f>
        <v>8</v>
      </c>
      <c r="D62" s="19">
        <f>Pathogens!L59</f>
        <v>1</v>
      </c>
      <c r="E62" s="19">
        <f>Pathogens!M59</f>
        <v>0</v>
      </c>
      <c r="F62" s="19">
        <f>Calculator!$B$13</f>
        <v>3</v>
      </c>
      <c r="G62" s="19">
        <f>Calculator!$B$14</f>
        <v>87.8</v>
      </c>
      <c r="H62" s="20">
        <f>ROUND(MIN(5,IF(Pathogens!K59&gt;=8,5,IF(Pathogens!K59&gt;=5,4,IF(Pathogens!K59&gt;=3,3,IF(Pathogens!K59&gt;=1,2,1))))*0.5+IF(Pathogens!L59&gt;=5,5,IF(Pathogens!L59&gt;=3,4,IF(Pathogens!L59&gt;=2,3,IF(Pathogens!L59&gt;=1.2,2,1))))*0.3+IF(Pathogens!M59=1,2,0)*0.2+IF($B$13&gt;=2,0.5,0)),0)</f>
        <v>3</v>
      </c>
    </row>
    <row r="63" customHeight="1" spans="1:8">
      <c r="A63" s="18" t="s">
        <v>301</v>
      </c>
      <c r="B63" t="s">
        <v>302</v>
      </c>
      <c r="C63" s="19">
        <f>Pathogens!K60</f>
        <v>9</v>
      </c>
      <c r="D63" s="19">
        <f>Pathogens!L60</f>
        <v>1</v>
      </c>
      <c r="E63" s="19">
        <f>Pathogens!M60</f>
        <v>0</v>
      </c>
      <c r="F63" s="19">
        <f>Calculator!$B$13</f>
        <v>3</v>
      </c>
      <c r="G63" s="19">
        <f>Calculator!$B$14</f>
        <v>87.8</v>
      </c>
      <c r="H63" s="20">
        <f>ROUND(MIN(5,IF(Pathogens!K60&gt;=8,5,IF(Pathogens!K60&gt;=5,4,IF(Pathogens!K60&gt;=3,3,IF(Pathogens!K60&gt;=1,2,1))))*0.5+IF(Pathogens!L60&gt;=5,5,IF(Pathogens!L60&gt;=3,4,IF(Pathogens!L60&gt;=2,3,IF(Pathogens!L60&gt;=1.2,2,1))))*0.3+IF(Pathogens!M60=1,2,0)*0.2+IF($B$13&gt;=2,0.5,0)),0)</f>
        <v>3</v>
      </c>
    </row>
    <row r="64" customHeight="1" spans="1:8">
      <c r="A64" s="18" t="s">
        <v>303</v>
      </c>
      <c r="B64" t="s">
        <v>304</v>
      </c>
      <c r="C64" s="19">
        <f>Pathogens!K61</f>
        <v>3</v>
      </c>
      <c r="D64" s="19">
        <f>Pathogens!L61</f>
        <v>2</v>
      </c>
      <c r="E64" s="19">
        <f>Pathogens!M61</f>
        <v>0</v>
      </c>
      <c r="F64" s="19">
        <f>Calculator!$B$13</f>
        <v>3</v>
      </c>
      <c r="G64" s="19">
        <f>Calculator!$B$14</f>
        <v>87.8</v>
      </c>
      <c r="H64" s="20">
        <f>ROUND(MIN(5,IF(Pathogens!K61&gt;=8,5,IF(Pathogens!K61&gt;=5,4,IF(Pathogens!K61&gt;=3,3,IF(Pathogens!K61&gt;=1,2,1))))*0.5+IF(Pathogens!L61&gt;=5,5,IF(Pathogens!L61&gt;=3,4,IF(Pathogens!L61&gt;=2,3,IF(Pathogens!L61&gt;=1.2,2,1))))*0.3+IF(Pathogens!M61=1,2,0)*0.2+IF($B$13&gt;=2,0.5,0)),0)</f>
        <v>3</v>
      </c>
    </row>
    <row r="65" customHeight="1" spans="1:8">
      <c r="A65" s="18" t="s">
        <v>306</v>
      </c>
      <c r="B65" t="s">
        <v>307</v>
      </c>
      <c r="C65" s="19">
        <f>Pathogens!K62</f>
        <v>1</v>
      </c>
      <c r="D65" s="19">
        <f>Pathogens!L62</f>
        <v>1.5</v>
      </c>
      <c r="E65" s="19">
        <f>Pathogens!M62</f>
        <v>0</v>
      </c>
      <c r="F65" s="19">
        <f>Calculator!$B$13</f>
        <v>3</v>
      </c>
      <c r="G65" s="19">
        <f>Calculator!$B$14</f>
        <v>87.8</v>
      </c>
      <c r="H65" s="20">
        <f>ROUND(MIN(5,IF(Pathogens!K62&gt;=8,5,IF(Pathogens!K62&gt;=5,4,IF(Pathogens!K62&gt;=3,3,IF(Pathogens!K62&gt;=1,2,1))))*0.5+IF(Pathogens!L62&gt;=5,5,IF(Pathogens!L62&gt;=3,4,IF(Pathogens!L62&gt;=2,3,IF(Pathogens!L62&gt;=1.2,2,1))))*0.3+IF(Pathogens!M62=1,2,0)*0.2+IF($B$13&gt;=2,0.5,0)),0)</f>
        <v>2</v>
      </c>
    </row>
    <row r="66" customHeight="1" spans="1:8">
      <c r="A66" s="18" t="s">
        <v>308</v>
      </c>
      <c r="B66" t="s">
        <v>309</v>
      </c>
      <c r="C66" s="19">
        <f>Pathogens!K63</f>
        <v>4</v>
      </c>
      <c r="D66" s="19">
        <f>Pathogens!L63</f>
        <v>1</v>
      </c>
      <c r="E66" s="19">
        <f>Pathogens!M63</f>
        <v>0</v>
      </c>
      <c r="F66" s="19">
        <f>Calculator!$B$13</f>
        <v>3</v>
      </c>
      <c r="G66" s="19">
        <f>Calculator!$B$14</f>
        <v>87.8</v>
      </c>
      <c r="H66" s="20">
        <f>ROUND(MIN(5,IF(Pathogens!K63&gt;=8,5,IF(Pathogens!K63&gt;=5,4,IF(Pathogens!K63&gt;=3,3,IF(Pathogens!K63&gt;=1,2,1))))*0.5+IF(Pathogens!L63&gt;=5,5,IF(Pathogens!L63&gt;=3,4,IF(Pathogens!L63&gt;=2,3,IF(Pathogens!L63&gt;=1.2,2,1))))*0.3+IF(Pathogens!M63=1,2,0)*0.2+IF($B$13&gt;=2,0.5,0)),0)</f>
        <v>2</v>
      </c>
    </row>
    <row r="67" customHeight="1" spans="1:8">
      <c r="A67" s="18" t="s">
        <v>311</v>
      </c>
      <c r="B67" t="s">
        <v>312</v>
      </c>
      <c r="C67" s="19">
        <f>Pathogens!K64</f>
        <v>4</v>
      </c>
      <c r="D67" s="19">
        <f>Pathogens!L64</f>
        <v>0.5</v>
      </c>
      <c r="E67" s="19">
        <f>Pathogens!M64</f>
        <v>0</v>
      </c>
      <c r="F67" s="19">
        <f>Calculator!$B$13</f>
        <v>3</v>
      </c>
      <c r="G67" s="19">
        <f>Calculator!$B$14</f>
        <v>87.8</v>
      </c>
      <c r="H67" s="20">
        <f>ROUND(MIN(5,IF(Pathogens!K64&gt;=8,5,IF(Pathogens!K64&gt;=5,4,IF(Pathogens!K64&gt;=3,3,IF(Pathogens!K64&gt;=1,2,1))))*0.5+IF(Pathogens!L64&gt;=5,5,IF(Pathogens!L64&gt;=3,4,IF(Pathogens!L64&gt;=2,3,IF(Pathogens!L64&gt;=1.2,2,1))))*0.3+IF(Pathogens!M64=1,2,0)*0.2+IF($B$13&gt;=2,0.5,0)),0)</f>
        <v>2</v>
      </c>
    </row>
    <row r="68" customHeight="1" spans="1:8">
      <c r="A68" s="18" t="s">
        <v>313</v>
      </c>
      <c r="B68" t="s">
        <v>314</v>
      </c>
      <c r="C68" s="19">
        <f>Pathogens!K65</f>
        <v>6</v>
      </c>
      <c r="D68" s="19">
        <f>Pathogens!L65</f>
        <v>1</v>
      </c>
      <c r="E68" s="19">
        <f>Pathogens!M65</f>
        <v>0</v>
      </c>
      <c r="F68" s="19">
        <f>Calculator!$B$13</f>
        <v>3</v>
      </c>
      <c r="G68" s="19">
        <f>Calculator!$B$14</f>
        <v>87.8</v>
      </c>
      <c r="H68" s="20">
        <f>ROUND(MIN(5,IF(Pathogens!K65&gt;=8,5,IF(Pathogens!K65&gt;=5,4,IF(Pathogens!K65&gt;=3,3,IF(Pathogens!K65&gt;=1,2,1))))*0.5+IF(Pathogens!L65&gt;=5,5,IF(Pathogens!L65&gt;=3,4,IF(Pathogens!L65&gt;=2,3,IF(Pathogens!L65&gt;=1.2,2,1))))*0.3+IF(Pathogens!M65=1,2,0)*0.2+IF($B$13&gt;=2,0.5,0)),0)</f>
        <v>3</v>
      </c>
    </row>
  </sheetData>
  <pageMargins left="0.75" right="0.75" top="1" bottom="1" header="0.511811023622047" footer="0.511811023622047"/>
  <pageSetup paperSize="9" orientation="portrait"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cols>
    <col min="1" max="1" width="18" customWidth="1"/>
    <col min="2" max="2" width="36" customWidth="1"/>
    <col min="3" max="10" width="18" customWidth="1"/>
  </cols>
  <sheetData>
    <row r="1" ht="19.5" customHeight="1" spans="1:10">
      <c r="A1" s="1" t="s">
        <v>618</v>
      </c>
    </row>
    <row r="2" customHeight="1" spans="1:10">
      <c r="A2" s="16" t="s">
        <v>606</v>
      </c>
    </row>
    <row r="4" ht="26.25" customHeight="1" spans="1:10">
      <c r="A4" s="17" t="s">
        <v>147</v>
      </c>
      <c r="B4" s="17" t="s">
        <v>148</v>
      </c>
      <c r="C4" s="17" t="s">
        <v>619</v>
      </c>
      <c r="D4" s="17" t="s">
        <v>620</v>
      </c>
      <c r="E4" s="17" t="s">
        <v>621</v>
      </c>
      <c r="F4" s="17" t="s">
        <v>622</v>
      </c>
      <c r="G4" s="17" t="s">
        <v>623</v>
      </c>
      <c r="H4" s="17" t="s">
        <v>609</v>
      </c>
      <c r="I4" s="17" t="s">
        <v>545</v>
      </c>
      <c r="J4" s="17" t="s">
        <v>611</v>
      </c>
    </row>
    <row r="5" customHeight="1" spans="1:10">
      <c r="A5" s="18" t="s">
        <v>169</v>
      </c>
      <c r="B5" t="s">
        <v>170</v>
      </c>
      <c r="C5" s="19">
        <f>Pathogens!D2</f>
        <v>3</v>
      </c>
      <c r="D5" s="19">
        <f>Pathogens!E2</f>
        <v>1</v>
      </c>
      <c r="E5" s="19">
        <f>Pathogens!F2</f>
        <v>0</v>
      </c>
      <c r="F5" s="19">
        <f>Pathogens!D2+Pathogens!E2+Pathogens!F2</f>
        <v>4</v>
      </c>
      <c r="G5" s="19">
        <f>Pathogens!G2</f>
        <v>60</v>
      </c>
      <c r="H5" s="19">
        <f>Pathogens!N2</f>
        <v>1</v>
      </c>
      <c r="I5" s="19" t="str">
        <f>Pathogens!H2</f>
        <v>RT-qPCR/seq</v>
      </c>
      <c r="J5" s="20">
        <f>ROUND(MIN(5,IF((Pathogens!D2+Pathogens!E2+Pathogens!F2)&gt;=6,5,IF((Pathogens!D2+Pathogens!E2+Pathogens!F2)&gt;=4,4,IF((Pathogens!D2+Pathogens!E2+Pathogens!F2)&gt;=3,3,IF((Pathogens!D2+Pathogens!E2+Pathogens!F2)&gt;=2,2,1))))*0.45+IF(Pathogens!G2&gt;=30,5,IF(Pathogens!G2&gt;=14,4,IF(Pathogens!G2&gt;=7,3,IF(Pathogens!G2&gt;=3,2,1))))*0.3+IF(Pathogens!N2&gt;=0.8,5,IF(Pathogens!N2&gt;=0.6,4,IF(Pathogens!N2&gt;=0.4,3,IF(Pathogens!N2&gt;=0.2,2,1))))*0.25),0)</f>
        <v>5</v>
      </c>
    </row>
    <row r="6" customHeight="1" spans="1:10">
      <c r="A6" s="18" t="s">
        <v>172</v>
      </c>
      <c r="B6" t="s">
        <v>173</v>
      </c>
      <c r="C6" s="19">
        <f>Pathogens!D3</f>
        <v>1</v>
      </c>
      <c r="D6" s="19">
        <f>Pathogens!E3</f>
        <v>1</v>
      </c>
      <c r="E6" s="19">
        <f>Pathogens!F3</f>
        <v>3</v>
      </c>
      <c r="F6" s="19">
        <f>Pathogens!D3+Pathogens!E3+Pathogens!F3</f>
        <v>5</v>
      </c>
      <c r="G6" s="19">
        <f>Pathogens!G3</f>
        <v>2</v>
      </c>
      <c r="H6" s="19">
        <f>Pathogens!N3</f>
        <v>0.3</v>
      </c>
      <c r="I6" s="19" t="str">
        <f>Pathogens!H3</f>
        <v>RT-qPCR</v>
      </c>
      <c r="J6" s="20">
        <f>ROUND(MIN(5,IF((Pathogens!D3+Pathogens!E3+Pathogens!F3)&gt;=6,5,IF((Pathogens!D3+Pathogens!E3+Pathogens!F3)&gt;=4,4,IF((Pathogens!D3+Pathogens!E3+Pathogens!F3)&gt;=3,3,IF((Pathogens!D3+Pathogens!E3+Pathogens!F3)&gt;=2,2,1))))*0.45+IF(Pathogens!G3&gt;=30,5,IF(Pathogens!G3&gt;=14,4,IF(Pathogens!G3&gt;=7,3,IF(Pathogens!G3&gt;=3,2,1))))*0.3+IF(Pathogens!N3&gt;=0.8,5,IF(Pathogens!N3&gt;=0.6,4,IF(Pathogens!N3&gt;=0.4,3,IF(Pathogens!N3&gt;=0.2,2,1))))*0.25),0)</f>
        <v>3</v>
      </c>
    </row>
    <row r="7" customHeight="1" spans="1:10">
      <c r="A7" s="18" t="s">
        <v>174</v>
      </c>
      <c r="B7" t="s">
        <v>175</v>
      </c>
      <c r="C7" s="19">
        <f>Pathogens!D4</f>
        <v>0</v>
      </c>
      <c r="D7" s="19">
        <f>Pathogens!E4</f>
        <v>1</v>
      </c>
      <c r="E7" s="19">
        <f>Pathogens!F4</f>
        <v>2</v>
      </c>
      <c r="F7" s="19">
        <f>Pathogens!D4+Pathogens!E4+Pathogens!F4</f>
        <v>3</v>
      </c>
      <c r="G7" s="19">
        <f>Pathogens!G4</f>
        <v>1</v>
      </c>
      <c r="H7" s="19">
        <f>Pathogens!N4</f>
        <v>0.2</v>
      </c>
      <c r="I7" s="19" t="str">
        <f>Pathogens!H4</f>
        <v>RT-qPCR</v>
      </c>
      <c r="J7" s="20">
        <f>ROUND(MIN(5,IF((Pathogens!D4+Pathogens!E4+Pathogens!F4)&gt;=6,5,IF((Pathogens!D4+Pathogens!E4+Pathogens!F4)&gt;=4,4,IF((Pathogens!D4+Pathogens!E4+Pathogens!F4)&gt;=3,3,IF((Pathogens!D4+Pathogens!E4+Pathogens!F4)&gt;=2,2,1))))*0.45+IF(Pathogens!G4&gt;=30,5,IF(Pathogens!G4&gt;=14,4,IF(Pathogens!G4&gt;=7,3,IF(Pathogens!G4&gt;=3,2,1))))*0.3+IF(Pathogens!N4&gt;=0.8,5,IF(Pathogens!N4&gt;=0.6,4,IF(Pathogens!N4&gt;=0.4,3,IF(Pathogens!N4&gt;=0.2,2,1))))*0.25),0)</f>
        <v>2</v>
      </c>
    </row>
    <row r="8" customHeight="1" spans="1:10">
      <c r="A8" s="18" t="s">
        <v>176</v>
      </c>
      <c r="B8" t="s">
        <v>177</v>
      </c>
      <c r="C8" s="19">
        <f>Pathogens!D5</f>
        <v>0</v>
      </c>
      <c r="D8" s="19">
        <f>Pathogens!E5</f>
        <v>1</v>
      </c>
      <c r="E8" s="19">
        <f>Pathogens!F5</f>
        <v>0</v>
      </c>
      <c r="F8" s="19">
        <f>Pathogens!D5+Pathogens!E5+Pathogens!F5</f>
        <v>1</v>
      </c>
      <c r="G8" s="19">
        <f>Pathogens!G5</f>
        <v>1</v>
      </c>
      <c r="H8" s="19">
        <f>Pathogens!N5</f>
        <v>0.1</v>
      </c>
      <c r="I8" s="19" t="str">
        <f>Pathogens!H5</f>
        <v>RT-qPCR</v>
      </c>
      <c r="J8" s="20">
        <f>ROUND(MIN(5,IF((Pathogens!D5+Pathogens!E5+Pathogens!F5)&gt;=6,5,IF((Pathogens!D5+Pathogens!E5+Pathogens!F5)&gt;=4,4,IF((Pathogens!D5+Pathogens!E5+Pathogens!F5)&gt;=3,3,IF((Pathogens!D5+Pathogens!E5+Pathogens!F5)&gt;=2,2,1))))*0.45+IF(Pathogens!G5&gt;=30,5,IF(Pathogens!G5&gt;=14,4,IF(Pathogens!G5&gt;=7,3,IF(Pathogens!G5&gt;=3,2,1))))*0.3+IF(Pathogens!N5&gt;=0.8,5,IF(Pathogens!N5&gt;=0.6,4,IF(Pathogens!N5&gt;=0.4,3,IF(Pathogens!N5&gt;=0.2,2,1))))*0.25),0)</f>
        <v>1</v>
      </c>
    </row>
    <row r="9" customHeight="1" spans="1:10">
      <c r="A9" s="18" t="s">
        <v>179</v>
      </c>
      <c r="B9" t="s">
        <v>180</v>
      </c>
      <c r="C9" s="19">
        <f>Pathogens!D6</f>
        <v>0</v>
      </c>
      <c r="D9" s="19">
        <f>Pathogens!E6</f>
        <v>2</v>
      </c>
      <c r="E9" s="19">
        <f>Pathogens!F6</f>
        <v>0</v>
      </c>
      <c r="F9" s="19">
        <f>Pathogens!D6+Pathogens!E6+Pathogens!F6</f>
        <v>2</v>
      </c>
      <c r="G9" s="19">
        <f>Pathogens!G6</f>
        <v>1</v>
      </c>
      <c r="H9" s="19">
        <f>Pathogens!N6</f>
        <v>0.2</v>
      </c>
      <c r="I9" s="19" t="str">
        <f>Pathogens!H6</f>
        <v>RT-qPCR</v>
      </c>
      <c r="J9" s="20">
        <f>ROUND(MIN(5,IF((Pathogens!D6+Pathogens!E6+Pathogens!F6)&gt;=6,5,IF((Pathogens!D6+Pathogens!E6+Pathogens!F6)&gt;=4,4,IF((Pathogens!D6+Pathogens!E6+Pathogens!F6)&gt;=3,3,IF((Pathogens!D6+Pathogens!E6+Pathogens!F6)&gt;=2,2,1))))*0.45+IF(Pathogens!G6&gt;=30,5,IF(Pathogens!G6&gt;=14,4,IF(Pathogens!G6&gt;=7,3,IF(Pathogens!G6&gt;=3,2,1))))*0.3+IF(Pathogens!N6&gt;=0.8,5,IF(Pathogens!N6&gt;=0.6,4,IF(Pathogens!N6&gt;=0.4,3,IF(Pathogens!N6&gt;=0.2,2,1))))*0.25),0)</f>
        <v>2</v>
      </c>
    </row>
    <row r="10" customHeight="1" spans="1:10">
      <c r="A10" s="18" t="s">
        <v>181</v>
      </c>
      <c r="B10" t="s">
        <v>182</v>
      </c>
      <c r="C10" s="19">
        <f>Pathogens!D7</f>
        <v>0</v>
      </c>
      <c r="D10" s="19">
        <f>Pathogens!E7</f>
        <v>1</v>
      </c>
      <c r="E10" s="19">
        <f>Pathogens!F7</f>
        <v>0</v>
      </c>
      <c r="F10" s="19">
        <f>Pathogens!D7+Pathogens!E7+Pathogens!F7</f>
        <v>1</v>
      </c>
      <c r="G10" s="19">
        <f>Pathogens!G7</f>
        <v>1</v>
      </c>
      <c r="H10" s="19">
        <f>Pathogens!N7</f>
        <v>0.1</v>
      </c>
      <c r="I10" s="19" t="str">
        <f>Pathogens!H7</f>
        <v>RT-qPCR</v>
      </c>
      <c r="J10" s="20">
        <f>ROUND(MIN(5,IF((Pathogens!D7+Pathogens!E7+Pathogens!F7)&gt;=6,5,IF((Pathogens!D7+Pathogens!E7+Pathogens!F7)&gt;=4,4,IF((Pathogens!D7+Pathogens!E7+Pathogens!F7)&gt;=3,3,IF((Pathogens!D7+Pathogens!E7+Pathogens!F7)&gt;=2,2,1))))*0.45+IF(Pathogens!G7&gt;=30,5,IF(Pathogens!G7&gt;=14,4,IF(Pathogens!G7&gt;=7,3,IF(Pathogens!G7&gt;=3,2,1))))*0.3+IF(Pathogens!N7&gt;=0.8,5,IF(Pathogens!N7&gt;=0.6,4,IF(Pathogens!N7&gt;=0.4,3,IF(Pathogens!N7&gt;=0.2,2,1))))*0.25),0)</f>
        <v>1</v>
      </c>
    </row>
    <row r="11" customHeight="1" spans="1:10">
      <c r="A11" s="18" t="s">
        <v>183</v>
      </c>
      <c r="B11" t="s">
        <v>184</v>
      </c>
      <c r="C11" s="19">
        <f>Pathogens!D8</f>
        <v>1</v>
      </c>
      <c r="D11" s="19">
        <f>Pathogens!E8</f>
        <v>3</v>
      </c>
      <c r="E11" s="19">
        <f>Pathogens!F8</f>
        <v>0</v>
      </c>
      <c r="F11" s="19">
        <f>Pathogens!D8+Pathogens!E8+Pathogens!F8</f>
        <v>4</v>
      </c>
      <c r="G11" s="19">
        <f>Pathogens!G8</f>
        <v>7</v>
      </c>
      <c r="H11" s="19">
        <f>Pathogens!N8</f>
        <v>0.1</v>
      </c>
      <c r="I11" s="19" t="str">
        <f>Pathogens!H8</f>
        <v>RT-qPCR</v>
      </c>
      <c r="J11" s="20">
        <f>ROUND(MIN(5,IF((Pathogens!D8+Pathogens!E8+Pathogens!F8)&gt;=6,5,IF((Pathogens!D8+Pathogens!E8+Pathogens!F8)&gt;=4,4,IF((Pathogens!D8+Pathogens!E8+Pathogens!F8)&gt;=3,3,IF((Pathogens!D8+Pathogens!E8+Pathogens!F8)&gt;=2,2,1))))*0.45+IF(Pathogens!G8&gt;=30,5,IF(Pathogens!G8&gt;=14,4,IF(Pathogens!G8&gt;=7,3,IF(Pathogens!G8&gt;=3,2,1))))*0.3+IF(Pathogens!N8&gt;=0.8,5,IF(Pathogens!N8&gt;=0.6,4,IF(Pathogens!N8&gt;=0.4,3,IF(Pathogens!N8&gt;=0.2,2,1))))*0.25),0)</f>
        <v>3</v>
      </c>
    </row>
    <row r="12" customHeight="1" spans="1:10">
      <c r="A12" s="18" t="s">
        <v>185</v>
      </c>
      <c r="B12" t="s">
        <v>186</v>
      </c>
      <c r="C12" s="19">
        <f>Pathogens!D9</f>
        <v>0</v>
      </c>
      <c r="D12" s="19">
        <f>Pathogens!E9</f>
        <v>1</v>
      </c>
      <c r="E12" s="19">
        <f>Pathogens!F9</f>
        <v>0</v>
      </c>
      <c r="F12" s="19">
        <f>Pathogens!D9+Pathogens!E9+Pathogens!F9</f>
        <v>1</v>
      </c>
      <c r="G12" s="19">
        <f>Pathogens!G9</f>
        <v>1</v>
      </c>
      <c r="H12" s="19">
        <f>Pathogens!N9</f>
        <v>0.1</v>
      </c>
      <c r="I12" s="19" t="str">
        <f>Pathogens!H9</f>
        <v>RT-qPCR</v>
      </c>
      <c r="J12" s="20">
        <f>ROUND(MIN(5,IF((Pathogens!D9+Pathogens!E9+Pathogens!F9)&gt;=6,5,IF((Pathogens!D9+Pathogens!E9+Pathogens!F9)&gt;=4,4,IF((Pathogens!D9+Pathogens!E9+Pathogens!F9)&gt;=3,3,IF((Pathogens!D9+Pathogens!E9+Pathogens!F9)&gt;=2,2,1))))*0.45+IF(Pathogens!G9&gt;=30,5,IF(Pathogens!G9&gt;=14,4,IF(Pathogens!G9&gt;=7,3,IF(Pathogens!G9&gt;=3,2,1))))*0.3+IF(Pathogens!N9&gt;=0.8,5,IF(Pathogens!N9&gt;=0.6,4,IF(Pathogens!N9&gt;=0.4,3,IF(Pathogens!N9&gt;=0.2,2,1))))*0.25),0)</f>
        <v>1</v>
      </c>
    </row>
    <row r="13" customHeight="1" spans="1:10">
      <c r="A13" s="18" t="s">
        <v>187</v>
      </c>
      <c r="B13" t="s">
        <v>188</v>
      </c>
      <c r="C13" s="19">
        <f>Pathogens!D10</f>
        <v>0</v>
      </c>
      <c r="D13" s="19">
        <f>Pathogens!E10</f>
        <v>1</v>
      </c>
      <c r="E13" s="19">
        <f>Pathogens!F10</f>
        <v>1</v>
      </c>
      <c r="F13" s="19">
        <f>Pathogens!D10+Pathogens!E10+Pathogens!F10</f>
        <v>2</v>
      </c>
      <c r="G13" s="19">
        <f>Pathogens!G10</f>
        <v>3</v>
      </c>
      <c r="H13" s="19">
        <f>Pathogens!N10</f>
        <v>0.4</v>
      </c>
      <c r="I13" s="19" t="str">
        <f>Pathogens!H10</f>
        <v>RT-qPCR</v>
      </c>
      <c r="J13" s="20">
        <f>ROUND(MIN(5,IF((Pathogens!D10+Pathogens!E10+Pathogens!F10)&gt;=6,5,IF((Pathogens!D10+Pathogens!E10+Pathogens!F10)&gt;=4,4,IF((Pathogens!D10+Pathogens!E10+Pathogens!F10)&gt;=3,3,IF((Pathogens!D10+Pathogens!E10+Pathogens!F10)&gt;=2,2,1))))*0.45+IF(Pathogens!G10&gt;=30,5,IF(Pathogens!G10&gt;=14,4,IF(Pathogens!G10&gt;=7,3,IF(Pathogens!G10&gt;=3,2,1))))*0.3+IF(Pathogens!N10&gt;=0.8,5,IF(Pathogens!N10&gt;=0.6,4,IF(Pathogens!N10&gt;=0.4,3,IF(Pathogens!N10&gt;=0.2,2,1))))*0.25),0)</f>
        <v>2</v>
      </c>
    </row>
    <row r="14" customHeight="1" spans="1:10">
      <c r="A14" s="18" t="s">
        <v>190</v>
      </c>
      <c r="B14" t="s">
        <v>191</v>
      </c>
      <c r="C14" s="19">
        <f>Pathogens!D11</f>
        <v>1</v>
      </c>
      <c r="D14" s="19">
        <f>Pathogens!E11</f>
        <v>1</v>
      </c>
      <c r="E14" s="19">
        <f>Pathogens!F11</f>
        <v>0</v>
      </c>
      <c r="F14" s="19">
        <f>Pathogens!D11+Pathogens!E11+Pathogens!F11</f>
        <v>2</v>
      </c>
      <c r="G14" s="19">
        <f>Pathogens!G11</f>
        <v>1</v>
      </c>
      <c r="H14" s="19">
        <f>Pathogens!N11</f>
        <v>0.2</v>
      </c>
      <c r="I14" s="19" t="str">
        <f>Pathogens!H11</f>
        <v>RT-qPCR</v>
      </c>
      <c r="J14" s="20">
        <f>ROUND(MIN(5,IF((Pathogens!D11+Pathogens!E11+Pathogens!F11)&gt;=6,5,IF((Pathogens!D11+Pathogens!E11+Pathogens!F11)&gt;=4,4,IF((Pathogens!D11+Pathogens!E11+Pathogens!F11)&gt;=3,3,IF((Pathogens!D11+Pathogens!E11+Pathogens!F11)&gt;=2,2,1))))*0.45+IF(Pathogens!G11&gt;=30,5,IF(Pathogens!G11&gt;=14,4,IF(Pathogens!G11&gt;=7,3,IF(Pathogens!G11&gt;=3,2,1))))*0.3+IF(Pathogens!N11&gt;=0.8,5,IF(Pathogens!N11&gt;=0.6,4,IF(Pathogens!N11&gt;=0.4,3,IF(Pathogens!N11&gt;=0.2,2,1))))*0.25),0)</f>
        <v>2</v>
      </c>
    </row>
    <row r="15" customHeight="1" spans="1:10">
      <c r="A15" s="18" t="s">
        <v>192</v>
      </c>
      <c r="B15" t="s">
        <v>193</v>
      </c>
      <c r="C15" s="19">
        <f>Pathogens!D12</f>
        <v>3</v>
      </c>
      <c r="D15" s="19">
        <f>Pathogens!E12</f>
        <v>2</v>
      </c>
      <c r="E15" s="19">
        <f>Pathogens!F12</f>
        <v>1</v>
      </c>
      <c r="F15" s="19">
        <f>Pathogens!D12+Pathogens!E12+Pathogens!F12</f>
        <v>6</v>
      </c>
      <c r="G15" s="19">
        <f>Pathogens!G12</f>
        <v>7</v>
      </c>
      <c r="H15" s="19">
        <f>Pathogens!N12</f>
        <v>0.5</v>
      </c>
      <c r="I15" s="19" t="str">
        <f>Pathogens!H12</f>
        <v>RT-qPCR</v>
      </c>
      <c r="J15" s="20">
        <f>ROUND(MIN(5,IF((Pathogens!D12+Pathogens!E12+Pathogens!F12)&gt;=6,5,IF((Pathogens!D12+Pathogens!E12+Pathogens!F12)&gt;=4,4,IF((Pathogens!D12+Pathogens!E12+Pathogens!F12)&gt;=3,3,IF((Pathogens!D12+Pathogens!E12+Pathogens!F12)&gt;=2,2,1))))*0.45+IF(Pathogens!G12&gt;=30,5,IF(Pathogens!G12&gt;=14,4,IF(Pathogens!G12&gt;=7,3,IF(Pathogens!G12&gt;=3,2,1))))*0.3+IF(Pathogens!N12&gt;=0.8,5,IF(Pathogens!N12&gt;=0.6,4,IF(Pathogens!N12&gt;=0.4,3,IF(Pathogens!N12&gt;=0.2,2,1))))*0.25),0)</f>
        <v>4</v>
      </c>
    </row>
    <row r="16" customHeight="1" spans="1:10">
      <c r="A16" s="18" t="s">
        <v>194</v>
      </c>
      <c r="B16" t="s">
        <v>195</v>
      </c>
      <c r="C16" s="19">
        <f>Pathogens!D13</f>
        <v>3</v>
      </c>
      <c r="D16" s="19">
        <f>Pathogens!E13</f>
        <v>2</v>
      </c>
      <c r="E16" s="19">
        <f>Pathogens!F13</f>
        <v>1</v>
      </c>
      <c r="F16" s="19">
        <f>Pathogens!D13+Pathogens!E13+Pathogens!F13</f>
        <v>6</v>
      </c>
      <c r="G16" s="19">
        <f>Pathogens!G13</f>
        <v>7</v>
      </c>
      <c r="H16" s="19">
        <f>Pathogens!N13</f>
        <v>0.5</v>
      </c>
      <c r="I16" s="19" t="str">
        <f>Pathogens!H13</f>
        <v>RT-qPCR</v>
      </c>
      <c r="J16" s="20">
        <f>ROUND(MIN(5,IF((Pathogens!D13+Pathogens!E13+Pathogens!F13)&gt;=6,5,IF((Pathogens!D13+Pathogens!E13+Pathogens!F13)&gt;=4,4,IF((Pathogens!D13+Pathogens!E13+Pathogens!F13)&gt;=3,3,IF((Pathogens!D13+Pathogens!E13+Pathogens!F13)&gt;=2,2,1))))*0.45+IF(Pathogens!G13&gt;=30,5,IF(Pathogens!G13&gt;=14,4,IF(Pathogens!G13&gt;=7,3,IF(Pathogens!G13&gt;=3,2,1))))*0.3+IF(Pathogens!N13&gt;=0.8,5,IF(Pathogens!N13&gt;=0.6,4,IF(Pathogens!N13&gt;=0.4,3,IF(Pathogens!N13&gt;=0.2,2,1))))*0.25),0)</f>
        <v>4</v>
      </c>
    </row>
    <row r="17" customHeight="1" spans="1:10">
      <c r="A17" s="18" t="s">
        <v>196</v>
      </c>
      <c r="B17" t="s">
        <v>197</v>
      </c>
      <c r="C17" s="19">
        <f>Pathogens!D14</f>
        <v>2</v>
      </c>
      <c r="D17" s="19">
        <f>Pathogens!E14</f>
        <v>3</v>
      </c>
      <c r="E17" s="19">
        <f>Pathogens!F14</f>
        <v>1</v>
      </c>
      <c r="F17" s="19">
        <f>Pathogens!D14+Pathogens!E14+Pathogens!F14</f>
        <v>6</v>
      </c>
      <c r="G17" s="19">
        <f>Pathogens!G14</f>
        <v>14</v>
      </c>
      <c r="H17" s="19">
        <f>Pathogens!N14</f>
        <v>0.7</v>
      </c>
      <c r="I17" s="19" t="str">
        <f>Pathogens!H14</f>
        <v>RT-qPCR</v>
      </c>
      <c r="J17" s="20">
        <f>ROUND(MIN(5,IF((Pathogens!D14+Pathogens!E14+Pathogens!F14)&gt;=6,5,IF((Pathogens!D14+Pathogens!E14+Pathogens!F14)&gt;=4,4,IF((Pathogens!D14+Pathogens!E14+Pathogens!F14)&gt;=3,3,IF((Pathogens!D14+Pathogens!E14+Pathogens!F14)&gt;=2,2,1))))*0.45+IF(Pathogens!G14&gt;=30,5,IF(Pathogens!G14&gt;=14,4,IF(Pathogens!G14&gt;=7,3,IF(Pathogens!G14&gt;=3,2,1))))*0.3+IF(Pathogens!N14&gt;=0.8,5,IF(Pathogens!N14&gt;=0.6,4,IF(Pathogens!N14&gt;=0.4,3,IF(Pathogens!N14&gt;=0.2,2,1))))*0.25),0)</f>
        <v>4</v>
      </c>
    </row>
    <row r="18" customHeight="1" spans="1:10">
      <c r="A18" s="18" t="s">
        <v>198</v>
      </c>
      <c r="B18" t="s">
        <v>199</v>
      </c>
      <c r="C18" s="19">
        <f>Pathogens!D15</f>
        <v>2</v>
      </c>
      <c r="D18" s="19">
        <f>Pathogens!E15</f>
        <v>2</v>
      </c>
      <c r="E18" s="19">
        <f>Pathogens!F15</f>
        <v>2</v>
      </c>
      <c r="F18" s="19">
        <f>Pathogens!D15+Pathogens!E15+Pathogens!F15</f>
        <v>6</v>
      </c>
      <c r="G18" s="19">
        <f>Pathogens!G15</f>
        <v>21</v>
      </c>
      <c r="H18" s="19">
        <f>Pathogens!N15</f>
        <v>0.3</v>
      </c>
      <c r="I18" s="19" t="str">
        <f>Pathogens!H15</f>
        <v>qPCR</v>
      </c>
      <c r="J18" s="20">
        <f>ROUND(MIN(5,IF((Pathogens!D15+Pathogens!E15+Pathogens!F15)&gt;=6,5,IF((Pathogens!D15+Pathogens!E15+Pathogens!F15)&gt;=4,4,IF((Pathogens!D15+Pathogens!E15+Pathogens!F15)&gt;=3,3,IF((Pathogens!D15+Pathogens!E15+Pathogens!F15)&gt;=2,2,1))))*0.45+IF(Pathogens!G15&gt;=30,5,IF(Pathogens!G15&gt;=14,4,IF(Pathogens!G15&gt;=7,3,IF(Pathogens!G15&gt;=3,2,1))))*0.3+IF(Pathogens!N15&gt;=0.8,5,IF(Pathogens!N15&gt;=0.6,4,IF(Pathogens!N15&gt;=0.4,3,IF(Pathogens!N15&gt;=0.2,2,1))))*0.25),0)</f>
        <v>4</v>
      </c>
    </row>
    <row r="19" customHeight="1" spans="1:10">
      <c r="A19" s="18" t="s">
        <v>201</v>
      </c>
      <c r="B19" t="s">
        <v>202</v>
      </c>
      <c r="C19" s="19">
        <f>Pathogens!D16</f>
        <v>2</v>
      </c>
      <c r="D19" s="19">
        <f>Pathogens!E16</f>
        <v>1</v>
      </c>
      <c r="E19" s="19">
        <f>Pathogens!F16</f>
        <v>3</v>
      </c>
      <c r="F19" s="19">
        <f>Pathogens!D16+Pathogens!E16+Pathogens!F16</f>
        <v>6</v>
      </c>
      <c r="G19" s="19">
        <f>Pathogens!G16</f>
        <v>21</v>
      </c>
      <c r="H19" s="19">
        <f>Pathogens!N16</f>
        <v>0.2</v>
      </c>
      <c r="I19" s="19" t="str">
        <f>Pathogens!H16</f>
        <v>RT-qPCR</v>
      </c>
      <c r="J19" s="20">
        <f>ROUND(MIN(5,IF((Pathogens!D16+Pathogens!E16+Pathogens!F16)&gt;=6,5,IF((Pathogens!D16+Pathogens!E16+Pathogens!F16)&gt;=4,4,IF((Pathogens!D16+Pathogens!E16+Pathogens!F16)&gt;=3,3,IF((Pathogens!D16+Pathogens!E16+Pathogens!F16)&gt;=2,2,1))))*0.45+IF(Pathogens!G16&gt;=30,5,IF(Pathogens!G16&gt;=14,4,IF(Pathogens!G16&gt;=7,3,IF(Pathogens!G16&gt;=3,2,1))))*0.3+IF(Pathogens!N16&gt;=0.8,5,IF(Pathogens!N16&gt;=0.6,4,IF(Pathogens!N16&gt;=0.4,3,IF(Pathogens!N16&gt;=0.2,2,1))))*0.25),0)</f>
        <v>4</v>
      </c>
    </row>
    <row r="20" customHeight="1" spans="1:10">
      <c r="A20" s="18" t="s">
        <v>204</v>
      </c>
      <c r="B20" t="s">
        <v>205</v>
      </c>
      <c r="C20" s="19">
        <f>Pathogens!D17</f>
        <v>1</v>
      </c>
      <c r="D20" s="19">
        <f>Pathogens!E17</f>
        <v>1</v>
      </c>
      <c r="E20" s="19">
        <f>Pathogens!F17</f>
        <v>3</v>
      </c>
      <c r="F20" s="19">
        <f>Pathogens!D17+Pathogens!E17+Pathogens!F17</f>
        <v>5</v>
      </c>
      <c r="G20" s="19">
        <f>Pathogens!G17</f>
        <v>14</v>
      </c>
      <c r="H20" s="19">
        <f>Pathogens!N17</f>
        <v>0.1</v>
      </c>
      <c r="I20" s="19" t="str">
        <f>Pathogens!H17</f>
        <v>RT-qPCR</v>
      </c>
      <c r="J20" s="20">
        <f>ROUND(MIN(5,IF((Pathogens!D17+Pathogens!E17+Pathogens!F17)&gt;=6,5,IF((Pathogens!D17+Pathogens!E17+Pathogens!F17)&gt;=4,4,IF((Pathogens!D17+Pathogens!E17+Pathogens!F17)&gt;=3,3,IF((Pathogens!D17+Pathogens!E17+Pathogens!F17)&gt;=2,2,1))))*0.45+IF(Pathogens!G17&gt;=30,5,IF(Pathogens!G17&gt;=14,4,IF(Pathogens!G17&gt;=7,3,IF(Pathogens!G17&gt;=3,2,1))))*0.3+IF(Pathogens!N17&gt;=0.8,5,IF(Pathogens!N17&gt;=0.6,4,IF(Pathogens!N17&gt;=0.4,3,IF(Pathogens!N17&gt;=0.2,2,1))))*0.25),0)</f>
        <v>3</v>
      </c>
    </row>
    <row r="21" customHeight="1" spans="1:10">
      <c r="A21" s="18" t="s">
        <v>206</v>
      </c>
      <c r="B21" t="s">
        <v>207</v>
      </c>
      <c r="C21" s="19">
        <f>Pathogens!D18</f>
        <v>1</v>
      </c>
      <c r="D21" s="19">
        <f>Pathogens!E18</f>
        <v>0</v>
      </c>
      <c r="E21" s="19">
        <f>Pathogens!F18</f>
        <v>3</v>
      </c>
      <c r="F21" s="19">
        <f>Pathogens!D18+Pathogens!E18+Pathogens!F18</f>
        <v>4</v>
      </c>
      <c r="G21" s="19">
        <f>Pathogens!G18</f>
        <v>7</v>
      </c>
      <c r="H21" s="19">
        <f>Pathogens!N18</f>
        <v>0.2</v>
      </c>
      <c r="I21" s="19" t="str">
        <f>Pathogens!H18</f>
        <v>RT-qPCR</v>
      </c>
      <c r="J21" s="20">
        <f>ROUND(MIN(5,IF((Pathogens!D18+Pathogens!E18+Pathogens!F18)&gt;=6,5,IF((Pathogens!D18+Pathogens!E18+Pathogens!F18)&gt;=4,4,IF((Pathogens!D18+Pathogens!E18+Pathogens!F18)&gt;=3,3,IF((Pathogens!D18+Pathogens!E18+Pathogens!F18)&gt;=2,2,1))))*0.45+IF(Pathogens!G18&gt;=30,5,IF(Pathogens!G18&gt;=14,4,IF(Pathogens!G18&gt;=7,3,IF(Pathogens!G18&gt;=3,2,1))))*0.3+IF(Pathogens!N18&gt;=0.8,5,IF(Pathogens!N18&gt;=0.6,4,IF(Pathogens!N18&gt;=0.4,3,IF(Pathogens!N18&gt;=0.2,2,1))))*0.25),0)</f>
        <v>3</v>
      </c>
    </row>
    <row r="22" customHeight="1" spans="1:10">
      <c r="A22" s="18" t="s">
        <v>208</v>
      </c>
      <c r="B22" t="s">
        <v>209</v>
      </c>
      <c r="C22" s="19">
        <f>Pathogens!D19</f>
        <v>1</v>
      </c>
      <c r="D22" s="19">
        <f>Pathogens!E19</f>
        <v>0</v>
      </c>
      <c r="E22" s="19">
        <f>Pathogens!F19</f>
        <v>3</v>
      </c>
      <c r="F22" s="19">
        <f>Pathogens!D19+Pathogens!E19+Pathogens!F19</f>
        <v>4</v>
      </c>
      <c r="G22" s="19">
        <f>Pathogens!G19</f>
        <v>14</v>
      </c>
      <c r="H22" s="19">
        <f>Pathogens!N19</f>
        <v>0.3</v>
      </c>
      <c r="I22" s="19" t="str">
        <f>Pathogens!H19</f>
        <v>RT-qPCR</v>
      </c>
      <c r="J22" s="20">
        <f>ROUND(MIN(5,IF((Pathogens!D19+Pathogens!E19+Pathogens!F19)&gt;=6,5,IF((Pathogens!D19+Pathogens!E19+Pathogens!F19)&gt;=4,4,IF((Pathogens!D19+Pathogens!E19+Pathogens!F19)&gt;=3,3,IF((Pathogens!D19+Pathogens!E19+Pathogens!F19)&gt;=2,2,1))))*0.45+IF(Pathogens!G19&gt;=30,5,IF(Pathogens!G19&gt;=14,4,IF(Pathogens!G19&gt;=7,3,IF(Pathogens!G19&gt;=3,2,1))))*0.3+IF(Pathogens!N19&gt;=0.8,5,IF(Pathogens!N19&gt;=0.6,4,IF(Pathogens!N19&gt;=0.4,3,IF(Pathogens!N19&gt;=0.2,2,1))))*0.25),0)</f>
        <v>4</v>
      </c>
    </row>
    <row r="23" customHeight="1" spans="1:10">
      <c r="A23" s="18" t="s">
        <v>211</v>
      </c>
      <c r="B23" t="s">
        <v>212</v>
      </c>
      <c r="C23" s="19">
        <f>Pathogens!D20</f>
        <v>1</v>
      </c>
      <c r="D23" s="19">
        <f>Pathogens!E20</f>
        <v>0</v>
      </c>
      <c r="E23" s="19">
        <f>Pathogens!F20</f>
        <v>3</v>
      </c>
      <c r="F23" s="19">
        <f>Pathogens!D20+Pathogens!E20+Pathogens!F20</f>
        <v>4</v>
      </c>
      <c r="G23" s="19">
        <f>Pathogens!G20</f>
        <v>3</v>
      </c>
      <c r="H23" s="19">
        <f>Pathogens!N20</f>
        <v>0.2</v>
      </c>
      <c r="I23" s="19" t="str">
        <f>Pathogens!H20</f>
        <v>RT-qPCR</v>
      </c>
      <c r="J23" s="20">
        <f>ROUND(MIN(5,IF((Pathogens!D20+Pathogens!E20+Pathogens!F20)&gt;=6,5,IF((Pathogens!D20+Pathogens!E20+Pathogens!F20)&gt;=4,4,IF((Pathogens!D20+Pathogens!E20+Pathogens!F20)&gt;=3,3,IF((Pathogens!D20+Pathogens!E20+Pathogens!F20)&gt;=2,2,1))))*0.45+IF(Pathogens!G20&gt;=30,5,IF(Pathogens!G20&gt;=14,4,IF(Pathogens!G20&gt;=7,3,IF(Pathogens!G20&gt;=3,2,1))))*0.3+IF(Pathogens!N20&gt;=0.8,5,IF(Pathogens!N20&gt;=0.6,4,IF(Pathogens!N20&gt;=0.4,3,IF(Pathogens!N20&gt;=0.2,2,1))))*0.25),0)</f>
        <v>3</v>
      </c>
    </row>
    <row r="24" customHeight="1" spans="1:10">
      <c r="A24" s="18" t="s">
        <v>213</v>
      </c>
      <c r="B24" t="s">
        <v>214</v>
      </c>
      <c r="C24" s="19">
        <f>Pathogens!D21</f>
        <v>3</v>
      </c>
      <c r="D24" s="19">
        <f>Pathogens!E21</f>
        <v>1</v>
      </c>
      <c r="E24" s="19">
        <f>Pathogens!F21</f>
        <v>2</v>
      </c>
      <c r="F24" s="19">
        <f>Pathogens!D21+Pathogens!E21+Pathogens!F21</f>
        <v>6</v>
      </c>
      <c r="G24" s="19">
        <f>Pathogens!G21</f>
        <v>30</v>
      </c>
      <c r="H24" s="19">
        <f>Pathogens!N21</f>
        <v>0.5</v>
      </c>
      <c r="I24" s="19" t="str">
        <f>Pathogens!H21</f>
        <v>qPCR</v>
      </c>
      <c r="J24" s="20">
        <f>ROUND(MIN(5,IF((Pathogens!D21+Pathogens!E21+Pathogens!F21)&gt;=6,5,IF((Pathogens!D21+Pathogens!E21+Pathogens!F21)&gt;=4,4,IF((Pathogens!D21+Pathogens!E21+Pathogens!F21)&gt;=3,3,IF((Pathogens!D21+Pathogens!E21+Pathogens!F21)&gt;=2,2,1))))*0.45+IF(Pathogens!G21&gt;=30,5,IF(Pathogens!G21&gt;=14,4,IF(Pathogens!G21&gt;=7,3,IF(Pathogens!G21&gt;=3,2,1))))*0.3+IF(Pathogens!N21&gt;=0.8,5,IF(Pathogens!N21&gt;=0.6,4,IF(Pathogens!N21&gt;=0.4,3,IF(Pathogens!N21&gt;=0.2,2,1))))*0.25),0)</f>
        <v>5</v>
      </c>
    </row>
    <row r="25" customHeight="1" spans="1:10">
      <c r="A25" s="18" t="s">
        <v>216</v>
      </c>
      <c r="B25" t="s">
        <v>217</v>
      </c>
      <c r="C25" s="19">
        <f>Pathogens!D22</f>
        <v>1</v>
      </c>
      <c r="D25" s="19">
        <f>Pathogens!E22</f>
        <v>1</v>
      </c>
      <c r="E25" s="19">
        <f>Pathogens!F22</f>
        <v>2</v>
      </c>
      <c r="F25" s="19">
        <f>Pathogens!D22+Pathogens!E22+Pathogens!F22</f>
        <v>4</v>
      </c>
      <c r="G25" s="19">
        <f>Pathogens!G22</f>
        <v>7</v>
      </c>
      <c r="H25" s="19">
        <f>Pathogens!N22</f>
        <v>0.4</v>
      </c>
      <c r="I25" s="19" t="str">
        <f>Pathogens!H22</f>
        <v>RT-qPCR</v>
      </c>
      <c r="J25" s="20">
        <f>ROUND(MIN(5,IF((Pathogens!D22+Pathogens!E22+Pathogens!F22)&gt;=6,5,IF((Pathogens!D22+Pathogens!E22+Pathogens!F22)&gt;=4,4,IF((Pathogens!D22+Pathogens!E22+Pathogens!F22)&gt;=3,3,IF((Pathogens!D22+Pathogens!E22+Pathogens!F22)&gt;=2,2,1))))*0.45+IF(Pathogens!G22&gt;=30,5,IF(Pathogens!G22&gt;=14,4,IF(Pathogens!G22&gt;=7,3,IF(Pathogens!G22&gt;=3,2,1))))*0.3+IF(Pathogens!N22&gt;=0.8,5,IF(Pathogens!N22&gt;=0.6,4,IF(Pathogens!N22&gt;=0.4,3,IF(Pathogens!N22&gt;=0.2,2,1))))*0.25),0)</f>
        <v>3</v>
      </c>
    </row>
    <row r="26" customHeight="1" spans="1:10">
      <c r="A26" s="18" t="s">
        <v>219</v>
      </c>
      <c r="B26" t="s">
        <v>220</v>
      </c>
      <c r="C26" s="19">
        <f>Pathogens!D23</f>
        <v>3</v>
      </c>
      <c r="D26" s="19">
        <f>Pathogens!E23</f>
        <v>1</v>
      </c>
      <c r="E26" s="19">
        <f>Pathogens!F23</f>
        <v>0</v>
      </c>
      <c r="F26" s="19">
        <f>Pathogens!D23+Pathogens!E23+Pathogens!F23</f>
        <v>4</v>
      </c>
      <c r="G26" s="19">
        <f>Pathogens!G23</f>
        <v>60</v>
      </c>
      <c r="H26" s="19">
        <f>Pathogens!N23</f>
        <v>0.95</v>
      </c>
      <c r="I26" s="19" t="str">
        <f>Pathogens!H23</f>
        <v>RT-qPCR</v>
      </c>
      <c r="J26" s="20">
        <f>ROUND(MIN(5,IF((Pathogens!D23+Pathogens!E23+Pathogens!F23)&gt;=6,5,IF((Pathogens!D23+Pathogens!E23+Pathogens!F23)&gt;=4,4,IF((Pathogens!D23+Pathogens!E23+Pathogens!F23)&gt;=3,3,IF((Pathogens!D23+Pathogens!E23+Pathogens!F23)&gt;=2,2,1))))*0.45+IF(Pathogens!G23&gt;=30,5,IF(Pathogens!G23&gt;=14,4,IF(Pathogens!G23&gt;=7,3,IF(Pathogens!G23&gt;=3,2,1))))*0.3+IF(Pathogens!N23&gt;=0.8,5,IF(Pathogens!N23&gt;=0.6,4,IF(Pathogens!N23&gt;=0.4,3,IF(Pathogens!N23&gt;=0.2,2,1))))*0.25),0)</f>
        <v>5</v>
      </c>
    </row>
    <row r="27" customHeight="1" spans="1:10">
      <c r="A27" s="18" t="s">
        <v>222</v>
      </c>
      <c r="B27" t="s">
        <v>223</v>
      </c>
      <c r="C27" s="19">
        <f>Pathogens!D24</f>
        <v>3</v>
      </c>
      <c r="D27" s="19">
        <f>Pathogens!E24</f>
        <v>1</v>
      </c>
      <c r="E27" s="19">
        <f>Pathogens!F24</f>
        <v>0</v>
      </c>
      <c r="F27" s="19">
        <f>Pathogens!D24+Pathogens!E24+Pathogens!F24</f>
        <v>4</v>
      </c>
      <c r="G27" s="19">
        <f>Pathogens!G24</f>
        <v>30</v>
      </c>
      <c r="H27" s="19">
        <f>Pathogens!N24</f>
        <v>0.95</v>
      </c>
      <c r="I27" s="19" t="str">
        <f>Pathogens!H24</f>
        <v>RT-qPCR</v>
      </c>
      <c r="J27" s="20">
        <f>ROUND(MIN(5,IF((Pathogens!D24+Pathogens!E24+Pathogens!F24)&gt;=6,5,IF((Pathogens!D24+Pathogens!E24+Pathogens!F24)&gt;=4,4,IF((Pathogens!D24+Pathogens!E24+Pathogens!F24)&gt;=3,3,IF((Pathogens!D24+Pathogens!E24+Pathogens!F24)&gt;=2,2,1))))*0.45+IF(Pathogens!G24&gt;=30,5,IF(Pathogens!G24&gt;=14,4,IF(Pathogens!G24&gt;=7,3,IF(Pathogens!G24&gt;=3,2,1))))*0.3+IF(Pathogens!N24&gt;=0.8,5,IF(Pathogens!N24&gt;=0.6,4,IF(Pathogens!N24&gt;=0.4,3,IF(Pathogens!N24&gt;=0.2,2,1))))*0.25),0)</f>
        <v>5</v>
      </c>
    </row>
    <row r="28" customHeight="1" spans="1:10">
      <c r="A28" s="18" t="s">
        <v>224</v>
      </c>
      <c r="B28" t="s">
        <v>225</v>
      </c>
      <c r="C28" s="19">
        <f>Pathogens!D25</f>
        <v>3</v>
      </c>
      <c r="D28" s="19">
        <f>Pathogens!E25</f>
        <v>0</v>
      </c>
      <c r="E28" s="19">
        <f>Pathogens!F25</f>
        <v>0</v>
      </c>
      <c r="F28" s="19">
        <f>Pathogens!D25+Pathogens!E25+Pathogens!F25</f>
        <v>3</v>
      </c>
      <c r="G28" s="19">
        <f>Pathogens!G25</f>
        <v>60</v>
      </c>
      <c r="H28" s="19">
        <f>Pathogens!N25</f>
        <v>0.85</v>
      </c>
      <c r="I28" s="19" t="str">
        <f>Pathogens!H25</f>
        <v>RT-qPCR</v>
      </c>
      <c r="J28" s="20">
        <f>ROUND(MIN(5,IF((Pathogens!D25+Pathogens!E25+Pathogens!F25)&gt;=6,5,IF((Pathogens!D25+Pathogens!E25+Pathogens!F25)&gt;=4,4,IF((Pathogens!D25+Pathogens!E25+Pathogens!F25)&gt;=3,3,IF((Pathogens!D25+Pathogens!E25+Pathogens!F25)&gt;=2,2,1))))*0.45+IF(Pathogens!G25&gt;=30,5,IF(Pathogens!G25&gt;=14,4,IF(Pathogens!G25&gt;=7,3,IF(Pathogens!G25&gt;=3,2,1))))*0.3+IF(Pathogens!N25&gt;=0.8,5,IF(Pathogens!N25&gt;=0.6,4,IF(Pathogens!N25&gt;=0.4,3,IF(Pathogens!N25&gt;=0.2,2,1))))*0.25),0)</f>
        <v>4</v>
      </c>
    </row>
    <row r="29" customHeight="1" spans="1:10">
      <c r="A29" s="18" t="s">
        <v>226</v>
      </c>
      <c r="B29" t="s">
        <v>227</v>
      </c>
      <c r="C29" s="19">
        <f>Pathogens!D26</f>
        <v>3</v>
      </c>
      <c r="D29" s="19">
        <f>Pathogens!E26</f>
        <v>0</v>
      </c>
      <c r="E29" s="19">
        <f>Pathogens!F26</f>
        <v>0</v>
      </c>
      <c r="F29" s="19">
        <f>Pathogens!D26+Pathogens!E26+Pathogens!F26</f>
        <v>3</v>
      </c>
      <c r="G29" s="19">
        <f>Pathogens!G26</f>
        <v>30</v>
      </c>
      <c r="H29" s="19">
        <f>Pathogens!N26</f>
        <v>0.85</v>
      </c>
      <c r="I29" s="19" t="str">
        <f>Pathogens!H26</f>
        <v>RT-qPCR</v>
      </c>
      <c r="J29" s="20">
        <f>ROUND(MIN(5,IF((Pathogens!D26+Pathogens!E26+Pathogens!F26)&gt;=6,5,IF((Pathogens!D26+Pathogens!E26+Pathogens!F26)&gt;=4,4,IF((Pathogens!D26+Pathogens!E26+Pathogens!F26)&gt;=3,3,IF((Pathogens!D26+Pathogens!E26+Pathogens!F26)&gt;=2,2,1))))*0.45+IF(Pathogens!G26&gt;=30,5,IF(Pathogens!G26&gt;=14,4,IF(Pathogens!G26&gt;=7,3,IF(Pathogens!G26&gt;=3,2,1))))*0.3+IF(Pathogens!N26&gt;=0.8,5,IF(Pathogens!N26&gt;=0.6,4,IF(Pathogens!N26&gt;=0.4,3,IF(Pathogens!N26&gt;=0.2,2,1))))*0.25),0)</f>
        <v>4</v>
      </c>
    </row>
    <row r="30" customHeight="1" spans="1:10">
      <c r="A30" s="18" t="s">
        <v>228</v>
      </c>
      <c r="B30" t="s">
        <v>229</v>
      </c>
      <c r="C30" s="19">
        <f>Pathogens!D27</f>
        <v>3</v>
      </c>
      <c r="D30" s="19">
        <f>Pathogens!E27</f>
        <v>0</v>
      </c>
      <c r="E30" s="19">
        <f>Pathogens!F27</f>
        <v>0</v>
      </c>
      <c r="F30" s="19">
        <f>Pathogens!D27+Pathogens!E27+Pathogens!F27</f>
        <v>3</v>
      </c>
      <c r="G30" s="19">
        <f>Pathogens!G27</f>
        <v>14</v>
      </c>
      <c r="H30" s="19">
        <f>Pathogens!N27</f>
        <v>0.85</v>
      </c>
      <c r="I30" s="19" t="str">
        <f>Pathogens!H27</f>
        <v>RT-qPCR</v>
      </c>
      <c r="J30" s="20">
        <f>ROUND(MIN(5,IF((Pathogens!D27+Pathogens!E27+Pathogens!F27)&gt;=6,5,IF((Pathogens!D27+Pathogens!E27+Pathogens!F27)&gt;=4,4,IF((Pathogens!D27+Pathogens!E27+Pathogens!F27)&gt;=3,3,IF((Pathogens!D27+Pathogens!E27+Pathogens!F27)&gt;=2,2,1))))*0.45+IF(Pathogens!G27&gt;=30,5,IF(Pathogens!G27&gt;=14,4,IF(Pathogens!G27&gt;=7,3,IF(Pathogens!G27&gt;=3,2,1))))*0.3+IF(Pathogens!N27&gt;=0.8,5,IF(Pathogens!N27&gt;=0.6,4,IF(Pathogens!N27&gt;=0.4,3,IF(Pathogens!N27&gt;=0.2,2,1))))*0.25),0)</f>
        <v>4</v>
      </c>
    </row>
    <row r="31" customHeight="1" spans="1:10">
      <c r="A31" s="18" t="s">
        <v>230</v>
      </c>
      <c r="B31" t="s">
        <v>231</v>
      </c>
      <c r="C31" s="19">
        <f>Pathogens!D28</f>
        <v>3</v>
      </c>
      <c r="D31" s="19">
        <f>Pathogens!E28</f>
        <v>0</v>
      </c>
      <c r="E31" s="19">
        <f>Pathogens!F28</f>
        <v>0</v>
      </c>
      <c r="F31" s="19">
        <f>Pathogens!D28+Pathogens!E28+Pathogens!F28</f>
        <v>3</v>
      </c>
      <c r="G31" s="19">
        <f>Pathogens!G28</f>
        <v>14</v>
      </c>
      <c r="H31" s="19">
        <f>Pathogens!N28</f>
        <v>0.85</v>
      </c>
      <c r="I31" s="19" t="str">
        <f>Pathogens!H28</f>
        <v>RT-qPCR</v>
      </c>
      <c r="J31" s="20">
        <f>ROUND(MIN(5,IF((Pathogens!D28+Pathogens!E28+Pathogens!F28)&gt;=6,5,IF((Pathogens!D28+Pathogens!E28+Pathogens!F28)&gt;=4,4,IF((Pathogens!D28+Pathogens!E28+Pathogens!F28)&gt;=3,3,IF((Pathogens!D28+Pathogens!E28+Pathogens!F28)&gt;=2,2,1))))*0.45+IF(Pathogens!G28&gt;=30,5,IF(Pathogens!G28&gt;=14,4,IF(Pathogens!G28&gt;=7,3,IF(Pathogens!G28&gt;=3,2,1))))*0.3+IF(Pathogens!N28&gt;=0.8,5,IF(Pathogens!N28&gt;=0.6,4,IF(Pathogens!N28&gt;=0.4,3,IF(Pathogens!N28&gt;=0.2,2,1))))*0.25),0)</f>
        <v>4</v>
      </c>
    </row>
    <row r="32" customHeight="1" spans="1:10">
      <c r="A32" s="18" t="s">
        <v>232</v>
      </c>
      <c r="B32" t="s">
        <v>233</v>
      </c>
      <c r="C32" s="19">
        <f>Pathogens!D29</f>
        <v>3</v>
      </c>
      <c r="D32" s="19">
        <f>Pathogens!E29</f>
        <v>1</v>
      </c>
      <c r="E32" s="19">
        <f>Pathogens!F29</f>
        <v>0</v>
      </c>
      <c r="F32" s="19">
        <f>Pathogens!D29+Pathogens!E29+Pathogens!F29</f>
        <v>4</v>
      </c>
      <c r="G32" s="19">
        <f>Pathogens!G29</f>
        <v>30</v>
      </c>
      <c r="H32" s="19">
        <f>Pathogens!N29</f>
        <v>0.7</v>
      </c>
      <c r="I32" s="19" t="str">
        <f>Pathogens!H29</f>
        <v>RT-qPCR</v>
      </c>
      <c r="J32" s="20">
        <f>ROUND(MIN(5,IF((Pathogens!D29+Pathogens!E29+Pathogens!F29)&gt;=6,5,IF((Pathogens!D29+Pathogens!E29+Pathogens!F29)&gt;=4,4,IF((Pathogens!D29+Pathogens!E29+Pathogens!F29)&gt;=3,3,IF((Pathogens!D29+Pathogens!E29+Pathogens!F29)&gt;=2,2,1))))*0.45+IF(Pathogens!G29&gt;=30,5,IF(Pathogens!G29&gt;=14,4,IF(Pathogens!G29&gt;=7,3,IF(Pathogens!G29&gt;=3,2,1))))*0.3+IF(Pathogens!N29&gt;=0.8,5,IF(Pathogens!N29&gt;=0.6,4,IF(Pathogens!N29&gt;=0.4,3,IF(Pathogens!N29&gt;=0.2,2,1))))*0.25),0)</f>
        <v>4</v>
      </c>
    </row>
    <row r="33" customHeight="1" spans="1:10">
      <c r="A33" s="18" t="s">
        <v>234</v>
      </c>
      <c r="B33" t="s">
        <v>235</v>
      </c>
      <c r="C33" s="19">
        <f>Pathogens!D30</f>
        <v>3</v>
      </c>
      <c r="D33" s="19">
        <f>Pathogens!E30</f>
        <v>0</v>
      </c>
      <c r="E33" s="19">
        <f>Pathogens!F30</f>
        <v>0</v>
      </c>
      <c r="F33" s="19">
        <f>Pathogens!D30+Pathogens!E30+Pathogens!F30</f>
        <v>3</v>
      </c>
      <c r="G33" s="19">
        <f>Pathogens!G30</f>
        <v>14</v>
      </c>
      <c r="H33" s="19">
        <f>Pathogens!N30</f>
        <v>0.7</v>
      </c>
      <c r="I33" s="19" t="str">
        <f>Pathogens!H30</f>
        <v>RT-qPCR</v>
      </c>
      <c r="J33" s="20">
        <f>ROUND(MIN(5,IF((Pathogens!D30+Pathogens!E30+Pathogens!F30)&gt;=6,5,IF((Pathogens!D30+Pathogens!E30+Pathogens!F30)&gt;=4,4,IF((Pathogens!D30+Pathogens!E30+Pathogens!F30)&gt;=3,3,IF((Pathogens!D30+Pathogens!E30+Pathogens!F30)&gt;=2,2,1))))*0.45+IF(Pathogens!G30&gt;=30,5,IF(Pathogens!G30&gt;=14,4,IF(Pathogens!G30&gt;=7,3,IF(Pathogens!G30&gt;=3,2,1))))*0.3+IF(Pathogens!N30&gt;=0.8,5,IF(Pathogens!N30&gt;=0.6,4,IF(Pathogens!N30&gt;=0.4,3,IF(Pathogens!N30&gt;=0.2,2,1))))*0.25),0)</f>
        <v>4</v>
      </c>
    </row>
    <row r="34" customHeight="1" spans="1:10">
      <c r="A34" s="18" t="s">
        <v>236</v>
      </c>
      <c r="B34" t="s">
        <v>237</v>
      </c>
      <c r="C34" s="19">
        <f>Pathogens!D31</f>
        <v>3</v>
      </c>
      <c r="D34" s="19">
        <f>Pathogens!E31</f>
        <v>0</v>
      </c>
      <c r="E34" s="19">
        <f>Pathogens!F31</f>
        <v>0</v>
      </c>
      <c r="F34" s="19">
        <f>Pathogens!D31+Pathogens!E31+Pathogens!F31</f>
        <v>3</v>
      </c>
      <c r="G34" s="19">
        <f>Pathogens!G31</f>
        <v>30</v>
      </c>
      <c r="H34" s="19">
        <f>Pathogens!N31</f>
        <v>1</v>
      </c>
      <c r="I34" s="19" t="str">
        <f>Pathogens!H31</f>
        <v>qPCR/culture</v>
      </c>
      <c r="J34" s="20">
        <f>ROUND(MIN(5,IF((Pathogens!D31+Pathogens!E31+Pathogens!F31)&gt;=6,5,IF((Pathogens!D31+Pathogens!E31+Pathogens!F31)&gt;=4,4,IF((Pathogens!D31+Pathogens!E31+Pathogens!F31)&gt;=3,3,IF((Pathogens!D31+Pathogens!E31+Pathogens!F31)&gt;=2,2,1))))*0.45+IF(Pathogens!G31&gt;=30,5,IF(Pathogens!G31&gt;=14,4,IF(Pathogens!G31&gt;=7,3,IF(Pathogens!G31&gt;=3,2,1))))*0.3+IF(Pathogens!N31&gt;=0.8,5,IF(Pathogens!N31&gt;=0.6,4,IF(Pathogens!N31&gt;=0.4,3,IF(Pathogens!N31&gt;=0.2,2,1))))*0.25),0)</f>
        <v>4</v>
      </c>
    </row>
    <row r="35" customHeight="1" spans="1:10">
      <c r="A35" s="18" t="s">
        <v>239</v>
      </c>
      <c r="B35" t="s">
        <v>240</v>
      </c>
      <c r="C35" s="19">
        <f>Pathogens!D32</f>
        <v>3</v>
      </c>
      <c r="D35" s="19">
        <f>Pathogens!E32</f>
        <v>0</v>
      </c>
      <c r="E35" s="19">
        <f>Pathogens!F32</f>
        <v>0</v>
      </c>
      <c r="F35" s="19">
        <f>Pathogens!D32+Pathogens!E32+Pathogens!F32</f>
        <v>3</v>
      </c>
      <c r="G35" s="19">
        <f>Pathogens!G32</f>
        <v>14</v>
      </c>
      <c r="H35" s="19">
        <f>Pathogens!N32</f>
        <v>0.9</v>
      </c>
      <c r="I35" s="19" t="str">
        <f>Pathogens!H32</f>
        <v>qPCR</v>
      </c>
      <c r="J35" s="20">
        <f>ROUND(MIN(5,IF((Pathogens!D32+Pathogens!E32+Pathogens!F32)&gt;=6,5,IF((Pathogens!D32+Pathogens!E32+Pathogens!F32)&gt;=4,4,IF((Pathogens!D32+Pathogens!E32+Pathogens!F32)&gt;=3,3,IF((Pathogens!D32+Pathogens!E32+Pathogens!F32)&gt;=2,2,1))))*0.45+IF(Pathogens!G32&gt;=30,5,IF(Pathogens!G32&gt;=14,4,IF(Pathogens!G32&gt;=7,3,IF(Pathogens!G32&gt;=3,2,1))))*0.3+IF(Pathogens!N32&gt;=0.8,5,IF(Pathogens!N32&gt;=0.6,4,IF(Pathogens!N32&gt;=0.4,3,IF(Pathogens!N32&gt;=0.2,2,1))))*0.25),0)</f>
        <v>4</v>
      </c>
    </row>
    <row r="36" customHeight="1" spans="1:10">
      <c r="A36" s="18" t="s">
        <v>241</v>
      </c>
      <c r="B36" t="s">
        <v>242</v>
      </c>
      <c r="C36" s="19">
        <f>Pathogens!D33</f>
        <v>3</v>
      </c>
      <c r="D36" s="19">
        <f>Pathogens!E33</f>
        <v>1</v>
      </c>
      <c r="E36" s="19">
        <f>Pathogens!F33</f>
        <v>0</v>
      </c>
      <c r="F36" s="19">
        <f>Pathogens!D33+Pathogens!E33+Pathogens!F33</f>
        <v>4</v>
      </c>
      <c r="G36" s="19">
        <f>Pathogens!G33</f>
        <v>14</v>
      </c>
      <c r="H36" s="19">
        <f>Pathogens!N33</f>
        <v>0.95</v>
      </c>
      <c r="I36" s="19" t="str">
        <f>Pathogens!H33</f>
        <v>qPCR</v>
      </c>
      <c r="J36" s="20">
        <f>ROUND(MIN(5,IF((Pathogens!D33+Pathogens!E33+Pathogens!F33)&gt;=6,5,IF((Pathogens!D33+Pathogens!E33+Pathogens!F33)&gt;=4,4,IF((Pathogens!D33+Pathogens!E33+Pathogens!F33)&gt;=3,3,IF((Pathogens!D33+Pathogens!E33+Pathogens!F33)&gt;=2,2,1))))*0.45+IF(Pathogens!G33&gt;=30,5,IF(Pathogens!G33&gt;=14,4,IF(Pathogens!G33&gt;=7,3,IF(Pathogens!G33&gt;=3,2,1))))*0.3+IF(Pathogens!N33&gt;=0.8,5,IF(Pathogens!N33&gt;=0.6,4,IF(Pathogens!N33&gt;=0.4,3,IF(Pathogens!N33&gt;=0.2,2,1))))*0.25),0)</f>
        <v>4</v>
      </c>
    </row>
    <row r="37" customHeight="1" spans="1:10">
      <c r="A37" s="18" t="s">
        <v>243</v>
      </c>
      <c r="B37" t="s">
        <v>244</v>
      </c>
      <c r="C37" s="19">
        <f>Pathogens!D34</f>
        <v>3</v>
      </c>
      <c r="D37" s="19">
        <f>Pathogens!E34</f>
        <v>1</v>
      </c>
      <c r="E37" s="19">
        <f>Pathogens!F34</f>
        <v>0</v>
      </c>
      <c r="F37" s="19">
        <f>Pathogens!D34+Pathogens!E34+Pathogens!F34</f>
        <v>4</v>
      </c>
      <c r="G37" s="19">
        <f>Pathogens!G34</f>
        <v>14</v>
      </c>
      <c r="H37" s="19">
        <f>Pathogens!N34</f>
        <v>0.95</v>
      </c>
      <c r="I37" s="19" t="str">
        <f>Pathogens!H34</f>
        <v>qPCR</v>
      </c>
      <c r="J37" s="20">
        <f>ROUND(MIN(5,IF((Pathogens!D34+Pathogens!E34+Pathogens!F34)&gt;=6,5,IF((Pathogens!D34+Pathogens!E34+Pathogens!F34)&gt;=4,4,IF((Pathogens!D34+Pathogens!E34+Pathogens!F34)&gt;=3,3,IF((Pathogens!D34+Pathogens!E34+Pathogens!F34)&gt;=2,2,1))))*0.45+IF(Pathogens!G34&gt;=30,5,IF(Pathogens!G34&gt;=14,4,IF(Pathogens!G34&gt;=7,3,IF(Pathogens!G34&gt;=3,2,1))))*0.3+IF(Pathogens!N34&gt;=0.8,5,IF(Pathogens!N34&gt;=0.6,4,IF(Pathogens!N34&gt;=0.4,3,IF(Pathogens!N34&gt;=0.2,2,1))))*0.25),0)</f>
        <v>4</v>
      </c>
    </row>
    <row r="38" customHeight="1" spans="1:10">
      <c r="A38" s="18" t="s">
        <v>245</v>
      </c>
      <c r="B38" t="s">
        <v>246</v>
      </c>
      <c r="C38" s="19">
        <f>Pathogens!D35</f>
        <v>3</v>
      </c>
      <c r="D38" s="19">
        <f>Pathogens!E35</f>
        <v>1</v>
      </c>
      <c r="E38" s="19">
        <f>Pathogens!F35</f>
        <v>0</v>
      </c>
      <c r="F38" s="19">
        <f>Pathogens!D35+Pathogens!E35+Pathogens!F35</f>
        <v>4</v>
      </c>
      <c r="G38" s="19">
        <f>Pathogens!G35</f>
        <v>14</v>
      </c>
      <c r="H38" s="19">
        <f>Pathogens!N35</f>
        <v>0.85</v>
      </c>
      <c r="I38" s="19" t="str">
        <f>Pathogens!H35</f>
        <v>qPCR</v>
      </c>
      <c r="J38" s="20">
        <f>ROUND(MIN(5,IF((Pathogens!D35+Pathogens!E35+Pathogens!F35)&gt;=6,5,IF((Pathogens!D35+Pathogens!E35+Pathogens!F35)&gt;=4,4,IF((Pathogens!D35+Pathogens!E35+Pathogens!F35)&gt;=3,3,IF((Pathogens!D35+Pathogens!E35+Pathogens!F35)&gt;=2,2,1))))*0.45+IF(Pathogens!G35&gt;=30,5,IF(Pathogens!G35&gt;=14,4,IF(Pathogens!G35&gt;=7,3,IF(Pathogens!G35&gt;=3,2,1))))*0.3+IF(Pathogens!N35&gt;=0.8,5,IF(Pathogens!N35&gt;=0.6,4,IF(Pathogens!N35&gt;=0.4,3,IF(Pathogens!N35&gt;=0.2,2,1))))*0.25),0)</f>
        <v>4</v>
      </c>
    </row>
    <row r="39" customHeight="1" spans="1:10">
      <c r="A39" s="18" t="s">
        <v>247</v>
      </c>
      <c r="B39" t="s">
        <v>248</v>
      </c>
      <c r="C39" s="19">
        <f>Pathogens!D36</f>
        <v>3</v>
      </c>
      <c r="D39" s="19">
        <f>Pathogens!E36</f>
        <v>0</v>
      </c>
      <c r="E39" s="19">
        <f>Pathogens!F36</f>
        <v>0</v>
      </c>
      <c r="F39" s="19">
        <f>Pathogens!D36+Pathogens!E36+Pathogens!F36</f>
        <v>3</v>
      </c>
      <c r="G39" s="19">
        <f>Pathogens!G36</f>
        <v>7</v>
      </c>
      <c r="H39" s="19">
        <f>Pathogens!N36</f>
        <v>0.95</v>
      </c>
      <c r="I39" s="19" t="str">
        <f>Pathogens!H36</f>
        <v>qPCR</v>
      </c>
      <c r="J39" s="20">
        <f>ROUND(MIN(5,IF((Pathogens!D36+Pathogens!E36+Pathogens!F36)&gt;=6,5,IF((Pathogens!D36+Pathogens!E36+Pathogens!F36)&gt;=4,4,IF((Pathogens!D36+Pathogens!E36+Pathogens!F36)&gt;=3,3,IF((Pathogens!D36+Pathogens!E36+Pathogens!F36)&gt;=2,2,1))))*0.45+IF(Pathogens!G36&gt;=30,5,IF(Pathogens!G36&gt;=14,4,IF(Pathogens!G36&gt;=7,3,IF(Pathogens!G36&gt;=3,2,1))))*0.3+IF(Pathogens!N36&gt;=0.8,5,IF(Pathogens!N36&gt;=0.6,4,IF(Pathogens!N36&gt;=0.4,3,IF(Pathogens!N36&gt;=0.2,2,1))))*0.25),0)</f>
        <v>4</v>
      </c>
    </row>
    <row r="40" customHeight="1" spans="1:10">
      <c r="A40" s="18" t="s">
        <v>249</v>
      </c>
      <c r="B40" t="s">
        <v>250</v>
      </c>
      <c r="C40" s="19">
        <f>Pathogens!D37</f>
        <v>3</v>
      </c>
      <c r="D40" s="19">
        <f>Pathogens!E37</f>
        <v>0</v>
      </c>
      <c r="E40" s="19">
        <f>Pathogens!F37</f>
        <v>0</v>
      </c>
      <c r="F40" s="19">
        <f>Pathogens!D37+Pathogens!E37+Pathogens!F37</f>
        <v>3</v>
      </c>
      <c r="G40" s="19">
        <f>Pathogens!G37</f>
        <v>30</v>
      </c>
      <c r="H40" s="19">
        <f>Pathogens!N37</f>
        <v>0.9</v>
      </c>
      <c r="I40" s="19" t="str">
        <f>Pathogens!H37</f>
        <v>qPCR</v>
      </c>
      <c r="J40" s="20">
        <f>ROUND(MIN(5,IF((Pathogens!D37+Pathogens!E37+Pathogens!F37)&gt;=6,5,IF((Pathogens!D37+Pathogens!E37+Pathogens!F37)&gt;=4,4,IF((Pathogens!D37+Pathogens!E37+Pathogens!F37)&gt;=3,3,IF((Pathogens!D37+Pathogens!E37+Pathogens!F37)&gt;=2,2,1))))*0.45+IF(Pathogens!G37&gt;=30,5,IF(Pathogens!G37&gt;=14,4,IF(Pathogens!G37&gt;=7,3,IF(Pathogens!G37&gt;=3,2,1))))*0.3+IF(Pathogens!N37&gt;=0.8,5,IF(Pathogens!N37&gt;=0.6,4,IF(Pathogens!N37&gt;=0.4,3,IF(Pathogens!N37&gt;=0.2,2,1))))*0.25),0)</f>
        <v>4</v>
      </c>
    </row>
    <row r="41" customHeight="1" spans="1:10">
      <c r="A41" s="18" t="s">
        <v>251</v>
      </c>
      <c r="B41" t="s">
        <v>252</v>
      </c>
      <c r="C41" s="19">
        <f>Pathogens!D38</f>
        <v>3</v>
      </c>
      <c r="D41" s="19">
        <f>Pathogens!E38</f>
        <v>0</v>
      </c>
      <c r="E41" s="19">
        <f>Pathogens!F38</f>
        <v>0</v>
      </c>
      <c r="F41" s="19">
        <f>Pathogens!D38+Pathogens!E38+Pathogens!F38</f>
        <v>3</v>
      </c>
      <c r="G41" s="19">
        <f>Pathogens!G38</f>
        <v>7</v>
      </c>
      <c r="H41" s="19">
        <f>Pathogens!N38</f>
        <v>0.85</v>
      </c>
      <c r="I41" s="19" t="str">
        <f>Pathogens!H38</f>
        <v>qPCR</v>
      </c>
      <c r="J41" s="20">
        <f>ROUND(MIN(5,IF((Pathogens!D38+Pathogens!E38+Pathogens!F38)&gt;=6,5,IF((Pathogens!D38+Pathogens!E38+Pathogens!F38)&gt;=4,4,IF((Pathogens!D38+Pathogens!E38+Pathogens!F38)&gt;=3,3,IF((Pathogens!D38+Pathogens!E38+Pathogens!F38)&gt;=2,2,1))))*0.45+IF(Pathogens!G38&gt;=30,5,IF(Pathogens!G38&gt;=14,4,IF(Pathogens!G38&gt;=7,3,IF(Pathogens!G38&gt;=3,2,1))))*0.3+IF(Pathogens!N38&gt;=0.8,5,IF(Pathogens!N38&gt;=0.6,4,IF(Pathogens!N38&gt;=0.4,3,IF(Pathogens!N38&gt;=0.2,2,1))))*0.25),0)</f>
        <v>4</v>
      </c>
    </row>
    <row r="42" customHeight="1" spans="1:10">
      <c r="A42" s="18" t="s">
        <v>253</v>
      </c>
      <c r="B42" t="s">
        <v>254</v>
      </c>
      <c r="C42" s="19">
        <f>Pathogens!D39</f>
        <v>2</v>
      </c>
      <c r="D42" s="19">
        <f>Pathogens!E39</f>
        <v>0</v>
      </c>
      <c r="E42" s="19">
        <f>Pathogens!F39</f>
        <v>0</v>
      </c>
      <c r="F42" s="19">
        <f>Pathogens!D39+Pathogens!E39+Pathogens!F39</f>
        <v>2</v>
      </c>
      <c r="G42" s="19">
        <f>Pathogens!G39</f>
        <v>14</v>
      </c>
      <c r="H42" s="19">
        <f>Pathogens!N39</f>
        <v>0.7</v>
      </c>
      <c r="I42" s="19" t="str">
        <f>Pathogens!H39</f>
        <v>qPCR</v>
      </c>
      <c r="J42" s="20">
        <f>ROUND(MIN(5,IF((Pathogens!D39+Pathogens!E39+Pathogens!F39)&gt;=6,5,IF((Pathogens!D39+Pathogens!E39+Pathogens!F39)&gt;=4,4,IF((Pathogens!D39+Pathogens!E39+Pathogens!F39)&gt;=3,3,IF((Pathogens!D39+Pathogens!E39+Pathogens!F39)&gt;=2,2,1))))*0.45+IF(Pathogens!G39&gt;=30,5,IF(Pathogens!G39&gt;=14,4,IF(Pathogens!G39&gt;=7,3,IF(Pathogens!G39&gt;=3,2,1))))*0.3+IF(Pathogens!N39&gt;=0.8,5,IF(Pathogens!N39&gt;=0.6,4,IF(Pathogens!N39&gt;=0.4,3,IF(Pathogens!N39&gt;=0.2,2,1))))*0.25),0)</f>
        <v>3</v>
      </c>
    </row>
    <row r="43" customHeight="1" spans="1:10">
      <c r="A43" s="18" t="s">
        <v>255</v>
      </c>
      <c r="B43" t="s">
        <v>256</v>
      </c>
      <c r="C43" s="19">
        <f>Pathogens!D40</f>
        <v>3</v>
      </c>
      <c r="D43" s="19">
        <f>Pathogens!E40</f>
        <v>0</v>
      </c>
      <c r="E43" s="19">
        <f>Pathogens!F40</f>
        <v>0</v>
      </c>
      <c r="F43" s="19">
        <f>Pathogens!D40+Pathogens!E40+Pathogens!F40</f>
        <v>3</v>
      </c>
      <c r="G43" s="19">
        <f>Pathogens!G40</f>
        <v>60</v>
      </c>
      <c r="H43" s="19">
        <f>Pathogens!N40</f>
        <v>0.6</v>
      </c>
      <c r="I43" s="19" t="str">
        <f>Pathogens!H40</f>
        <v>qPCR</v>
      </c>
      <c r="J43" s="20">
        <f>ROUND(MIN(5,IF((Pathogens!D40+Pathogens!E40+Pathogens!F40)&gt;=6,5,IF((Pathogens!D40+Pathogens!E40+Pathogens!F40)&gt;=4,4,IF((Pathogens!D40+Pathogens!E40+Pathogens!F40)&gt;=3,3,IF((Pathogens!D40+Pathogens!E40+Pathogens!F40)&gt;=2,2,1))))*0.45+IF(Pathogens!G40&gt;=30,5,IF(Pathogens!G40&gt;=14,4,IF(Pathogens!G40&gt;=7,3,IF(Pathogens!G40&gt;=3,2,1))))*0.3+IF(Pathogens!N40&gt;=0.8,5,IF(Pathogens!N40&gt;=0.6,4,IF(Pathogens!N40&gt;=0.4,3,IF(Pathogens!N40&gt;=0.2,2,1))))*0.25),0)</f>
        <v>4</v>
      </c>
    </row>
    <row r="44" customHeight="1" spans="1:10">
      <c r="A44" s="18" t="s">
        <v>257</v>
      </c>
      <c r="B44" t="s">
        <v>258</v>
      </c>
      <c r="C44" s="19">
        <f>Pathogens!D41</f>
        <v>1</v>
      </c>
      <c r="D44" s="19">
        <f>Pathogens!E41</f>
        <v>3</v>
      </c>
      <c r="E44" s="19">
        <f>Pathogens!F41</f>
        <v>0</v>
      </c>
      <c r="F44" s="19">
        <f>Pathogens!D41+Pathogens!E41+Pathogens!F41</f>
        <v>4</v>
      </c>
      <c r="G44" s="19">
        <f>Pathogens!G41</f>
        <v>30</v>
      </c>
      <c r="H44" s="19">
        <f>Pathogens!N41</f>
        <v>0.85</v>
      </c>
      <c r="I44" s="19" t="str">
        <f>Pathogens!H41</f>
        <v>qPCR</v>
      </c>
      <c r="J44" s="20">
        <f>ROUND(MIN(5,IF((Pathogens!D41+Pathogens!E41+Pathogens!F41)&gt;=6,5,IF((Pathogens!D41+Pathogens!E41+Pathogens!F41)&gt;=4,4,IF((Pathogens!D41+Pathogens!E41+Pathogens!F41)&gt;=3,3,IF((Pathogens!D41+Pathogens!E41+Pathogens!F41)&gt;=2,2,1))))*0.45+IF(Pathogens!G41&gt;=30,5,IF(Pathogens!G41&gt;=14,4,IF(Pathogens!G41&gt;=7,3,IF(Pathogens!G41&gt;=3,2,1))))*0.3+IF(Pathogens!N41&gt;=0.8,5,IF(Pathogens!N41&gt;=0.6,4,IF(Pathogens!N41&gt;=0.4,3,IF(Pathogens!N41&gt;=0.2,2,1))))*0.25),0)</f>
        <v>5</v>
      </c>
    </row>
    <row r="45" customHeight="1" spans="1:10">
      <c r="A45" s="18" t="s">
        <v>260</v>
      </c>
      <c r="B45" t="s">
        <v>261</v>
      </c>
      <c r="C45" s="19">
        <f>Pathogens!D42</f>
        <v>1</v>
      </c>
      <c r="D45" s="19">
        <f>Pathogens!E42</f>
        <v>1</v>
      </c>
      <c r="E45" s="19">
        <f>Pathogens!F42</f>
        <v>0</v>
      </c>
      <c r="F45" s="19">
        <f>Pathogens!D42+Pathogens!E42+Pathogens!F42</f>
        <v>2</v>
      </c>
      <c r="G45" s="19">
        <f>Pathogens!G42</f>
        <v>30</v>
      </c>
      <c r="H45" s="19">
        <f>Pathogens!N42</f>
        <v>0.5</v>
      </c>
      <c r="I45" s="19" t="str">
        <f>Pathogens!H42</f>
        <v>qPCR</v>
      </c>
      <c r="J45" s="20">
        <f>ROUND(MIN(5,IF((Pathogens!D42+Pathogens!E42+Pathogens!F42)&gt;=6,5,IF((Pathogens!D42+Pathogens!E42+Pathogens!F42)&gt;=4,4,IF((Pathogens!D42+Pathogens!E42+Pathogens!F42)&gt;=3,3,IF((Pathogens!D42+Pathogens!E42+Pathogens!F42)&gt;=2,2,1))))*0.45+IF(Pathogens!G42&gt;=30,5,IF(Pathogens!G42&gt;=14,4,IF(Pathogens!G42&gt;=7,3,IF(Pathogens!G42&gt;=3,2,1))))*0.3+IF(Pathogens!N42&gt;=0.8,5,IF(Pathogens!N42&gt;=0.6,4,IF(Pathogens!N42&gt;=0.4,3,IF(Pathogens!N42&gt;=0.2,2,1))))*0.25),0)</f>
        <v>3</v>
      </c>
    </row>
    <row r="46" customHeight="1" spans="1:10">
      <c r="A46" s="18" t="s">
        <v>262</v>
      </c>
      <c r="B46" t="s">
        <v>263</v>
      </c>
      <c r="C46" s="19">
        <f>Pathogens!D43</f>
        <v>1</v>
      </c>
      <c r="D46" s="19">
        <f>Pathogens!E43</f>
        <v>1</v>
      </c>
      <c r="E46" s="19">
        <f>Pathogens!F43</f>
        <v>1</v>
      </c>
      <c r="F46" s="19">
        <f>Pathogens!D43+Pathogens!E43+Pathogens!F43</f>
        <v>3</v>
      </c>
      <c r="G46" s="19">
        <f>Pathogens!G43</f>
        <v>60</v>
      </c>
      <c r="H46" s="19">
        <f>Pathogens!N43</f>
        <v>0.4</v>
      </c>
      <c r="I46" s="19" t="str">
        <f>Pathogens!H43</f>
        <v>qPCR</v>
      </c>
      <c r="J46" s="20">
        <f>ROUND(MIN(5,IF((Pathogens!D43+Pathogens!E43+Pathogens!F43)&gt;=6,5,IF((Pathogens!D43+Pathogens!E43+Pathogens!F43)&gt;=4,4,IF((Pathogens!D43+Pathogens!E43+Pathogens!F43)&gt;=3,3,IF((Pathogens!D43+Pathogens!E43+Pathogens!F43)&gt;=2,2,1))))*0.45+IF(Pathogens!G43&gt;=30,5,IF(Pathogens!G43&gt;=14,4,IF(Pathogens!G43&gt;=7,3,IF(Pathogens!G43&gt;=3,2,1))))*0.3+IF(Pathogens!N43&gt;=0.8,5,IF(Pathogens!N43&gt;=0.6,4,IF(Pathogens!N43&gt;=0.4,3,IF(Pathogens!N43&gt;=0.2,2,1))))*0.25),0)</f>
        <v>4</v>
      </c>
    </row>
    <row r="47" customHeight="1" spans="1:10">
      <c r="A47" s="18" t="s">
        <v>264</v>
      </c>
      <c r="B47" t="s">
        <v>265</v>
      </c>
      <c r="C47" s="19">
        <f>Pathogens!D44</f>
        <v>1</v>
      </c>
      <c r="D47" s="19">
        <f>Pathogens!E44</f>
        <v>1</v>
      </c>
      <c r="E47" s="19">
        <f>Pathogens!F44</f>
        <v>0</v>
      </c>
      <c r="F47" s="19">
        <f>Pathogens!D44+Pathogens!E44+Pathogens!F44</f>
        <v>2</v>
      </c>
      <c r="G47" s="19">
        <f>Pathogens!G44</f>
        <v>30</v>
      </c>
      <c r="H47" s="19">
        <f>Pathogens!N44</f>
        <v>0.3</v>
      </c>
      <c r="I47" s="19" t="str">
        <f>Pathogens!H44</f>
        <v>qPCR</v>
      </c>
      <c r="J47" s="20">
        <f>ROUND(MIN(5,IF((Pathogens!D44+Pathogens!E44+Pathogens!F44)&gt;=6,5,IF((Pathogens!D44+Pathogens!E44+Pathogens!F44)&gt;=4,4,IF((Pathogens!D44+Pathogens!E44+Pathogens!F44)&gt;=3,3,IF((Pathogens!D44+Pathogens!E44+Pathogens!F44)&gt;=2,2,1))))*0.45+IF(Pathogens!G44&gt;=30,5,IF(Pathogens!G44&gt;=14,4,IF(Pathogens!G44&gt;=7,3,IF(Pathogens!G44&gt;=3,2,1))))*0.3+IF(Pathogens!N44&gt;=0.8,5,IF(Pathogens!N44&gt;=0.6,4,IF(Pathogens!N44&gt;=0.4,3,IF(Pathogens!N44&gt;=0.2,2,1))))*0.25),0)</f>
        <v>3</v>
      </c>
    </row>
    <row r="48" customHeight="1" spans="1:10">
      <c r="A48" s="18" t="s">
        <v>267</v>
      </c>
      <c r="B48" t="s">
        <v>268</v>
      </c>
      <c r="C48" s="19">
        <f>Pathogens!D45</f>
        <v>1</v>
      </c>
      <c r="D48" s="19">
        <f>Pathogens!E45</f>
        <v>0</v>
      </c>
      <c r="E48" s="19">
        <f>Pathogens!F45</f>
        <v>1</v>
      </c>
      <c r="F48" s="19">
        <f>Pathogens!D45+Pathogens!E45+Pathogens!F45</f>
        <v>2</v>
      </c>
      <c r="G48" s="19">
        <f>Pathogens!G45</f>
        <v>7</v>
      </c>
      <c r="H48" s="19">
        <f>Pathogens!N45</f>
        <v>0.4</v>
      </c>
      <c r="I48" s="19" t="str">
        <f>Pathogens!H45</f>
        <v>qPCR</v>
      </c>
      <c r="J48" s="20">
        <f>ROUND(MIN(5,IF((Pathogens!D45+Pathogens!E45+Pathogens!F45)&gt;=6,5,IF((Pathogens!D45+Pathogens!E45+Pathogens!F45)&gt;=4,4,IF((Pathogens!D45+Pathogens!E45+Pathogens!F45)&gt;=3,3,IF((Pathogens!D45+Pathogens!E45+Pathogens!F45)&gt;=2,2,1))))*0.45+IF(Pathogens!G45&gt;=30,5,IF(Pathogens!G45&gt;=14,4,IF(Pathogens!G45&gt;=7,3,IF(Pathogens!G45&gt;=3,2,1))))*0.3+IF(Pathogens!N45&gt;=0.8,5,IF(Pathogens!N45&gt;=0.6,4,IF(Pathogens!N45&gt;=0.4,3,IF(Pathogens!N45&gt;=0.2,2,1))))*0.25),0)</f>
        <v>3</v>
      </c>
    </row>
    <row r="49" customHeight="1" spans="1:10">
      <c r="A49" s="18" t="s">
        <v>269</v>
      </c>
      <c r="B49" t="s">
        <v>270</v>
      </c>
      <c r="C49" s="19">
        <f>Pathogens!D46</f>
        <v>1</v>
      </c>
      <c r="D49" s="19">
        <f>Pathogens!E46</f>
        <v>0</v>
      </c>
      <c r="E49" s="19">
        <f>Pathogens!F46</f>
        <v>3</v>
      </c>
      <c r="F49" s="19">
        <f>Pathogens!D46+Pathogens!E46+Pathogens!F46</f>
        <v>4</v>
      </c>
      <c r="G49" s="19">
        <f>Pathogens!G46</f>
        <v>60</v>
      </c>
      <c r="H49" s="19">
        <f>Pathogens!N46</f>
        <v>0.3</v>
      </c>
      <c r="I49" s="19" t="str">
        <f>Pathogens!H46</f>
        <v>qPCR</v>
      </c>
      <c r="J49" s="20">
        <f>ROUND(MIN(5,IF((Pathogens!D46+Pathogens!E46+Pathogens!F46)&gt;=6,5,IF((Pathogens!D46+Pathogens!E46+Pathogens!F46)&gt;=4,4,IF((Pathogens!D46+Pathogens!E46+Pathogens!F46)&gt;=3,3,IF((Pathogens!D46+Pathogens!E46+Pathogens!F46)&gt;=2,2,1))))*0.45+IF(Pathogens!G46&gt;=30,5,IF(Pathogens!G46&gt;=14,4,IF(Pathogens!G46&gt;=7,3,IF(Pathogens!G46&gt;=3,2,1))))*0.3+IF(Pathogens!N46&gt;=0.8,5,IF(Pathogens!N46&gt;=0.6,4,IF(Pathogens!N46&gt;=0.4,3,IF(Pathogens!N46&gt;=0.2,2,1))))*0.25),0)</f>
        <v>4</v>
      </c>
    </row>
    <row r="50" customHeight="1" spans="1:10">
      <c r="A50" s="18" t="s">
        <v>272</v>
      </c>
      <c r="B50" t="s">
        <v>273</v>
      </c>
      <c r="C50" s="19">
        <f>Pathogens!D47</f>
        <v>3</v>
      </c>
      <c r="D50" s="19">
        <f>Pathogens!E47</f>
        <v>0</v>
      </c>
      <c r="E50" s="19">
        <f>Pathogens!F47</f>
        <v>0</v>
      </c>
      <c r="F50" s="19">
        <f>Pathogens!D47+Pathogens!E47+Pathogens!F47</f>
        <v>3</v>
      </c>
      <c r="G50" s="19">
        <f>Pathogens!G47</f>
        <v>60</v>
      </c>
      <c r="H50" s="19">
        <f>Pathogens!N47</f>
        <v>0.9</v>
      </c>
      <c r="I50" s="19" t="str">
        <f>Pathogens!H47</f>
        <v>qPCR</v>
      </c>
      <c r="J50" s="20">
        <f>ROUND(MIN(5,IF((Pathogens!D47+Pathogens!E47+Pathogens!F47)&gt;=6,5,IF((Pathogens!D47+Pathogens!E47+Pathogens!F47)&gt;=4,4,IF((Pathogens!D47+Pathogens!E47+Pathogens!F47)&gt;=3,3,IF((Pathogens!D47+Pathogens!E47+Pathogens!F47)&gt;=2,2,1))))*0.45+IF(Pathogens!G47&gt;=30,5,IF(Pathogens!G47&gt;=14,4,IF(Pathogens!G47&gt;=7,3,IF(Pathogens!G47&gt;=3,2,1))))*0.3+IF(Pathogens!N47&gt;=0.8,5,IF(Pathogens!N47&gt;=0.6,4,IF(Pathogens!N47&gt;=0.4,3,IF(Pathogens!N47&gt;=0.2,2,1))))*0.25),0)</f>
        <v>4</v>
      </c>
    </row>
    <row r="51" customHeight="1" spans="1:10">
      <c r="A51" s="18" t="s">
        <v>275</v>
      </c>
      <c r="B51" t="s">
        <v>276</v>
      </c>
      <c r="C51" s="19">
        <f>Pathogens!D48</f>
        <v>3</v>
      </c>
      <c r="D51" s="19">
        <f>Pathogens!E48</f>
        <v>0</v>
      </c>
      <c r="E51" s="19">
        <f>Pathogens!F48</f>
        <v>0</v>
      </c>
      <c r="F51" s="19">
        <f>Pathogens!D48+Pathogens!E48+Pathogens!F48</f>
        <v>3</v>
      </c>
      <c r="G51" s="19">
        <f>Pathogens!G48</f>
        <v>60</v>
      </c>
      <c r="H51" s="19">
        <f>Pathogens!N48</f>
        <v>0.95</v>
      </c>
      <c r="I51" s="19" t="str">
        <f>Pathogens!H48</f>
        <v>qPCR</v>
      </c>
      <c r="J51" s="20">
        <f>ROUND(MIN(5,IF((Pathogens!D48+Pathogens!E48+Pathogens!F48)&gt;=6,5,IF((Pathogens!D48+Pathogens!E48+Pathogens!F48)&gt;=4,4,IF((Pathogens!D48+Pathogens!E48+Pathogens!F48)&gt;=3,3,IF((Pathogens!D48+Pathogens!E48+Pathogens!F48)&gt;=2,2,1))))*0.45+IF(Pathogens!G48&gt;=30,5,IF(Pathogens!G48&gt;=14,4,IF(Pathogens!G48&gt;=7,3,IF(Pathogens!G48&gt;=3,2,1))))*0.3+IF(Pathogens!N48&gt;=0.8,5,IF(Pathogens!N48&gt;=0.6,4,IF(Pathogens!N48&gt;=0.4,3,IF(Pathogens!N48&gt;=0.2,2,1))))*0.25),0)</f>
        <v>4</v>
      </c>
    </row>
    <row r="52" customHeight="1" spans="1:10">
      <c r="A52" s="18" t="s">
        <v>277</v>
      </c>
      <c r="B52" t="s">
        <v>278</v>
      </c>
      <c r="C52" s="19">
        <f>Pathogens!D49</f>
        <v>3</v>
      </c>
      <c r="D52" s="19">
        <f>Pathogens!E49</f>
        <v>0</v>
      </c>
      <c r="E52" s="19">
        <f>Pathogens!F49</f>
        <v>0</v>
      </c>
      <c r="F52" s="19">
        <f>Pathogens!D49+Pathogens!E49+Pathogens!F49</f>
        <v>3</v>
      </c>
      <c r="G52" s="19">
        <f>Pathogens!G49</f>
        <v>30</v>
      </c>
      <c r="H52" s="19">
        <f>Pathogens!N49</f>
        <v>0.9</v>
      </c>
      <c r="I52" s="19" t="str">
        <f>Pathogens!H49</f>
        <v>qPCR</v>
      </c>
      <c r="J52" s="20">
        <f>ROUND(MIN(5,IF((Pathogens!D49+Pathogens!E49+Pathogens!F49)&gt;=6,5,IF((Pathogens!D49+Pathogens!E49+Pathogens!F49)&gt;=4,4,IF((Pathogens!D49+Pathogens!E49+Pathogens!F49)&gt;=3,3,IF((Pathogens!D49+Pathogens!E49+Pathogens!F49)&gt;=2,2,1))))*0.45+IF(Pathogens!G49&gt;=30,5,IF(Pathogens!G49&gt;=14,4,IF(Pathogens!G49&gt;=7,3,IF(Pathogens!G49&gt;=3,2,1))))*0.3+IF(Pathogens!N49&gt;=0.8,5,IF(Pathogens!N49&gt;=0.6,4,IF(Pathogens!N49&gt;=0.4,3,IF(Pathogens!N49&gt;=0.2,2,1))))*0.25),0)</f>
        <v>4</v>
      </c>
    </row>
    <row r="53" customHeight="1" spans="1:10">
      <c r="A53" s="18" t="s">
        <v>279</v>
      </c>
      <c r="B53" t="s">
        <v>280</v>
      </c>
      <c r="C53" s="19">
        <f>Pathogens!D50</f>
        <v>2</v>
      </c>
      <c r="D53" s="19">
        <f>Pathogens!E50</f>
        <v>3</v>
      </c>
      <c r="E53" s="19">
        <f>Pathogens!F50</f>
        <v>0</v>
      </c>
      <c r="F53" s="19">
        <f>Pathogens!D50+Pathogens!E50+Pathogens!F50</f>
        <v>5</v>
      </c>
      <c r="G53" s="19">
        <f>Pathogens!G50</f>
        <v>30</v>
      </c>
      <c r="H53" s="19">
        <f>Pathogens!N50</f>
        <v>0.95</v>
      </c>
      <c r="I53" s="19" t="str">
        <f>Pathogens!H50</f>
        <v>qPCR</v>
      </c>
      <c r="J53" s="20">
        <f>ROUND(MIN(5,IF((Pathogens!D50+Pathogens!E50+Pathogens!F50)&gt;=6,5,IF((Pathogens!D50+Pathogens!E50+Pathogens!F50)&gt;=4,4,IF((Pathogens!D50+Pathogens!E50+Pathogens!F50)&gt;=3,3,IF((Pathogens!D50+Pathogens!E50+Pathogens!F50)&gt;=2,2,1))))*0.45+IF(Pathogens!G50&gt;=30,5,IF(Pathogens!G50&gt;=14,4,IF(Pathogens!G50&gt;=7,3,IF(Pathogens!G50&gt;=3,2,1))))*0.3+IF(Pathogens!N50&gt;=0.8,5,IF(Pathogens!N50&gt;=0.6,4,IF(Pathogens!N50&gt;=0.4,3,IF(Pathogens!N50&gt;=0.2,2,1))))*0.25),0)</f>
        <v>5</v>
      </c>
    </row>
    <row r="54" customHeight="1" spans="1:10">
      <c r="A54" s="18" t="s">
        <v>282</v>
      </c>
      <c r="B54" t="s">
        <v>283</v>
      </c>
      <c r="C54" s="19">
        <f>Pathogens!D51</f>
        <v>3</v>
      </c>
      <c r="D54" s="19">
        <f>Pathogens!E51</f>
        <v>0</v>
      </c>
      <c r="E54" s="19">
        <f>Pathogens!F51</f>
        <v>0</v>
      </c>
      <c r="F54" s="19">
        <f>Pathogens!D51+Pathogens!E51+Pathogens!F51</f>
        <v>3</v>
      </c>
      <c r="G54" s="19">
        <f>Pathogens!G51</f>
        <v>60</v>
      </c>
      <c r="H54" s="19">
        <f>Pathogens!N51</f>
        <v>0.95</v>
      </c>
      <c r="I54" s="19" t="str">
        <f>Pathogens!H51</f>
        <v>qPCR/microscopy</v>
      </c>
      <c r="J54" s="20">
        <f>ROUND(MIN(5,IF((Pathogens!D51+Pathogens!E51+Pathogens!F51)&gt;=6,5,IF((Pathogens!D51+Pathogens!E51+Pathogens!F51)&gt;=4,4,IF((Pathogens!D51+Pathogens!E51+Pathogens!F51)&gt;=3,3,IF((Pathogens!D51+Pathogens!E51+Pathogens!F51)&gt;=2,2,1))))*0.45+IF(Pathogens!G51&gt;=30,5,IF(Pathogens!G51&gt;=14,4,IF(Pathogens!G51&gt;=7,3,IF(Pathogens!G51&gt;=3,2,1))))*0.3+IF(Pathogens!N51&gt;=0.8,5,IF(Pathogens!N51&gt;=0.6,4,IF(Pathogens!N51&gt;=0.4,3,IF(Pathogens!N51&gt;=0.2,2,1))))*0.25),0)</f>
        <v>4</v>
      </c>
    </row>
    <row r="55" customHeight="1" spans="1:10">
      <c r="A55" s="18" t="s">
        <v>284</v>
      </c>
      <c r="B55" t="s">
        <v>285</v>
      </c>
      <c r="C55" s="19">
        <f>Pathogens!D52</f>
        <v>0</v>
      </c>
      <c r="D55" s="19">
        <f>Pathogens!E52</f>
        <v>0</v>
      </c>
      <c r="E55" s="19">
        <f>Pathogens!F52</f>
        <v>0</v>
      </c>
      <c r="F55" s="19">
        <f>Pathogens!D52+Pathogens!E52+Pathogens!F52</f>
        <v>0</v>
      </c>
      <c r="G55" s="19">
        <f>Pathogens!G52</f>
        <v>30</v>
      </c>
      <c r="H55" s="19">
        <f>Pathogens!N52</f>
        <v>1</v>
      </c>
      <c r="I55" s="19" t="str">
        <f>Pathogens!H52</f>
        <v>microscopy</v>
      </c>
      <c r="J55" s="20">
        <f>ROUND(MIN(5,IF((Pathogens!D52+Pathogens!E52+Pathogens!F52)&gt;=6,5,IF((Pathogens!D52+Pathogens!E52+Pathogens!F52)&gt;=4,4,IF((Pathogens!D52+Pathogens!E52+Pathogens!F52)&gt;=3,3,IF((Pathogens!D52+Pathogens!E52+Pathogens!F52)&gt;=2,2,1))))*0.45+IF(Pathogens!G52&gt;=30,5,IF(Pathogens!G52&gt;=14,4,IF(Pathogens!G52&gt;=7,3,IF(Pathogens!G52&gt;=3,2,1))))*0.3+IF(Pathogens!N52&gt;=0.8,5,IF(Pathogens!N52&gt;=0.6,4,IF(Pathogens!N52&gt;=0.4,3,IF(Pathogens!N52&gt;=0.2,2,1))))*0.25),0)</f>
        <v>3</v>
      </c>
    </row>
    <row r="56" customHeight="1" spans="1:10">
      <c r="A56" s="18" t="s">
        <v>286</v>
      </c>
      <c r="B56" t="s">
        <v>287</v>
      </c>
      <c r="C56" s="19">
        <f>Pathogens!D53</f>
        <v>3</v>
      </c>
      <c r="D56" s="19">
        <f>Pathogens!E53</f>
        <v>1</v>
      </c>
      <c r="E56" s="19">
        <f>Pathogens!F53</f>
        <v>0</v>
      </c>
      <c r="F56" s="19">
        <f>Pathogens!D53+Pathogens!E53+Pathogens!F53</f>
        <v>4</v>
      </c>
      <c r="G56" s="19">
        <f>Pathogens!G53</f>
        <v>30</v>
      </c>
      <c r="H56" s="19">
        <f>Pathogens!N53</f>
        <v>0.7</v>
      </c>
      <c r="I56" s="19" t="str">
        <f>Pathogens!H53</f>
        <v>qPCR/seq</v>
      </c>
      <c r="J56" s="20">
        <f>ROUND(MIN(5,IF((Pathogens!D53+Pathogens!E53+Pathogens!F53)&gt;=6,5,IF((Pathogens!D53+Pathogens!E53+Pathogens!F53)&gt;=4,4,IF((Pathogens!D53+Pathogens!E53+Pathogens!F53)&gt;=3,3,IF((Pathogens!D53+Pathogens!E53+Pathogens!F53)&gt;=2,2,1))))*0.45+IF(Pathogens!G53&gt;=30,5,IF(Pathogens!G53&gt;=14,4,IF(Pathogens!G53&gt;=7,3,IF(Pathogens!G53&gt;=3,2,1))))*0.3+IF(Pathogens!N53&gt;=0.8,5,IF(Pathogens!N53&gt;=0.6,4,IF(Pathogens!N53&gt;=0.4,3,IF(Pathogens!N53&gt;=0.2,2,1))))*0.25),0)</f>
        <v>4</v>
      </c>
    </row>
    <row r="57" customHeight="1" spans="1:10">
      <c r="A57" s="18" t="s">
        <v>289</v>
      </c>
      <c r="B57" t="s">
        <v>290</v>
      </c>
      <c r="C57" s="19">
        <f>Pathogens!D54</f>
        <v>3</v>
      </c>
      <c r="D57" s="19">
        <f>Pathogens!E54</f>
        <v>1</v>
      </c>
      <c r="E57" s="19">
        <f>Pathogens!F54</f>
        <v>0</v>
      </c>
      <c r="F57" s="19">
        <f>Pathogens!D54+Pathogens!E54+Pathogens!F54</f>
        <v>4</v>
      </c>
      <c r="G57" s="19">
        <f>Pathogens!G54</f>
        <v>30</v>
      </c>
      <c r="H57" s="19">
        <f>Pathogens!N54</f>
        <v>0.7</v>
      </c>
      <c r="I57" s="19" t="str">
        <f>Pathogens!H54</f>
        <v>qPCR/seq</v>
      </c>
      <c r="J57" s="20">
        <f>ROUND(MIN(5,IF((Pathogens!D54+Pathogens!E54+Pathogens!F54)&gt;=6,5,IF((Pathogens!D54+Pathogens!E54+Pathogens!F54)&gt;=4,4,IF((Pathogens!D54+Pathogens!E54+Pathogens!F54)&gt;=3,3,IF((Pathogens!D54+Pathogens!E54+Pathogens!F54)&gt;=2,2,1))))*0.45+IF(Pathogens!G54&gt;=30,5,IF(Pathogens!G54&gt;=14,4,IF(Pathogens!G54&gt;=7,3,IF(Pathogens!G54&gt;=3,2,1))))*0.3+IF(Pathogens!N54&gt;=0.8,5,IF(Pathogens!N54&gt;=0.6,4,IF(Pathogens!N54&gt;=0.4,3,IF(Pathogens!N54&gt;=0.2,2,1))))*0.25),0)</f>
        <v>4</v>
      </c>
    </row>
    <row r="58" customHeight="1" spans="1:10">
      <c r="A58" s="18" t="s">
        <v>291</v>
      </c>
      <c r="B58" t="s">
        <v>292</v>
      </c>
      <c r="C58" s="19">
        <f>Pathogens!D55</f>
        <v>3</v>
      </c>
      <c r="D58" s="19">
        <f>Pathogens!E55</f>
        <v>1</v>
      </c>
      <c r="E58" s="19">
        <f>Pathogens!F55</f>
        <v>0</v>
      </c>
      <c r="F58" s="19">
        <f>Pathogens!D55+Pathogens!E55+Pathogens!F55</f>
        <v>4</v>
      </c>
      <c r="G58" s="19">
        <f>Pathogens!G55</f>
        <v>30</v>
      </c>
      <c r="H58" s="19">
        <f>Pathogens!N55</f>
        <v>0.6</v>
      </c>
      <c r="I58" s="19" t="str">
        <f>Pathogens!H55</f>
        <v>qPCR/seq</v>
      </c>
      <c r="J58" s="20">
        <f>ROUND(MIN(5,IF((Pathogens!D55+Pathogens!E55+Pathogens!F55)&gt;=6,5,IF((Pathogens!D55+Pathogens!E55+Pathogens!F55)&gt;=4,4,IF((Pathogens!D55+Pathogens!E55+Pathogens!F55)&gt;=3,3,IF((Pathogens!D55+Pathogens!E55+Pathogens!F55)&gt;=2,2,1))))*0.45+IF(Pathogens!G55&gt;=30,5,IF(Pathogens!G55&gt;=14,4,IF(Pathogens!G55&gt;=7,3,IF(Pathogens!G55&gt;=3,2,1))))*0.3+IF(Pathogens!N55&gt;=0.8,5,IF(Pathogens!N55&gt;=0.6,4,IF(Pathogens!N55&gt;=0.4,3,IF(Pathogens!N55&gt;=0.2,2,1))))*0.25),0)</f>
        <v>4</v>
      </c>
    </row>
    <row r="59" customHeight="1" spans="1:10">
      <c r="A59" s="18" t="s">
        <v>293</v>
      </c>
      <c r="B59" t="s">
        <v>294</v>
      </c>
      <c r="C59" s="19">
        <f>Pathogens!D56</f>
        <v>3</v>
      </c>
      <c r="D59" s="19">
        <f>Pathogens!E56</f>
        <v>1</v>
      </c>
      <c r="E59" s="19">
        <f>Pathogens!F56</f>
        <v>0</v>
      </c>
      <c r="F59" s="19">
        <f>Pathogens!D56+Pathogens!E56+Pathogens!F56</f>
        <v>4</v>
      </c>
      <c r="G59" s="19">
        <f>Pathogens!G56</f>
        <v>30</v>
      </c>
      <c r="H59" s="19">
        <f>Pathogens!N56</f>
        <v>0.6</v>
      </c>
      <c r="I59" s="19" t="str">
        <f>Pathogens!H56</f>
        <v>qPCR/seq</v>
      </c>
      <c r="J59" s="20">
        <f>ROUND(MIN(5,IF((Pathogens!D56+Pathogens!E56+Pathogens!F56)&gt;=6,5,IF((Pathogens!D56+Pathogens!E56+Pathogens!F56)&gt;=4,4,IF((Pathogens!D56+Pathogens!E56+Pathogens!F56)&gt;=3,3,IF((Pathogens!D56+Pathogens!E56+Pathogens!F56)&gt;=2,2,1))))*0.45+IF(Pathogens!G56&gt;=30,5,IF(Pathogens!G56&gt;=14,4,IF(Pathogens!G56&gt;=7,3,IF(Pathogens!G56&gt;=3,2,1))))*0.3+IF(Pathogens!N56&gt;=0.8,5,IF(Pathogens!N56&gt;=0.6,4,IF(Pathogens!N56&gt;=0.4,3,IF(Pathogens!N56&gt;=0.2,2,1))))*0.25),0)</f>
        <v>4</v>
      </c>
    </row>
    <row r="60" customHeight="1" spans="1:10">
      <c r="A60" s="18" t="s">
        <v>295</v>
      </c>
      <c r="B60" t="s">
        <v>296</v>
      </c>
      <c r="C60" s="19">
        <f>Pathogens!D57</f>
        <v>3</v>
      </c>
      <c r="D60" s="19">
        <f>Pathogens!E57</f>
        <v>1</v>
      </c>
      <c r="E60" s="19">
        <f>Pathogens!F57</f>
        <v>0</v>
      </c>
      <c r="F60" s="19">
        <f>Pathogens!D57+Pathogens!E57+Pathogens!F57</f>
        <v>4</v>
      </c>
      <c r="G60" s="19">
        <f>Pathogens!G57</f>
        <v>30</v>
      </c>
      <c r="H60" s="19">
        <f>Pathogens!N57</f>
        <v>0.6</v>
      </c>
      <c r="I60" s="19" t="str">
        <f>Pathogens!H57</f>
        <v>qPCR/seq</v>
      </c>
      <c r="J60" s="20">
        <f>ROUND(MIN(5,IF((Pathogens!D57+Pathogens!E57+Pathogens!F57)&gt;=6,5,IF((Pathogens!D57+Pathogens!E57+Pathogens!F57)&gt;=4,4,IF((Pathogens!D57+Pathogens!E57+Pathogens!F57)&gt;=3,3,IF((Pathogens!D57+Pathogens!E57+Pathogens!F57)&gt;=2,2,1))))*0.45+IF(Pathogens!G57&gt;=30,5,IF(Pathogens!G57&gt;=14,4,IF(Pathogens!G57&gt;=7,3,IF(Pathogens!G57&gt;=3,2,1))))*0.3+IF(Pathogens!N57&gt;=0.8,5,IF(Pathogens!N57&gt;=0.6,4,IF(Pathogens!N57&gt;=0.4,3,IF(Pathogens!N57&gt;=0.2,2,1))))*0.25),0)</f>
        <v>4</v>
      </c>
    </row>
    <row r="61" customHeight="1" spans="1:10">
      <c r="A61" s="18" t="s">
        <v>297</v>
      </c>
      <c r="B61" t="s">
        <v>298</v>
      </c>
      <c r="C61" s="19">
        <f>Pathogens!D58</f>
        <v>3</v>
      </c>
      <c r="D61" s="19">
        <f>Pathogens!E58</f>
        <v>1</v>
      </c>
      <c r="E61" s="19">
        <f>Pathogens!F58</f>
        <v>0</v>
      </c>
      <c r="F61" s="19">
        <f>Pathogens!D58+Pathogens!E58+Pathogens!F58</f>
        <v>4</v>
      </c>
      <c r="G61" s="19">
        <f>Pathogens!G58</f>
        <v>30</v>
      </c>
      <c r="H61" s="19">
        <f>Pathogens!N58</f>
        <v>0.5</v>
      </c>
      <c r="I61" s="19" t="str">
        <f>Pathogens!H58</f>
        <v>qPCR/seq</v>
      </c>
      <c r="J61" s="20">
        <f>ROUND(MIN(5,IF((Pathogens!D58+Pathogens!E58+Pathogens!F58)&gt;=6,5,IF((Pathogens!D58+Pathogens!E58+Pathogens!F58)&gt;=4,4,IF((Pathogens!D58+Pathogens!E58+Pathogens!F58)&gt;=3,3,IF((Pathogens!D58+Pathogens!E58+Pathogens!F58)&gt;=2,2,1))))*0.45+IF(Pathogens!G58&gt;=30,5,IF(Pathogens!G58&gt;=14,4,IF(Pathogens!G58&gt;=7,3,IF(Pathogens!G58&gt;=3,2,1))))*0.3+IF(Pathogens!N58&gt;=0.8,5,IF(Pathogens!N58&gt;=0.6,4,IF(Pathogens!N58&gt;=0.4,3,IF(Pathogens!N58&gt;=0.2,2,1))))*0.25),0)</f>
        <v>4</v>
      </c>
    </row>
    <row r="62" customHeight="1" spans="1:10">
      <c r="A62" s="18" t="s">
        <v>299</v>
      </c>
      <c r="B62" t="s">
        <v>300</v>
      </c>
      <c r="C62" s="19">
        <f>Pathogens!D59</f>
        <v>1</v>
      </c>
      <c r="D62" s="19">
        <f>Pathogens!E59</f>
        <v>0</v>
      </c>
      <c r="E62" s="19">
        <f>Pathogens!F59</f>
        <v>1</v>
      </c>
      <c r="F62" s="19">
        <f>Pathogens!D59+Pathogens!E59+Pathogens!F59</f>
        <v>2</v>
      </c>
      <c r="G62" s="19">
        <f>Pathogens!G59</f>
        <v>14</v>
      </c>
      <c r="H62" s="19">
        <f>Pathogens!N59</f>
        <v>0.4</v>
      </c>
      <c r="I62" s="19" t="str">
        <f>Pathogens!H59</f>
        <v>qPCR/seq</v>
      </c>
      <c r="J62" s="20">
        <f>ROUND(MIN(5,IF((Pathogens!D59+Pathogens!E59+Pathogens!F59)&gt;=6,5,IF((Pathogens!D59+Pathogens!E59+Pathogens!F59)&gt;=4,4,IF((Pathogens!D59+Pathogens!E59+Pathogens!F59)&gt;=3,3,IF((Pathogens!D59+Pathogens!E59+Pathogens!F59)&gt;=2,2,1))))*0.45+IF(Pathogens!G59&gt;=30,5,IF(Pathogens!G59&gt;=14,4,IF(Pathogens!G59&gt;=7,3,IF(Pathogens!G59&gt;=3,2,1))))*0.3+IF(Pathogens!N59&gt;=0.8,5,IF(Pathogens!N59&gt;=0.6,4,IF(Pathogens!N59&gt;=0.4,3,IF(Pathogens!N59&gt;=0.2,2,1))))*0.25),0)</f>
        <v>3</v>
      </c>
    </row>
    <row r="63" customHeight="1" spans="1:10">
      <c r="A63" s="18" t="s">
        <v>301</v>
      </c>
      <c r="B63" t="s">
        <v>302</v>
      </c>
      <c r="C63" s="19">
        <f>Pathogens!D60</f>
        <v>3</v>
      </c>
      <c r="D63" s="19">
        <f>Pathogens!E60</f>
        <v>1</v>
      </c>
      <c r="E63" s="19">
        <f>Pathogens!F60</f>
        <v>0</v>
      </c>
      <c r="F63" s="19">
        <f>Pathogens!D60+Pathogens!E60+Pathogens!F60</f>
        <v>4</v>
      </c>
      <c r="G63" s="19">
        <f>Pathogens!G60</f>
        <v>30</v>
      </c>
      <c r="H63" s="19">
        <f>Pathogens!N60</f>
        <v>0.7</v>
      </c>
      <c r="I63" s="19" t="str">
        <f>Pathogens!H60</f>
        <v>qPCR/seq</v>
      </c>
      <c r="J63" s="20">
        <f>ROUND(MIN(5,IF((Pathogens!D60+Pathogens!E60+Pathogens!F60)&gt;=6,5,IF((Pathogens!D60+Pathogens!E60+Pathogens!F60)&gt;=4,4,IF((Pathogens!D60+Pathogens!E60+Pathogens!F60)&gt;=3,3,IF((Pathogens!D60+Pathogens!E60+Pathogens!F60)&gt;=2,2,1))))*0.45+IF(Pathogens!G60&gt;=30,5,IF(Pathogens!G60&gt;=14,4,IF(Pathogens!G60&gt;=7,3,IF(Pathogens!G60&gt;=3,2,1))))*0.3+IF(Pathogens!N60&gt;=0.8,5,IF(Pathogens!N60&gt;=0.6,4,IF(Pathogens!N60&gt;=0.4,3,IF(Pathogens!N60&gt;=0.2,2,1))))*0.25),0)</f>
        <v>4</v>
      </c>
    </row>
    <row r="64" customHeight="1" spans="1:10">
      <c r="A64" s="18" t="s">
        <v>303</v>
      </c>
      <c r="B64" t="s">
        <v>304</v>
      </c>
      <c r="C64" s="19">
        <f>Pathogens!D61</f>
        <v>0</v>
      </c>
      <c r="D64" s="19">
        <f>Pathogens!E61</f>
        <v>1</v>
      </c>
      <c r="E64" s="19">
        <f>Pathogens!F61</f>
        <v>0</v>
      </c>
      <c r="F64" s="19">
        <f>Pathogens!D61+Pathogens!E61+Pathogens!F61</f>
        <v>1</v>
      </c>
      <c r="G64" s="19">
        <f>Pathogens!G61</f>
        <v>7</v>
      </c>
      <c r="H64" s="19">
        <f>Pathogens!N61</f>
        <v>0.1</v>
      </c>
      <c r="I64" s="19" t="str">
        <f>Pathogens!H61</f>
        <v>qPCR</v>
      </c>
      <c r="J64" s="20">
        <f>ROUND(MIN(5,IF((Pathogens!D61+Pathogens!E61+Pathogens!F61)&gt;=6,5,IF((Pathogens!D61+Pathogens!E61+Pathogens!F61)&gt;=4,4,IF((Pathogens!D61+Pathogens!E61+Pathogens!F61)&gt;=3,3,IF((Pathogens!D61+Pathogens!E61+Pathogens!F61)&gt;=2,2,1))))*0.45+IF(Pathogens!G61&gt;=30,5,IF(Pathogens!G61&gt;=14,4,IF(Pathogens!G61&gt;=7,3,IF(Pathogens!G61&gt;=3,2,1))))*0.3+IF(Pathogens!N61&gt;=0.8,5,IF(Pathogens!N61&gt;=0.6,4,IF(Pathogens!N61&gt;=0.4,3,IF(Pathogens!N61&gt;=0.2,2,1))))*0.25),0)</f>
        <v>2</v>
      </c>
    </row>
    <row r="65" customHeight="1" spans="1:10">
      <c r="A65" s="18" t="s">
        <v>306</v>
      </c>
      <c r="B65" t="s">
        <v>307</v>
      </c>
      <c r="C65" s="19">
        <f>Pathogens!D62</f>
        <v>0</v>
      </c>
      <c r="D65" s="19">
        <f>Pathogens!E62</f>
        <v>1</v>
      </c>
      <c r="E65" s="19">
        <f>Pathogens!F62</f>
        <v>0</v>
      </c>
      <c r="F65" s="19">
        <f>Pathogens!D62+Pathogens!E62+Pathogens!F62</f>
        <v>1</v>
      </c>
      <c r="G65" s="19">
        <f>Pathogens!G62</f>
        <v>1</v>
      </c>
      <c r="H65" s="19">
        <f>Pathogens!N62</f>
        <v>0.1</v>
      </c>
      <c r="I65" s="19" t="str">
        <f>Pathogens!H62</f>
        <v>RT-qPCR</v>
      </c>
      <c r="J65" s="20">
        <f>ROUND(MIN(5,IF((Pathogens!D62+Pathogens!E62+Pathogens!F62)&gt;=6,5,IF((Pathogens!D62+Pathogens!E62+Pathogens!F62)&gt;=4,4,IF((Pathogens!D62+Pathogens!E62+Pathogens!F62)&gt;=3,3,IF((Pathogens!D62+Pathogens!E62+Pathogens!F62)&gt;=2,2,1))))*0.45+IF(Pathogens!G62&gt;=30,5,IF(Pathogens!G62&gt;=14,4,IF(Pathogens!G62&gt;=7,3,IF(Pathogens!G62&gt;=3,2,1))))*0.3+IF(Pathogens!N62&gt;=0.8,5,IF(Pathogens!N62&gt;=0.6,4,IF(Pathogens!N62&gt;=0.4,3,IF(Pathogens!N62&gt;=0.2,2,1))))*0.25),0)</f>
        <v>1</v>
      </c>
    </row>
    <row r="66" customHeight="1" spans="1:10">
      <c r="A66" s="18" t="s">
        <v>308</v>
      </c>
      <c r="B66" t="s">
        <v>309</v>
      </c>
      <c r="C66" s="19">
        <f>Pathogens!D63</f>
        <v>0</v>
      </c>
      <c r="D66" s="19">
        <f>Pathogens!E63</f>
        <v>1</v>
      </c>
      <c r="E66" s="19">
        <f>Pathogens!F63</f>
        <v>0</v>
      </c>
      <c r="F66" s="19">
        <f>Pathogens!D63+Pathogens!E63+Pathogens!F63</f>
        <v>1</v>
      </c>
      <c r="G66" s="19">
        <f>Pathogens!G63</f>
        <v>1</v>
      </c>
      <c r="H66" s="19">
        <f>Pathogens!N63</f>
        <v>0.1</v>
      </c>
      <c r="I66" s="19" t="str">
        <f>Pathogens!H63</f>
        <v>RT-qPCR</v>
      </c>
      <c r="J66" s="20">
        <f>ROUND(MIN(5,IF((Pathogens!D63+Pathogens!E63+Pathogens!F63)&gt;=6,5,IF((Pathogens!D63+Pathogens!E63+Pathogens!F63)&gt;=4,4,IF((Pathogens!D63+Pathogens!E63+Pathogens!F63)&gt;=3,3,IF((Pathogens!D63+Pathogens!E63+Pathogens!F63)&gt;=2,2,1))))*0.45+IF(Pathogens!G63&gt;=30,5,IF(Pathogens!G63&gt;=14,4,IF(Pathogens!G63&gt;=7,3,IF(Pathogens!G63&gt;=3,2,1))))*0.3+IF(Pathogens!N63&gt;=0.8,5,IF(Pathogens!N63&gt;=0.6,4,IF(Pathogens!N63&gt;=0.4,3,IF(Pathogens!N63&gt;=0.2,2,1))))*0.25),0)</f>
        <v>1</v>
      </c>
    </row>
    <row r="67" customHeight="1" spans="1:10">
      <c r="A67" s="18" t="s">
        <v>311</v>
      </c>
      <c r="B67" t="s">
        <v>312</v>
      </c>
      <c r="C67" s="19">
        <f>Pathogens!D64</f>
        <v>1</v>
      </c>
      <c r="D67" s="19">
        <f>Pathogens!E64</f>
        <v>0</v>
      </c>
      <c r="E67" s="19">
        <f>Pathogens!F64</f>
        <v>1</v>
      </c>
      <c r="F67" s="19">
        <f>Pathogens!D64+Pathogens!E64+Pathogens!F64</f>
        <v>2</v>
      </c>
      <c r="G67" s="19">
        <f>Pathogens!G64</f>
        <v>365</v>
      </c>
      <c r="H67" s="19">
        <f>Pathogens!N64</f>
        <v>0.4</v>
      </c>
      <c r="I67" s="19" t="str">
        <f>Pathogens!H64</f>
        <v>qPCR</v>
      </c>
      <c r="J67" s="20">
        <f>ROUND(MIN(5,IF((Pathogens!D64+Pathogens!E64+Pathogens!F64)&gt;=6,5,IF((Pathogens!D64+Pathogens!E64+Pathogens!F64)&gt;=4,4,IF((Pathogens!D64+Pathogens!E64+Pathogens!F64)&gt;=3,3,IF((Pathogens!D64+Pathogens!E64+Pathogens!F64)&gt;=2,2,1))))*0.45+IF(Pathogens!G64&gt;=30,5,IF(Pathogens!G64&gt;=14,4,IF(Pathogens!G64&gt;=7,3,IF(Pathogens!G64&gt;=3,2,1))))*0.3+IF(Pathogens!N64&gt;=0.8,5,IF(Pathogens!N64&gt;=0.6,4,IF(Pathogens!N64&gt;=0.4,3,IF(Pathogens!N64&gt;=0.2,2,1))))*0.25),0)</f>
        <v>3</v>
      </c>
    </row>
    <row r="68" customHeight="1" spans="1:10">
      <c r="A68" s="18" t="s">
        <v>313</v>
      </c>
      <c r="B68" t="s">
        <v>314</v>
      </c>
      <c r="C68" s="19">
        <f>Pathogens!D65</f>
        <v>0</v>
      </c>
      <c r="D68" s="19">
        <f>Pathogens!E65</f>
        <v>1</v>
      </c>
      <c r="E68" s="19">
        <f>Pathogens!F65</f>
        <v>0</v>
      </c>
      <c r="F68" s="19">
        <f>Pathogens!D65+Pathogens!E65+Pathogens!F65</f>
        <v>1</v>
      </c>
      <c r="G68" s="19">
        <f>Pathogens!G65</f>
        <v>1</v>
      </c>
      <c r="H68" s="19">
        <f>Pathogens!N65</f>
        <v>0.2</v>
      </c>
      <c r="I68" s="19" t="str">
        <f>Pathogens!H65</f>
        <v>qPCR</v>
      </c>
      <c r="J68" s="20">
        <f>ROUND(MIN(5,IF((Pathogens!D65+Pathogens!E65+Pathogens!F65)&gt;=6,5,IF((Pathogens!D65+Pathogens!E65+Pathogens!F65)&gt;=4,4,IF((Pathogens!D65+Pathogens!E65+Pathogens!F65)&gt;=3,3,IF((Pathogens!D65+Pathogens!E65+Pathogens!F65)&gt;=2,2,1))))*0.45+IF(Pathogens!G65&gt;=30,5,IF(Pathogens!G65&gt;=14,4,IF(Pathogens!G65&gt;=7,3,IF(Pathogens!G65&gt;=3,2,1))))*0.3+IF(Pathogens!N65&gt;=0.8,5,IF(Pathogens!N65&gt;=0.6,4,IF(Pathogens!N65&gt;=0.4,3,IF(Pathogens!N65&gt;=0.2,2,1))))*0.25),0)</f>
        <v>1</v>
      </c>
    </row>
  </sheetData>
  <pageMargins left="0.75" right="0.75" top="1" bottom="1" header="0.511811023622047" footer="0.511811023622047"/>
  <pageSetup paperSize="9" orientation="portrait" horizontalDpi="300" verticalDpi="3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outlineLevelCol="6"/>
  <cols>
    <col min="1" max="1" width="18" customWidth="1"/>
    <col min="2" max="2" width="36" customWidth="1"/>
    <col min="3" max="7" width="18" customWidth="1"/>
  </cols>
  <sheetData>
    <row r="1" ht="19.5" customHeight="1" spans="1:7">
      <c r="A1" s="1" t="s">
        <v>624</v>
      </c>
    </row>
    <row r="2" customHeight="1" spans="1:7">
      <c r="A2" s="16" t="s">
        <v>606</v>
      </c>
    </row>
    <row r="4" ht="39" customHeight="1" spans="1:7">
      <c r="A4" s="17" t="s">
        <v>147</v>
      </c>
      <c r="B4" s="17" t="s">
        <v>148</v>
      </c>
      <c r="C4" s="17" t="s">
        <v>625</v>
      </c>
      <c r="D4" s="17" t="s">
        <v>131</v>
      </c>
      <c r="E4" s="17" t="s">
        <v>609</v>
      </c>
      <c r="F4" s="17" t="s">
        <v>626</v>
      </c>
      <c r="G4" s="17" t="s">
        <v>611</v>
      </c>
    </row>
    <row r="5" customHeight="1" spans="1:7">
      <c r="A5" s="18" t="s">
        <v>169</v>
      </c>
      <c r="B5" t="s">
        <v>170</v>
      </c>
      <c r="C5" s="19">
        <f>Calculator!$B$11</f>
        <v>4</v>
      </c>
      <c r="D5" s="19">
        <f>Calculator!$B$12</f>
        <v>4</v>
      </c>
      <c r="E5" s="19">
        <f>Pathogens!N2</f>
        <v>1</v>
      </c>
      <c r="F5" s="19">
        <f>Calculator!$B$8</f>
        <v>40.9</v>
      </c>
      <c r="G5" s="20">
        <f t="shared" ref="G5:G36" si="0">ROUND(MAX(1,MIN(5,(6-C5)*0.5+(6-D5)*0.4+(IF(AND(E5&gt;=0.5,F5&lt;60),5,IF(E5&gt;=0.5,4,IF(E5&gt;=0.3,3,IF(E5&gt;=0.1,2,1)))))*0.1)),0)</f>
        <v>2</v>
      </c>
    </row>
    <row r="6" customHeight="1" spans="1:7">
      <c r="A6" s="18" t="s">
        <v>172</v>
      </c>
      <c r="B6" t="s">
        <v>173</v>
      </c>
      <c r="C6" s="19">
        <f>Calculator!$B$11</f>
        <v>4</v>
      </c>
      <c r="D6" s="19">
        <f>Calculator!$B$12</f>
        <v>4</v>
      </c>
      <c r="E6" s="19">
        <f>Pathogens!N3</f>
        <v>0.3</v>
      </c>
      <c r="F6" s="19">
        <f>Calculator!$B$8</f>
        <v>40.9</v>
      </c>
      <c r="G6" s="20">
        <f t="shared" si="0"/>
        <v>2</v>
      </c>
    </row>
    <row r="7" customHeight="1" spans="1:7">
      <c r="A7" s="18" t="s">
        <v>174</v>
      </c>
      <c r="B7" t="s">
        <v>175</v>
      </c>
      <c r="C7" s="19">
        <f>Calculator!$B$11</f>
        <v>4</v>
      </c>
      <c r="D7" s="19">
        <f>Calculator!$B$12</f>
        <v>4</v>
      </c>
      <c r="E7" s="19">
        <f>Pathogens!N4</f>
        <v>0.2</v>
      </c>
      <c r="F7" s="19">
        <f>Calculator!$B$8</f>
        <v>40.9</v>
      </c>
      <c r="G7" s="20">
        <f t="shared" si="0"/>
        <v>2</v>
      </c>
    </row>
    <row r="8" customHeight="1" spans="1:7">
      <c r="A8" s="18" t="s">
        <v>176</v>
      </c>
      <c r="B8" t="s">
        <v>177</v>
      </c>
      <c r="C8" s="19">
        <f>Calculator!$B$11</f>
        <v>4</v>
      </c>
      <c r="D8" s="19">
        <f>Calculator!$B$12</f>
        <v>4</v>
      </c>
      <c r="E8" s="19">
        <f>Pathogens!N5</f>
        <v>0.1</v>
      </c>
      <c r="F8" s="19">
        <f>Calculator!$B$8</f>
        <v>40.9</v>
      </c>
      <c r="G8" s="20">
        <f t="shared" si="0"/>
        <v>2</v>
      </c>
    </row>
    <row r="9" customHeight="1" spans="1:7">
      <c r="A9" s="18" t="s">
        <v>179</v>
      </c>
      <c r="B9" t="s">
        <v>180</v>
      </c>
      <c r="C9" s="19">
        <f>Calculator!$B$11</f>
        <v>4</v>
      </c>
      <c r="D9" s="19">
        <f>Calculator!$B$12</f>
        <v>4</v>
      </c>
      <c r="E9" s="19">
        <f>Pathogens!N6</f>
        <v>0.2</v>
      </c>
      <c r="F9" s="19">
        <f>Calculator!$B$8</f>
        <v>40.9</v>
      </c>
      <c r="G9" s="20">
        <f t="shared" si="0"/>
        <v>2</v>
      </c>
    </row>
    <row r="10" customHeight="1" spans="1:7">
      <c r="A10" s="18" t="s">
        <v>181</v>
      </c>
      <c r="B10" t="s">
        <v>182</v>
      </c>
      <c r="C10" s="19">
        <f>Calculator!$B$11</f>
        <v>4</v>
      </c>
      <c r="D10" s="19">
        <f>Calculator!$B$12</f>
        <v>4</v>
      </c>
      <c r="E10" s="19">
        <f>Pathogens!N7</f>
        <v>0.1</v>
      </c>
      <c r="F10" s="19">
        <f>Calculator!$B$8</f>
        <v>40.9</v>
      </c>
      <c r="G10" s="20">
        <f t="shared" si="0"/>
        <v>2</v>
      </c>
    </row>
    <row r="11" customHeight="1" spans="1:7">
      <c r="A11" s="18" t="s">
        <v>183</v>
      </c>
      <c r="B11" t="s">
        <v>184</v>
      </c>
      <c r="C11" s="19">
        <f>Calculator!$B$11</f>
        <v>4</v>
      </c>
      <c r="D11" s="19">
        <f>Calculator!$B$12</f>
        <v>4</v>
      </c>
      <c r="E11" s="19">
        <f>Pathogens!N8</f>
        <v>0.1</v>
      </c>
      <c r="F11" s="19">
        <f>Calculator!$B$8</f>
        <v>40.9</v>
      </c>
      <c r="G11" s="20">
        <f t="shared" si="0"/>
        <v>2</v>
      </c>
    </row>
    <row r="12" customHeight="1" spans="1:7">
      <c r="A12" s="18" t="s">
        <v>185</v>
      </c>
      <c r="B12" t="s">
        <v>186</v>
      </c>
      <c r="C12" s="19">
        <f>Calculator!$B$11</f>
        <v>4</v>
      </c>
      <c r="D12" s="19">
        <f>Calculator!$B$12</f>
        <v>4</v>
      </c>
      <c r="E12" s="19">
        <f>Pathogens!N9</f>
        <v>0.1</v>
      </c>
      <c r="F12" s="19">
        <f>Calculator!$B$8</f>
        <v>40.9</v>
      </c>
      <c r="G12" s="20">
        <f t="shared" si="0"/>
        <v>2</v>
      </c>
    </row>
    <row r="13" customHeight="1" spans="1:7">
      <c r="A13" s="18" t="s">
        <v>187</v>
      </c>
      <c r="B13" t="s">
        <v>188</v>
      </c>
      <c r="C13" s="19">
        <f>Calculator!$B$11</f>
        <v>4</v>
      </c>
      <c r="D13" s="19">
        <f>Calculator!$B$12</f>
        <v>4</v>
      </c>
      <c r="E13" s="19">
        <f>Pathogens!N10</f>
        <v>0.4</v>
      </c>
      <c r="F13" s="19">
        <f>Calculator!$B$8</f>
        <v>40.9</v>
      </c>
      <c r="G13" s="20">
        <f t="shared" si="0"/>
        <v>2</v>
      </c>
    </row>
    <row r="14" customHeight="1" spans="1:7">
      <c r="A14" s="18" t="s">
        <v>190</v>
      </c>
      <c r="B14" t="s">
        <v>191</v>
      </c>
      <c r="C14" s="19">
        <f>Calculator!$B$11</f>
        <v>4</v>
      </c>
      <c r="D14" s="19">
        <f>Calculator!$B$12</f>
        <v>4</v>
      </c>
      <c r="E14" s="19">
        <f>Pathogens!N11</f>
        <v>0.2</v>
      </c>
      <c r="F14" s="19">
        <f>Calculator!$B$8</f>
        <v>40.9</v>
      </c>
      <c r="G14" s="20">
        <f t="shared" si="0"/>
        <v>2</v>
      </c>
    </row>
    <row r="15" customHeight="1" spans="1:7">
      <c r="A15" s="18" t="s">
        <v>192</v>
      </c>
      <c r="B15" t="s">
        <v>193</v>
      </c>
      <c r="C15" s="19">
        <f>Calculator!$B$11</f>
        <v>4</v>
      </c>
      <c r="D15" s="19">
        <f>Calculator!$B$12</f>
        <v>4</v>
      </c>
      <c r="E15" s="19">
        <f>Pathogens!N12</f>
        <v>0.5</v>
      </c>
      <c r="F15" s="19">
        <f>Calculator!$B$8</f>
        <v>40.9</v>
      </c>
      <c r="G15" s="20">
        <f t="shared" si="0"/>
        <v>2</v>
      </c>
    </row>
    <row r="16" customHeight="1" spans="1:7">
      <c r="A16" s="18" t="s">
        <v>194</v>
      </c>
      <c r="B16" t="s">
        <v>195</v>
      </c>
      <c r="C16" s="19">
        <f>Calculator!$B$11</f>
        <v>4</v>
      </c>
      <c r="D16" s="19">
        <f>Calculator!$B$12</f>
        <v>4</v>
      </c>
      <c r="E16" s="19">
        <f>Pathogens!N13</f>
        <v>0.5</v>
      </c>
      <c r="F16" s="19">
        <f>Calculator!$B$8</f>
        <v>40.9</v>
      </c>
      <c r="G16" s="20">
        <f t="shared" si="0"/>
        <v>2</v>
      </c>
    </row>
    <row r="17" customHeight="1" spans="1:7">
      <c r="A17" s="18" t="s">
        <v>196</v>
      </c>
      <c r="B17" t="s">
        <v>197</v>
      </c>
      <c r="C17" s="19">
        <f>Calculator!$B$11</f>
        <v>4</v>
      </c>
      <c r="D17" s="19">
        <f>Calculator!$B$12</f>
        <v>4</v>
      </c>
      <c r="E17" s="19">
        <f>Pathogens!N14</f>
        <v>0.7</v>
      </c>
      <c r="F17" s="19">
        <f>Calculator!$B$8</f>
        <v>40.9</v>
      </c>
      <c r="G17" s="20">
        <f t="shared" si="0"/>
        <v>2</v>
      </c>
    </row>
    <row r="18" customHeight="1" spans="1:7">
      <c r="A18" s="18" t="s">
        <v>198</v>
      </c>
      <c r="B18" t="s">
        <v>199</v>
      </c>
      <c r="C18" s="19">
        <f>Calculator!$B$11</f>
        <v>4</v>
      </c>
      <c r="D18" s="19">
        <f>Calculator!$B$12</f>
        <v>4</v>
      </c>
      <c r="E18" s="19">
        <f>Pathogens!N15</f>
        <v>0.3</v>
      </c>
      <c r="F18" s="19">
        <f>Calculator!$B$8</f>
        <v>40.9</v>
      </c>
      <c r="G18" s="20">
        <f t="shared" si="0"/>
        <v>2</v>
      </c>
    </row>
    <row r="19" customHeight="1" spans="1:7">
      <c r="A19" s="18" t="s">
        <v>201</v>
      </c>
      <c r="B19" t="s">
        <v>202</v>
      </c>
      <c r="C19" s="19">
        <f>Calculator!$B$11</f>
        <v>4</v>
      </c>
      <c r="D19" s="19">
        <f>Calculator!$B$12</f>
        <v>4</v>
      </c>
      <c r="E19" s="19">
        <f>Pathogens!N16</f>
        <v>0.2</v>
      </c>
      <c r="F19" s="19">
        <f>Calculator!$B$8</f>
        <v>40.9</v>
      </c>
      <c r="G19" s="20">
        <f t="shared" si="0"/>
        <v>2</v>
      </c>
    </row>
    <row r="20" customHeight="1" spans="1:7">
      <c r="A20" s="18" t="s">
        <v>204</v>
      </c>
      <c r="B20" t="s">
        <v>205</v>
      </c>
      <c r="C20" s="19">
        <f>Calculator!$B$11</f>
        <v>4</v>
      </c>
      <c r="D20" s="19">
        <f>Calculator!$B$12</f>
        <v>4</v>
      </c>
      <c r="E20" s="19">
        <f>Pathogens!N17</f>
        <v>0.1</v>
      </c>
      <c r="F20" s="19">
        <f>Calculator!$B$8</f>
        <v>40.9</v>
      </c>
      <c r="G20" s="20">
        <f t="shared" si="0"/>
        <v>2</v>
      </c>
    </row>
    <row r="21" customHeight="1" spans="1:7">
      <c r="A21" s="18" t="s">
        <v>206</v>
      </c>
      <c r="B21" t="s">
        <v>207</v>
      </c>
      <c r="C21" s="19">
        <f>Calculator!$B$11</f>
        <v>4</v>
      </c>
      <c r="D21" s="19">
        <f>Calculator!$B$12</f>
        <v>4</v>
      </c>
      <c r="E21" s="19">
        <f>Pathogens!N18</f>
        <v>0.2</v>
      </c>
      <c r="F21" s="19">
        <f>Calculator!$B$8</f>
        <v>40.9</v>
      </c>
      <c r="G21" s="20">
        <f t="shared" si="0"/>
        <v>2</v>
      </c>
    </row>
    <row r="22" customHeight="1" spans="1:7">
      <c r="A22" s="18" t="s">
        <v>208</v>
      </c>
      <c r="B22" t="s">
        <v>209</v>
      </c>
      <c r="C22" s="19">
        <f>Calculator!$B$11</f>
        <v>4</v>
      </c>
      <c r="D22" s="19">
        <f>Calculator!$B$12</f>
        <v>4</v>
      </c>
      <c r="E22" s="19">
        <f>Pathogens!N19</f>
        <v>0.3</v>
      </c>
      <c r="F22" s="19">
        <f>Calculator!$B$8</f>
        <v>40.9</v>
      </c>
      <c r="G22" s="20">
        <f t="shared" si="0"/>
        <v>2</v>
      </c>
    </row>
    <row r="23" customHeight="1" spans="1:7">
      <c r="A23" s="18" t="s">
        <v>211</v>
      </c>
      <c r="B23" t="s">
        <v>212</v>
      </c>
      <c r="C23" s="19">
        <f>Calculator!$B$11</f>
        <v>4</v>
      </c>
      <c r="D23" s="19">
        <f>Calculator!$B$12</f>
        <v>4</v>
      </c>
      <c r="E23" s="19">
        <f>Pathogens!N20</f>
        <v>0.2</v>
      </c>
      <c r="F23" s="19">
        <f>Calculator!$B$8</f>
        <v>40.9</v>
      </c>
      <c r="G23" s="20">
        <f t="shared" si="0"/>
        <v>2</v>
      </c>
    </row>
    <row r="24" customHeight="1" spans="1:7">
      <c r="A24" s="18" t="s">
        <v>213</v>
      </c>
      <c r="B24" t="s">
        <v>214</v>
      </c>
      <c r="C24" s="19">
        <f>Calculator!$B$11</f>
        <v>4</v>
      </c>
      <c r="D24" s="19">
        <f>Calculator!$B$12</f>
        <v>4</v>
      </c>
      <c r="E24" s="19">
        <f>Pathogens!N21</f>
        <v>0.5</v>
      </c>
      <c r="F24" s="19">
        <f>Calculator!$B$8</f>
        <v>40.9</v>
      </c>
      <c r="G24" s="20">
        <f t="shared" si="0"/>
        <v>2</v>
      </c>
    </row>
    <row r="25" customHeight="1" spans="1:7">
      <c r="A25" s="18" t="s">
        <v>216</v>
      </c>
      <c r="B25" t="s">
        <v>217</v>
      </c>
      <c r="C25" s="19">
        <f>Calculator!$B$11</f>
        <v>4</v>
      </c>
      <c r="D25" s="19">
        <f>Calculator!$B$12</f>
        <v>4</v>
      </c>
      <c r="E25" s="19">
        <f>Pathogens!N22</f>
        <v>0.4</v>
      </c>
      <c r="F25" s="19">
        <f>Calculator!$B$8</f>
        <v>40.9</v>
      </c>
      <c r="G25" s="20">
        <f t="shared" si="0"/>
        <v>2</v>
      </c>
    </row>
    <row r="26" customHeight="1" spans="1:7">
      <c r="A26" s="18" t="s">
        <v>219</v>
      </c>
      <c r="B26" t="s">
        <v>220</v>
      </c>
      <c r="C26" s="19">
        <f>Calculator!$B$11</f>
        <v>4</v>
      </c>
      <c r="D26" s="19">
        <f>Calculator!$B$12</f>
        <v>4</v>
      </c>
      <c r="E26" s="19">
        <f>Pathogens!N23</f>
        <v>0.95</v>
      </c>
      <c r="F26" s="19">
        <f>Calculator!$B$8</f>
        <v>40.9</v>
      </c>
      <c r="G26" s="20">
        <f t="shared" si="0"/>
        <v>2</v>
      </c>
    </row>
    <row r="27" customHeight="1" spans="1:7">
      <c r="A27" s="18" t="s">
        <v>222</v>
      </c>
      <c r="B27" t="s">
        <v>223</v>
      </c>
      <c r="C27" s="19">
        <f>Calculator!$B$11</f>
        <v>4</v>
      </c>
      <c r="D27" s="19">
        <f>Calculator!$B$12</f>
        <v>4</v>
      </c>
      <c r="E27" s="19">
        <f>Pathogens!N24</f>
        <v>0.95</v>
      </c>
      <c r="F27" s="19">
        <f>Calculator!$B$8</f>
        <v>40.9</v>
      </c>
      <c r="G27" s="20">
        <f t="shared" si="0"/>
        <v>2</v>
      </c>
    </row>
    <row r="28" customHeight="1" spans="1:7">
      <c r="A28" s="18" t="s">
        <v>224</v>
      </c>
      <c r="B28" t="s">
        <v>225</v>
      </c>
      <c r="C28" s="19">
        <f>Calculator!$B$11</f>
        <v>4</v>
      </c>
      <c r="D28" s="19">
        <f>Calculator!$B$12</f>
        <v>4</v>
      </c>
      <c r="E28" s="19">
        <f>Pathogens!N25</f>
        <v>0.85</v>
      </c>
      <c r="F28" s="19">
        <f>Calculator!$B$8</f>
        <v>40.9</v>
      </c>
      <c r="G28" s="20">
        <f t="shared" si="0"/>
        <v>2</v>
      </c>
    </row>
    <row r="29" customHeight="1" spans="1:7">
      <c r="A29" s="18" t="s">
        <v>226</v>
      </c>
      <c r="B29" t="s">
        <v>227</v>
      </c>
      <c r="C29" s="19">
        <f>Calculator!$B$11</f>
        <v>4</v>
      </c>
      <c r="D29" s="19">
        <f>Calculator!$B$12</f>
        <v>4</v>
      </c>
      <c r="E29" s="19">
        <f>Pathogens!N26</f>
        <v>0.85</v>
      </c>
      <c r="F29" s="19">
        <f>Calculator!$B$8</f>
        <v>40.9</v>
      </c>
      <c r="G29" s="20">
        <f t="shared" si="0"/>
        <v>2</v>
      </c>
    </row>
    <row r="30" customHeight="1" spans="1:7">
      <c r="A30" s="18" t="s">
        <v>228</v>
      </c>
      <c r="B30" t="s">
        <v>229</v>
      </c>
      <c r="C30" s="19">
        <f>Calculator!$B$11</f>
        <v>4</v>
      </c>
      <c r="D30" s="19">
        <f>Calculator!$B$12</f>
        <v>4</v>
      </c>
      <c r="E30" s="19">
        <f>Pathogens!N27</f>
        <v>0.85</v>
      </c>
      <c r="F30" s="19">
        <f>Calculator!$B$8</f>
        <v>40.9</v>
      </c>
      <c r="G30" s="20">
        <f t="shared" si="0"/>
        <v>2</v>
      </c>
    </row>
    <row r="31" customHeight="1" spans="1:7">
      <c r="A31" s="18" t="s">
        <v>230</v>
      </c>
      <c r="B31" t="s">
        <v>231</v>
      </c>
      <c r="C31" s="19">
        <f>Calculator!$B$11</f>
        <v>4</v>
      </c>
      <c r="D31" s="19">
        <f>Calculator!$B$12</f>
        <v>4</v>
      </c>
      <c r="E31" s="19">
        <f>Pathogens!N28</f>
        <v>0.85</v>
      </c>
      <c r="F31" s="19">
        <f>Calculator!$B$8</f>
        <v>40.9</v>
      </c>
      <c r="G31" s="20">
        <f t="shared" si="0"/>
        <v>2</v>
      </c>
    </row>
    <row r="32" customHeight="1" spans="1:7">
      <c r="A32" s="18" t="s">
        <v>232</v>
      </c>
      <c r="B32" t="s">
        <v>233</v>
      </c>
      <c r="C32" s="19">
        <f>Calculator!$B$11</f>
        <v>4</v>
      </c>
      <c r="D32" s="19">
        <f>Calculator!$B$12</f>
        <v>4</v>
      </c>
      <c r="E32" s="19">
        <f>Pathogens!N29</f>
        <v>0.7</v>
      </c>
      <c r="F32" s="19">
        <f>Calculator!$B$8</f>
        <v>40.9</v>
      </c>
      <c r="G32" s="20">
        <f t="shared" si="0"/>
        <v>2</v>
      </c>
    </row>
    <row r="33" customHeight="1" spans="1:7">
      <c r="A33" s="18" t="s">
        <v>234</v>
      </c>
      <c r="B33" t="s">
        <v>235</v>
      </c>
      <c r="C33" s="19">
        <f>Calculator!$B$11</f>
        <v>4</v>
      </c>
      <c r="D33" s="19">
        <f>Calculator!$B$12</f>
        <v>4</v>
      </c>
      <c r="E33" s="19">
        <f>Pathogens!N30</f>
        <v>0.7</v>
      </c>
      <c r="F33" s="19">
        <f>Calculator!$B$8</f>
        <v>40.9</v>
      </c>
      <c r="G33" s="20">
        <f t="shared" si="0"/>
        <v>2</v>
      </c>
    </row>
    <row r="34" customHeight="1" spans="1:7">
      <c r="A34" s="18" t="s">
        <v>236</v>
      </c>
      <c r="B34" t="s">
        <v>237</v>
      </c>
      <c r="C34" s="19">
        <f>Calculator!$B$11</f>
        <v>4</v>
      </c>
      <c r="D34" s="19">
        <f>Calculator!$B$12</f>
        <v>4</v>
      </c>
      <c r="E34" s="19">
        <f>Pathogens!N31</f>
        <v>1</v>
      </c>
      <c r="F34" s="19">
        <f>Calculator!$B$8</f>
        <v>40.9</v>
      </c>
      <c r="G34" s="20">
        <f t="shared" si="0"/>
        <v>2</v>
      </c>
    </row>
    <row r="35" customHeight="1" spans="1:7">
      <c r="A35" s="18" t="s">
        <v>239</v>
      </c>
      <c r="B35" t="s">
        <v>240</v>
      </c>
      <c r="C35" s="19">
        <f>Calculator!$B$11</f>
        <v>4</v>
      </c>
      <c r="D35" s="19">
        <f>Calculator!$B$12</f>
        <v>4</v>
      </c>
      <c r="E35" s="19">
        <f>Pathogens!N32</f>
        <v>0.9</v>
      </c>
      <c r="F35" s="19">
        <f>Calculator!$B$8</f>
        <v>40.9</v>
      </c>
      <c r="G35" s="20">
        <f t="shared" si="0"/>
        <v>2</v>
      </c>
    </row>
    <row r="36" customHeight="1" spans="1:7">
      <c r="A36" s="18" t="s">
        <v>241</v>
      </c>
      <c r="B36" t="s">
        <v>242</v>
      </c>
      <c r="C36" s="19">
        <f>Calculator!$B$11</f>
        <v>4</v>
      </c>
      <c r="D36" s="19">
        <f>Calculator!$B$12</f>
        <v>4</v>
      </c>
      <c r="E36" s="19">
        <f>Pathogens!N33</f>
        <v>0.95</v>
      </c>
      <c r="F36" s="19">
        <f>Calculator!$B$8</f>
        <v>40.9</v>
      </c>
      <c r="G36" s="20">
        <f t="shared" si="0"/>
        <v>2</v>
      </c>
    </row>
    <row r="37" customHeight="1" spans="1:7">
      <c r="A37" s="18" t="s">
        <v>243</v>
      </c>
      <c r="B37" t="s">
        <v>244</v>
      </c>
      <c r="C37" s="19">
        <f>Calculator!$B$11</f>
        <v>4</v>
      </c>
      <c r="D37" s="19">
        <f>Calculator!$B$12</f>
        <v>4</v>
      </c>
      <c r="E37" s="19">
        <f>Pathogens!N34</f>
        <v>0.95</v>
      </c>
      <c r="F37" s="19">
        <f>Calculator!$B$8</f>
        <v>40.9</v>
      </c>
      <c r="G37" s="20">
        <f t="shared" ref="G37:G68" si="1">ROUND(MAX(1,MIN(5,(6-C37)*0.5+(6-D37)*0.4+(IF(AND(E37&gt;=0.5,F37&lt;60),5,IF(E37&gt;=0.5,4,IF(E37&gt;=0.3,3,IF(E37&gt;=0.1,2,1)))))*0.1)),0)</f>
        <v>2</v>
      </c>
    </row>
    <row r="38" customHeight="1" spans="1:7">
      <c r="A38" s="18" t="s">
        <v>245</v>
      </c>
      <c r="B38" t="s">
        <v>246</v>
      </c>
      <c r="C38" s="19">
        <f>Calculator!$B$11</f>
        <v>4</v>
      </c>
      <c r="D38" s="19">
        <f>Calculator!$B$12</f>
        <v>4</v>
      </c>
      <c r="E38" s="19">
        <f>Pathogens!N35</f>
        <v>0.85</v>
      </c>
      <c r="F38" s="19">
        <f>Calculator!$B$8</f>
        <v>40.9</v>
      </c>
      <c r="G38" s="20">
        <f t="shared" si="1"/>
        <v>2</v>
      </c>
    </row>
    <row r="39" customHeight="1" spans="1:7">
      <c r="A39" s="18" t="s">
        <v>247</v>
      </c>
      <c r="B39" t="s">
        <v>248</v>
      </c>
      <c r="C39" s="19">
        <f>Calculator!$B$11</f>
        <v>4</v>
      </c>
      <c r="D39" s="19">
        <f>Calculator!$B$12</f>
        <v>4</v>
      </c>
      <c r="E39" s="19">
        <f>Pathogens!N36</f>
        <v>0.95</v>
      </c>
      <c r="F39" s="19">
        <f>Calculator!$B$8</f>
        <v>40.9</v>
      </c>
      <c r="G39" s="20">
        <f t="shared" si="1"/>
        <v>2</v>
      </c>
    </row>
    <row r="40" customHeight="1" spans="1:7">
      <c r="A40" s="18" t="s">
        <v>249</v>
      </c>
      <c r="B40" t="s">
        <v>250</v>
      </c>
      <c r="C40" s="19">
        <f>Calculator!$B$11</f>
        <v>4</v>
      </c>
      <c r="D40" s="19">
        <f>Calculator!$B$12</f>
        <v>4</v>
      </c>
      <c r="E40" s="19">
        <f>Pathogens!N37</f>
        <v>0.9</v>
      </c>
      <c r="F40" s="19">
        <f>Calculator!$B$8</f>
        <v>40.9</v>
      </c>
      <c r="G40" s="20">
        <f t="shared" si="1"/>
        <v>2</v>
      </c>
    </row>
    <row r="41" customHeight="1" spans="1:7">
      <c r="A41" s="18" t="s">
        <v>251</v>
      </c>
      <c r="B41" t="s">
        <v>252</v>
      </c>
      <c r="C41" s="19">
        <f>Calculator!$B$11</f>
        <v>4</v>
      </c>
      <c r="D41" s="19">
        <f>Calculator!$B$12</f>
        <v>4</v>
      </c>
      <c r="E41" s="19">
        <f>Pathogens!N38</f>
        <v>0.85</v>
      </c>
      <c r="F41" s="19">
        <f>Calculator!$B$8</f>
        <v>40.9</v>
      </c>
      <c r="G41" s="20">
        <f t="shared" si="1"/>
        <v>2</v>
      </c>
    </row>
    <row r="42" customHeight="1" spans="1:7">
      <c r="A42" s="18" t="s">
        <v>253</v>
      </c>
      <c r="B42" t="s">
        <v>254</v>
      </c>
      <c r="C42" s="19">
        <f>Calculator!$B$11</f>
        <v>4</v>
      </c>
      <c r="D42" s="19">
        <f>Calculator!$B$12</f>
        <v>4</v>
      </c>
      <c r="E42" s="19">
        <f>Pathogens!N39</f>
        <v>0.7</v>
      </c>
      <c r="F42" s="19">
        <f>Calculator!$B$8</f>
        <v>40.9</v>
      </c>
      <c r="G42" s="20">
        <f t="shared" si="1"/>
        <v>2</v>
      </c>
    </row>
    <row r="43" customHeight="1" spans="1:7">
      <c r="A43" s="18" t="s">
        <v>255</v>
      </c>
      <c r="B43" t="s">
        <v>256</v>
      </c>
      <c r="C43" s="19">
        <f>Calculator!$B$11</f>
        <v>4</v>
      </c>
      <c r="D43" s="19">
        <f>Calculator!$B$12</f>
        <v>4</v>
      </c>
      <c r="E43" s="19">
        <f>Pathogens!N40</f>
        <v>0.6</v>
      </c>
      <c r="F43" s="19">
        <f>Calculator!$B$8</f>
        <v>40.9</v>
      </c>
      <c r="G43" s="20">
        <f t="shared" si="1"/>
        <v>2</v>
      </c>
    </row>
    <row r="44" customHeight="1" spans="1:7">
      <c r="A44" s="18" t="s">
        <v>257</v>
      </c>
      <c r="B44" t="s">
        <v>258</v>
      </c>
      <c r="C44" s="19">
        <f>Calculator!$B$11</f>
        <v>4</v>
      </c>
      <c r="D44" s="19">
        <f>Calculator!$B$12</f>
        <v>4</v>
      </c>
      <c r="E44" s="19">
        <f>Pathogens!N41</f>
        <v>0.85</v>
      </c>
      <c r="F44" s="19">
        <f>Calculator!$B$8</f>
        <v>40.9</v>
      </c>
      <c r="G44" s="20">
        <f t="shared" si="1"/>
        <v>2</v>
      </c>
    </row>
    <row r="45" customHeight="1" spans="1:7">
      <c r="A45" s="18" t="s">
        <v>260</v>
      </c>
      <c r="B45" t="s">
        <v>261</v>
      </c>
      <c r="C45" s="19">
        <f>Calculator!$B$11</f>
        <v>4</v>
      </c>
      <c r="D45" s="19">
        <f>Calculator!$B$12</f>
        <v>4</v>
      </c>
      <c r="E45" s="19">
        <f>Pathogens!N42</f>
        <v>0.5</v>
      </c>
      <c r="F45" s="19">
        <f>Calculator!$B$8</f>
        <v>40.9</v>
      </c>
      <c r="G45" s="20">
        <f t="shared" si="1"/>
        <v>2</v>
      </c>
    </row>
    <row r="46" customHeight="1" spans="1:7">
      <c r="A46" s="18" t="s">
        <v>262</v>
      </c>
      <c r="B46" t="s">
        <v>263</v>
      </c>
      <c r="C46" s="19">
        <f>Calculator!$B$11</f>
        <v>4</v>
      </c>
      <c r="D46" s="19">
        <f>Calculator!$B$12</f>
        <v>4</v>
      </c>
      <c r="E46" s="19">
        <f>Pathogens!N43</f>
        <v>0.4</v>
      </c>
      <c r="F46" s="19">
        <f>Calculator!$B$8</f>
        <v>40.9</v>
      </c>
      <c r="G46" s="20">
        <f t="shared" si="1"/>
        <v>2</v>
      </c>
    </row>
    <row r="47" customHeight="1" spans="1:7">
      <c r="A47" s="18" t="s">
        <v>264</v>
      </c>
      <c r="B47" t="s">
        <v>265</v>
      </c>
      <c r="C47" s="19">
        <f>Calculator!$B$11</f>
        <v>4</v>
      </c>
      <c r="D47" s="19">
        <f>Calculator!$B$12</f>
        <v>4</v>
      </c>
      <c r="E47" s="19">
        <f>Pathogens!N44</f>
        <v>0.3</v>
      </c>
      <c r="F47" s="19">
        <f>Calculator!$B$8</f>
        <v>40.9</v>
      </c>
      <c r="G47" s="20">
        <f t="shared" si="1"/>
        <v>2</v>
      </c>
    </row>
    <row r="48" customHeight="1" spans="1:7">
      <c r="A48" s="18" t="s">
        <v>267</v>
      </c>
      <c r="B48" t="s">
        <v>268</v>
      </c>
      <c r="C48" s="19">
        <f>Calculator!$B$11</f>
        <v>4</v>
      </c>
      <c r="D48" s="19">
        <f>Calculator!$B$12</f>
        <v>4</v>
      </c>
      <c r="E48" s="19">
        <f>Pathogens!N45</f>
        <v>0.4</v>
      </c>
      <c r="F48" s="19">
        <f>Calculator!$B$8</f>
        <v>40.9</v>
      </c>
      <c r="G48" s="20">
        <f t="shared" si="1"/>
        <v>2</v>
      </c>
    </row>
    <row r="49" customHeight="1" spans="1:7">
      <c r="A49" s="18" t="s">
        <v>269</v>
      </c>
      <c r="B49" t="s">
        <v>270</v>
      </c>
      <c r="C49" s="19">
        <f>Calculator!$B$11</f>
        <v>4</v>
      </c>
      <c r="D49" s="19">
        <f>Calculator!$B$12</f>
        <v>4</v>
      </c>
      <c r="E49" s="19">
        <f>Pathogens!N46</f>
        <v>0.3</v>
      </c>
      <c r="F49" s="19">
        <f>Calculator!$B$8</f>
        <v>40.9</v>
      </c>
      <c r="G49" s="20">
        <f t="shared" si="1"/>
        <v>2</v>
      </c>
    </row>
    <row r="50" customHeight="1" spans="1:7">
      <c r="A50" s="18" t="s">
        <v>272</v>
      </c>
      <c r="B50" t="s">
        <v>273</v>
      </c>
      <c r="C50" s="19">
        <f>Calculator!$B$11</f>
        <v>4</v>
      </c>
      <c r="D50" s="19">
        <f>Calculator!$B$12</f>
        <v>4</v>
      </c>
      <c r="E50" s="19">
        <f>Pathogens!N47</f>
        <v>0.9</v>
      </c>
      <c r="F50" s="19">
        <f>Calculator!$B$8</f>
        <v>40.9</v>
      </c>
      <c r="G50" s="20">
        <f t="shared" si="1"/>
        <v>2</v>
      </c>
    </row>
    <row r="51" customHeight="1" spans="1:7">
      <c r="A51" s="18" t="s">
        <v>275</v>
      </c>
      <c r="B51" t="s">
        <v>276</v>
      </c>
      <c r="C51" s="19">
        <f>Calculator!$B$11</f>
        <v>4</v>
      </c>
      <c r="D51" s="19">
        <f>Calculator!$B$12</f>
        <v>4</v>
      </c>
      <c r="E51" s="19">
        <f>Pathogens!N48</f>
        <v>0.95</v>
      </c>
      <c r="F51" s="19">
        <f>Calculator!$B$8</f>
        <v>40.9</v>
      </c>
      <c r="G51" s="20">
        <f t="shared" si="1"/>
        <v>2</v>
      </c>
    </row>
    <row r="52" customHeight="1" spans="1:7">
      <c r="A52" s="18" t="s">
        <v>277</v>
      </c>
      <c r="B52" t="s">
        <v>278</v>
      </c>
      <c r="C52" s="19">
        <f>Calculator!$B$11</f>
        <v>4</v>
      </c>
      <c r="D52" s="19">
        <f>Calculator!$B$12</f>
        <v>4</v>
      </c>
      <c r="E52" s="19">
        <f>Pathogens!N49</f>
        <v>0.9</v>
      </c>
      <c r="F52" s="19">
        <f>Calculator!$B$8</f>
        <v>40.9</v>
      </c>
      <c r="G52" s="20">
        <f t="shared" si="1"/>
        <v>2</v>
      </c>
    </row>
    <row r="53" customHeight="1" spans="1:7">
      <c r="A53" s="18" t="s">
        <v>279</v>
      </c>
      <c r="B53" t="s">
        <v>280</v>
      </c>
      <c r="C53" s="19">
        <f>Calculator!$B$11</f>
        <v>4</v>
      </c>
      <c r="D53" s="19">
        <f>Calculator!$B$12</f>
        <v>4</v>
      </c>
      <c r="E53" s="19">
        <f>Pathogens!N50</f>
        <v>0.95</v>
      </c>
      <c r="F53" s="19">
        <f>Calculator!$B$8</f>
        <v>40.9</v>
      </c>
      <c r="G53" s="20">
        <f t="shared" si="1"/>
        <v>2</v>
      </c>
    </row>
    <row r="54" customHeight="1" spans="1:7">
      <c r="A54" s="18" t="s">
        <v>282</v>
      </c>
      <c r="B54" t="s">
        <v>283</v>
      </c>
      <c r="C54" s="19">
        <f>Calculator!$B$11</f>
        <v>4</v>
      </c>
      <c r="D54" s="19">
        <f>Calculator!$B$12</f>
        <v>4</v>
      </c>
      <c r="E54" s="19">
        <f>Pathogens!N51</f>
        <v>0.95</v>
      </c>
      <c r="F54" s="19">
        <f>Calculator!$B$8</f>
        <v>40.9</v>
      </c>
      <c r="G54" s="20">
        <f t="shared" si="1"/>
        <v>2</v>
      </c>
    </row>
    <row r="55" customHeight="1" spans="1:7">
      <c r="A55" s="18" t="s">
        <v>284</v>
      </c>
      <c r="B55" t="s">
        <v>285</v>
      </c>
      <c r="C55" s="19">
        <f>Calculator!$B$11</f>
        <v>4</v>
      </c>
      <c r="D55" s="19">
        <f>Calculator!$B$12</f>
        <v>4</v>
      </c>
      <c r="E55" s="19">
        <f>Pathogens!N52</f>
        <v>1</v>
      </c>
      <c r="F55" s="19">
        <f>Calculator!$B$8</f>
        <v>40.9</v>
      </c>
      <c r="G55" s="20">
        <f t="shared" si="1"/>
        <v>2</v>
      </c>
    </row>
    <row r="56" customHeight="1" spans="1:7">
      <c r="A56" s="18" t="s">
        <v>286</v>
      </c>
      <c r="B56" t="s">
        <v>287</v>
      </c>
      <c r="C56" s="19">
        <f>Calculator!$B$11</f>
        <v>4</v>
      </c>
      <c r="D56" s="19">
        <f>Calculator!$B$12</f>
        <v>4</v>
      </c>
      <c r="E56" s="19">
        <f>Pathogens!N53</f>
        <v>0.7</v>
      </c>
      <c r="F56" s="19">
        <f>Calculator!$B$8</f>
        <v>40.9</v>
      </c>
      <c r="G56" s="20">
        <f t="shared" si="1"/>
        <v>2</v>
      </c>
    </row>
    <row r="57" customHeight="1" spans="1:7">
      <c r="A57" s="18" t="s">
        <v>289</v>
      </c>
      <c r="B57" t="s">
        <v>290</v>
      </c>
      <c r="C57" s="19">
        <f>Calculator!$B$11</f>
        <v>4</v>
      </c>
      <c r="D57" s="19">
        <f>Calculator!$B$12</f>
        <v>4</v>
      </c>
      <c r="E57" s="19">
        <f>Pathogens!N54</f>
        <v>0.7</v>
      </c>
      <c r="F57" s="19">
        <f>Calculator!$B$8</f>
        <v>40.9</v>
      </c>
      <c r="G57" s="20">
        <f t="shared" si="1"/>
        <v>2</v>
      </c>
    </row>
    <row r="58" customHeight="1" spans="1:7">
      <c r="A58" s="18" t="s">
        <v>291</v>
      </c>
      <c r="B58" t="s">
        <v>292</v>
      </c>
      <c r="C58" s="19">
        <f>Calculator!$B$11</f>
        <v>4</v>
      </c>
      <c r="D58" s="19">
        <f>Calculator!$B$12</f>
        <v>4</v>
      </c>
      <c r="E58" s="19">
        <f>Pathogens!N55</f>
        <v>0.6</v>
      </c>
      <c r="F58" s="19">
        <f>Calculator!$B$8</f>
        <v>40.9</v>
      </c>
      <c r="G58" s="20">
        <f t="shared" si="1"/>
        <v>2</v>
      </c>
    </row>
    <row r="59" customHeight="1" spans="1:7">
      <c r="A59" s="18" t="s">
        <v>293</v>
      </c>
      <c r="B59" t="s">
        <v>294</v>
      </c>
      <c r="C59" s="19">
        <f>Calculator!$B$11</f>
        <v>4</v>
      </c>
      <c r="D59" s="19">
        <f>Calculator!$B$12</f>
        <v>4</v>
      </c>
      <c r="E59" s="19">
        <f>Pathogens!N56</f>
        <v>0.6</v>
      </c>
      <c r="F59" s="19">
        <f>Calculator!$B$8</f>
        <v>40.9</v>
      </c>
      <c r="G59" s="20">
        <f t="shared" si="1"/>
        <v>2</v>
      </c>
    </row>
    <row r="60" customHeight="1" spans="1:7">
      <c r="A60" s="18" t="s">
        <v>295</v>
      </c>
      <c r="B60" t="s">
        <v>296</v>
      </c>
      <c r="C60" s="19">
        <f>Calculator!$B$11</f>
        <v>4</v>
      </c>
      <c r="D60" s="19">
        <f>Calculator!$B$12</f>
        <v>4</v>
      </c>
      <c r="E60" s="19">
        <f>Pathogens!N57</f>
        <v>0.6</v>
      </c>
      <c r="F60" s="19">
        <f>Calculator!$B$8</f>
        <v>40.9</v>
      </c>
      <c r="G60" s="20">
        <f t="shared" si="1"/>
        <v>2</v>
      </c>
    </row>
    <row r="61" customHeight="1" spans="1:7">
      <c r="A61" s="18" t="s">
        <v>297</v>
      </c>
      <c r="B61" t="s">
        <v>298</v>
      </c>
      <c r="C61" s="19">
        <f>Calculator!$B$11</f>
        <v>4</v>
      </c>
      <c r="D61" s="19">
        <f>Calculator!$B$12</f>
        <v>4</v>
      </c>
      <c r="E61" s="19">
        <f>Pathogens!N58</f>
        <v>0.5</v>
      </c>
      <c r="F61" s="19">
        <f>Calculator!$B$8</f>
        <v>40.9</v>
      </c>
      <c r="G61" s="20">
        <f t="shared" si="1"/>
        <v>2</v>
      </c>
    </row>
    <row r="62" customHeight="1" spans="1:7">
      <c r="A62" s="18" t="s">
        <v>299</v>
      </c>
      <c r="B62" t="s">
        <v>300</v>
      </c>
      <c r="C62" s="19">
        <f>Calculator!$B$11</f>
        <v>4</v>
      </c>
      <c r="D62" s="19">
        <f>Calculator!$B$12</f>
        <v>4</v>
      </c>
      <c r="E62" s="19">
        <f>Pathogens!N59</f>
        <v>0.4</v>
      </c>
      <c r="F62" s="19">
        <f>Calculator!$B$8</f>
        <v>40.9</v>
      </c>
      <c r="G62" s="20">
        <f t="shared" si="1"/>
        <v>2</v>
      </c>
    </row>
    <row r="63" customHeight="1" spans="1:7">
      <c r="A63" s="18" t="s">
        <v>301</v>
      </c>
      <c r="B63" t="s">
        <v>302</v>
      </c>
      <c r="C63" s="19">
        <f>Calculator!$B$11</f>
        <v>4</v>
      </c>
      <c r="D63" s="19">
        <f>Calculator!$B$12</f>
        <v>4</v>
      </c>
      <c r="E63" s="19">
        <f>Pathogens!N60</f>
        <v>0.7</v>
      </c>
      <c r="F63" s="19">
        <f>Calculator!$B$8</f>
        <v>40.9</v>
      </c>
      <c r="G63" s="20">
        <f t="shared" si="1"/>
        <v>2</v>
      </c>
    </row>
    <row r="64" customHeight="1" spans="1:7">
      <c r="A64" s="18" t="s">
        <v>303</v>
      </c>
      <c r="B64" t="s">
        <v>304</v>
      </c>
      <c r="C64" s="19">
        <f>Calculator!$B$11</f>
        <v>4</v>
      </c>
      <c r="D64" s="19">
        <f>Calculator!$B$12</f>
        <v>4</v>
      </c>
      <c r="E64" s="19">
        <f>Pathogens!N61</f>
        <v>0.1</v>
      </c>
      <c r="F64" s="19">
        <f>Calculator!$B$8</f>
        <v>40.9</v>
      </c>
      <c r="G64" s="20">
        <f t="shared" si="1"/>
        <v>2</v>
      </c>
    </row>
    <row r="65" customHeight="1" spans="1:7">
      <c r="A65" s="18" t="s">
        <v>306</v>
      </c>
      <c r="B65" t="s">
        <v>307</v>
      </c>
      <c r="C65" s="19">
        <f>Calculator!$B$11</f>
        <v>4</v>
      </c>
      <c r="D65" s="19">
        <f>Calculator!$B$12</f>
        <v>4</v>
      </c>
      <c r="E65" s="19">
        <f>Pathogens!N62</f>
        <v>0.1</v>
      </c>
      <c r="F65" s="19">
        <f>Calculator!$B$8</f>
        <v>40.9</v>
      </c>
      <c r="G65" s="20">
        <f t="shared" si="1"/>
        <v>2</v>
      </c>
    </row>
    <row r="66" customHeight="1" spans="1:7">
      <c r="A66" s="18" t="s">
        <v>308</v>
      </c>
      <c r="B66" t="s">
        <v>309</v>
      </c>
      <c r="C66" s="19">
        <f>Calculator!$B$11</f>
        <v>4</v>
      </c>
      <c r="D66" s="19">
        <f>Calculator!$B$12</f>
        <v>4</v>
      </c>
      <c r="E66" s="19">
        <f>Pathogens!N63</f>
        <v>0.1</v>
      </c>
      <c r="F66" s="19">
        <f>Calculator!$B$8</f>
        <v>40.9</v>
      </c>
      <c r="G66" s="20">
        <f t="shared" si="1"/>
        <v>2</v>
      </c>
    </row>
    <row r="67" customHeight="1" spans="1:7">
      <c r="A67" s="18" t="s">
        <v>311</v>
      </c>
      <c r="B67" t="s">
        <v>312</v>
      </c>
      <c r="C67" s="19">
        <f>Calculator!$B$11</f>
        <v>4</v>
      </c>
      <c r="D67" s="19">
        <f>Calculator!$B$12</f>
        <v>4</v>
      </c>
      <c r="E67" s="19">
        <f>Pathogens!N64</f>
        <v>0.4</v>
      </c>
      <c r="F67" s="19">
        <f>Calculator!$B$8</f>
        <v>40.9</v>
      </c>
      <c r="G67" s="20">
        <f t="shared" si="1"/>
        <v>2</v>
      </c>
    </row>
    <row r="68" customHeight="1" spans="1:7">
      <c r="A68" s="18" t="s">
        <v>313</v>
      </c>
      <c r="B68" t="s">
        <v>314</v>
      </c>
      <c r="C68" s="19">
        <f>Calculator!$B$11</f>
        <v>4</v>
      </c>
      <c r="D68" s="19">
        <f>Calculator!$B$12</f>
        <v>4</v>
      </c>
      <c r="E68" s="19">
        <f>Pathogens!N65</f>
        <v>0.2</v>
      </c>
      <c r="F68" s="19">
        <f>Calculator!$B$8</f>
        <v>40.9</v>
      </c>
      <c r="G68" s="20">
        <f t="shared" si="1"/>
        <v>2</v>
      </c>
    </row>
  </sheetData>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outlineLevelCol="3"/>
  <cols>
    <col min="1" max="1" width="18" customWidth="1"/>
    <col min="2" max="2" width="36" customWidth="1"/>
    <col min="3" max="4" width="18" customWidth="1"/>
  </cols>
  <sheetData>
    <row r="1" ht="19.5" customHeight="1" spans="1:4">
      <c r="A1" s="1" t="s">
        <v>627</v>
      </c>
    </row>
    <row r="2" customHeight="1" spans="1:4">
      <c r="A2" s="16" t="s">
        <v>606</v>
      </c>
    </row>
    <row r="4" customHeight="1" spans="1:4">
      <c r="A4" s="17" t="s">
        <v>147</v>
      </c>
      <c r="B4" s="17" t="s">
        <v>148</v>
      </c>
      <c r="C4" s="17" t="s">
        <v>628</v>
      </c>
      <c r="D4" s="17" t="s">
        <v>611</v>
      </c>
    </row>
    <row r="5" customHeight="1" spans="1:4">
      <c r="A5" s="18" t="s">
        <v>169</v>
      </c>
      <c r="B5" t="s">
        <v>170</v>
      </c>
      <c r="C5" s="21" t="str">
        <f>Pathogens!C2</f>
        <v>Vaccine-preventable viral</v>
      </c>
      <c r="D5" s="20">
        <f>IF(ISNUMBER(SEARCH("Vaccine-preventable",Pathogens!C2)),2,IF(ISNUMBER(SEARCH("AMR",Pathogens!C2)),5,IF(ISNUMBER(SEARCH("VHF",Pathogens!C2)),4,IF(ISNUMBER(SEARCH("Emerging",Pathogens!C2)),5,IF(ISNUMBER(SEARCH("Mycobacterial",Pathogens!C2)),3,IF(ISNUMBER(SEARCH("Helminth",Pathogens!C2)),3,IF(ISNUMBER(SEARCH("Respiratory",Pathogens!C2)),4,3)))))))</f>
        <v>2</v>
      </c>
    </row>
    <row r="6" customHeight="1" spans="1:4">
      <c r="A6" s="18" t="s">
        <v>172</v>
      </c>
      <c r="B6" t="s">
        <v>173</v>
      </c>
      <c r="C6" s="21" t="str">
        <f>Pathogens!C3</f>
        <v>Vaccine-preventable viral</v>
      </c>
      <c r="D6" s="20">
        <f>IF(ISNUMBER(SEARCH("Vaccine-preventable",Pathogens!C3)),2,IF(ISNUMBER(SEARCH("AMR",Pathogens!C3)),5,IF(ISNUMBER(SEARCH("VHF",Pathogens!C3)),4,IF(ISNUMBER(SEARCH("Emerging",Pathogens!C3)),5,IF(ISNUMBER(SEARCH("Mycobacterial",Pathogens!C3)),3,IF(ISNUMBER(SEARCH("Helminth",Pathogens!C3)),3,IF(ISNUMBER(SEARCH("Respiratory",Pathogens!C3)),4,3)))))))</f>
        <v>2</v>
      </c>
    </row>
    <row r="7" customHeight="1" spans="1:4">
      <c r="A7" s="18" t="s">
        <v>174</v>
      </c>
      <c r="B7" t="s">
        <v>175</v>
      </c>
      <c r="C7" s="21" t="str">
        <f>Pathogens!C4</f>
        <v>Vaccine-preventable viral</v>
      </c>
      <c r="D7" s="20">
        <f>IF(ISNUMBER(SEARCH("Vaccine-preventable",Pathogens!C4)),2,IF(ISNUMBER(SEARCH("AMR",Pathogens!C4)),5,IF(ISNUMBER(SEARCH("VHF",Pathogens!C4)),4,IF(ISNUMBER(SEARCH("Emerging",Pathogens!C4)),5,IF(ISNUMBER(SEARCH("Mycobacterial",Pathogens!C4)),3,IF(ISNUMBER(SEARCH("Helminth",Pathogens!C4)),3,IF(ISNUMBER(SEARCH("Respiratory",Pathogens!C4)),4,3)))))))</f>
        <v>2</v>
      </c>
    </row>
    <row r="8" customHeight="1" spans="1:4">
      <c r="A8" s="18" t="s">
        <v>176</v>
      </c>
      <c r="B8" t="s">
        <v>177</v>
      </c>
      <c r="C8" s="21" t="str">
        <f>Pathogens!C5</f>
        <v>Arbovirus</v>
      </c>
      <c r="D8" s="20">
        <f>IF(ISNUMBER(SEARCH("Vaccine-preventable",Pathogens!C5)),2,IF(ISNUMBER(SEARCH("AMR",Pathogens!C5)),5,IF(ISNUMBER(SEARCH("VHF",Pathogens!C5)),4,IF(ISNUMBER(SEARCH("Emerging",Pathogens!C5)),5,IF(ISNUMBER(SEARCH("Mycobacterial",Pathogens!C5)),3,IF(ISNUMBER(SEARCH("Helminth",Pathogens!C5)),3,IF(ISNUMBER(SEARCH("Respiratory",Pathogens!C5)),4,3)))))))</f>
        <v>3</v>
      </c>
    </row>
    <row r="9" customHeight="1" spans="1:4">
      <c r="A9" s="18" t="s">
        <v>179</v>
      </c>
      <c r="B9" t="s">
        <v>180</v>
      </c>
      <c r="C9" s="21" t="str">
        <f>Pathogens!C6</f>
        <v>Arbovirus</v>
      </c>
      <c r="D9" s="20">
        <f>IF(ISNUMBER(SEARCH("Vaccine-preventable",Pathogens!C6)),2,IF(ISNUMBER(SEARCH("AMR",Pathogens!C6)),5,IF(ISNUMBER(SEARCH("VHF",Pathogens!C6)),4,IF(ISNUMBER(SEARCH("Emerging",Pathogens!C6)),5,IF(ISNUMBER(SEARCH("Mycobacterial",Pathogens!C6)),3,IF(ISNUMBER(SEARCH("Helminth",Pathogens!C6)),3,IF(ISNUMBER(SEARCH("Respiratory",Pathogens!C6)),4,3)))))))</f>
        <v>3</v>
      </c>
    </row>
    <row r="10" customHeight="1" spans="1:4">
      <c r="A10" s="18" t="s">
        <v>181</v>
      </c>
      <c r="B10" t="s">
        <v>182</v>
      </c>
      <c r="C10" s="21" t="str">
        <f>Pathogens!C7</f>
        <v>Arbovirus</v>
      </c>
      <c r="D10" s="20">
        <f>IF(ISNUMBER(SEARCH("Vaccine-preventable",Pathogens!C7)),2,IF(ISNUMBER(SEARCH("AMR",Pathogens!C7)),5,IF(ISNUMBER(SEARCH("VHF",Pathogens!C7)),4,IF(ISNUMBER(SEARCH("Emerging",Pathogens!C7)),5,IF(ISNUMBER(SEARCH("Mycobacterial",Pathogens!C7)),3,IF(ISNUMBER(SEARCH("Helminth",Pathogens!C7)),3,IF(ISNUMBER(SEARCH("Respiratory",Pathogens!C7)),4,3)))))))</f>
        <v>3</v>
      </c>
    </row>
    <row r="11" customHeight="1" spans="1:4">
      <c r="A11" s="18" t="s">
        <v>183</v>
      </c>
      <c r="B11" t="s">
        <v>184</v>
      </c>
      <c r="C11" s="21" t="str">
        <f>Pathogens!C8</f>
        <v>Arbovirus</v>
      </c>
      <c r="D11" s="20">
        <f>IF(ISNUMBER(SEARCH("Vaccine-preventable",Pathogens!C8)),2,IF(ISNUMBER(SEARCH("AMR",Pathogens!C8)),5,IF(ISNUMBER(SEARCH("VHF",Pathogens!C8)),4,IF(ISNUMBER(SEARCH("Emerging",Pathogens!C8)),5,IF(ISNUMBER(SEARCH("Mycobacterial",Pathogens!C8)),3,IF(ISNUMBER(SEARCH("Helminth",Pathogens!C8)),3,IF(ISNUMBER(SEARCH("Respiratory",Pathogens!C8)),4,3)))))))</f>
        <v>3</v>
      </c>
    </row>
    <row r="12" customHeight="1" spans="1:4">
      <c r="A12" s="18" t="s">
        <v>185</v>
      </c>
      <c r="B12" t="s">
        <v>186</v>
      </c>
      <c r="C12" s="21" t="str">
        <f>Pathogens!C9</f>
        <v>Arbovirus</v>
      </c>
      <c r="D12" s="20">
        <f>IF(ISNUMBER(SEARCH("Vaccine-preventable",Pathogens!C9)),2,IF(ISNUMBER(SEARCH("AMR",Pathogens!C9)),5,IF(ISNUMBER(SEARCH("VHF",Pathogens!C9)),4,IF(ISNUMBER(SEARCH("Emerging",Pathogens!C9)),5,IF(ISNUMBER(SEARCH("Mycobacterial",Pathogens!C9)),3,IF(ISNUMBER(SEARCH("Helminth",Pathogens!C9)),3,IF(ISNUMBER(SEARCH("Respiratory",Pathogens!C9)),4,3)))))))</f>
        <v>3</v>
      </c>
    </row>
    <row r="13" customHeight="1" spans="1:4">
      <c r="A13" s="18" t="s">
        <v>187</v>
      </c>
      <c r="B13" t="s">
        <v>188</v>
      </c>
      <c r="C13" s="21" t="str">
        <f>Pathogens!C10</f>
        <v>VHF/zoonotic</v>
      </c>
      <c r="D13" s="20">
        <f>IF(ISNUMBER(SEARCH("Vaccine-preventable",Pathogens!C10)),2,IF(ISNUMBER(SEARCH("AMR",Pathogens!C10)),5,IF(ISNUMBER(SEARCH("VHF",Pathogens!C10)),4,IF(ISNUMBER(SEARCH("Emerging",Pathogens!C10)),5,IF(ISNUMBER(SEARCH("Mycobacterial",Pathogens!C10)),3,IF(ISNUMBER(SEARCH("Helminth",Pathogens!C10)),3,IF(ISNUMBER(SEARCH("Respiratory",Pathogens!C10)),4,3)))))))</f>
        <v>4</v>
      </c>
    </row>
    <row r="14" customHeight="1" spans="1:4">
      <c r="A14" s="18" t="s">
        <v>190</v>
      </c>
      <c r="B14" t="s">
        <v>191</v>
      </c>
      <c r="C14" s="21" t="str">
        <f>Pathogens!C11</f>
        <v>VHF/zoonotic</v>
      </c>
      <c r="D14" s="20">
        <f>IF(ISNUMBER(SEARCH("Vaccine-preventable",Pathogens!C11)),2,IF(ISNUMBER(SEARCH("AMR",Pathogens!C11)),5,IF(ISNUMBER(SEARCH("VHF",Pathogens!C11)),4,IF(ISNUMBER(SEARCH("Emerging",Pathogens!C11)),5,IF(ISNUMBER(SEARCH("Mycobacterial",Pathogens!C11)),3,IF(ISNUMBER(SEARCH("Helminth",Pathogens!C11)),3,IF(ISNUMBER(SEARCH("Respiratory",Pathogens!C11)),4,3)))))))</f>
        <v>4</v>
      </c>
    </row>
    <row r="15" customHeight="1" spans="1:4">
      <c r="A15" s="18" t="s">
        <v>192</v>
      </c>
      <c r="B15" t="s">
        <v>193</v>
      </c>
      <c r="C15" s="21" t="str">
        <f>Pathogens!C12</f>
        <v>VHF/zoonotic</v>
      </c>
      <c r="D15" s="20">
        <f>IF(ISNUMBER(SEARCH("Vaccine-preventable",Pathogens!C12)),2,IF(ISNUMBER(SEARCH("AMR",Pathogens!C12)),5,IF(ISNUMBER(SEARCH("VHF",Pathogens!C12)),4,IF(ISNUMBER(SEARCH("Emerging",Pathogens!C12)),5,IF(ISNUMBER(SEARCH("Mycobacterial",Pathogens!C12)),3,IF(ISNUMBER(SEARCH("Helminth",Pathogens!C12)),3,IF(ISNUMBER(SEARCH("Respiratory",Pathogens!C12)),4,3)))))))</f>
        <v>4</v>
      </c>
    </row>
    <row r="16" customHeight="1" spans="1:4">
      <c r="A16" s="18" t="s">
        <v>194</v>
      </c>
      <c r="B16" t="s">
        <v>195</v>
      </c>
      <c r="C16" s="21" t="str">
        <f>Pathogens!C13</f>
        <v>VHF/zoonotic</v>
      </c>
      <c r="D16" s="20">
        <f>IF(ISNUMBER(SEARCH("Vaccine-preventable",Pathogens!C13)),2,IF(ISNUMBER(SEARCH("AMR",Pathogens!C13)),5,IF(ISNUMBER(SEARCH("VHF",Pathogens!C13)),4,IF(ISNUMBER(SEARCH("Emerging",Pathogens!C13)),5,IF(ISNUMBER(SEARCH("Mycobacterial",Pathogens!C13)),3,IF(ISNUMBER(SEARCH("Helminth",Pathogens!C13)),3,IF(ISNUMBER(SEARCH("Respiratory",Pathogens!C13)),4,3)))))))</f>
        <v>4</v>
      </c>
    </row>
    <row r="17" customHeight="1" spans="1:4">
      <c r="A17" s="18" t="s">
        <v>196</v>
      </c>
      <c r="B17" t="s">
        <v>197</v>
      </c>
      <c r="C17" s="21" t="str">
        <f>Pathogens!C14</f>
        <v>VHF/zoonotic</v>
      </c>
      <c r="D17" s="20">
        <f>IF(ISNUMBER(SEARCH("Vaccine-preventable",Pathogens!C14)),2,IF(ISNUMBER(SEARCH("AMR",Pathogens!C14)),5,IF(ISNUMBER(SEARCH("VHF",Pathogens!C14)),4,IF(ISNUMBER(SEARCH("Emerging",Pathogens!C14)),5,IF(ISNUMBER(SEARCH("Mycobacterial",Pathogens!C14)),3,IF(ISNUMBER(SEARCH("Helminth",Pathogens!C14)),3,IF(ISNUMBER(SEARCH("Respiratory",Pathogens!C14)),4,3)))))))</f>
        <v>4</v>
      </c>
    </row>
    <row r="18" customHeight="1" spans="1:4">
      <c r="A18" s="18" t="s">
        <v>198</v>
      </c>
      <c r="B18" t="s">
        <v>199</v>
      </c>
      <c r="C18" s="21" t="str">
        <f>Pathogens!C15</f>
        <v>Emerging viral</v>
      </c>
      <c r="D18" s="20">
        <f>IF(ISNUMBER(SEARCH("Vaccine-preventable",Pathogens!C15)),2,IF(ISNUMBER(SEARCH("AMR",Pathogens!C15)),5,IF(ISNUMBER(SEARCH("VHF",Pathogens!C15)),4,IF(ISNUMBER(SEARCH("Emerging",Pathogens!C15)),5,IF(ISNUMBER(SEARCH("Mycobacterial",Pathogens!C15)),3,IF(ISNUMBER(SEARCH("Helminth",Pathogens!C15)),3,IF(ISNUMBER(SEARCH("Respiratory",Pathogens!C15)),4,3)))))))</f>
        <v>5</v>
      </c>
    </row>
    <row r="19" customHeight="1" spans="1:4">
      <c r="A19" s="18" t="s">
        <v>201</v>
      </c>
      <c r="B19" t="s">
        <v>202</v>
      </c>
      <c r="C19" s="21" t="str">
        <f>Pathogens!C16</f>
        <v>Respiratory viral</v>
      </c>
      <c r="D19" s="20">
        <f>IF(ISNUMBER(SEARCH("Vaccine-preventable",Pathogens!C16)),2,IF(ISNUMBER(SEARCH("AMR",Pathogens!C16)),5,IF(ISNUMBER(SEARCH("VHF",Pathogens!C16)),4,IF(ISNUMBER(SEARCH("Emerging",Pathogens!C16)),5,IF(ISNUMBER(SEARCH("Mycobacterial",Pathogens!C16)),3,IF(ISNUMBER(SEARCH("Helminth",Pathogens!C16)),3,IF(ISNUMBER(SEARCH("Respiratory",Pathogens!C16)),4,3)))))))</f>
        <v>4</v>
      </c>
    </row>
    <row r="20" customHeight="1" spans="1:4">
      <c r="A20" s="18" t="s">
        <v>204</v>
      </c>
      <c r="B20" t="s">
        <v>205</v>
      </c>
      <c r="C20" s="21" t="str">
        <f>Pathogens!C17</f>
        <v>Respiratory viral</v>
      </c>
      <c r="D20" s="20">
        <f>IF(ISNUMBER(SEARCH("Vaccine-preventable",Pathogens!C17)),2,IF(ISNUMBER(SEARCH("AMR",Pathogens!C17)),5,IF(ISNUMBER(SEARCH("VHF",Pathogens!C17)),4,IF(ISNUMBER(SEARCH("Emerging",Pathogens!C17)),5,IF(ISNUMBER(SEARCH("Mycobacterial",Pathogens!C17)),3,IF(ISNUMBER(SEARCH("Helminth",Pathogens!C17)),3,IF(ISNUMBER(SEARCH("Respiratory",Pathogens!C17)),4,3)))))))</f>
        <v>4</v>
      </c>
    </row>
    <row r="21" customHeight="1" spans="1:4">
      <c r="A21" s="18" t="s">
        <v>206</v>
      </c>
      <c r="B21" t="s">
        <v>207</v>
      </c>
      <c r="C21" s="21" t="str">
        <f>Pathogens!C18</f>
        <v>Respiratory viral</v>
      </c>
      <c r="D21" s="20">
        <f>IF(ISNUMBER(SEARCH("Vaccine-preventable",Pathogens!C18)),2,IF(ISNUMBER(SEARCH("AMR",Pathogens!C18)),5,IF(ISNUMBER(SEARCH("VHF",Pathogens!C18)),4,IF(ISNUMBER(SEARCH("Emerging",Pathogens!C18)),5,IF(ISNUMBER(SEARCH("Mycobacterial",Pathogens!C18)),3,IF(ISNUMBER(SEARCH("Helminth",Pathogens!C18)),3,IF(ISNUMBER(SEARCH("Respiratory",Pathogens!C18)),4,3)))))))</f>
        <v>4</v>
      </c>
    </row>
    <row r="22" customHeight="1" spans="1:4">
      <c r="A22" s="18" t="s">
        <v>208</v>
      </c>
      <c r="B22" t="s">
        <v>209</v>
      </c>
      <c r="C22" s="21" t="str">
        <f>Pathogens!C19</f>
        <v>Respiratory viral/zoonotic</v>
      </c>
      <c r="D22" s="20">
        <f>IF(ISNUMBER(SEARCH("Vaccine-preventable",Pathogens!C19)),2,IF(ISNUMBER(SEARCH("AMR",Pathogens!C19)),5,IF(ISNUMBER(SEARCH("VHF",Pathogens!C19)),4,IF(ISNUMBER(SEARCH("Emerging",Pathogens!C19)),5,IF(ISNUMBER(SEARCH("Mycobacterial",Pathogens!C19)),3,IF(ISNUMBER(SEARCH("Helminth",Pathogens!C19)),3,IF(ISNUMBER(SEARCH("Respiratory",Pathogens!C19)),4,3)))))))</f>
        <v>4</v>
      </c>
    </row>
    <row r="23" customHeight="1" spans="1:4">
      <c r="A23" s="18" t="s">
        <v>211</v>
      </c>
      <c r="B23" t="s">
        <v>212</v>
      </c>
      <c r="C23" s="21" t="str">
        <f>Pathogens!C20</f>
        <v>Respiratory viral</v>
      </c>
      <c r="D23" s="20">
        <f>IF(ISNUMBER(SEARCH("Vaccine-preventable",Pathogens!C20)),2,IF(ISNUMBER(SEARCH("AMR",Pathogens!C20)),5,IF(ISNUMBER(SEARCH("VHF",Pathogens!C20)),4,IF(ISNUMBER(SEARCH("Emerging",Pathogens!C20)),5,IF(ISNUMBER(SEARCH("Mycobacterial",Pathogens!C20)),3,IF(ISNUMBER(SEARCH("Helminth",Pathogens!C20)),3,IF(ISNUMBER(SEARCH("Respiratory",Pathogens!C20)),4,3)))))))</f>
        <v>4</v>
      </c>
    </row>
    <row r="24" customHeight="1" spans="1:4">
      <c r="A24" s="18" t="s">
        <v>213</v>
      </c>
      <c r="B24" t="s">
        <v>214</v>
      </c>
      <c r="C24" s="21" t="str">
        <f>Pathogens!C21</f>
        <v>Respiratory/enteric viral</v>
      </c>
      <c r="D24" s="20">
        <f>IF(ISNUMBER(SEARCH("Vaccine-preventable",Pathogens!C21)),2,IF(ISNUMBER(SEARCH("AMR",Pathogens!C21)),5,IF(ISNUMBER(SEARCH("VHF",Pathogens!C21)),4,IF(ISNUMBER(SEARCH("Emerging",Pathogens!C21)),5,IF(ISNUMBER(SEARCH("Mycobacterial",Pathogens!C21)),3,IF(ISNUMBER(SEARCH("Helminth",Pathogens!C21)),3,IF(ISNUMBER(SEARCH("Respiratory",Pathogens!C21)),4,3)))))))</f>
        <v>4</v>
      </c>
    </row>
    <row r="25" customHeight="1" spans="1:4">
      <c r="A25" s="18" t="s">
        <v>216</v>
      </c>
      <c r="B25" t="s">
        <v>217</v>
      </c>
      <c r="C25" s="21" t="str">
        <f>Pathogens!C22</f>
        <v>Emerging viral/zoonotic</v>
      </c>
      <c r="D25" s="20">
        <f>IF(ISNUMBER(SEARCH("Vaccine-preventable",Pathogens!C22)),2,IF(ISNUMBER(SEARCH("AMR",Pathogens!C22)),5,IF(ISNUMBER(SEARCH("VHF",Pathogens!C22)),4,IF(ISNUMBER(SEARCH("Emerging",Pathogens!C22)),5,IF(ISNUMBER(SEARCH("Mycobacterial",Pathogens!C22)),3,IF(ISNUMBER(SEARCH("Helminth",Pathogens!C22)),3,IF(ISNUMBER(SEARCH("Respiratory",Pathogens!C22)),4,3)))))))</f>
        <v>5</v>
      </c>
    </row>
    <row r="26" customHeight="1" spans="1:4">
      <c r="A26" s="18" t="s">
        <v>219</v>
      </c>
      <c r="B26" t="s">
        <v>220</v>
      </c>
      <c r="C26" s="21" t="str">
        <f>Pathogens!C23</f>
        <v>Enteric viral</v>
      </c>
      <c r="D26" s="20">
        <f>IF(ISNUMBER(SEARCH("Vaccine-preventable",Pathogens!C23)),2,IF(ISNUMBER(SEARCH("AMR",Pathogens!C23)),5,IF(ISNUMBER(SEARCH("VHF",Pathogens!C23)),4,IF(ISNUMBER(SEARCH("Emerging",Pathogens!C23)),5,IF(ISNUMBER(SEARCH("Mycobacterial",Pathogens!C23)),3,IF(ISNUMBER(SEARCH("Helminth",Pathogens!C23)),3,IF(ISNUMBER(SEARCH("Respiratory",Pathogens!C23)),4,3)))))))</f>
        <v>3</v>
      </c>
    </row>
    <row r="27" customHeight="1" spans="1:4">
      <c r="A27" s="18" t="s">
        <v>222</v>
      </c>
      <c r="B27" t="s">
        <v>223</v>
      </c>
      <c r="C27" s="21" t="str">
        <f>Pathogens!C24</f>
        <v>Enteric viral</v>
      </c>
      <c r="D27" s="20">
        <f>IF(ISNUMBER(SEARCH("Vaccine-preventable",Pathogens!C24)),2,IF(ISNUMBER(SEARCH("AMR",Pathogens!C24)),5,IF(ISNUMBER(SEARCH("VHF",Pathogens!C24)),4,IF(ISNUMBER(SEARCH("Emerging",Pathogens!C24)),5,IF(ISNUMBER(SEARCH("Mycobacterial",Pathogens!C24)),3,IF(ISNUMBER(SEARCH("Helminth",Pathogens!C24)),3,IF(ISNUMBER(SEARCH("Respiratory",Pathogens!C24)),4,3)))))))</f>
        <v>3</v>
      </c>
    </row>
    <row r="28" customHeight="1" spans="1:4">
      <c r="A28" s="18" t="s">
        <v>224</v>
      </c>
      <c r="B28" t="s">
        <v>225</v>
      </c>
      <c r="C28" s="21" t="str">
        <f>Pathogens!C25</f>
        <v>Enteric viral</v>
      </c>
      <c r="D28" s="20">
        <f>IF(ISNUMBER(SEARCH("Vaccine-preventable",Pathogens!C25)),2,IF(ISNUMBER(SEARCH("AMR",Pathogens!C25)),5,IF(ISNUMBER(SEARCH("VHF",Pathogens!C25)),4,IF(ISNUMBER(SEARCH("Emerging",Pathogens!C25)),5,IF(ISNUMBER(SEARCH("Mycobacterial",Pathogens!C25)),3,IF(ISNUMBER(SEARCH("Helminth",Pathogens!C25)),3,IF(ISNUMBER(SEARCH("Respiratory",Pathogens!C25)),4,3)))))))</f>
        <v>3</v>
      </c>
    </row>
    <row r="29" customHeight="1" spans="1:4">
      <c r="A29" s="18" t="s">
        <v>226</v>
      </c>
      <c r="B29" t="s">
        <v>227</v>
      </c>
      <c r="C29" s="21" t="str">
        <f>Pathogens!C26</f>
        <v>Enteric viral</v>
      </c>
      <c r="D29" s="20">
        <f>IF(ISNUMBER(SEARCH("Vaccine-preventable",Pathogens!C26)),2,IF(ISNUMBER(SEARCH("AMR",Pathogens!C26)),5,IF(ISNUMBER(SEARCH("VHF",Pathogens!C26)),4,IF(ISNUMBER(SEARCH("Emerging",Pathogens!C26)),5,IF(ISNUMBER(SEARCH("Mycobacterial",Pathogens!C26)),3,IF(ISNUMBER(SEARCH("Helminth",Pathogens!C26)),3,IF(ISNUMBER(SEARCH("Respiratory",Pathogens!C26)),4,3)))))))</f>
        <v>3</v>
      </c>
    </row>
    <row r="30" customHeight="1" spans="1:4">
      <c r="A30" s="18" t="s">
        <v>228</v>
      </c>
      <c r="B30" t="s">
        <v>229</v>
      </c>
      <c r="C30" s="21" t="str">
        <f>Pathogens!C27</f>
        <v>Enteric viral</v>
      </c>
      <c r="D30" s="20">
        <f>IF(ISNUMBER(SEARCH("Vaccine-preventable",Pathogens!C27)),2,IF(ISNUMBER(SEARCH("AMR",Pathogens!C27)),5,IF(ISNUMBER(SEARCH("VHF",Pathogens!C27)),4,IF(ISNUMBER(SEARCH("Emerging",Pathogens!C27)),5,IF(ISNUMBER(SEARCH("Mycobacterial",Pathogens!C27)),3,IF(ISNUMBER(SEARCH("Helminth",Pathogens!C27)),3,IF(ISNUMBER(SEARCH("Respiratory",Pathogens!C27)),4,3)))))))</f>
        <v>3</v>
      </c>
    </row>
    <row r="31" customHeight="1" spans="1:4">
      <c r="A31" s="18" t="s">
        <v>230</v>
      </c>
      <c r="B31" t="s">
        <v>231</v>
      </c>
      <c r="C31" s="21" t="str">
        <f>Pathogens!C28</f>
        <v>Enteric viral</v>
      </c>
      <c r="D31" s="20">
        <f>IF(ISNUMBER(SEARCH("Vaccine-preventable",Pathogens!C28)),2,IF(ISNUMBER(SEARCH("AMR",Pathogens!C28)),5,IF(ISNUMBER(SEARCH("VHF",Pathogens!C28)),4,IF(ISNUMBER(SEARCH("Emerging",Pathogens!C28)),5,IF(ISNUMBER(SEARCH("Mycobacterial",Pathogens!C28)),3,IF(ISNUMBER(SEARCH("Helminth",Pathogens!C28)),3,IF(ISNUMBER(SEARCH("Respiratory",Pathogens!C28)),4,3)))))))</f>
        <v>3</v>
      </c>
    </row>
    <row r="32" customHeight="1" spans="1:4">
      <c r="A32" s="18" t="s">
        <v>232</v>
      </c>
      <c r="B32" t="s">
        <v>233</v>
      </c>
      <c r="C32" s="21" t="str">
        <f>Pathogens!C29</f>
        <v>Enteric viral</v>
      </c>
      <c r="D32" s="20">
        <f>IF(ISNUMBER(SEARCH("Vaccine-preventable",Pathogens!C29)),2,IF(ISNUMBER(SEARCH("AMR",Pathogens!C29)),5,IF(ISNUMBER(SEARCH("VHF",Pathogens!C29)),4,IF(ISNUMBER(SEARCH("Emerging",Pathogens!C29)),5,IF(ISNUMBER(SEARCH("Mycobacterial",Pathogens!C29)),3,IF(ISNUMBER(SEARCH("Helminth",Pathogens!C29)),3,IF(ISNUMBER(SEARCH("Respiratory",Pathogens!C29)),4,3)))))))</f>
        <v>3</v>
      </c>
    </row>
    <row r="33" customHeight="1" spans="1:4">
      <c r="A33" s="18" t="s">
        <v>234</v>
      </c>
      <c r="B33" t="s">
        <v>235</v>
      </c>
      <c r="C33" s="21" t="str">
        <f>Pathogens!C30</f>
        <v>Enteric viral</v>
      </c>
      <c r="D33" s="20">
        <f>IF(ISNUMBER(SEARCH("Vaccine-preventable",Pathogens!C30)),2,IF(ISNUMBER(SEARCH("AMR",Pathogens!C30)),5,IF(ISNUMBER(SEARCH("VHF",Pathogens!C30)),4,IF(ISNUMBER(SEARCH("Emerging",Pathogens!C30)),5,IF(ISNUMBER(SEARCH("Mycobacterial",Pathogens!C30)),3,IF(ISNUMBER(SEARCH("Helminth",Pathogens!C30)),3,IF(ISNUMBER(SEARCH("Respiratory",Pathogens!C30)),4,3)))))))</f>
        <v>3</v>
      </c>
    </row>
    <row r="34" customHeight="1" spans="1:4">
      <c r="A34" s="18" t="s">
        <v>236</v>
      </c>
      <c r="B34" t="s">
        <v>237</v>
      </c>
      <c r="C34" s="21" t="str">
        <f>Pathogens!C31</f>
        <v>Enteric bacterial</v>
      </c>
      <c r="D34" s="20">
        <f>IF(ISNUMBER(SEARCH("Vaccine-preventable",Pathogens!C31)),2,IF(ISNUMBER(SEARCH("AMR",Pathogens!C31)),5,IF(ISNUMBER(SEARCH("VHF",Pathogens!C31)),4,IF(ISNUMBER(SEARCH("Emerging",Pathogens!C31)),5,IF(ISNUMBER(SEARCH("Mycobacterial",Pathogens!C31)),3,IF(ISNUMBER(SEARCH("Helminth",Pathogens!C31)),3,IF(ISNUMBER(SEARCH("Respiratory",Pathogens!C31)),4,3)))))))</f>
        <v>3</v>
      </c>
    </row>
    <row r="35" customHeight="1" spans="1:4">
      <c r="A35" s="18" t="s">
        <v>239</v>
      </c>
      <c r="B35" t="s">
        <v>240</v>
      </c>
      <c r="C35" s="21" t="str">
        <f>Pathogens!C32</f>
        <v>Enteric bacterial</v>
      </c>
      <c r="D35" s="20">
        <f>IF(ISNUMBER(SEARCH("Vaccine-preventable",Pathogens!C32)),2,IF(ISNUMBER(SEARCH("AMR",Pathogens!C32)),5,IF(ISNUMBER(SEARCH("VHF",Pathogens!C32)),4,IF(ISNUMBER(SEARCH("Emerging",Pathogens!C32)),5,IF(ISNUMBER(SEARCH("Mycobacterial",Pathogens!C32)),3,IF(ISNUMBER(SEARCH("Helminth",Pathogens!C32)),3,IF(ISNUMBER(SEARCH("Respiratory",Pathogens!C32)),4,3)))))))</f>
        <v>3</v>
      </c>
    </row>
    <row r="36" customHeight="1" spans="1:4">
      <c r="A36" s="18" t="s">
        <v>241</v>
      </c>
      <c r="B36" t="s">
        <v>242</v>
      </c>
      <c r="C36" s="21" t="str">
        <f>Pathogens!C33</f>
        <v>Enteric bacterial</v>
      </c>
      <c r="D36" s="20">
        <f>IF(ISNUMBER(SEARCH("Vaccine-preventable",Pathogens!C33)),2,IF(ISNUMBER(SEARCH("AMR",Pathogens!C33)),5,IF(ISNUMBER(SEARCH("VHF",Pathogens!C33)),4,IF(ISNUMBER(SEARCH("Emerging",Pathogens!C33)),5,IF(ISNUMBER(SEARCH("Mycobacterial",Pathogens!C33)),3,IF(ISNUMBER(SEARCH("Helminth",Pathogens!C33)),3,IF(ISNUMBER(SEARCH("Respiratory",Pathogens!C33)),4,3)))))))</f>
        <v>3</v>
      </c>
    </row>
    <row r="37" customHeight="1" spans="1:4">
      <c r="A37" s="18" t="s">
        <v>243</v>
      </c>
      <c r="B37" t="s">
        <v>244</v>
      </c>
      <c r="C37" s="21" t="str">
        <f>Pathogens!C34</f>
        <v>Enteric bacterial</v>
      </c>
      <c r="D37" s="20">
        <f>IF(ISNUMBER(SEARCH("Vaccine-preventable",Pathogens!C34)),2,IF(ISNUMBER(SEARCH("AMR",Pathogens!C34)),5,IF(ISNUMBER(SEARCH("VHF",Pathogens!C34)),4,IF(ISNUMBER(SEARCH("Emerging",Pathogens!C34)),5,IF(ISNUMBER(SEARCH("Mycobacterial",Pathogens!C34)),3,IF(ISNUMBER(SEARCH("Helminth",Pathogens!C34)),3,IF(ISNUMBER(SEARCH("Respiratory",Pathogens!C34)),4,3)))))))</f>
        <v>3</v>
      </c>
    </row>
    <row r="38" customHeight="1" spans="1:4">
      <c r="A38" s="18" t="s">
        <v>245</v>
      </c>
      <c r="B38" t="s">
        <v>246</v>
      </c>
      <c r="C38" s="21" t="str">
        <f>Pathogens!C35</f>
        <v>Enteric bacterial</v>
      </c>
      <c r="D38" s="20">
        <f>IF(ISNUMBER(SEARCH("Vaccine-preventable",Pathogens!C35)),2,IF(ISNUMBER(SEARCH("AMR",Pathogens!C35)),5,IF(ISNUMBER(SEARCH("VHF",Pathogens!C35)),4,IF(ISNUMBER(SEARCH("Emerging",Pathogens!C35)),5,IF(ISNUMBER(SEARCH("Mycobacterial",Pathogens!C35)),3,IF(ISNUMBER(SEARCH("Helminth",Pathogens!C35)),3,IF(ISNUMBER(SEARCH("Respiratory",Pathogens!C35)),4,3)))))))</f>
        <v>3</v>
      </c>
    </row>
    <row r="39" customHeight="1" spans="1:4">
      <c r="A39" s="18" t="s">
        <v>247</v>
      </c>
      <c r="B39" t="s">
        <v>248</v>
      </c>
      <c r="C39" s="21" t="str">
        <f>Pathogens!C36</f>
        <v>Enteric bacterial</v>
      </c>
      <c r="D39" s="20">
        <f>IF(ISNUMBER(SEARCH("Vaccine-preventable",Pathogens!C36)),2,IF(ISNUMBER(SEARCH("AMR",Pathogens!C36)),5,IF(ISNUMBER(SEARCH("VHF",Pathogens!C36)),4,IF(ISNUMBER(SEARCH("Emerging",Pathogens!C36)),5,IF(ISNUMBER(SEARCH("Mycobacterial",Pathogens!C36)),3,IF(ISNUMBER(SEARCH("Helminth",Pathogens!C36)),3,IF(ISNUMBER(SEARCH("Respiratory",Pathogens!C36)),4,3)))))))</f>
        <v>3</v>
      </c>
    </row>
    <row r="40" customHeight="1" spans="1:4">
      <c r="A40" s="18" t="s">
        <v>249</v>
      </c>
      <c r="B40" t="s">
        <v>250</v>
      </c>
      <c r="C40" s="21" t="str">
        <f>Pathogens!C37</f>
        <v>Enteric bacterial</v>
      </c>
      <c r="D40" s="20">
        <f>IF(ISNUMBER(SEARCH("Vaccine-preventable",Pathogens!C37)),2,IF(ISNUMBER(SEARCH("AMR",Pathogens!C37)),5,IF(ISNUMBER(SEARCH("VHF",Pathogens!C37)),4,IF(ISNUMBER(SEARCH("Emerging",Pathogens!C37)),5,IF(ISNUMBER(SEARCH("Mycobacterial",Pathogens!C37)),3,IF(ISNUMBER(SEARCH("Helminth",Pathogens!C37)),3,IF(ISNUMBER(SEARCH("Respiratory",Pathogens!C37)),4,3)))))))</f>
        <v>3</v>
      </c>
    </row>
    <row r="41" customHeight="1" spans="1:4">
      <c r="A41" s="18" t="s">
        <v>251</v>
      </c>
      <c r="B41" t="s">
        <v>252</v>
      </c>
      <c r="C41" s="21" t="str">
        <f>Pathogens!C38</f>
        <v>Enteric bacterial</v>
      </c>
      <c r="D41" s="20">
        <f>IF(ISNUMBER(SEARCH("Vaccine-preventable",Pathogens!C38)),2,IF(ISNUMBER(SEARCH("AMR",Pathogens!C38)),5,IF(ISNUMBER(SEARCH("VHF",Pathogens!C38)),4,IF(ISNUMBER(SEARCH("Emerging",Pathogens!C38)),5,IF(ISNUMBER(SEARCH("Mycobacterial",Pathogens!C38)),3,IF(ISNUMBER(SEARCH("Helminth",Pathogens!C38)),3,IF(ISNUMBER(SEARCH("Respiratory",Pathogens!C38)),4,3)))))))</f>
        <v>3</v>
      </c>
    </row>
    <row r="42" customHeight="1" spans="1:4">
      <c r="A42" s="18" t="s">
        <v>253</v>
      </c>
      <c r="B42" t="s">
        <v>254</v>
      </c>
      <c r="C42" s="21" t="str">
        <f>Pathogens!C39</f>
        <v>Enteric bacterial</v>
      </c>
      <c r="D42" s="20">
        <f>IF(ISNUMBER(SEARCH("Vaccine-preventable",Pathogens!C39)),2,IF(ISNUMBER(SEARCH("AMR",Pathogens!C39)),5,IF(ISNUMBER(SEARCH("VHF",Pathogens!C39)),4,IF(ISNUMBER(SEARCH("Emerging",Pathogens!C39)),5,IF(ISNUMBER(SEARCH("Mycobacterial",Pathogens!C39)),3,IF(ISNUMBER(SEARCH("Helminth",Pathogens!C39)),3,IF(ISNUMBER(SEARCH("Respiratory",Pathogens!C39)),4,3)))))))</f>
        <v>3</v>
      </c>
    </row>
    <row r="43" customHeight="1" spans="1:4">
      <c r="A43" s="18" t="s">
        <v>255</v>
      </c>
      <c r="B43" t="s">
        <v>256</v>
      </c>
      <c r="C43" s="21" t="str">
        <f>Pathogens!C40</f>
        <v>Enteric bacterial</v>
      </c>
      <c r="D43" s="20">
        <f>IF(ISNUMBER(SEARCH("Vaccine-preventable",Pathogens!C40)),2,IF(ISNUMBER(SEARCH("AMR",Pathogens!C40)),5,IF(ISNUMBER(SEARCH("VHF",Pathogens!C40)),4,IF(ISNUMBER(SEARCH("Emerging",Pathogens!C40)),5,IF(ISNUMBER(SEARCH("Mycobacterial",Pathogens!C40)),3,IF(ISNUMBER(SEARCH("Helminth",Pathogens!C40)),3,IF(ISNUMBER(SEARCH("Respiratory",Pathogens!C40)),4,3)))))))</f>
        <v>3</v>
      </c>
    </row>
    <row r="44" customHeight="1" spans="1:4">
      <c r="A44" s="18" t="s">
        <v>257</v>
      </c>
      <c r="B44" t="s">
        <v>258</v>
      </c>
      <c r="C44" s="21" t="str">
        <f>Pathogens!C41</f>
        <v>Bacterial zoonotic</v>
      </c>
      <c r="D44" s="20">
        <f>IF(ISNUMBER(SEARCH("Vaccine-preventable",Pathogens!C41)),2,IF(ISNUMBER(SEARCH("AMR",Pathogens!C41)),5,IF(ISNUMBER(SEARCH("VHF",Pathogens!C41)),4,IF(ISNUMBER(SEARCH("Emerging",Pathogens!C41)),5,IF(ISNUMBER(SEARCH("Mycobacterial",Pathogens!C41)),3,IF(ISNUMBER(SEARCH("Helminth",Pathogens!C41)),3,IF(ISNUMBER(SEARCH("Respiratory",Pathogens!C41)),4,3)))))))</f>
        <v>3</v>
      </c>
    </row>
    <row r="45" customHeight="1" spans="1:4">
      <c r="A45" s="18" t="s">
        <v>260</v>
      </c>
      <c r="B45" t="s">
        <v>261</v>
      </c>
      <c r="C45" s="21" t="str">
        <f>Pathogens!C42</f>
        <v>Bacterial zoonotic</v>
      </c>
      <c r="D45" s="20">
        <f>IF(ISNUMBER(SEARCH("Vaccine-preventable",Pathogens!C42)),2,IF(ISNUMBER(SEARCH("AMR",Pathogens!C42)),5,IF(ISNUMBER(SEARCH("VHF",Pathogens!C42)),4,IF(ISNUMBER(SEARCH("Emerging",Pathogens!C42)),5,IF(ISNUMBER(SEARCH("Mycobacterial",Pathogens!C42)),3,IF(ISNUMBER(SEARCH("Helminth",Pathogens!C42)),3,IF(ISNUMBER(SEARCH("Respiratory",Pathogens!C42)),4,3)))))))</f>
        <v>3</v>
      </c>
    </row>
    <row r="46" customHeight="1" spans="1:4">
      <c r="A46" s="18" t="s">
        <v>262</v>
      </c>
      <c r="B46" t="s">
        <v>263</v>
      </c>
      <c r="C46" s="21" t="str">
        <f>Pathogens!C43</f>
        <v>Bacterial zoonotic</v>
      </c>
      <c r="D46" s="20">
        <f>IF(ISNUMBER(SEARCH("Vaccine-preventable",Pathogens!C43)),2,IF(ISNUMBER(SEARCH("AMR",Pathogens!C43)),5,IF(ISNUMBER(SEARCH("VHF",Pathogens!C43)),4,IF(ISNUMBER(SEARCH("Emerging",Pathogens!C43)),5,IF(ISNUMBER(SEARCH("Mycobacterial",Pathogens!C43)),3,IF(ISNUMBER(SEARCH("Helminth",Pathogens!C43)),3,IF(ISNUMBER(SEARCH("Respiratory",Pathogens!C43)),4,3)))))))</f>
        <v>3</v>
      </c>
    </row>
    <row r="47" customHeight="1" spans="1:4">
      <c r="A47" s="18" t="s">
        <v>264</v>
      </c>
      <c r="B47" t="s">
        <v>265</v>
      </c>
      <c r="C47" s="21" t="str">
        <f>Pathogens!C44</f>
        <v>Bacterial environmental</v>
      </c>
      <c r="D47" s="20">
        <f>IF(ISNUMBER(SEARCH("Vaccine-preventable",Pathogens!C44)),2,IF(ISNUMBER(SEARCH("AMR",Pathogens!C44)),5,IF(ISNUMBER(SEARCH("VHF",Pathogens!C44)),4,IF(ISNUMBER(SEARCH("Emerging",Pathogens!C44)),5,IF(ISNUMBER(SEARCH("Mycobacterial",Pathogens!C44)),3,IF(ISNUMBER(SEARCH("Helminth",Pathogens!C44)),3,IF(ISNUMBER(SEARCH("Respiratory",Pathogens!C44)),4,3)))))))</f>
        <v>3</v>
      </c>
    </row>
    <row r="48" customHeight="1" spans="1:4">
      <c r="A48" s="18" t="s">
        <v>267</v>
      </c>
      <c r="B48" t="s">
        <v>268</v>
      </c>
      <c r="C48" s="21" t="str">
        <f>Pathogens!C45</f>
        <v>Bacterial zoonotic</v>
      </c>
      <c r="D48" s="20">
        <f>IF(ISNUMBER(SEARCH("Vaccine-preventable",Pathogens!C45)),2,IF(ISNUMBER(SEARCH("AMR",Pathogens!C45)),5,IF(ISNUMBER(SEARCH("VHF",Pathogens!C45)),4,IF(ISNUMBER(SEARCH("Emerging",Pathogens!C45)),5,IF(ISNUMBER(SEARCH("Mycobacterial",Pathogens!C45)),3,IF(ISNUMBER(SEARCH("Helminth",Pathogens!C45)),3,IF(ISNUMBER(SEARCH("Respiratory",Pathogens!C45)),4,3)))))))</f>
        <v>3</v>
      </c>
    </row>
    <row r="49" customHeight="1" spans="1:4">
      <c r="A49" s="18" t="s">
        <v>269</v>
      </c>
      <c r="B49" t="s">
        <v>270</v>
      </c>
      <c r="C49" s="21" t="str">
        <f>Pathogens!C46</f>
        <v>Mycobacterial</v>
      </c>
      <c r="D49" s="20">
        <f>IF(ISNUMBER(SEARCH("Vaccine-preventable",Pathogens!C46)),2,IF(ISNUMBER(SEARCH("AMR",Pathogens!C46)),5,IF(ISNUMBER(SEARCH("VHF",Pathogens!C46)),4,IF(ISNUMBER(SEARCH("Emerging",Pathogens!C46)),5,IF(ISNUMBER(SEARCH("Mycobacterial",Pathogens!C46)),3,IF(ISNUMBER(SEARCH("Helminth",Pathogens!C46)),3,IF(ISNUMBER(SEARCH("Respiratory",Pathogens!C46)),4,3)))))))</f>
        <v>3</v>
      </c>
    </row>
    <row r="50" customHeight="1" spans="1:4">
      <c r="A50" s="18" t="s">
        <v>272</v>
      </c>
      <c r="B50" t="s">
        <v>273</v>
      </c>
      <c r="C50" s="21" t="str">
        <f>Pathogens!C47</f>
        <v>Enteric protozoan</v>
      </c>
      <c r="D50" s="20">
        <f>IF(ISNUMBER(SEARCH("Vaccine-preventable",Pathogens!C47)),2,IF(ISNUMBER(SEARCH("AMR",Pathogens!C47)),5,IF(ISNUMBER(SEARCH("VHF",Pathogens!C47)),4,IF(ISNUMBER(SEARCH("Emerging",Pathogens!C47)),5,IF(ISNUMBER(SEARCH("Mycobacterial",Pathogens!C47)),3,IF(ISNUMBER(SEARCH("Helminth",Pathogens!C47)),3,IF(ISNUMBER(SEARCH("Respiratory",Pathogens!C47)),4,3)))))))</f>
        <v>3</v>
      </c>
    </row>
    <row r="51" customHeight="1" spans="1:4">
      <c r="A51" s="18" t="s">
        <v>275</v>
      </c>
      <c r="B51" t="s">
        <v>276</v>
      </c>
      <c r="C51" s="21" t="str">
        <f>Pathogens!C48</f>
        <v>Enteric protozoan</v>
      </c>
      <c r="D51" s="20">
        <f>IF(ISNUMBER(SEARCH("Vaccine-preventable",Pathogens!C48)),2,IF(ISNUMBER(SEARCH("AMR",Pathogens!C48)),5,IF(ISNUMBER(SEARCH("VHF",Pathogens!C48)),4,IF(ISNUMBER(SEARCH("Emerging",Pathogens!C48)),5,IF(ISNUMBER(SEARCH("Mycobacterial",Pathogens!C48)),3,IF(ISNUMBER(SEARCH("Helminth",Pathogens!C48)),3,IF(ISNUMBER(SEARCH("Respiratory",Pathogens!C48)),4,3)))))))</f>
        <v>3</v>
      </c>
    </row>
    <row r="52" customHeight="1" spans="1:4">
      <c r="A52" s="18" t="s">
        <v>277</v>
      </c>
      <c r="B52" t="s">
        <v>278</v>
      </c>
      <c r="C52" s="21" t="str">
        <f>Pathogens!C49</f>
        <v>Enteric protozoan</v>
      </c>
      <c r="D52" s="20">
        <f>IF(ISNUMBER(SEARCH("Vaccine-preventable",Pathogens!C49)),2,IF(ISNUMBER(SEARCH("AMR",Pathogens!C49)),5,IF(ISNUMBER(SEARCH("VHF",Pathogens!C49)),4,IF(ISNUMBER(SEARCH("Emerging",Pathogens!C49)),5,IF(ISNUMBER(SEARCH("Mycobacterial",Pathogens!C49)),3,IF(ISNUMBER(SEARCH("Helminth",Pathogens!C49)),3,IF(ISNUMBER(SEARCH("Respiratory",Pathogens!C49)),4,3)))))))</f>
        <v>3</v>
      </c>
    </row>
    <row r="53" customHeight="1" spans="1:4">
      <c r="A53" s="18" t="s">
        <v>279</v>
      </c>
      <c r="B53" t="s">
        <v>280</v>
      </c>
      <c r="C53" s="21" t="str">
        <f>Pathogens!C50</f>
        <v>Helminth</v>
      </c>
      <c r="D53" s="20">
        <f>IF(ISNUMBER(SEARCH("Vaccine-preventable",Pathogens!C50)),2,IF(ISNUMBER(SEARCH("AMR",Pathogens!C50)),5,IF(ISNUMBER(SEARCH("VHF",Pathogens!C50)),4,IF(ISNUMBER(SEARCH("Emerging",Pathogens!C50)),5,IF(ISNUMBER(SEARCH("Mycobacterial",Pathogens!C50)),3,IF(ISNUMBER(SEARCH("Helminth",Pathogens!C50)),3,IF(ISNUMBER(SEARCH("Respiratory",Pathogens!C50)),4,3)))))))</f>
        <v>3</v>
      </c>
    </row>
    <row r="54" customHeight="1" spans="1:4">
      <c r="A54" s="18" t="s">
        <v>282</v>
      </c>
      <c r="B54" t="s">
        <v>283</v>
      </c>
      <c r="C54" s="21" t="str">
        <f>Pathogens!C51</f>
        <v>Helminth</v>
      </c>
      <c r="D54" s="20">
        <f>IF(ISNUMBER(SEARCH("Vaccine-preventable",Pathogens!C51)),2,IF(ISNUMBER(SEARCH("AMR",Pathogens!C51)),5,IF(ISNUMBER(SEARCH("VHF",Pathogens!C51)),4,IF(ISNUMBER(SEARCH("Emerging",Pathogens!C51)),5,IF(ISNUMBER(SEARCH("Mycobacterial",Pathogens!C51)),3,IF(ISNUMBER(SEARCH("Helminth",Pathogens!C51)),3,IF(ISNUMBER(SEARCH("Respiratory",Pathogens!C51)),4,3)))))))</f>
        <v>3</v>
      </c>
    </row>
    <row r="55" customHeight="1" spans="1:4">
      <c r="A55" s="18" t="s">
        <v>284</v>
      </c>
      <c r="B55" t="s">
        <v>285</v>
      </c>
      <c r="C55" s="21" t="str">
        <f>Pathogens!C52</f>
        <v>Helminth</v>
      </c>
      <c r="D55" s="20">
        <f>IF(ISNUMBER(SEARCH("Vaccine-preventable",Pathogens!C52)),2,IF(ISNUMBER(SEARCH("AMR",Pathogens!C52)),5,IF(ISNUMBER(SEARCH("VHF",Pathogens!C52)),4,IF(ISNUMBER(SEARCH("Emerging",Pathogens!C52)),5,IF(ISNUMBER(SEARCH("Mycobacterial",Pathogens!C52)),3,IF(ISNUMBER(SEARCH("Helminth",Pathogens!C52)),3,IF(ISNUMBER(SEARCH("Respiratory",Pathogens!C52)),4,3)))))))</f>
        <v>3</v>
      </c>
    </row>
    <row r="56" customHeight="1" spans="1:4">
      <c r="A56" s="18" t="s">
        <v>286</v>
      </c>
      <c r="B56" t="s">
        <v>287</v>
      </c>
      <c r="C56" s="21" t="str">
        <f>Pathogens!C53</f>
        <v>AMR marker</v>
      </c>
      <c r="D56" s="20">
        <f>IF(ISNUMBER(SEARCH("Vaccine-preventable",Pathogens!C53)),2,IF(ISNUMBER(SEARCH("AMR",Pathogens!C53)),5,IF(ISNUMBER(SEARCH("VHF",Pathogens!C53)),4,IF(ISNUMBER(SEARCH("Emerging",Pathogens!C53)),5,IF(ISNUMBER(SEARCH("Mycobacterial",Pathogens!C53)),3,IF(ISNUMBER(SEARCH("Helminth",Pathogens!C53)),3,IF(ISNUMBER(SEARCH("Respiratory",Pathogens!C53)),4,3)))))))</f>
        <v>5</v>
      </c>
    </row>
    <row r="57" customHeight="1" spans="1:4">
      <c r="A57" s="18" t="s">
        <v>289</v>
      </c>
      <c r="B57" t="s">
        <v>290</v>
      </c>
      <c r="C57" s="21" t="str">
        <f>Pathogens!C54</f>
        <v>AMR marker</v>
      </c>
      <c r="D57" s="20">
        <f>IF(ISNUMBER(SEARCH("Vaccine-preventable",Pathogens!C54)),2,IF(ISNUMBER(SEARCH("AMR",Pathogens!C54)),5,IF(ISNUMBER(SEARCH("VHF",Pathogens!C54)),4,IF(ISNUMBER(SEARCH("Emerging",Pathogens!C54)),5,IF(ISNUMBER(SEARCH("Mycobacterial",Pathogens!C54)),3,IF(ISNUMBER(SEARCH("Helminth",Pathogens!C54)),3,IF(ISNUMBER(SEARCH("Respiratory",Pathogens!C54)),4,3)))))))</f>
        <v>5</v>
      </c>
    </row>
    <row r="58" customHeight="1" spans="1:4">
      <c r="A58" s="18" t="s">
        <v>291</v>
      </c>
      <c r="B58" t="s">
        <v>292</v>
      </c>
      <c r="C58" s="21" t="str">
        <f>Pathogens!C55</f>
        <v>AMR marker</v>
      </c>
      <c r="D58" s="20">
        <f>IF(ISNUMBER(SEARCH("Vaccine-preventable",Pathogens!C55)),2,IF(ISNUMBER(SEARCH("AMR",Pathogens!C55)),5,IF(ISNUMBER(SEARCH("VHF",Pathogens!C55)),4,IF(ISNUMBER(SEARCH("Emerging",Pathogens!C55)),5,IF(ISNUMBER(SEARCH("Mycobacterial",Pathogens!C55)),3,IF(ISNUMBER(SEARCH("Helminth",Pathogens!C55)),3,IF(ISNUMBER(SEARCH("Respiratory",Pathogens!C55)),4,3)))))))</f>
        <v>5</v>
      </c>
    </row>
    <row r="59" customHeight="1" spans="1:4">
      <c r="A59" s="18" t="s">
        <v>293</v>
      </c>
      <c r="B59" t="s">
        <v>294</v>
      </c>
      <c r="C59" s="21" t="str">
        <f>Pathogens!C56</f>
        <v>AMR marker</v>
      </c>
      <c r="D59" s="20">
        <f>IF(ISNUMBER(SEARCH("Vaccine-preventable",Pathogens!C56)),2,IF(ISNUMBER(SEARCH("AMR",Pathogens!C56)),5,IF(ISNUMBER(SEARCH("VHF",Pathogens!C56)),4,IF(ISNUMBER(SEARCH("Emerging",Pathogens!C56)),5,IF(ISNUMBER(SEARCH("Mycobacterial",Pathogens!C56)),3,IF(ISNUMBER(SEARCH("Helminth",Pathogens!C56)),3,IF(ISNUMBER(SEARCH("Respiratory",Pathogens!C56)),4,3)))))))</f>
        <v>5</v>
      </c>
    </row>
    <row r="60" customHeight="1" spans="1:4">
      <c r="A60" s="18" t="s">
        <v>295</v>
      </c>
      <c r="B60" t="s">
        <v>296</v>
      </c>
      <c r="C60" s="21" t="str">
        <f>Pathogens!C57</f>
        <v>AMR marker</v>
      </c>
      <c r="D60" s="20">
        <f>IF(ISNUMBER(SEARCH("Vaccine-preventable",Pathogens!C57)),2,IF(ISNUMBER(SEARCH("AMR",Pathogens!C57)),5,IF(ISNUMBER(SEARCH("VHF",Pathogens!C57)),4,IF(ISNUMBER(SEARCH("Emerging",Pathogens!C57)),5,IF(ISNUMBER(SEARCH("Mycobacterial",Pathogens!C57)),3,IF(ISNUMBER(SEARCH("Helminth",Pathogens!C57)),3,IF(ISNUMBER(SEARCH("Respiratory",Pathogens!C57)),4,3)))))))</f>
        <v>5</v>
      </c>
    </row>
    <row r="61" customHeight="1" spans="1:4">
      <c r="A61" s="18" t="s">
        <v>297</v>
      </c>
      <c r="B61" t="s">
        <v>298</v>
      </c>
      <c r="C61" s="21" t="str">
        <f>Pathogens!C58</f>
        <v>AMR marker</v>
      </c>
      <c r="D61" s="20">
        <f>IF(ISNUMBER(SEARCH("Vaccine-preventable",Pathogens!C58)),2,IF(ISNUMBER(SEARCH("AMR",Pathogens!C58)),5,IF(ISNUMBER(SEARCH("VHF",Pathogens!C58)),4,IF(ISNUMBER(SEARCH("Emerging",Pathogens!C58)),5,IF(ISNUMBER(SEARCH("Mycobacterial",Pathogens!C58)),3,IF(ISNUMBER(SEARCH("Helminth",Pathogens!C58)),3,IF(ISNUMBER(SEARCH("Respiratory",Pathogens!C58)),4,3)))))))</f>
        <v>5</v>
      </c>
    </row>
    <row r="62" customHeight="1" spans="1:4">
      <c r="A62" s="18" t="s">
        <v>299</v>
      </c>
      <c r="B62" t="s">
        <v>300</v>
      </c>
      <c r="C62" s="21" t="str">
        <f>Pathogens!C59</f>
        <v>AMR marker</v>
      </c>
      <c r="D62" s="20">
        <f>IF(ISNUMBER(SEARCH("Vaccine-preventable",Pathogens!C59)),2,IF(ISNUMBER(SEARCH("AMR",Pathogens!C59)),5,IF(ISNUMBER(SEARCH("VHF",Pathogens!C59)),4,IF(ISNUMBER(SEARCH("Emerging",Pathogens!C59)),5,IF(ISNUMBER(SEARCH("Mycobacterial",Pathogens!C59)),3,IF(ISNUMBER(SEARCH("Helminth",Pathogens!C59)),3,IF(ISNUMBER(SEARCH("Respiratory",Pathogens!C59)),4,3)))))))</f>
        <v>5</v>
      </c>
    </row>
    <row r="63" customHeight="1" spans="1:4">
      <c r="A63" s="18" t="s">
        <v>301</v>
      </c>
      <c r="B63" t="s">
        <v>302</v>
      </c>
      <c r="C63" s="21" t="str">
        <f>Pathogens!C60</f>
        <v>AMR marker</v>
      </c>
      <c r="D63" s="20">
        <f>IF(ISNUMBER(SEARCH("Vaccine-preventable",Pathogens!C60)),2,IF(ISNUMBER(SEARCH("AMR",Pathogens!C60)),5,IF(ISNUMBER(SEARCH("VHF",Pathogens!C60)),4,IF(ISNUMBER(SEARCH("Emerging",Pathogens!C60)),5,IF(ISNUMBER(SEARCH("Mycobacterial",Pathogens!C60)),3,IF(ISNUMBER(SEARCH("Helminth",Pathogens!C60)),3,IF(ISNUMBER(SEARCH("Respiratory",Pathogens!C60)),4,3)))))))</f>
        <v>5</v>
      </c>
    </row>
    <row r="64" customHeight="1" spans="1:4">
      <c r="A64" s="18" t="s">
        <v>303</v>
      </c>
      <c r="B64" t="s">
        <v>304</v>
      </c>
      <c r="C64" s="21" t="str">
        <f>Pathogens!C61</f>
        <v>Bloodborne viral</v>
      </c>
      <c r="D64" s="20">
        <f>IF(ISNUMBER(SEARCH("Vaccine-preventable",Pathogens!C61)),2,IF(ISNUMBER(SEARCH("AMR",Pathogens!C61)),5,IF(ISNUMBER(SEARCH("VHF",Pathogens!C61)),4,IF(ISNUMBER(SEARCH("Emerging",Pathogens!C61)),5,IF(ISNUMBER(SEARCH("Mycobacterial",Pathogens!C61)),3,IF(ISNUMBER(SEARCH("Helminth",Pathogens!C61)),3,IF(ISNUMBER(SEARCH("Respiratory",Pathogens!C61)),4,3)))))))</f>
        <v>3</v>
      </c>
    </row>
    <row r="65" customHeight="1" spans="1:4">
      <c r="A65" s="18" t="s">
        <v>306</v>
      </c>
      <c r="B65" t="s">
        <v>307</v>
      </c>
      <c r="C65" s="21" t="str">
        <f>Pathogens!C62</f>
        <v>Bloodborne viral</v>
      </c>
      <c r="D65" s="20">
        <f>IF(ISNUMBER(SEARCH("Vaccine-preventable",Pathogens!C62)),2,IF(ISNUMBER(SEARCH("AMR",Pathogens!C62)),5,IF(ISNUMBER(SEARCH("VHF",Pathogens!C62)),4,IF(ISNUMBER(SEARCH("Emerging",Pathogens!C62)),5,IF(ISNUMBER(SEARCH("Mycobacterial",Pathogens!C62)),3,IF(ISNUMBER(SEARCH("Helminth",Pathogens!C62)),3,IF(ISNUMBER(SEARCH("Respiratory",Pathogens!C62)),4,3)))))))</f>
        <v>3</v>
      </c>
    </row>
    <row r="66" customHeight="1" spans="1:4">
      <c r="A66" s="18" t="s">
        <v>308</v>
      </c>
      <c r="B66" t="s">
        <v>309</v>
      </c>
      <c r="C66" s="21" t="str">
        <f>Pathogens!C63</f>
        <v>Zoonotic viral</v>
      </c>
      <c r="D66" s="20">
        <f>IF(ISNUMBER(SEARCH("Vaccine-preventable",Pathogens!C63)),2,IF(ISNUMBER(SEARCH("AMR",Pathogens!C63)),5,IF(ISNUMBER(SEARCH("VHF",Pathogens!C63)),4,IF(ISNUMBER(SEARCH("Emerging",Pathogens!C63)),5,IF(ISNUMBER(SEARCH("Mycobacterial",Pathogens!C63)),3,IF(ISNUMBER(SEARCH("Helminth",Pathogens!C63)),3,IF(ISNUMBER(SEARCH("Respiratory",Pathogens!C63)),4,3)))))))</f>
        <v>3</v>
      </c>
    </row>
    <row r="67" customHeight="1" spans="1:4">
      <c r="A67" s="18" t="s">
        <v>311</v>
      </c>
      <c r="B67" t="s">
        <v>312</v>
      </c>
      <c r="C67" s="21" t="str">
        <f>Pathogens!C64</f>
        <v>Bacterial zoonotic</v>
      </c>
      <c r="D67" s="20">
        <f>IF(ISNUMBER(SEARCH("Vaccine-preventable",Pathogens!C64)),2,IF(ISNUMBER(SEARCH("AMR",Pathogens!C64)),5,IF(ISNUMBER(SEARCH("VHF",Pathogens!C64)),4,IF(ISNUMBER(SEARCH("Emerging",Pathogens!C64)),5,IF(ISNUMBER(SEARCH("Mycobacterial",Pathogens!C64)),3,IF(ISNUMBER(SEARCH("Helminth",Pathogens!C64)),3,IF(ISNUMBER(SEARCH("Respiratory",Pathogens!C64)),4,3)))))))</f>
        <v>3</v>
      </c>
    </row>
    <row r="68" customHeight="1" spans="1:4">
      <c r="A68" s="18" t="s">
        <v>313</v>
      </c>
      <c r="B68" t="s">
        <v>314</v>
      </c>
      <c r="C68" s="21" t="str">
        <f>Pathogens!C65</f>
        <v>Protozoan vectorborne</v>
      </c>
      <c r="D68" s="20">
        <f>IF(ISNUMBER(SEARCH("Vaccine-preventable",Pathogens!C65)),2,IF(ISNUMBER(SEARCH("AMR",Pathogens!C65)),5,IF(ISNUMBER(SEARCH("VHF",Pathogens!C65)),4,IF(ISNUMBER(SEARCH("Emerging",Pathogens!C65)),5,IF(ISNUMBER(SEARCH("Mycobacterial",Pathogens!C65)),3,IF(ISNUMBER(SEARCH("Helminth",Pathogens!C65)),3,IF(ISNUMBER(SEARCH("Respiratory",Pathogens!C65)),4,3)))))))</f>
        <v>3</v>
      </c>
    </row>
  </sheetData>
  <pageMargins left="0.75" right="0.75" top="1" bottom="1" header="0.511811023622047" footer="0.511811023622047"/>
  <pageSetup paperSize="9"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outlineLevelCol="3"/>
  <cols>
    <col min="1" max="1" width="18" customWidth="1"/>
    <col min="2" max="2" width="36" customWidth="1"/>
    <col min="3" max="4" width="18" customWidth="1"/>
  </cols>
  <sheetData>
    <row r="1" ht="19.5" customHeight="1" spans="1:4">
      <c r="A1" s="1" t="s">
        <v>629</v>
      </c>
    </row>
    <row r="2" customHeight="1" spans="1:4">
      <c r="A2" s="16" t="s">
        <v>606</v>
      </c>
    </row>
    <row r="4" customHeight="1" spans="1:4">
      <c r="A4" s="17" t="s">
        <v>147</v>
      </c>
      <c r="B4" s="17" t="s">
        <v>148</v>
      </c>
      <c r="C4" s="17" t="s">
        <v>628</v>
      </c>
      <c r="D4" s="17" t="s">
        <v>611</v>
      </c>
    </row>
    <row r="5" customHeight="1" spans="1:4">
      <c r="A5" s="18" t="s">
        <v>169</v>
      </c>
      <c r="B5" t="s">
        <v>170</v>
      </c>
      <c r="C5" s="21" t="str">
        <f>Pathogens!C2</f>
        <v>Vaccine-preventable viral</v>
      </c>
      <c r="D5" s="20">
        <f>IF(ISNUMBER(SEARCH("AMR",Pathogens!C2)),5,IF(ISNUMBER(SEARCH("Mycobacterial",Pathogens!C2)),4,IF(ISNUMBER(SEARCH("Enteric bacterial",Pathogens!C2)),3,IF(ISNUMBER(SEARCH("Bacterial",Pathogens!C2)),3,1))))</f>
        <v>1</v>
      </c>
    </row>
    <row r="6" customHeight="1" spans="1:4">
      <c r="A6" s="18" t="s">
        <v>172</v>
      </c>
      <c r="B6" t="s">
        <v>173</v>
      </c>
      <c r="C6" s="21" t="str">
        <f>Pathogens!C3</f>
        <v>Vaccine-preventable viral</v>
      </c>
      <c r="D6" s="20">
        <f>IF(ISNUMBER(SEARCH("AMR",Pathogens!C3)),5,IF(ISNUMBER(SEARCH("Mycobacterial",Pathogens!C3)),4,IF(ISNUMBER(SEARCH("Enteric bacterial",Pathogens!C3)),3,IF(ISNUMBER(SEARCH("Bacterial",Pathogens!C3)),3,1))))</f>
        <v>1</v>
      </c>
    </row>
    <row r="7" customHeight="1" spans="1:4">
      <c r="A7" s="18" t="s">
        <v>174</v>
      </c>
      <c r="B7" t="s">
        <v>175</v>
      </c>
      <c r="C7" s="21" t="str">
        <f>Pathogens!C4</f>
        <v>Vaccine-preventable viral</v>
      </c>
      <c r="D7" s="20">
        <f>IF(ISNUMBER(SEARCH("AMR",Pathogens!C4)),5,IF(ISNUMBER(SEARCH("Mycobacterial",Pathogens!C4)),4,IF(ISNUMBER(SEARCH("Enteric bacterial",Pathogens!C4)),3,IF(ISNUMBER(SEARCH("Bacterial",Pathogens!C4)),3,1))))</f>
        <v>1</v>
      </c>
    </row>
    <row r="8" customHeight="1" spans="1:4">
      <c r="A8" s="18" t="s">
        <v>176</v>
      </c>
      <c r="B8" t="s">
        <v>177</v>
      </c>
      <c r="C8" s="21" t="str">
        <f>Pathogens!C5</f>
        <v>Arbovirus</v>
      </c>
      <c r="D8" s="20">
        <f>IF(ISNUMBER(SEARCH("AMR",Pathogens!C5)),5,IF(ISNUMBER(SEARCH("Mycobacterial",Pathogens!C5)),4,IF(ISNUMBER(SEARCH("Enteric bacterial",Pathogens!C5)),3,IF(ISNUMBER(SEARCH("Bacterial",Pathogens!C5)),3,1))))</f>
        <v>1</v>
      </c>
    </row>
    <row r="9" customHeight="1" spans="1:4">
      <c r="A9" s="18" t="s">
        <v>179</v>
      </c>
      <c r="B9" t="s">
        <v>180</v>
      </c>
      <c r="C9" s="21" t="str">
        <f>Pathogens!C6</f>
        <v>Arbovirus</v>
      </c>
      <c r="D9" s="20">
        <f>IF(ISNUMBER(SEARCH("AMR",Pathogens!C6)),5,IF(ISNUMBER(SEARCH("Mycobacterial",Pathogens!C6)),4,IF(ISNUMBER(SEARCH("Enteric bacterial",Pathogens!C6)),3,IF(ISNUMBER(SEARCH("Bacterial",Pathogens!C6)),3,1))))</f>
        <v>1</v>
      </c>
    </row>
    <row r="10" customHeight="1" spans="1:4">
      <c r="A10" s="18" t="s">
        <v>181</v>
      </c>
      <c r="B10" t="s">
        <v>182</v>
      </c>
      <c r="C10" s="21" t="str">
        <f>Pathogens!C7</f>
        <v>Arbovirus</v>
      </c>
      <c r="D10" s="20">
        <f>IF(ISNUMBER(SEARCH("AMR",Pathogens!C7)),5,IF(ISNUMBER(SEARCH("Mycobacterial",Pathogens!C7)),4,IF(ISNUMBER(SEARCH("Enteric bacterial",Pathogens!C7)),3,IF(ISNUMBER(SEARCH("Bacterial",Pathogens!C7)),3,1))))</f>
        <v>1</v>
      </c>
    </row>
    <row r="11" customHeight="1" spans="1:4">
      <c r="A11" s="18" t="s">
        <v>183</v>
      </c>
      <c r="B11" t="s">
        <v>184</v>
      </c>
      <c r="C11" s="21" t="str">
        <f>Pathogens!C8</f>
        <v>Arbovirus</v>
      </c>
      <c r="D11" s="20">
        <f>IF(ISNUMBER(SEARCH("AMR",Pathogens!C8)),5,IF(ISNUMBER(SEARCH("Mycobacterial",Pathogens!C8)),4,IF(ISNUMBER(SEARCH("Enteric bacterial",Pathogens!C8)),3,IF(ISNUMBER(SEARCH("Bacterial",Pathogens!C8)),3,1))))</f>
        <v>1</v>
      </c>
    </row>
    <row r="12" customHeight="1" spans="1:4">
      <c r="A12" s="18" t="s">
        <v>185</v>
      </c>
      <c r="B12" t="s">
        <v>186</v>
      </c>
      <c r="C12" s="21" t="str">
        <f>Pathogens!C9</f>
        <v>Arbovirus</v>
      </c>
      <c r="D12" s="20">
        <f>IF(ISNUMBER(SEARCH("AMR",Pathogens!C9)),5,IF(ISNUMBER(SEARCH("Mycobacterial",Pathogens!C9)),4,IF(ISNUMBER(SEARCH("Enteric bacterial",Pathogens!C9)),3,IF(ISNUMBER(SEARCH("Bacterial",Pathogens!C9)),3,1))))</f>
        <v>1</v>
      </c>
    </row>
    <row r="13" customHeight="1" spans="1:4">
      <c r="A13" s="18" t="s">
        <v>187</v>
      </c>
      <c r="B13" t="s">
        <v>188</v>
      </c>
      <c r="C13" s="21" t="str">
        <f>Pathogens!C10</f>
        <v>VHF/zoonotic</v>
      </c>
      <c r="D13" s="20">
        <f>IF(ISNUMBER(SEARCH("AMR",Pathogens!C10)),5,IF(ISNUMBER(SEARCH("Mycobacterial",Pathogens!C10)),4,IF(ISNUMBER(SEARCH("Enteric bacterial",Pathogens!C10)),3,IF(ISNUMBER(SEARCH("Bacterial",Pathogens!C10)),3,1))))</f>
        <v>1</v>
      </c>
    </row>
    <row r="14" customHeight="1" spans="1:4">
      <c r="A14" s="18" t="s">
        <v>190</v>
      </c>
      <c r="B14" t="s">
        <v>191</v>
      </c>
      <c r="C14" s="21" t="str">
        <f>Pathogens!C11</f>
        <v>VHF/zoonotic</v>
      </c>
      <c r="D14" s="20">
        <f>IF(ISNUMBER(SEARCH("AMR",Pathogens!C11)),5,IF(ISNUMBER(SEARCH("Mycobacterial",Pathogens!C11)),4,IF(ISNUMBER(SEARCH("Enteric bacterial",Pathogens!C11)),3,IF(ISNUMBER(SEARCH("Bacterial",Pathogens!C11)),3,1))))</f>
        <v>1</v>
      </c>
    </row>
    <row r="15" customHeight="1" spans="1:4">
      <c r="A15" s="18" t="s">
        <v>192</v>
      </c>
      <c r="B15" t="s">
        <v>193</v>
      </c>
      <c r="C15" s="21" t="str">
        <f>Pathogens!C12</f>
        <v>VHF/zoonotic</v>
      </c>
      <c r="D15" s="20">
        <f>IF(ISNUMBER(SEARCH("AMR",Pathogens!C12)),5,IF(ISNUMBER(SEARCH("Mycobacterial",Pathogens!C12)),4,IF(ISNUMBER(SEARCH("Enteric bacterial",Pathogens!C12)),3,IF(ISNUMBER(SEARCH("Bacterial",Pathogens!C12)),3,1))))</f>
        <v>1</v>
      </c>
    </row>
    <row r="16" customHeight="1" spans="1:4">
      <c r="A16" s="18" t="s">
        <v>194</v>
      </c>
      <c r="B16" t="s">
        <v>195</v>
      </c>
      <c r="C16" s="21" t="str">
        <f>Pathogens!C13</f>
        <v>VHF/zoonotic</v>
      </c>
      <c r="D16" s="20">
        <f>IF(ISNUMBER(SEARCH("AMR",Pathogens!C13)),5,IF(ISNUMBER(SEARCH("Mycobacterial",Pathogens!C13)),4,IF(ISNUMBER(SEARCH("Enteric bacterial",Pathogens!C13)),3,IF(ISNUMBER(SEARCH("Bacterial",Pathogens!C13)),3,1))))</f>
        <v>1</v>
      </c>
    </row>
    <row r="17" customHeight="1" spans="1:4">
      <c r="A17" s="18" t="s">
        <v>196</v>
      </c>
      <c r="B17" t="s">
        <v>197</v>
      </c>
      <c r="C17" s="21" t="str">
        <f>Pathogens!C14</f>
        <v>VHF/zoonotic</v>
      </c>
      <c r="D17" s="20">
        <f>IF(ISNUMBER(SEARCH("AMR",Pathogens!C14)),5,IF(ISNUMBER(SEARCH("Mycobacterial",Pathogens!C14)),4,IF(ISNUMBER(SEARCH("Enteric bacterial",Pathogens!C14)),3,IF(ISNUMBER(SEARCH("Bacterial",Pathogens!C14)),3,1))))</f>
        <v>1</v>
      </c>
    </row>
    <row r="18" customHeight="1" spans="1:4">
      <c r="A18" s="18" t="s">
        <v>198</v>
      </c>
      <c r="B18" t="s">
        <v>199</v>
      </c>
      <c r="C18" s="21" t="str">
        <f>Pathogens!C15</f>
        <v>Emerging viral</v>
      </c>
      <c r="D18" s="20">
        <f>IF(ISNUMBER(SEARCH("AMR",Pathogens!C15)),5,IF(ISNUMBER(SEARCH("Mycobacterial",Pathogens!C15)),4,IF(ISNUMBER(SEARCH("Enteric bacterial",Pathogens!C15)),3,IF(ISNUMBER(SEARCH("Bacterial",Pathogens!C15)),3,1))))</f>
        <v>1</v>
      </c>
    </row>
    <row r="19" customHeight="1" spans="1:4">
      <c r="A19" s="18" t="s">
        <v>201</v>
      </c>
      <c r="B19" t="s">
        <v>202</v>
      </c>
      <c r="C19" s="21" t="str">
        <f>Pathogens!C16</f>
        <v>Respiratory viral</v>
      </c>
      <c r="D19" s="20">
        <f>IF(ISNUMBER(SEARCH("AMR",Pathogens!C16)),5,IF(ISNUMBER(SEARCH("Mycobacterial",Pathogens!C16)),4,IF(ISNUMBER(SEARCH("Enteric bacterial",Pathogens!C16)),3,IF(ISNUMBER(SEARCH("Bacterial",Pathogens!C16)),3,1))))</f>
        <v>1</v>
      </c>
    </row>
    <row r="20" customHeight="1" spans="1:4">
      <c r="A20" s="18" t="s">
        <v>204</v>
      </c>
      <c r="B20" t="s">
        <v>205</v>
      </c>
      <c r="C20" s="21" t="str">
        <f>Pathogens!C17</f>
        <v>Respiratory viral</v>
      </c>
      <c r="D20" s="20">
        <f>IF(ISNUMBER(SEARCH("AMR",Pathogens!C17)),5,IF(ISNUMBER(SEARCH("Mycobacterial",Pathogens!C17)),4,IF(ISNUMBER(SEARCH("Enteric bacterial",Pathogens!C17)),3,IF(ISNUMBER(SEARCH("Bacterial",Pathogens!C17)),3,1))))</f>
        <v>1</v>
      </c>
    </row>
    <row r="21" customHeight="1" spans="1:4">
      <c r="A21" s="18" t="s">
        <v>206</v>
      </c>
      <c r="B21" t="s">
        <v>207</v>
      </c>
      <c r="C21" s="21" t="str">
        <f>Pathogens!C18</f>
        <v>Respiratory viral</v>
      </c>
      <c r="D21" s="20">
        <f>IF(ISNUMBER(SEARCH("AMR",Pathogens!C18)),5,IF(ISNUMBER(SEARCH("Mycobacterial",Pathogens!C18)),4,IF(ISNUMBER(SEARCH("Enteric bacterial",Pathogens!C18)),3,IF(ISNUMBER(SEARCH("Bacterial",Pathogens!C18)),3,1))))</f>
        <v>1</v>
      </c>
    </row>
    <row r="22" customHeight="1" spans="1:4">
      <c r="A22" s="18" t="s">
        <v>208</v>
      </c>
      <c r="B22" t="s">
        <v>209</v>
      </c>
      <c r="C22" s="21" t="str">
        <f>Pathogens!C19</f>
        <v>Respiratory viral/zoonotic</v>
      </c>
      <c r="D22" s="20">
        <f>IF(ISNUMBER(SEARCH("AMR",Pathogens!C19)),5,IF(ISNUMBER(SEARCH("Mycobacterial",Pathogens!C19)),4,IF(ISNUMBER(SEARCH("Enteric bacterial",Pathogens!C19)),3,IF(ISNUMBER(SEARCH("Bacterial",Pathogens!C19)),3,1))))</f>
        <v>1</v>
      </c>
    </row>
    <row r="23" customHeight="1" spans="1:4">
      <c r="A23" s="18" t="s">
        <v>211</v>
      </c>
      <c r="B23" t="s">
        <v>212</v>
      </c>
      <c r="C23" s="21" t="str">
        <f>Pathogens!C20</f>
        <v>Respiratory viral</v>
      </c>
      <c r="D23" s="20">
        <f>IF(ISNUMBER(SEARCH("AMR",Pathogens!C20)),5,IF(ISNUMBER(SEARCH("Mycobacterial",Pathogens!C20)),4,IF(ISNUMBER(SEARCH("Enteric bacterial",Pathogens!C20)),3,IF(ISNUMBER(SEARCH("Bacterial",Pathogens!C20)),3,1))))</f>
        <v>1</v>
      </c>
    </row>
    <row r="24" customHeight="1" spans="1:4">
      <c r="A24" s="18" t="s">
        <v>213</v>
      </c>
      <c r="B24" t="s">
        <v>214</v>
      </c>
      <c r="C24" s="21" t="str">
        <f>Pathogens!C21</f>
        <v>Respiratory/enteric viral</v>
      </c>
      <c r="D24" s="20">
        <f>IF(ISNUMBER(SEARCH("AMR",Pathogens!C21)),5,IF(ISNUMBER(SEARCH("Mycobacterial",Pathogens!C21)),4,IF(ISNUMBER(SEARCH("Enteric bacterial",Pathogens!C21)),3,IF(ISNUMBER(SEARCH("Bacterial",Pathogens!C21)),3,1))))</f>
        <v>1</v>
      </c>
    </row>
    <row r="25" customHeight="1" spans="1:4">
      <c r="A25" s="18" t="s">
        <v>216</v>
      </c>
      <c r="B25" t="s">
        <v>217</v>
      </c>
      <c r="C25" s="21" t="str">
        <f>Pathogens!C22</f>
        <v>Emerging viral/zoonotic</v>
      </c>
      <c r="D25" s="20">
        <f>IF(ISNUMBER(SEARCH("AMR",Pathogens!C22)),5,IF(ISNUMBER(SEARCH("Mycobacterial",Pathogens!C22)),4,IF(ISNUMBER(SEARCH("Enteric bacterial",Pathogens!C22)),3,IF(ISNUMBER(SEARCH("Bacterial",Pathogens!C22)),3,1))))</f>
        <v>1</v>
      </c>
    </row>
    <row r="26" customHeight="1" spans="1:4">
      <c r="A26" s="18" t="s">
        <v>219</v>
      </c>
      <c r="B26" t="s">
        <v>220</v>
      </c>
      <c r="C26" s="21" t="str">
        <f>Pathogens!C23</f>
        <v>Enteric viral</v>
      </c>
      <c r="D26" s="20">
        <f>IF(ISNUMBER(SEARCH("AMR",Pathogens!C23)),5,IF(ISNUMBER(SEARCH("Mycobacterial",Pathogens!C23)),4,IF(ISNUMBER(SEARCH("Enteric bacterial",Pathogens!C23)),3,IF(ISNUMBER(SEARCH("Bacterial",Pathogens!C23)),3,1))))</f>
        <v>1</v>
      </c>
    </row>
    <row r="27" customHeight="1" spans="1:4">
      <c r="A27" s="18" t="s">
        <v>222</v>
      </c>
      <c r="B27" t="s">
        <v>223</v>
      </c>
      <c r="C27" s="21" t="str">
        <f>Pathogens!C24</f>
        <v>Enteric viral</v>
      </c>
      <c r="D27" s="20">
        <f>IF(ISNUMBER(SEARCH("AMR",Pathogens!C24)),5,IF(ISNUMBER(SEARCH("Mycobacterial",Pathogens!C24)),4,IF(ISNUMBER(SEARCH("Enteric bacterial",Pathogens!C24)),3,IF(ISNUMBER(SEARCH("Bacterial",Pathogens!C24)),3,1))))</f>
        <v>1</v>
      </c>
    </row>
    <row r="28" customHeight="1" spans="1:4">
      <c r="A28" s="18" t="s">
        <v>224</v>
      </c>
      <c r="B28" t="s">
        <v>225</v>
      </c>
      <c r="C28" s="21" t="str">
        <f>Pathogens!C25</f>
        <v>Enteric viral</v>
      </c>
      <c r="D28" s="20">
        <f>IF(ISNUMBER(SEARCH("AMR",Pathogens!C25)),5,IF(ISNUMBER(SEARCH("Mycobacterial",Pathogens!C25)),4,IF(ISNUMBER(SEARCH("Enteric bacterial",Pathogens!C25)),3,IF(ISNUMBER(SEARCH("Bacterial",Pathogens!C25)),3,1))))</f>
        <v>1</v>
      </c>
    </row>
    <row r="29" customHeight="1" spans="1:4">
      <c r="A29" s="18" t="s">
        <v>226</v>
      </c>
      <c r="B29" t="s">
        <v>227</v>
      </c>
      <c r="C29" s="21" t="str">
        <f>Pathogens!C26</f>
        <v>Enteric viral</v>
      </c>
      <c r="D29" s="20">
        <f>IF(ISNUMBER(SEARCH("AMR",Pathogens!C26)),5,IF(ISNUMBER(SEARCH("Mycobacterial",Pathogens!C26)),4,IF(ISNUMBER(SEARCH("Enteric bacterial",Pathogens!C26)),3,IF(ISNUMBER(SEARCH("Bacterial",Pathogens!C26)),3,1))))</f>
        <v>1</v>
      </c>
    </row>
    <row r="30" customHeight="1" spans="1:4">
      <c r="A30" s="18" t="s">
        <v>228</v>
      </c>
      <c r="B30" t="s">
        <v>229</v>
      </c>
      <c r="C30" s="21" t="str">
        <f>Pathogens!C27</f>
        <v>Enteric viral</v>
      </c>
      <c r="D30" s="20">
        <f>IF(ISNUMBER(SEARCH("AMR",Pathogens!C27)),5,IF(ISNUMBER(SEARCH("Mycobacterial",Pathogens!C27)),4,IF(ISNUMBER(SEARCH("Enteric bacterial",Pathogens!C27)),3,IF(ISNUMBER(SEARCH("Bacterial",Pathogens!C27)),3,1))))</f>
        <v>1</v>
      </c>
    </row>
    <row r="31" customHeight="1" spans="1:4">
      <c r="A31" s="18" t="s">
        <v>230</v>
      </c>
      <c r="B31" t="s">
        <v>231</v>
      </c>
      <c r="C31" s="21" t="str">
        <f>Pathogens!C28</f>
        <v>Enteric viral</v>
      </c>
      <c r="D31" s="20">
        <f>IF(ISNUMBER(SEARCH("AMR",Pathogens!C28)),5,IF(ISNUMBER(SEARCH("Mycobacterial",Pathogens!C28)),4,IF(ISNUMBER(SEARCH("Enteric bacterial",Pathogens!C28)),3,IF(ISNUMBER(SEARCH("Bacterial",Pathogens!C28)),3,1))))</f>
        <v>1</v>
      </c>
    </row>
    <row r="32" customHeight="1" spans="1:4">
      <c r="A32" s="18" t="s">
        <v>232</v>
      </c>
      <c r="B32" t="s">
        <v>233</v>
      </c>
      <c r="C32" s="21" t="str">
        <f>Pathogens!C29</f>
        <v>Enteric viral</v>
      </c>
      <c r="D32" s="20">
        <f>IF(ISNUMBER(SEARCH("AMR",Pathogens!C29)),5,IF(ISNUMBER(SEARCH("Mycobacterial",Pathogens!C29)),4,IF(ISNUMBER(SEARCH("Enteric bacterial",Pathogens!C29)),3,IF(ISNUMBER(SEARCH("Bacterial",Pathogens!C29)),3,1))))</f>
        <v>1</v>
      </c>
    </row>
    <row r="33" customHeight="1" spans="1:4">
      <c r="A33" s="18" t="s">
        <v>234</v>
      </c>
      <c r="B33" t="s">
        <v>235</v>
      </c>
      <c r="C33" s="21" t="str">
        <f>Pathogens!C30</f>
        <v>Enteric viral</v>
      </c>
      <c r="D33" s="20">
        <f>IF(ISNUMBER(SEARCH("AMR",Pathogens!C30)),5,IF(ISNUMBER(SEARCH("Mycobacterial",Pathogens!C30)),4,IF(ISNUMBER(SEARCH("Enteric bacterial",Pathogens!C30)),3,IF(ISNUMBER(SEARCH("Bacterial",Pathogens!C30)),3,1))))</f>
        <v>1</v>
      </c>
    </row>
    <row r="34" customHeight="1" spans="1:4">
      <c r="A34" s="18" t="s">
        <v>236</v>
      </c>
      <c r="B34" t="s">
        <v>237</v>
      </c>
      <c r="C34" s="21" t="str">
        <f>Pathogens!C31</f>
        <v>Enteric bacterial</v>
      </c>
      <c r="D34" s="20">
        <f>IF(ISNUMBER(SEARCH("AMR",Pathogens!C31)),5,IF(ISNUMBER(SEARCH("Mycobacterial",Pathogens!C31)),4,IF(ISNUMBER(SEARCH("Enteric bacterial",Pathogens!C31)),3,IF(ISNUMBER(SEARCH("Bacterial",Pathogens!C31)),3,1))))</f>
        <v>3</v>
      </c>
    </row>
    <row r="35" customHeight="1" spans="1:4">
      <c r="A35" s="18" t="s">
        <v>239</v>
      </c>
      <c r="B35" t="s">
        <v>240</v>
      </c>
      <c r="C35" s="21" t="str">
        <f>Pathogens!C32</f>
        <v>Enteric bacterial</v>
      </c>
      <c r="D35" s="20">
        <f>IF(ISNUMBER(SEARCH("AMR",Pathogens!C32)),5,IF(ISNUMBER(SEARCH("Mycobacterial",Pathogens!C32)),4,IF(ISNUMBER(SEARCH("Enteric bacterial",Pathogens!C32)),3,IF(ISNUMBER(SEARCH("Bacterial",Pathogens!C32)),3,1))))</f>
        <v>3</v>
      </c>
    </row>
    <row r="36" customHeight="1" spans="1:4">
      <c r="A36" s="18" t="s">
        <v>241</v>
      </c>
      <c r="B36" t="s">
        <v>242</v>
      </c>
      <c r="C36" s="21" t="str">
        <f>Pathogens!C33</f>
        <v>Enteric bacterial</v>
      </c>
      <c r="D36" s="20">
        <f>IF(ISNUMBER(SEARCH("AMR",Pathogens!C33)),5,IF(ISNUMBER(SEARCH("Mycobacterial",Pathogens!C33)),4,IF(ISNUMBER(SEARCH("Enteric bacterial",Pathogens!C33)),3,IF(ISNUMBER(SEARCH("Bacterial",Pathogens!C33)),3,1))))</f>
        <v>3</v>
      </c>
    </row>
    <row r="37" customHeight="1" spans="1:4">
      <c r="A37" s="18" t="s">
        <v>243</v>
      </c>
      <c r="B37" t="s">
        <v>244</v>
      </c>
      <c r="C37" s="21" t="str">
        <f>Pathogens!C34</f>
        <v>Enteric bacterial</v>
      </c>
      <c r="D37" s="20">
        <f>IF(ISNUMBER(SEARCH("AMR",Pathogens!C34)),5,IF(ISNUMBER(SEARCH("Mycobacterial",Pathogens!C34)),4,IF(ISNUMBER(SEARCH("Enteric bacterial",Pathogens!C34)),3,IF(ISNUMBER(SEARCH("Bacterial",Pathogens!C34)),3,1))))</f>
        <v>3</v>
      </c>
    </row>
    <row r="38" customHeight="1" spans="1:4">
      <c r="A38" s="18" t="s">
        <v>245</v>
      </c>
      <c r="B38" t="s">
        <v>246</v>
      </c>
      <c r="C38" s="21" t="str">
        <f>Pathogens!C35</f>
        <v>Enteric bacterial</v>
      </c>
      <c r="D38" s="20">
        <f>IF(ISNUMBER(SEARCH("AMR",Pathogens!C35)),5,IF(ISNUMBER(SEARCH("Mycobacterial",Pathogens!C35)),4,IF(ISNUMBER(SEARCH("Enteric bacterial",Pathogens!C35)),3,IF(ISNUMBER(SEARCH("Bacterial",Pathogens!C35)),3,1))))</f>
        <v>3</v>
      </c>
    </row>
    <row r="39" customHeight="1" spans="1:4">
      <c r="A39" s="18" t="s">
        <v>247</v>
      </c>
      <c r="B39" t="s">
        <v>248</v>
      </c>
      <c r="C39" s="21" t="str">
        <f>Pathogens!C36</f>
        <v>Enteric bacterial</v>
      </c>
      <c r="D39" s="20">
        <f>IF(ISNUMBER(SEARCH("AMR",Pathogens!C36)),5,IF(ISNUMBER(SEARCH("Mycobacterial",Pathogens!C36)),4,IF(ISNUMBER(SEARCH("Enteric bacterial",Pathogens!C36)),3,IF(ISNUMBER(SEARCH("Bacterial",Pathogens!C36)),3,1))))</f>
        <v>3</v>
      </c>
    </row>
    <row r="40" customHeight="1" spans="1:4">
      <c r="A40" s="18" t="s">
        <v>249</v>
      </c>
      <c r="B40" t="s">
        <v>250</v>
      </c>
      <c r="C40" s="21" t="str">
        <f>Pathogens!C37</f>
        <v>Enteric bacterial</v>
      </c>
      <c r="D40" s="20">
        <f>IF(ISNUMBER(SEARCH("AMR",Pathogens!C37)),5,IF(ISNUMBER(SEARCH("Mycobacterial",Pathogens!C37)),4,IF(ISNUMBER(SEARCH("Enteric bacterial",Pathogens!C37)),3,IF(ISNUMBER(SEARCH("Bacterial",Pathogens!C37)),3,1))))</f>
        <v>3</v>
      </c>
    </row>
    <row r="41" customHeight="1" spans="1:4">
      <c r="A41" s="18" t="s">
        <v>251</v>
      </c>
      <c r="B41" t="s">
        <v>252</v>
      </c>
      <c r="C41" s="21" t="str">
        <f>Pathogens!C38</f>
        <v>Enteric bacterial</v>
      </c>
      <c r="D41" s="20">
        <f>IF(ISNUMBER(SEARCH("AMR",Pathogens!C38)),5,IF(ISNUMBER(SEARCH("Mycobacterial",Pathogens!C38)),4,IF(ISNUMBER(SEARCH("Enteric bacterial",Pathogens!C38)),3,IF(ISNUMBER(SEARCH("Bacterial",Pathogens!C38)),3,1))))</f>
        <v>3</v>
      </c>
    </row>
    <row r="42" customHeight="1" spans="1:4">
      <c r="A42" s="18" t="s">
        <v>253</v>
      </c>
      <c r="B42" t="s">
        <v>254</v>
      </c>
      <c r="C42" s="21" t="str">
        <f>Pathogens!C39</f>
        <v>Enteric bacterial</v>
      </c>
      <c r="D42" s="20">
        <f>IF(ISNUMBER(SEARCH("AMR",Pathogens!C39)),5,IF(ISNUMBER(SEARCH("Mycobacterial",Pathogens!C39)),4,IF(ISNUMBER(SEARCH("Enteric bacterial",Pathogens!C39)),3,IF(ISNUMBER(SEARCH("Bacterial",Pathogens!C39)),3,1))))</f>
        <v>3</v>
      </c>
    </row>
    <row r="43" customHeight="1" spans="1:4">
      <c r="A43" s="18" t="s">
        <v>255</v>
      </c>
      <c r="B43" t="s">
        <v>256</v>
      </c>
      <c r="C43" s="21" t="str">
        <f>Pathogens!C40</f>
        <v>Enteric bacterial</v>
      </c>
      <c r="D43" s="20">
        <f>IF(ISNUMBER(SEARCH("AMR",Pathogens!C40)),5,IF(ISNUMBER(SEARCH("Mycobacterial",Pathogens!C40)),4,IF(ISNUMBER(SEARCH("Enteric bacterial",Pathogens!C40)),3,IF(ISNUMBER(SEARCH("Bacterial",Pathogens!C40)),3,1))))</f>
        <v>3</v>
      </c>
    </row>
    <row r="44" customHeight="1" spans="1:4">
      <c r="A44" s="18" t="s">
        <v>257</v>
      </c>
      <c r="B44" t="s">
        <v>258</v>
      </c>
      <c r="C44" s="21" t="str">
        <f>Pathogens!C41</f>
        <v>Bacterial zoonotic</v>
      </c>
      <c r="D44" s="20">
        <f>IF(ISNUMBER(SEARCH("AMR",Pathogens!C41)),5,IF(ISNUMBER(SEARCH("Mycobacterial",Pathogens!C41)),4,IF(ISNUMBER(SEARCH("Enteric bacterial",Pathogens!C41)),3,IF(ISNUMBER(SEARCH("Bacterial",Pathogens!C41)),3,1))))</f>
        <v>3</v>
      </c>
    </row>
    <row r="45" customHeight="1" spans="1:4">
      <c r="A45" s="18" t="s">
        <v>260</v>
      </c>
      <c r="B45" t="s">
        <v>261</v>
      </c>
      <c r="C45" s="21" t="str">
        <f>Pathogens!C42</f>
        <v>Bacterial zoonotic</v>
      </c>
      <c r="D45" s="20">
        <f>IF(ISNUMBER(SEARCH("AMR",Pathogens!C42)),5,IF(ISNUMBER(SEARCH("Mycobacterial",Pathogens!C42)),4,IF(ISNUMBER(SEARCH("Enteric bacterial",Pathogens!C42)),3,IF(ISNUMBER(SEARCH("Bacterial",Pathogens!C42)),3,1))))</f>
        <v>3</v>
      </c>
    </row>
    <row r="46" customHeight="1" spans="1:4">
      <c r="A46" s="18" t="s">
        <v>262</v>
      </c>
      <c r="B46" t="s">
        <v>263</v>
      </c>
      <c r="C46" s="21" t="str">
        <f>Pathogens!C43</f>
        <v>Bacterial zoonotic</v>
      </c>
      <c r="D46" s="20">
        <f>IF(ISNUMBER(SEARCH("AMR",Pathogens!C43)),5,IF(ISNUMBER(SEARCH("Mycobacterial",Pathogens!C43)),4,IF(ISNUMBER(SEARCH("Enteric bacterial",Pathogens!C43)),3,IF(ISNUMBER(SEARCH("Bacterial",Pathogens!C43)),3,1))))</f>
        <v>3</v>
      </c>
    </row>
    <row r="47" customHeight="1" spans="1:4">
      <c r="A47" s="18" t="s">
        <v>264</v>
      </c>
      <c r="B47" t="s">
        <v>265</v>
      </c>
      <c r="C47" s="21" t="str">
        <f>Pathogens!C44</f>
        <v>Bacterial environmental</v>
      </c>
      <c r="D47" s="20">
        <f>IF(ISNUMBER(SEARCH("AMR",Pathogens!C44)),5,IF(ISNUMBER(SEARCH("Mycobacterial",Pathogens!C44)),4,IF(ISNUMBER(SEARCH("Enteric bacterial",Pathogens!C44)),3,IF(ISNUMBER(SEARCH("Bacterial",Pathogens!C44)),3,1))))</f>
        <v>3</v>
      </c>
    </row>
    <row r="48" customHeight="1" spans="1:4">
      <c r="A48" s="18" t="s">
        <v>267</v>
      </c>
      <c r="B48" t="s">
        <v>268</v>
      </c>
      <c r="C48" s="21" t="str">
        <f>Pathogens!C45</f>
        <v>Bacterial zoonotic</v>
      </c>
      <c r="D48" s="20">
        <f>IF(ISNUMBER(SEARCH("AMR",Pathogens!C45)),5,IF(ISNUMBER(SEARCH("Mycobacterial",Pathogens!C45)),4,IF(ISNUMBER(SEARCH("Enteric bacterial",Pathogens!C45)),3,IF(ISNUMBER(SEARCH("Bacterial",Pathogens!C45)),3,1))))</f>
        <v>3</v>
      </c>
    </row>
    <row r="49" customHeight="1" spans="1:4">
      <c r="A49" s="18" t="s">
        <v>269</v>
      </c>
      <c r="B49" t="s">
        <v>270</v>
      </c>
      <c r="C49" s="21" t="str">
        <f>Pathogens!C46</f>
        <v>Mycobacterial</v>
      </c>
      <c r="D49" s="20">
        <f>IF(ISNUMBER(SEARCH("AMR",Pathogens!C46)),5,IF(ISNUMBER(SEARCH("Mycobacterial",Pathogens!C46)),4,IF(ISNUMBER(SEARCH("Enteric bacterial",Pathogens!C46)),3,IF(ISNUMBER(SEARCH("Bacterial",Pathogens!C46)),3,1))))</f>
        <v>4</v>
      </c>
    </row>
    <row r="50" customHeight="1" spans="1:4">
      <c r="A50" s="18" t="s">
        <v>272</v>
      </c>
      <c r="B50" t="s">
        <v>273</v>
      </c>
      <c r="C50" s="21" t="str">
        <f>Pathogens!C47</f>
        <v>Enteric protozoan</v>
      </c>
      <c r="D50" s="20">
        <f>IF(ISNUMBER(SEARCH("AMR",Pathogens!C47)),5,IF(ISNUMBER(SEARCH("Mycobacterial",Pathogens!C47)),4,IF(ISNUMBER(SEARCH("Enteric bacterial",Pathogens!C47)),3,IF(ISNUMBER(SEARCH("Bacterial",Pathogens!C47)),3,1))))</f>
        <v>1</v>
      </c>
    </row>
    <row r="51" customHeight="1" spans="1:4">
      <c r="A51" s="18" t="s">
        <v>275</v>
      </c>
      <c r="B51" t="s">
        <v>276</v>
      </c>
      <c r="C51" s="21" t="str">
        <f>Pathogens!C48</f>
        <v>Enteric protozoan</v>
      </c>
      <c r="D51" s="20">
        <f>IF(ISNUMBER(SEARCH("AMR",Pathogens!C48)),5,IF(ISNUMBER(SEARCH("Mycobacterial",Pathogens!C48)),4,IF(ISNUMBER(SEARCH("Enteric bacterial",Pathogens!C48)),3,IF(ISNUMBER(SEARCH("Bacterial",Pathogens!C48)),3,1))))</f>
        <v>1</v>
      </c>
    </row>
    <row r="52" customHeight="1" spans="1:4">
      <c r="A52" s="18" t="s">
        <v>277</v>
      </c>
      <c r="B52" t="s">
        <v>278</v>
      </c>
      <c r="C52" s="21" t="str">
        <f>Pathogens!C49</f>
        <v>Enteric protozoan</v>
      </c>
      <c r="D52" s="20">
        <f>IF(ISNUMBER(SEARCH("AMR",Pathogens!C49)),5,IF(ISNUMBER(SEARCH("Mycobacterial",Pathogens!C49)),4,IF(ISNUMBER(SEARCH("Enteric bacterial",Pathogens!C49)),3,IF(ISNUMBER(SEARCH("Bacterial",Pathogens!C49)),3,1))))</f>
        <v>1</v>
      </c>
    </row>
    <row r="53" customHeight="1" spans="1:4">
      <c r="A53" s="18" t="s">
        <v>279</v>
      </c>
      <c r="B53" t="s">
        <v>280</v>
      </c>
      <c r="C53" s="21" t="str">
        <f>Pathogens!C50</f>
        <v>Helminth</v>
      </c>
      <c r="D53" s="20">
        <f>IF(ISNUMBER(SEARCH("AMR",Pathogens!C50)),5,IF(ISNUMBER(SEARCH("Mycobacterial",Pathogens!C50)),4,IF(ISNUMBER(SEARCH("Enteric bacterial",Pathogens!C50)),3,IF(ISNUMBER(SEARCH("Bacterial",Pathogens!C50)),3,1))))</f>
        <v>1</v>
      </c>
    </row>
    <row r="54" customHeight="1" spans="1:4">
      <c r="A54" s="18" t="s">
        <v>282</v>
      </c>
      <c r="B54" t="s">
        <v>283</v>
      </c>
      <c r="C54" s="21" t="str">
        <f>Pathogens!C51</f>
        <v>Helminth</v>
      </c>
      <c r="D54" s="20">
        <f>IF(ISNUMBER(SEARCH("AMR",Pathogens!C51)),5,IF(ISNUMBER(SEARCH("Mycobacterial",Pathogens!C51)),4,IF(ISNUMBER(SEARCH("Enteric bacterial",Pathogens!C51)),3,IF(ISNUMBER(SEARCH("Bacterial",Pathogens!C51)),3,1))))</f>
        <v>1</v>
      </c>
    </row>
    <row r="55" customHeight="1" spans="1:4">
      <c r="A55" s="18" t="s">
        <v>284</v>
      </c>
      <c r="B55" t="s">
        <v>285</v>
      </c>
      <c r="C55" s="21" t="str">
        <f>Pathogens!C52</f>
        <v>Helminth</v>
      </c>
      <c r="D55" s="20">
        <f>IF(ISNUMBER(SEARCH("AMR",Pathogens!C52)),5,IF(ISNUMBER(SEARCH("Mycobacterial",Pathogens!C52)),4,IF(ISNUMBER(SEARCH("Enteric bacterial",Pathogens!C52)),3,IF(ISNUMBER(SEARCH("Bacterial",Pathogens!C52)),3,1))))</f>
        <v>1</v>
      </c>
    </row>
    <row r="56" customHeight="1" spans="1:4">
      <c r="A56" s="18" t="s">
        <v>286</v>
      </c>
      <c r="B56" t="s">
        <v>287</v>
      </c>
      <c r="C56" s="21" t="str">
        <f>Pathogens!C53</f>
        <v>AMR marker</v>
      </c>
      <c r="D56" s="20">
        <f>IF(ISNUMBER(SEARCH("AMR",Pathogens!C53)),5,IF(ISNUMBER(SEARCH("Mycobacterial",Pathogens!C53)),4,IF(ISNUMBER(SEARCH("Enteric bacterial",Pathogens!C53)),3,IF(ISNUMBER(SEARCH("Bacterial",Pathogens!C53)),3,1))))</f>
        <v>5</v>
      </c>
    </row>
    <row r="57" customHeight="1" spans="1:4">
      <c r="A57" s="18" t="s">
        <v>289</v>
      </c>
      <c r="B57" t="s">
        <v>290</v>
      </c>
      <c r="C57" s="21" t="str">
        <f>Pathogens!C54</f>
        <v>AMR marker</v>
      </c>
      <c r="D57" s="20">
        <f>IF(ISNUMBER(SEARCH("AMR",Pathogens!C54)),5,IF(ISNUMBER(SEARCH("Mycobacterial",Pathogens!C54)),4,IF(ISNUMBER(SEARCH("Enteric bacterial",Pathogens!C54)),3,IF(ISNUMBER(SEARCH("Bacterial",Pathogens!C54)),3,1))))</f>
        <v>5</v>
      </c>
    </row>
    <row r="58" customHeight="1" spans="1:4">
      <c r="A58" s="18" t="s">
        <v>291</v>
      </c>
      <c r="B58" t="s">
        <v>292</v>
      </c>
      <c r="C58" s="21" t="str">
        <f>Pathogens!C55</f>
        <v>AMR marker</v>
      </c>
      <c r="D58" s="20">
        <f>IF(ISNUMBER(SEARCH("AMR",Pathogens!C55)),5,IF(ISNUMBER(SEARCH("Mycobacterial",Pathogens!C55)),4,IF(ISNUMBER(SEARCH("Enteric bacterial",Pathogens!C55)),3,IF(ISNUMBER(SEARCH("Bacterial",Pathogens!C55)),3,1))))</f>
        <v>5</v>
      </c>
    </row>
    <row r="59" customHeight="1" spans="1:4">
      <c r="A59" s="18" t="s">
        <v>293</v>
      </c>
      <c r="B59" t="s">
        <v>294</v>
      </c>
      <c r="C59" s="21" t="str">
        <f>Pathogens!C56</f>
        <v>AMR marker</v>
      </c>
      <c r="D59" s="20">
        <f>IF(ISNUMBER(SEARCH("AMR",Pathogens!C56)),5,IF(ISNUMBER(SEARCH("Mycobacterial",Pathogens!C56)),4,IF(ISNUMBER(SEARCH("Enteric bacterial",Pathogens!C56)),3,IF(ISNUMBER(SEARCH("Bacterial",Pathogens!C56)),3,1))))</f>
        <v>5</v>
      </c>
    </row>
    <row r="60" customHeight="1" spans="1:4">
      <c r="A60" s="18" t="s">
        <v>295</v>
      </c>
      <c r="B60" t="s">
        <v>296</v>
      </c>
      <c r="C60" s="21" t="str">
        <f>Pathogens!C57</f>
        <v>AMR marker</v>
      </c>
      <c r="D60" s="20">
        <f>IF(ISNUMBER(SEARCH("AMR",Pathogens!C57)),5,IF(ISNUMBER(SEARCH("Mycobacterial",Pathogens!C57)),4,IF(ISNUMBER(SEARCH("Enteric bacterial",Pathogens!C57)),3,IF(ISNUMBER(SEARCH("Bacterial",Pathogens!C57)),3,1))))</f>
        <v>5</v>
      </c>
    </row>
    <row r="61" customHeight="1" spans="1:4">
      <c r="A61" s="18" t="s">
        <v>297</v>
      </c>
      <c r="B61" t="s">
        <v>298</v>
      </c>
      <c r="C61" s="21" t="str">
        <f>Pathogens!C58</f>
        <v>AMR marker</v>
      </c>
      <c r="D61" s="20">
        <f>IF(ISNUMBER(SEARCH("AMR",Pathogens!C58)),5,IF(ISNUMBER(SEARCH("Mycobacterial",Pathogens!C58)),4,IF(ISNUMBER(SEARCH("Enteric bacterial",Pathogens!C58)),3,IF(ISNUMBER(SEARCH("Bacterial",Pathogens!C58)),3,1))))</f>
        <v>5</v>
      </c>
    </row>
    <row r="62" customHeight="1" spans="1:4">
      <c r="A62" s="18" t="s">
        <v>299</v>
      </c>
      <c r="B62" t="s">
        <v>300</v>
      </c>
      <c r="C62" s="21" t="str">
        <f>Pathogens!C59</f>
        <v>AMR marker</v>
      </c>
      <c r="D62" s="20">
        <f>IF(ISNUMBER(SEARCH("AMR",Pathogens!C59)),5,IF(ISNUMBER(SEARCH("Mycobacterial",Pathogens!C59)),4,IF(ISNUMBER(SEARCH("Enteric bacterial",Pathogens!C59)),3,IF(ISNUMBER(SEARCH("Bacterial",Pathogens!C59)),3,1))))</f>
        <v>5</v>
      </c>
    </row>
    <row r="63" customHeight="1" spans="1:4">
      <c r="A63" s="18" t="s">
        <v>301</v>
      </c>
      <c r="B63" t="s">
        <v>302</v>
      </c>
      <c r="C63" s="21" t="str">
        <f>Pathogens!C60</f>
        <v>AMR marker</v>
      </c>
      <c r="D63" s="20">
        <f>IF(ISNUMBER(SEARCH("AMR",Pathogens!C60)),5,IF(ISNUMBER(SEARCH("Mycobacterial",Pathogens!C60)),4,IF(ISNUMBER(SEARCH("Enteric bacterial",Pathogens!C60)),3,IF(ISNUMBER(SEARCH("Bacterial",Pathogens!C60)),3,1))))</f>
        <v>5</v>
      </c>
    </row>
    <row r="64" customHeight="1" spans="1:4">
      <c r="A64" s="18" t="s">
        <v>303</v>
      </c>
      <c r="B64" t="s">
        <v>304</v>
      </c>
      <c r="C64" s="21" t="str">
        <f>Pathogens!C61</f>
        <v>Bloodborne viral</v>
      </c>
      <c r="D64" s="20">
        <f>IF(ISNUMBER(SEARCH("AMR",Pathogens!C61)),5,IF(ISNUMBER(SEARCH("Mycobacterial",Pathogens!C61)),4,IF(ISNUMBER(SEARCH("Enteric bacterial",Pathogens!C61)),3,IF(ISNUMBER(SEARCH("Bacterial",Pathogens!C61)),3,1))))</f>
        <v>1</v>
      </c>
    </row>
    <row r="65" customHeight="1" spans="1:4">
      <c r="A65" s="18" t="s">
        <v>306</v>
      </c>
      <c r="B65" t="s">
        <v>307</v>
      </c>
      <c r="C65" s="21" t="str">
        <f>Pathogens!C62</f>
        <v>Bloodborne viral</v>
      </c>
      <c r="D65" s="20">
        <f>IF(ISNUMBER(SEARCH("AMR",Pathogens!C62)),5,IF(ISNUMBER(SEARCH("Mycobacterial",Pathogens!C62)),4,IF(ISNUMBER(SEARCH("Enteric bacterial",Pathogens!C62)),3,IF(ISNUMBER(SEARCH("Bacterial",Pathogens!C62)),3,1))))</f>
        <v>1</v>
      </c>
    </row>
    <row r="66" customHeight="1" spans="1:4">
      <c r="A66" s="18" t="s">
        <v>308</v>
      </c>
      <c r="B66" t="s">
        <v>309</v>
      </c>
      <c r="C66" s="21" t="str">
        <f>Pathogens!C63</f>
        <v>Zoonotic viral</v>
      </c>
      <c r="D66" s="20">
        <f>IF(ISNUMBER(SEARCH("AMR",Pathogens!C63)),5,IF(ISNUMBER(SEARCH("Mycobacterial",Pathogens!C63)),4,IF(ISNUMBER(SEARCH("Enteric bacterial",Pathogens!C63)),3,IF(ISNUMBER(SEARCH("Bacterial",Pathogens!C63)),3,1))))</f>
        <v>1</v>
      </c>
    </row>
    <row r="67" customHeight="1" spans="1:4">
      <c r="A67" s="18" t="s">
        <v>311</v>
      </c>
      <c r="B67" t="s">
        <v>312</v>
      </c>
      <c r="C67" s="21" t="str">
        <f>Pathogens!C64</f>
        <v>Bacterial zoonotic</v>
      </c>
      <c r="D67" s="20">
        <f>IF(ISNUMBER(SEARCH("AMR",Pathogens!C64)),5,IF(ISNUMBER(SEARCH("Mycobacterial",Pathogens!C64)),4,IF(ISNUMBER(SEARCH("Enteric bacterial",Pathogens!C64)),3,IF(ISNUMBER(SEARCH("Bacterial",Pathogens!C64)),3,1))))</f>
        <v>3</v>
      </c>
    </row>
    <row r="68" customHeight="1" spans="1:4">
      <c r="A68" s="18" t="s">
        <v>313</v>
      </c>
      <c r="B68" t="s">
        <v>314</v>
      </c>
      <c r="C68" s="21" t="str">
        <f>Pathogens!C65</f>
        <v>Protozoan vectorborne</v>
      </c>
      <c r="D68" s="20">
        <f>IF(ISNUMBER(SEARCH("AMR",Pathogens!C65)),5,IF(ISNUMBER(SEARCH("Mycobacterial",Pathogens!C65)),4,IF(ISNUMBER(SEARCH("Enteric bacterial",Pathogens!C65)),3,IF(ISNUMBER(SEARCH("Bacterial",Pathogens!C65)),3,1))))</f>
        <v>1</v>
      </c>
    </row>
  </sheetData>
  <pageMargins left="0.75" right="0.75" top="1" bottom="1" header="0.511811023622047" footer="0.511811023622047"/>
  <pageSetup paperSize="9" orientation="portrait"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
  <sheetViews>
    <sheetView workbookViewId="0">
      <pane xSplit="2" ySplit="4" topLeftCell="C5" activePane="bottomRight" state="frozen"/>
      <selection/>
      <selection pane="topRight"/>
      <selection pane="bottomLeft"/>
      <selection pane="bottomRight" activeCell="A1" sqref="A1"/>
    </sheetView>
  </sheetViews>
  <sheetFormatPr defaultColWidth="8.5" defaultRowHeight="15" customHeight="1" outlineLevelCol="5"/>
  <cols>
    <col min="1" max="1" width="18" customWidth="1"/>
    <col min="2" max="2" width="36" customWidth="1"/>
    <col min="3" max="6" width="18" customWidth="1"/>
  </cols>
  <sheetData>
    <row r="1" ht="19.5" customHeight="1" spans="1:6">
      <c r="A1" s="1" t="s">
        <v>630</v>
      </c>
    </row>
    <row r="2" customHeight="1" spans="1:6">
      <c r="A2" s="16" t="s">
        <v>606</v>
      </c>
    </row>
    <row r="4" customHeight="1" spans="1:6">
      <c r="A4" s="17" t="s">
        <v>147</v>
      </c>
      <c r="B4" s="17" t="s">
        <v>148</v>
      </c>
      <c r="C4" s="17" t="s">
        <v>124</v>
      </c>
      <c r="D4" s="17" t="s">
        <v>125</v>
      </c>
      <c r="E4" s="17" t="s">
        <v>631</v>
      </c>
      <c r="F4" s="17" t="s">
        <v>611</v>
      </c>
    </row>
    <row r="5" customHeight="1" spans="1:6">
      <c r="A5" s="18" t="s">
        <v>169</v>
      </c>
      <c r="B5" t="s">
        <v>170</v>
      </c>
      <c r="C5" s="19">
        <f>Calculator!$B$7</f>
        <v>38.8</v>
      </c>
      <c r="D5" s="19">
        <f>Calculator!$B$8</f>
        <v>40.9</v>
      </c>
      <c r="E5" s="19">
        <f>Calculator!$B$14</f>
        <v>87.8</v>
      </c>
      <c r="F5" s="20">
        <f t="shared" ref="F5:F36" si="0">ROUND(MIN(5,IF($B$7&gt;=80,5,IF($B$7&gt;=50,4,IF($B$7&gt;=30,3,IF($B$7&gt;=15,2,1))))*0.4+IF($B$8&lt;25,5,IF($B$8&lt;40,4,IF($B$8&lt;60,3,IF($B$8&lt;80,2,1))))*0.35+IF($B$14&gt;=100,5,IF($B$14&gt;=85,4,IF($B$14&gt;=70,3,IF($B$14&gt;=50,2,1))))*0.25),0)</f>
        <v>4</v>
      </c>
    </row>
    <row r="6" customHeight="1" spans="1:6">
      <c r="A6" s="18" t="s">
        <v>172</v>
      </c>
      <c r="B6" t="s">
        <v>173</v>
      </c>
      <c r="C6" s="19">
        <f>Calculator!$B$7</f>
        <v>38.8</v>
      </c>
      <c r="D6" s="19">
        <f>Calculator!$B$8</f>
        <v>40.9</v>
      </c>
      <c r="E6" s="19">
        <f>Calculator!$B$14</f>
        <v>87.8</v>
      </c>
      <c r="F6" s="20">
        <f t="shared" si="0"/>
        <v>4</v>
      </c>
    </row>
    <row r="7" customHeight="1" spans="1:6">
      <c r="A7" s="18" t="s">
        <v>174</v>
      </c>
      <c r="B7" t="s">
        <v>175</v>
      </c>
      <c r="C7" s="19">
        <f>Calculator!$B$7</f>
        <v>38.8</v>
      </c>
      <c r="D7" s="19">
        <f>Calculator!$B$8</f>
        <v>40.9</v>
      </c>
      <c r="E7" s="19">
        <f>Calculator!$B$14</f>
        <v>87.8</v>
      </c>
      <c r="F7" s="20">
        <f t="shared" si="0"/>
        <v>4</v>
      </c>
    </row>
    <row r="8" customHeight="1" spans="1:6">
      <c r="A8" s="18" t="s">
        <v>176</v>
      </c>
      <c r="B8" t="s">
        <v>177</v>
      </c>
      <c r="C8" s="19">
        <f>Calculator!$B$7</f>
        <v>38.8</v>
      </c>
      <c r="D8" s="19">
        <f>Calculator!$B$8</f>
        <v>40.9</v>
      </c>
      <c r="E8" s="19">
        <f>Calculator!$B$14</f>
        <v>87.8</v>
      </c>
      <c r="F8" s="20">
        <f t="shared" si="0"/>
        <v>4</v>
      </c>
    </row>
    <row r="9" customHeight="1" spans="1:6">
      <c r="A9" s="18" t="s">
        <v>179</v>
      </c>
      <c r="B9" t="s">
        <v>180</v>
      </c>
      <c r="C9" s="19">
        <f>Calculator!$B$7</f>
        <v>38.8</v>
      </c>
      <c r="D9" s="19">
        <f>Calculator!$B$8</f>
        <v>40.9</v>
      </c>
      <c r="E9" s="19">
        <f>Calculator!$B$14</f>
        <v>87.8</v>
      </c>
      <c r="F9" s="20">
        <f t="shared" si="0"/>
        <v>4</v>
      </c>
    </row>
    <row r="10" customHeight="1" spans="1:6">
      <c r="A10" s="18" t="s">
        <v>181</v>
      </c>
      <c r="B10" t="s">
        <v>182</v>
      </c>
      <c r="C10" s="19">
        <f>Calculator!$B$7</f>
        <v>38.8</v>
      </c>
      <c r="D10" s="19">
        <f>Calculator!$B$8</f>
        <v>40.9</v>
      </c>
      <c r="E10" s="19">
        <f>Calculator!$B$14</f>
        <v>87.8</v>
      </c>
      <c r="F10" s="20">
        <f t="shared" si="0"/>
        <v>4</v>
      </c>
    </row>
    <row r="11" customHeight="1" spans="1:6">
      <c r="A11" s="18" t="s">
        <v>183</v>
      </c>
      <c r="B11" t="s">
        <v>184</v>
      </c>
      <c r="C11" s="19">
        <f>Calculator!$B$7</f>
        <v>38.8</v>
      </c>
      <c r="D11" s="19">
        <f>Calculator!$B$8</f>
        <v>40.9</v>
      </c>
      <c r="E11" s="19">
        <f>Calculator!$B$14</f>
        <v>87.8</v>
      </c>
      <c r="F11" s="20">
        <f t="shared" si="0"/>
        <v>4</v>
      </c>
    </row>
    <row r="12" customHeight="1" spans="1:6">
      <c r="A12" s="18" t="s">
        <v>185</v>
      </c>
      <c r="B12" t="s">
        <v>186</v>
      </c>
      <c r="C12" s="19">
        <f>Calculator!$B$7</f>
        <v>38.8</v>
      </c>
      <c r="D12" s="19">
        <f>Calculator!$B$8</f>
        <v>40.9</v>
      </c>
      <c r="E12" s="19">
        <f>Calculator!$B$14</f>
        <v>87.8</v>
      </c>
      <c r="F12" s="20">
        <f t="shared" si="0"/>
        <v>4</v>
      </c>
    </row>
    <row r="13" customHeight="1" spans="1:6">
      <c r="A13" s="18" t="s">
        <v>187</v>
      </c>
      <c r="B13" t="s">
        <v>188</v>
      </c>
      <c r="C13" s="19">
        <f>Calculator!$B$7</f>
        <v>38.8</v>
      </c>
      <c r="D13" s="19">
        <f>Calculator!$B$8</f>
        <v>40.9</v>
      </c>
      <c r="E13" s="19">
        <f>Calculator!$B$14</f>
        <v>87.8</v>
      </c>
      <c r="F13" s="20">
        <f t="shared" si="0"/>
        <v>4</v>
      </c>
    </row>
    <row r="14" customHeight="1" spans="1:6">
      <c r="A14" s="18" t="s">
        <v>190</v>
      </c>
      <c r="B14" t="s">
        <v>191</v>
      </c>
      <c r="C14" s="19">
        <f>Calculator!$B$7</f>
        <v>38.8</v>
      </c>
      <c r="D14" s="19">
        <f>Calculator!$B$8</f>
        <v>40.9</v>
      </c>
      <c r="E14" s="19">
        <f>Calculator!$B$14</f>
        <v>87.8</v>
      </c>
      <c r="F14" s="20">
        <f t="shared" si="0"/>
        <v>4</v>
      </c>
    </row>
    <row r="15" customHeight="1" spans="1:6">
      <c r="A15" s="18" t="s">
        <v>192</v>
      </c>
      <c r="B15" t="s">
        <v>193</v>
      </c>
      <c r="C15" s="19">
        <f>Calculator!$B$7</f>
        <v>38.8</v>
      </c>
      <c r="D15" s="19">
        <f>Calculator!$B$8</f>
        <v>40.9</v>
      </c>
      <c r="E15" s="19">
        <f>Calculator!$B$14</f>
        <v>87.8</v>
      </c>
      <c r="F15" s="20">
        <f t="shared" si="0"/>
        <v>4</v>
      </c>
    </row>
    <row r="16" customHeight="1" spans="1:6">
      <c r="A16" s="18" t="s">
        <v>194</v>
      </c>
      <c r="B16" t="s">
        <v>195</v>
      </c>
      <c r="C16" s="19">
        <f>Calculator!$B$7</f>
        <v>38.8</v>
      </c>
      <c r="D16" s="19">
        <f>Calculator!$B$8</f>
        <v>40.9</v>
      </c>
      <c r="E16" s="19">
        <f>Calculator!$B$14</f>
        <v>87.8</v>
      </c>
      <c r="F16" s="20">
        <f t="shared" si="0"/>
        <v>4</v>
      </c>
    </row>
    <row r="17" customHeight="1" spans="1:6">
      <c r="A17" s="18" t="s">
        <v>196</v>
      </c>
      <c r="B17" t="s">
        <v>197</v>
      </c>
      <c r="C17" s="19">
        <f>Calculator!$B$7</f>
        <v>38.8</v>
      </c>
      <c r="D17" s="19">
        <f>Calculator!$B$8</f>
        <v>40.9</v>
      </c>
      <c r="E17" s="19">
        <f>Calculator!$B$14</f>
        <v>87.8</v>
      </c>
      <c r="F17" s="20">
        <f t="shared" si="0"/>
        <v>4</v>
      </c>
    </row>
    <row r="18" customHeight="1" spans="1:6">
      <c r="A18" s="18" t="s">
        <v>198</v>
      </c>
      <c r="B18" t="s">
        <v>199</v>
      </c>
      <c r="C18" s="19">
        <f>Calculator!$B$7</f>
        <v>38.8</v>
      </c>
      <c r="D18" s="19">
        <f>Calculator!$B$8</f>
        <v>40.9</v>
      </c>
      <c r="E18" s="19">
        <f>Calculator!$B$14</f>
        <v>87.8</v>
      </c>
      <c r="F18" s="20">
        <f t="shared" si="0"/>
        <v>4</v>
      </c>
    </row>
    <row r="19" customHeight="1" spans="1:6">
      <c r="A19" s="18" t="s">
        <v>201</v>
      </c>
      <c r="B19" t="s">
        <v>202</v>
      </c>
      <c r="C19" s="19">
        <f>Calculator!$B$7</f>
        <v>38.8</v>
      </c>
      <c r="D19" s="19">
        <f>Calculator!$B$8</f>
        <v>40.9</v>
      </c>
      <c r="E19" s="19">
        <f>Calculator!$B$14</f>
        <v>87.8</v>
      </c>
      <c r="F19" s="20">
        <f t="shared" si="0"/>
        <v>4</v>
      </c>
    </row>
    <row r="20" customHeight="1" spans="1:6">
      <c r="A20" s="18" t="s">
        <v>204</v>
      </c>
      <c r="B20" t="s">
        <v>205</v>
      </c>
      <c r="C20" s="19">
        <f>Calculator!$B$7</f>
        <v>38.8</v>
      </c>
      <c r="D20" s="19">
        <f>Calculator!$B$8</f>
        <v>40.9</v>
      </c>
      <c r="E20" s="19">
        <f>Calculator!$B$14</f>
        <v>87.8</v>
      </c>
      <c r="F20" s="20">
        <f t="shared" si="0"/>
        <v>4</v>
      </c>
    </row>
    <row r="21" customHeight="1" spans="1:6">
      <c r="A21" s="18" t="s">
        <v>206</v>
      </c>
      <c r="B21" t="s">
        <v>207</v>
      </c>
      <c r="C21" s="19">
        <f>Calculator!$B$7</f>
        <v>38.8</v>
      </c>
      <c r="D21" s="19">
        <f>Calculator!$B$8</f>
        <v>40.9</v>
      </c>
      <c r="E21" s="19">
        <f>Calculator!$B$14</f>
        <v>87.8</v>
      </c>
      <c r="F21" s="20">
        <f t="shared" si="0"/>
        <v>4</v>
      </c>
    </row>
    <row r="22" customHeight="1" spans="1:6">
      <c r="A22" s="18" t="s">
        <v>208</v>
      </c>
      <c r="B22" t="s">
        <v>209</v>
      </c>
      <c r="C22" s="19">
        <f>Calculator!$B$7</f>
        <v>38.8</v>
      </c>
      <c r="D22" s="19">
        <f>Calculator!$B$8</f>
        <v>40.9</v>
      </c>
      <c r="E22" s="19">
        <f>Calculator!$B$14</f>
        <v>87.8</v>
      </c>
      <c r="F22" s="20">
        <f t="shared" si="0"/>
        <v>4</v>
      </c>
    </row>
    <row r="23" customHeight="1" spans="1:6">
      <c r="A23" s="18" t="s">
        <v>211</v>
      </c>
      <c r="B23" t="s">
        <v>212</v>
      </c>
      <c r="C23" s="19">
        <f>Calculator!$B$7</f>
        <v>38.8</v>
      </c>
      <c r="D23" s="19">
        <f>Calculator!$B$8</f>
        <v>40.9</v>
      </c>
      <c r="E23" s="19">
        <f>Calculator!$B$14</f>
        <v>87.8</v>
      </c>
      <c r="F23" s="20">
        <f t="shared" si="0"/>
        <v>4</v>
      </c>
    </row>
    <row r="24" customHeight="1" spans="1:6">
      <c r="A24" s="18" t="s">
        <v>213</v>
      </c>
      <c r="B24" t="s">
        <v>214</v>
      </c>
      <c r="C24" s="19">
        <f>Calculator!$B$7</f>
        <v>38.8</v>
      </c>
      <c r="D24" s="19">
        <f>Calculator!$B$8</f>
        <v>40.9</v>
      </c>
      <c r="E24" s="19">
        <f>Calculator!$B$14</f>
        <v>87.8</v>
      </c>
      <c r="F24" s="20">
        <f t="shared" si="0"/>
        <v>4</v>
      </c>
    </row>
    <row r="25" customHeight="1" spans="1:6">
      <c r="A25" s="18" t="s">
        <v>216</v>
      </c>
      <c r="B25" t="s">
        <v>217</v>
      </c>
      <c r="C25" s="19">
        <f>Calculator!$B$7</f>
        <v>38.8</v>
      </c>
      <c r="D25" s="19">
        <f>Calculator!$B$8</f>
        <v>40.9</v>
      </c>
      <c r="E25" s="19">
        <f>Calculator!$B$14</f>
        <v>87.8</v>
      </c>
      <c r="F25" s="20">
        <f t="shared" si="0"/>
        <v>4</v>
      </c>
    </row>
    <row r="26" customHeight="1" spans="1:6">
      <c r="A26" s="18" t="s">
        <v>219</v>
      </c>
      <c r="B26" t="s">
        <v>220</v>
      </c>
      <c r="C26" s="19">
        <f>Calculator!$B$7</f>
        <v>38.8</v>
      </c>
      <c r="D26" s="19">
        <f>Calculator!$B$8</f>
        <v>40.9</v>
      </c>
      <c r="E26" s="19">
        <f>Calculator!$B$14</f>
        <v>87.8</v>
      </c>
      <c r="F26" s="20">
        <f t="shared" si="0"/>
        <v>4</v>
      </c>
    </row>
    <row r="27" customHeight="1" spans="1:6">
      <c r="A27" s="18" t="s">
        <v>222</v>
      </c>
      <c r="B27" t="s">
        <v>223</v>
      </c>
      <c r="C27" s="19">
        <f>Calculator!$B$7</f>
        <v>38.8</v>
      </c>
      <c r="D27" s="19">
        <f>Calculator!$B$8</f>
        <v>40.9</v>
      </c>
      <c r="E27" s="19">
        <f>Calculator!$B$14</f>
        <v>87.8</v>
      </c>
      <c r="F27" s="20">
        <f t="shared" si="0"/>
        <v>4</v>
      </c>
    </row>
    <row r="28" customHeight="1" spans="1:6">
      <c r="A28" s="18" t="s">
        <v>224</v>
      </c>
      <c r="B28" t="s">
        <v>225</v>
      </c>
      <c r="C28" s="19">
        <f>Calculator!$B$7</f>
        <v>38.8</v>
      </c>
      <c r="D28" s="19">
        <f>Calculator!$B$8</f>
        <v>40.9</v>
      </c>
      <c r="E28" s="19">
        <f>Calculator!$B$14</f>
        <v>87.8</v>
      </c>
      <c r="F28" s="20">
        <f t="shared" si="0"/>
        <v>4</v>
      </c>
    </row>
    <row r="29" customHeight="1" spans="1:6">
      <c r="A29" s="18" t="s">
        <v>226</v>
      </c>
      <c r="B29" t="s">
        <v>227</v>
      </c>
      <c r="C29" s="19">
        <f>Calculator!$B$7</f>
        <v>38.8</v>
      </c>
      <c r="D29" s="19">
        <f>Calculator!$B$8</f>
        <v>40.9</v>
      </c>
      <c r="E29" s="19">
        <f>Calculator!$B$14</f>
        <v>87.8</v>
      </c>
      <c r="F29" s="20">
        <f t="shared" si="0"/>
        <v>4</v>
      </c>
    </row>
    <row r="30" customHeight="1" spans="1:6">
      <c r="A30" s="18" t="s">
        <v>228</v>
      </c>
      <c r="B30" t="s">
        <v>229</v>
      </c>
      <c r="C30" s="19">
        <f>Calculator!$B$7</f>
        <v>38.8</v>
      </c>
      <c r="D30" s="19">
        <f>Calculator!$B$8</f>
        <v>40.9</v>
      </c>
      <c r="E30" s="19">
        <f>Calculator!$B$14</f>
        <v>87.8</v>
      </c>
      <c r="F30" s="20">
        <f t="shared" si="0"/>
        <v>4</v>
      </c>
    </row>
    <row r="31" customHeight="1" spans="1:6">
      <c r="A31" s="18" t="s">
        <v>230</v>
      </c>
      <c r="B31" t="s">
        <v>231</v>
      </c>
      <c r="C31" s="19">
        <f>Calculator!$B$7</f>
        <v>38.8</v>
      </c>
      <c r="D31" s="19">
        <f>Calculator!$B$8</f>
        <v>40.9</v>
      </c>
      <c r="E31" s="19">
        <f>Calculator!$B$14</f>
        <v>87.8</v>
      </c>
      <c r="F31" s="20">
        <f t="shared" si="0"/>
        <v>4</v>
      </c>
    </row>
    <row r="32" customHeight="1" spans="1:6">
      <c r="A32" s="18" t="s">
        <v>232</v>
      </c>
      <c r="B32" t="s">
        <v>233</v>
      </c>
      <c r="C32" s="19">
        <f>Calculator!$B$7</f>
        <v>38.8</v>
      </c>
      <c r="D32" s="19">
        <f>Calculator!$B$8</f>
        <v>40.9</v>
      </c>
      <c r="E32" s="19">
        <f>Calculator!$B$14</f>
        <v>87.8</v>
      </c>
      <c r="F32" s="20">
        <f t="shared" si="0"/>
        <v>4</v>
      </c>
    </row>
    <row r="33" customHeight="1" spans="1:6">
      <c r="A33" s="18" t="s">
        <v>234</v>
      </c>
      <c r="B33" t="s">
        <v>235</v>
      </c>
      <c r="C33" s="19">
        <f>Calculator!$B$7</f>
        <v>38.8</v>
      </c>
      <c r="D33" s="19">
        <f>Calculator!$B$8</f>
        <v>40.9</v>
      </c>
      <c r="E33" s="19">
        <f>Calculator!$B$14</f>
        <v>87.8</v>
      </c>
      <c r="F33" s="20">
        <f t="shared" si="0"/>
        <v>4</v>
      </c>
    </row>
    <row r="34" customHeight="1" spans="1:6">
      <c r="A34" s="18" t="s">
        <v>236</v>
      </c>
      <c r="B34" t="s">
        <v>237</v>
      </c>
      <c r="C34" s="19">
        <f>Calculator!$B$7</f>
        <v>38.8</v>
      </c>
      <c r="D34" s="19">
        <f>Calculator!$B$8</f>
        <v>40.9</v>
      </c>
      <c r="E34" s="19">
        <f>Calculator!$B$14</f>
        <v>87.8</v>
      </c>
      <c r="F34" s="20">
        <f t="shared" si="0"/>
        <v>4</v>
      </c>
    </row>
    <row r="35" customHeight="1" spans="1:6">
      <c r="A35" s="18" t="s">
        <v>239</v>
      </c>
      <c r="B35" t="s">
        <v>240</v>
      </c>
      <c r="C35" s="19">
        <f>Calculator!$B$7</f>
        <v>38.8</v>
      </c>
      <c r="D35" s="19">
        <f>Calculator!$B$8</f>
        <v>40.9</v>
      </c>
      <c r="E35" s="19">
        <f>Calculator!$B$14</f>
        <v>87.8</v>
      </c>
      <c r="F35" s="20">
        <f t="shared" si="0"/>
        <v>4</v>
      </c>
    </row>
    <row r="36" customHeight="1" spans="1:6">
      <c r="A36" s="18" t="s">
        <v>241</v>
      </c>
      <c r="B36" t="s">
        <v>242</v>
      </c>
      <c r="C36" s="19">
        <f>Calculator!$B$7</f>
        <v>38.8</v>
      </c>
      <c r="D36" s="19">
        <f>Calculator!$B$8</f>
        <v>40.9</v>
      </c>
      <c r="E36" s="19">
        <f>Calculator!$B$14</f>
        <v>87.8</v>
      </c>
      <c r="F36" s="20">
        <f t="shared" si="0"/>
        <v>4</v>
      </c>
    </row>
    <row r="37" customHeight="1" spans="1:6">
      <c r="A37" s="18" t="s">
        <v>243</v>
      </c>
      <c r="B37" t="s">
        <v>244</v>
      </c>
      <c r="C37" s="19">
        <f>Calculator!$B$7</f>
        <v>38.8</v>
      </c>
      <c r="D37" s="19">
        <f>Calculator!$B$8</f>
        <v>40.9</v>
      </c>
      <c r="E37" s="19">
        <f>Calculator!$B$14</f>
        <v>87.8</v>
      </c>
      <c r="F37" s="20">
        <f t="shared" ref="F37:F68" si="1">ROUND(MIN(5,IF($B$7&gt;=80,5,IF($B$7&gt;=50,4,IF($B$7&gt;=30,3,IF($B$7&gt;=15,2,1))))*0.4+IF($B$8&lt;25,5,IF($B$8&lt;40,4,IF($B$8&lt;60,3,IF($B$8&lt;80,2,1))))*0.35+IF($B$14&gt;=100,5,IF($B$14&gt;=85,4,IF($B$14&gt;=70,3,IF($B$14&gt;=50,2,1))))*0.25),0)</f>
        <v>4</v>
      </c>
    </row>
    <row r="38" customHeight="1" spans="1:6">
      <c r="A38" s="18" t="s">
        <v>245</v>
      </c>
      <c r="B38" t="s">
        <v>246</v>
      </c>
      <c r="C38" s="19">
        <f>Calculator!$B$7</f>
        <v>38.8</v>
      </c>
      <c r="D38" s="19">
        <f>Calculator!$B$8</f>
        <v>40.9</v>
      </c>
      <c r="E38" s="19">
        <f>Calculator!$B$14</f>
        <v>87.8</v>
      </c>
      <c r="F38" s="20">
        <f t="shared" si="1"/>
        <v>4</v>
      </c>
    </row>
    <row r="39" customHeight="1" spans="1:6">
      <c r="A39" s="18" t="s">
        <v>247</v>
      </c>
      <c r="B39" t="s">
        <v>248</v>
      </c>
      <c r="C39" s="19">
        <f>Calculator!$B$7</f>
        <v>38.8</v>
      </c>
      <c r="D39" s="19">
        <f>Calculator!$B$8</f>
        <v>40.9</v>
      </c>
      <c r="E39" s="19">
        <f>Calculator!$B$14</f>
        <v>87.8</v>
      </c>
      <c r="F39" s="20">
        <f t="shared" si="1"/>
        <v>4</v>
      </c>
    </row>
    <row r="40" customHeight="1" spans="1:6">
      <c r="A40" s="18" t="s">
        <v>249</v>
      </c>
      <c r="B40" t="s">
        <v>250</v>
      </c>
      <c r="C40" s="19">
        <f>Calculator!$B$7</f>
        <v>38.8</v>
      </c>
      <c r="D40" s="19">
        <f>Calculator!$B$8</f>
        <v>40.9</v>
      </c>
      <c r="E40" s="19">
        <f>Calculator!$B$14</f>
        <v>87.8</v>
      </c>
      <c r="F40" s="20">
        <f t="shared" si="1"/>
        <v>4</v>
      </c>
    </row>
    <row r="41" customHeight="1" spans="1:6">
      <c r="A41" s="18" t="s">
        <v>251</v>
      </c>
      <c r="B41" t="s">
        <v>252</v>
      </c>
      <c r="C41" s="19">
        <f>Calculator!$B$7</f>
        <v>38.8</v>
      </c>
      <c r="D41" s="19">
        <f>Calculator!$B$8</f>
        <v>40.9</v>
      </c>
      <c r="E41" s="19">
        <f>Calculator!$B$14</f>
        <v>87.8</v>
      </c>
      <c r="F41" s="20">
        <f t="shared" si="1"/>
        <v>4</v>
      </c>
    </row>
    <row r="42" customHeight="1" spans="1:6">
      <c r="A42" s="18" t="s">
        <v>253</v>
      </c>
      <c r="B42" t="s">
        <v>254</v>
      </c>
      <c r="C42" s="19">
        <f>Calculator!$B$7</f>
        <v>38.8</v>
      </c>
      <c r="D42" s="19">
        <f>Calculator!$B$8</f>
        <v>40.9</v>
      </c>
      <c r="E42" s="19">
        <f>Calculator!$B$14</f>
        <v>87.8</v>
      </c>
      <c r="F42" s="20">
        <f t="shared" si="1"/>
        <v>4</v>
      </c>
    </row>
    <row r="43" customHeight="1" spans="1:6">
      <c r="A43" s="18" t="s">
        <v>255</v>
      </c>
      <c r="B43" t="s">
        <v>256</v>
      </c>
      <c r="C43" s="19">
        <f>Calculator!$B$7</f>
        <v>38.8</v>
      </c>
      <c r="D43" s="19">
        <f>Calculator!$B$8</f>
        <v>40.9</v>
      </c>
      <c r="E43" s="19">
        <f>Calculator!$B$14</f>
        <v>87.8</v>
      </c>
      <c r="F43" s="20">
        <f t="shared" si="1"/>
        <v>4</v>
      </c>
    </row>
    <row r="44" customHeight="1" spans="1:6">
      <c r="A44" s="18" t="s">
        <v>257</v>
      </c>
      <c r="B44" t="s">
        <v>258</v>
      </c>
      <c r="C44" s="19">
        <f>Calculator!$B$7</f>
        <v>38.8</v>
      </c>
      <c r="D44" s="19">
        <f>Calculator!$B$8</f>
        <v>40.9</v>
      </c>
      <c r="E44" s="19">
        <f>Calculator!$B$14</f>
        <v>87.8</v>
      </c>
      <c r="F44" s="20">
        <f t="shared" si="1"/>
        <v>4</v>
      </c>
    </row>
    <row r="45" customHeight="1" spans="1:6">
      <c r="A45" s="18" t="s">
        <v>260</v>
      </c>
      <c r="B45" t="s">
        <v>261</v>
      </c>
      <c r="C45" s="19">
        <f>Calculator!$B$7</f>
        <v>38.8</v>
      </c>
      <c r="D45" s="19">
        <f>Calculator!$B$8</f>
        <v>40.9</v>
      </c>
      <c r="E45" s="19">
        <f>Calculator!$B$14</f>
        <v>87.8</v>
      </c>
      <c r="F45" s="20">
        <f t="shared" si="1"/>
        <v>4</v>
      </c>
    </row>
    <row r="46" customHeight="1" spans="1:6">
      <c r="A46" s="18" t="s">
        <v>262</v>
      </c>
      <c r="B46" t="s">
        <v>263</v>
      </c>
      <c r="C46" s="19">
        <f>Calculator!$B$7</f>
        <v>38.8</v>
      </c>
      <c r="D46" s="19">
        <f>Calculator!$B$8</f>
        <v>40.9</v>
      </c>
      <c r="E46" s="19">
        <f>Calculator!$B$14</f>
        <v>87.8</v>
      </c>
      <c r="F46" s="20">
        <f t="shared" si="1"/>
        <v>4</v>
      </c>
    </row>
    <row r="47" customHeight="1" spans="1:6">
      <c r="A47" s="18" t="s">
        <v>264</v>
      </c>
      <c r="B47" t="s">
        <v>265</v>
      </c>
      <c r="C47" s="19">
        <f>Calculator!$B$7</f>
        <v>38.8</v>
      </c>
      <c r="D47" s="19">
        <f>Calculator!$B$8</f>
        <v>40.9</v>
      </c>
      <c r="E47" s="19">
        <f>Calculator!$B$14</f>
        <v>87.8</v>
      </c>
      <c r="F47" s="20">
        <f t="shared" si="1"/>
        <v>4</v>
      </c>
    </row>
    <row r="48" customHeight="1" spans="1:6">
      <c r="A48" s="18" t="s">
        <v>267</v>
      </c>
      <c r="B48" t="s">
        <v>268</v>
      </c>
      <c r="C48" s="19">
        <f>Calculator!$B$7</f>
        <v>38.8</v>
      </c>
      <c r="D48" s="19">
        <f>Calculator!$B$8</f>
        <v>40.9</v>
      </c>
      <c r="E48" s="19">
        <f>Calculator!$B$14</f>
        <v>87.8</v>
      </c>
      <c r="F48" s="20">
        <f t="shared" si="1"/>
        <v>4</v>
      </c>
    </row>
    <row r="49" customHeight="1" spans="1:6">
      <c r="A49" s="18" t="s">
        <v>269</v>
      </c>
      <c r="B49" t="s">
        <v>270</v>
      </c>
      <c r="C49" s="19">
        <f>Calculator!$B$7</f>
        <v>38.8</v>
      </c>
      <c r="D49" s="19">
        <f>Calculator!$B$8</f>
        <v>40.9</v>
      </c>
      <c r="E49" s="19">
        <f>Calculator!$B$14</f>
        <v>87.8</v>
      </c>
      <c r="F49" s="20">
        <f t="shared" si="1"/>
        <v>4</v>
      </c>
    </row>
    <row r="50" customHeight="1" spans="1:6">
      <c r="A50" s="18" t="s">
        <v>272</v>
      </c>
      <c r="B50" t="s">
        <v>273</v>
      </c>
      <c r="C50" s="19">
        <f>Calculator!$B$7</f>
        <v>38.8</v>
      </c>
      <c r="D50" s="19">
        <f>Calculator!$B$8</f>
        <v>40.9</v>
      </c>
      <c r="E50" s="19">
        <f>Calculator!$B$14</f>
        <v>87.8</v>
      </c>
      <c r="F50" s="20">
        <f t="shared" si="1"/>
        <v>4</v>
      </c>
    </row>
    <row r="51" customHeight="1" spans="1:6">
      <c r="A51" s="18" t="s">
        <v>275</v>
      </c>
      <c r="B51" t="s">
        <v>276</v>
      </c>
      <c r="C51" s="19">
        <f>Calculator!$B$7</f>
        <v>38.8</v>
      </c>
      <c r="D51" s="19">
        <f>Calculator!$B$8</f>
        <v>40.9</v>
      </c>
      <c r="E51" s="19">
        <f>Calculator!$B$14</f>
        <v>87.8</v>
      </c>
      <c r="F51" s="20">
        <f t="shared" si="1"/>
        <v>4</v>
      </c>
    </row>
    <row r="52" customHeight="1" spans="1:6">
      <c r="A52" s="18" t="s">
        <v>277</v>
      </c>
      <c r="B52" t="s">
        <v>278</v>
      </c>
      <c r="C52" s="19">
        <f>Calculator!$B$7</f>
        <v>38.8</v>
      </c>
      <c r="D52" s="19">
        <f>Calculator!$B$8</f>
        <v>40.9</v>
      </c>
      <c r="E52" s="19">
        <f>Calculator!$B$14</f>
        <v>87.8</v>
      </c>
      <c r="F52" s="20">
        <f t="shared" si="1"/>
        <v>4</v>
      </c>
    </row>
    <row r="53" customHeight="1" spans="1:6">
      <c r="A53" s="18" t="s">
        <v>279</v>
      </c>
      <c r="B53" t="s">
        <v>280</v>
      </c>
      <c r="C53" s="19">
        <f>Calculator!$B$7</f>
        <v>38.8</v>
      </c>
      <c r="D53" s="19">
        <f>Calculator!$B$8</f>
        <v>40.9</v>
      </c>
      <c r="E53" s="19">
        <f>Calculator!$B$14</f>
        <v>87.8</v>
      </c>
      <c r="F53" s="20">
        <f t="shared" si="1"/>
        <v>4</v>
      </c>
    </row>
    <row r="54" customHeight="1" spans="1:6">
      <c r="A54" s="18" t="s">
        <v>282</v>
      </c>
      <c r="B54" t="s">
        <v>283</v>
      </c>
      <c r="C54" s="19">
        <f>Calculator!$B$7</f>
        <v>38.8</v>
      </c>
      <c r="D54" s="19">
        <f>Calculator!$B$8</f>
        <v>40.9</v>
      </c>
      <c r="E54" s="19">
        <f>Calculator!$B$14</f>
        <v>87.8</v>
      </c>
      <c r="F54" s="20">
        <f t="shared" si="1"/>
        <v>4</v>
      </c>
    </row>
    <row r="55" customHeight="1" spans="1:6">
      <c r="A55" s="18" t="s">
        <v>284</v>
      </c>
      <c r="B55" t="s">
        <v>285</v>
      </c>
      <c r="C55" s="19">
        <f>Calculator!$B$7</f>
        <v>38.8</v>
      </c>
      <c r="D55" s="19">
        <f>Calculator!$B$8</f>
        <v>40.9</v>
      </c>
      <c r="E55" s="19">
        <f>Calculator!$B$14</f>
        <v>87.8</v>
      </c>
      <c r="F55" s="20">
        <f t="shared" si="1"/>
        <v>4</v>
      </c>
    </row>
    <row r="56" customHeight="1" spans="1:6">
      <c r="A56" s="18" t="s">
        <v>286</v>
      </c>
      <c r="B56" t="s">
        <v>287</v>
      </c>
      <c r="C56" s="19">
        <f>Calculator!$B$7</f>
        <v>38.8</v>
      </c>
      <c r="D56" s="19">
        <f>Calculator!$B$8</f>
        <v>40.9</v>
      </c>
      <c r="E56" s="19">
        <f>Calculator!$B$14</f>
        <v>87.8</v>
      </c>
      <c r="F56" s="20">
        <f t="shared" si="1"/>
        <v>4</v>
      </c>
    </row>
    <row r="57" customHeight="1" spans="1:6">
      <c r="A57" s="18" t="s">
        <v>289</v>
      </c>
      <c r="B57" t="s">
        <v>290</v>
      </c>
      <c r="C57" s="19">
        <f>Calculator!$B$7</f>
        <v>38.8</v>
      </c>
      <c r="D57" s="19">
        <f>Calculator!$B$8</f>
        <v>40.9</v>
      </c>
      <c r="E57" s="19">
        <f>Calculator!$B$14</f>
        <v>87.8</v>
      </c>
      <c r="F57" s="20">
        <f t="shared" si="1"/>
        <v>4</v>
      </c>
    </row>
    <row r="58" customHeight="1" spans="1:6">
      <c r="A58" s="18" t="s">
        <v>291</v>
      </c>
      <c r="B58" t="s">
        <v>292</v>
      </c>
      <c r="C58" s="19">
        <f>Calculator!$B$7</f>
        <v>38.8</v>
      </c>
      <c r="D58" s="19">
        <f>Calculator!$B$8</f>
        <v>40.9</v>
      </c>
      <c r="E58" s="19">
        <f>Calculator!$B$14</f>
        <v>87.8</v>
      </c>
      <c r="F58" s="20">
        <f t="shared" si="1"/>
        <v>4</v>
      </c>
    </row>
    <row r="59" customHeight="1" spans="1:6">
      <c r="A59" s="18" t="s">
        <v>293</v>
      </c>
      <c r="B59" t="s">
        <v>294</v>
      </c>
      <c r="C59" s="19">
        <f>Calculator!$B$7</f>
        <v>38.8</v>
      </c>
      <c r="D59" s="19">
        <f>Calculator!$B$8</f>
        <v>40.9</v>
      </c>
      <c r="E59" s="19">
        <f>Calculator!$B$14</f>
        <v>87.8</v>
      </c>
      <c r="F59" s="20">
        <f t="shared" si="1"/>
        <v>4</v>
      </c>
    </row>
    <row r="60" customHeight="1" spans="1:6">
      <c r="A60" s="18" t="s">
        <v>295</v>
      </c>
      <c r="B60" t="s">
        <v>296</v>
      </c>
      <c r="C60" s="19">
        <f>Calculator!$B$7</f>
        <v>38.8</v>
      </c>
      <c r="D60" s="19">
        <f>Calculator!$B$8</f>
        <v>40.9</v>
      </c>
      <c r="E60" s="19">
        <f>Calculator!$B$14</f>
        <v>87.8</v>
      </c>
      <c r="F60" s="20">
        <f t="shared" si="1"/>
        <v>4</v>
      </c>
    </row>
    <row r="61" customHeight="1" spans="1:6">
      <c r="A61" s="18" t="s">
        <v>297</v>
      </c>
      <c r="B61" t="s">
        <v>298</v>
      </c>
      <c r="C61" s="19">
        <f>Calculator!$B$7</f>
        <v>38.8</v>
      </c>
      <c r="D61" s="19">
        <f>Calculator!$B$8</f>
        <v>40.9</v>
      </c>
      <c r="E61" s="19">
        <f>Calculator!$B$14</f>
        <v>87.8</v>
      </c>
      <c r="F61" s="20">
        <f t="shared" si="1"/>
        <v>4</v>
      </c>
    </row>
    <row r="62" customHeight="1" spans="1:6">
      <c r="A62" s="18" t="s">
        <v>299</v>
      </c>
      <c r="B62" t="s">
        <v>300</v>
      </c>
      <c r="C62" s="19">
        <f>Calculator!$B$7</f>
        <v>38.8</v>
      </c>
      <c r="D62" s="19">
        <f>Calculator!$B$8</f>
        <v>40.9</v>
      </c>
      <c r="E62" s="19">
        <f>Calculator!$B$14</f>
        <v>87.8</v>
      </c>
      <c r="F62" s="20">
        <f t="shared" si="1"/>
        <v>4</v>
      </c>
    </row>
    <row r="63" customHeight="1" spans="1:6">
      <c r="A63" s="18" t="s">
        <v>301</v>
      </c>
      <c r="B63" t="s">
        <v>302</v>
      </c>
      <c r="C63" s="19">
        <f>Calculator!$B$7</f>
        <v>38.8</v>
      </c>
      <c r="D63" s="19">
        <f>Calculator!$B$8</f>
        <v>40.9</v>
      </c>
      <c r="E63" s="19">
        <f>Calculator!$B$14</f>
        <v>87.8</v>
      </c>
      <c r="F63" s="20">
        <f t="shared" si="1"/>
        <v>4</v>
      </c>
    </row>
    <row r="64" customHeight="1" spans="1:6">
      <c r="A64" s="18" t="s">
        <v>303</v>
      </c>
      <c r="B64" t="s">
        <v>304</v>
      </c>
      <c r="C64" s="19">
        <f>Calculator!$B$7</f>
        <v>38.8</v>
      </c>
      <c r="D64" s="19">
        <f>Calculator!$B$8</f>
        <v>40.9</v>
      </c>
      <c r="E64" s="19">
        <f>Calculator!$B$14</f>
        <v>87.8</v>
      </c>
      <c r="F64" s="20">
        <f t="shared" si="1"/>
        <v>4</v>
      </c>
    </row>
    <row r="65" customHeight="1" spans="1:6">
      <c r="A65" s="18" t="s">
        <v>306</v>
      </c>
      <c r="B65" t="s">
        <v>307</v>
      </c>
      <c r="C65" s="19">
        <f>Calculator!$B$7</f>
        <v>38.8</v>
      </c>
      <c r="D65" s="19">
        <f>Calculator!$B$8</f>
        <v>40.9</v>
      </c>
      <c r="E65" s="19">
        <f>Calculator!$B$14</f>
        <v>87.8</v>
      </c>
      <c r="F65" s="20">
        <f t="shared" si="1"/>
        <v>4</v>
      </c>
    </row>
    <row r="66" customHeight="1" spans="1:6">
      <c r="A66" s="18" t="s">
        <v>308</v>
      </c>
      <c r="B66" t="s">
        <v>309</v>
      </c>
      <c r="C66" s="19">
        <f>Calculator!$B$7</f>
        <v>38.8</v>
      </c>
      <c r="D66" s="19">
        <f>Calculator!$B$8</f>
        <v>40.9</v>
      </c>
      <c r="E66" s="19">
        <f>Calculator!$B$14</f>
        <v>87.8</v>
      </c>
      <c r="F66" s="20">
        <f t="shared" si="1"/>
        <v>4</v>
      </c>
    </row>
    <row r="67" customHeight="1" spans="1:6">
      <c r="A67" s="18" t="s">
        <v>311</v>
      </c>
      <c r="B67" t="s">
        <v>312</v>
      </c>
      <c r="C67" s="19">
        <f>Calculator!$B$7</f>
        <v>38.8</v>
      </c>
      <c r="D67" s="19">
        <f>Calculator!$B$8</f>
        <v>40.9</v>
      </c>
      <c r="E67" s="19">
        <f>Calculator!$B$14</f>
        <v>87.8</v>
      </c>
      <c r="F67" s="20">
        <f t="shared" si="1"/>
        <v>4</v>
      </c>
    </row>
    <row r="68" customHeight="1" spans="1:6">
      <c r="A68" s="18" t="s">
        <v>313</v>
      </c>
      <c r="B68" t="s">
        <v>314</v>
      </c>
      <c r="C68" s="19">
        <f>Calculator!$B$7</f>
        <v>38.8</v>
      </c>
      <c r="D68" s="19">
        <f>Calculator!$B$8</f>
        <v>40.9</v>
      </c>
      <c r="E68" s="19">
        <f>Calculator!$B$14</f>
        <v>87.8</v>
      </c>
      <c r="F68" s="20">
        <f t="shared" si="1"/>
        <v>4</v>
      </c>
    </row>
  </sheetData>
  <pageMargins left="0.75" right="0.75" top="1" bottom="1" header="0.511811023622047" footer="0.511811023622047"/>
  <pageSetup paperSize="9" orientation="portrait" horizontalDpi="300" verticalDpi="3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A1" sqref="A1"/>
    </sheetView>
  </sheetViews>
  <sheetFormatPr defaultColWidth="8.5" defaultRowHeight="15" customHeight="1" outlineLevelCol="1"/>
  <cols>
    <col min="1" max="1" width="48" customWidth="1"/>
    <col min="2" max="2" width="60" customWidth="1"/>
  </cols>
  <sheetData>
    <row r="1" ht="19.5" customHeight="1" spans="1:2">
      <c r="A1" s="1" t="s">
        <v>632</v>
      </c>
    </row>
    <row r="2" customHeight="1" spans="1:2">
      <c r="A2" t="s">
        <v>633</v>
      </c>
    </row>
    <row r="4" customHeight="1" spans="1:2">
      <c r="A4" s="2" t="s">
        <v>634</v>
      </c>
      <c r="B4" s="2" t="s">
        <v>635</v>
      </c>
    </row>
    <row r="5" customHeight="1" spans="1:2">
      <c r="A5" t="s">
        <v>636</v>
      </c>
      <c r="B5" s="15" t="s">
        <v>637</v>
      </c>
    </row>
    <row r="6" customHeight="1" spans="1:2">
      <c r="A6" t="s">
        <v>638</v>
      </c>
      <c r="B6" s="15" t="s">
        <v>639</v>
      </c>
    </row>
    <row r="7" customHeight="1" spans="1:2">
      <c r="A7" t="s">
        <v>640</v>
      </c>
      <c r="B7" s="15" t="s">
        <v>641</v>
      </c>
    </row>
    <row r="8" customHeight="1" spans="1:2">
      <c r="A8" t="s">
        <v>642</v>
      </c>
      <c r="B8" s="15" t="s">
        <v>643</v>
      </c>
    </row>
    <row r="9" customHeight="1" spans="1:2">
      <c r="A9" t="s">
        <v>644</v>
      </c>
      <c r="B9" s="15" t="s">
        <v>645</v>
      </c>
    </row>
    <row r="10" customHeight="1" spans="1:2">
      <c r="A10" t="s">
        <v>646</v>
      </c>
      <c r="B10" s="15" t="s">
        <v>647</v>
      </c>
    </row>
    <row r="11" customHeight="1" spans="1:2">
      <c r="A11" t="s">
        <v>648</v>
      </c>
      <c r="B11" s="15" t="s">
        <v>649</v>
      </c>
    </row>
    <row r="12" customHeight="1" spans="1:2">
      <c r="A12" t="s">
        <v>650</v>
      </c>
      <c r="B12" s="15" t="s">
        <v>651</v>
      </c>
    </row>
    <row r="13" customHeight="1" spans="1:2">
      <c r="A13" t="s">
        <v>652</v>
      </c>
      <c r="B13" s="15" t="s">
        <v>653</v>
      </c>
    </row>
    <row r="14" customHeight="1" spans="1:2">
      <c r="A14" t="s">
        <v>654</v>
      </c>
      <c r="B14" s="15" t="s">
        <v>655</v>
      </c>
    </row>
    <row r="15" customHeight="1" spans="1:2">
      <c r="A15" t="s">
        <v>656</v>
      </c>
      <c r="B15" s="15" t="s">
        <v>657</v>
      </c>
    </row>
    <row r="16" customHeight="1" spans="1:2">
      <c r="A16" t="s">
        <v>658</v>
      </c>
      <c r="B16" s="15" t="s">
        <v>659</v>
      </c>
    </row>
    <row r="17" customHeight="1" spans="1:2">
      <c r="A17" t="s">
        <v>660</v>
      </c>
      <c r="B17" s="15" t="s">
        <v>661</v>
      </c>
    </row>
    <row r="18" customHeight="1" spans="1:2">
      <c r="A18" t="s">
        <v>662</v>
      </c>
      <c r="B18" s="15" t="s">
        <v>663</v>
      </c>
    </row>
    <row r="19" customHeight="1" spans="1:2">
      <c r="A19" t="s">
        <v>664</v>
      </c>
      <c r="B19" s="15" t="s">
        <v>665</v>
      </c>
    </row>
    <row r="20" customHeight="1" spans="1:2">
      <c r="A20" t="s">
        <v>666</v>
      </c>
      <c r="B20" s="15" t="s">
        <v>667</v>
      </c>
    </row>
    <row r="21" ht="16.8" spans="1:2">
      <c r="A21" t="s">
        <v>668</v>
      </c>
      <c r="B21" t="s">
        <v>669</v>
      </c>
    </row>
  </sheetData>
  <pageMargins left="0.75" right="0.75" top="1" bottom="1" header="0.511811023622047" footer="0.511811023622047"/>
  <pageSetup paperSize="9" orientation="portrait" horizontalDpi="300" verticalDpi="3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workbookViewId="0">
      <pane ySplit="1" topLeftCell="A2" activePane="bottomLeft" state="frozen"/>
      <selection/>
      <selection pane="bottomLeft" activeCell="A1" sqref="A1"/>
    </sheetView>
  </sheetViews>
  <sheetFormatPr defaultColWidth="8.8359375" defaultRowHeight="16.8"/>
  <cols>
    <col min="1" max="1" width="34" style="5" customWidth="1"/>
    <col min="2" max="2" width="9" style="5" customWidth="1"/>
    <col min="3" max="3" width="26" style="5" customWidth="1"/>
    <col min="4" max="4" width="40" style="5" customWidth="1"/>
    <col min="5" max="6" width="16" style="5" customWidth="1"/>
    <col min="7" max="7" width="44" style="5" customWidth="1"/>
    <col min="8" max="8" width="78" style="5" customWidth="1"/>
  </cols>
  <sheetData>
    <row r="1" ht="32" customHeight="1" spans="1:8">
      <c r="A1" s="6" t="s">
        <v>634</v>
      </c>
      <c r="B1" s="6" t="s">
        <v>670</v>
      </c>
      <c r="C1" s="6" t="s">
        <v>671</v>
      </c>
      <c r="D1" s="6" t="s">
        <v>672</v>
      </c>
      <c r="E1" s="6" t="s">
        <v>673</v>
      </c>
      <c r="F1" s="6" t="s">
        <v>674</v>
      </c>
      <c r="G1" s="6" t="s">
        <v>675</v>
      </c>
      <c r="H1" s="6" t="s">
        <v>676</v>
      </c>
    </row>
    <row r="2" ht="58" customHeight="1" spans="1:8">
      <c r="A2" s="7" t="s">
        <v>388</v>
      </c>
      <c r="B2" s="7" t="s">
        <v>677</v>
      </c>
      <c r="C2" s="7" t="s">
        <v>678</v>
      </c>
      <c r="D2" s="7" t="s">
        <v>679</v>
      </c>
      <c r="E2" s="7" t="s">
        <v>680</v>
      </c>
      <c r="F2" s="7" t="s">
        <v>681</v>
      </c>
      <c r="G2" s="7" t="s">
        <v>682</v>
      </c>
      <c r="H2" s="7" t="s">
        <v>683</v>
      </c>
    </row>
    <row r="3" ht="58" customHeight="1" spans="1:8">
      <c r="A3" s="7" t="s">
        <v>389</v>
      </c>
      <c r="B3" s="7" t="s">
        <v>684</v>
      </c>
      <c r="C3" s="7" t="s">
        <v>685</v>
      </c>
      <c r="D3" s="7" t="s">
        <v>686</v>
      </c>
      <c r="E3" s="7" t="s">
        <v>687</v>
      </c>
      <c r="F3" s="7" t="s">
        <v>688</v>
      </c>
      <c r="G3" s="7" t="s">
        <v>689</v>
      </c>
      <c r="H3" s="7" t="s">
        <v>690</v>
      </c>
    </row>
    <row r="4" ht="58" customHeight="1" spans="1:8">
      <c r="A4" s="7" t="s">
        <v>390</v>
      </c>
      <c r="B4" s="7" t="s">
        <v>691</v>
      </c>
      <c r="C4" s="7" t="s">
        <v>692</v>
      </c>
      <c r="D4" s="7" t="s">
        <v>693</v>
      </c>
      <c r="E4" s="7" t="s">
        <v>687</v>
      </c>
      <c r="F4" s="7" t="s">
        <v>694</v>
      </c>
      <c r="G4" s="7" t="s">
        <v>695</v>
      </c>
      <c r="H4" s="7" t="s">
        <v>696</v>
      </c>
    </row>
    <row r="5" ht="58" customHeight="1" spans="1:8">
      <c r="A5" s="7" t="s">
        <v>391</v>
      </c>
      <c r="B5" s="7" t="s">
        <v>697</v>
      </c>
      <c r="C5" s="7" t="s">
        <v>692</v>
      </c>
      <c r="D5" s="7" t="s">
        <v>698</v>
      </c>
      <c r="E5" s="7" t="s">
        <v>687</v>
      </c>
      <c r="F5" s="7" t="s">
        <v>694</v>
      </c>
      <c r="G5" s="7" t="s">
        <v>695</v>
      </c>
      <c r="H5" s="7" t="s">
        <v>696</v>
      </c>
    </row>
    <row r="6" ht="58" customHeight="1" spans="1:8">
      <c r="A6" s="7" t="s">
        <v>699</v>
      </c>
      <c r="B6" s="7" t="s">
        <v>700</v>
      </c>
      <c r="C6" s="7" t="s">
        <v>701</v>
      </c>
      <c r="D6" s="7" t="s">
        <v>702</v>
      </c>
      <c r="E6" s="7" t="s">
        <v>703</v>
      </c>
      <c r="F6" s="7" t="s">
        <v>704</v>
      </c>
      <c r="G6" s="7" t="s">
        <v>703</v>
      </c>
      <c r="H6" s="7" t="s">
        <v>705</v>
      </c>
    </row>
    <row r="7" ht="58" customHeight="1" spans="1:8">
      <c r="A7" s="7" t="s">
        <v>706</v>
      </c>
      <c r="B7" s="7" t="s">
        <v>707</v>
      </c>
      <c r="C7" s="7" t="s">
        <v>708</v>
      </c>
      <c r="D7" s="7" t="s">
        <v>709</v>
      </c>
      <c r="E7" s="7" t="s">
        <v>710</v>
      </c>
      <c r="F7" s="7" t="s">
        <v>704</v>
      </c>
      <c r="G7" s="7" t="s">
        <v>711</v>
      </c>
      <c r="H7" s="7" t="s">
        <v>712</v>
      </c>
    </row>
    <row r="8" ht="58" customHeight="1" spans="1:8">
      <c r="A8" s="7" t="s">
        <v>713</v>
      </c>
      <c r="B8" s="7" t="s">
        <v>714</v>
      </c>
      <c r="C8" s="7" t="s">
        <v>715</v>
      </c>
      <c r="D8" s="7" t="s">
        <v>716</v>
      </c>
      <c r="E8" s="7" t="s">
        <v>717</v>
      </c>
      <c r="F8" s="7" t="s">
        <v>704</v>
      </c>
      <c r="G8" s="7" t="s">
        <v>718</v>
      </c>
      <c r="H8" s="7" t="s">
        <v>719</v>
      </c>
    </row>
    <row r="9" ht="58" customHeight="1" spans="1:8">
      <c r="A9" s="7" t="s">
        <v>720</v>
      </c>
      <c r="B9" s="7" t="s">
        <v>721</v>
      </c>
      <c r="C9" s="7" t="s">
        <v>715</v>
      </c>
      <c r="D9" s="7" t="s">
        <v>722</v>
      </c>
      <c r="E9" s="7" t="s">
        <v>723</v>
      </c>
      <c r="F9" s="7" t="s">
        <v>724</v>
      </c>
      <c r="G9" s="7" t="s">
        <v>725</v>
      </c>
      <c r="H9" s="7" t="s">
        <v>726</v>
      </c>
    </row>
    <row r="10" ht="58" customHeight="1" spans="1:8">
      <c r="A10" s="7" t="s">
        <v>396</v>
      </c>
      <c r="B10" s="7" t="s">
        <v>727</v>
      </c>
      <c r="C10" s="7" t="s">
        <v>715</v>
      </c>
      <c r="D10" s="7" t="s">
        <v>728</v>
      </c>
      <c r="E10" s="7" t="s">
        <v>723</v>
      </c>
      <c r="F10" s="7" t="s">
        <v>724</v>
      </c>
      <c r="G10" s="7" t="s">
        <v>725</v>
      </c>
      <c r="H10" s="7" t="s">
        <v>729</v>
      </c>
    </row>
    <row r="11" ht="58" customHeight="1" spans="1:8">
      <c r="A11" s="7" t="s">
        <v>397</v>
      </c>
      <c r="B11" s="7" t="s">
        <v>730</v>
      </c>
      <c r="C11" s="7" t="s">
        <v>715</v>
      </c>
      <c r="D11" s="7" t="s">
        <v>731</v>
      </c>
      <c r="E11" s="7" t="s">
        <v>732</v>
      </c>
      <c r="F11" s="7" t="s">
        <v>733</v>
      </c>
      <c r="G11" s="7" t="s">
        <v>734</v>
      </c>
      <c r="H11" s="7" t="s">
        <v>735</v>
      </c>
    </row>
    <row r="12" ht="58" customHeight="1" spans="1:8">
      <c r="A12" s="7" t="s">
        <v>398</v>
      </c>
      <c r="B12" s="7" t="s">
        <v>736</v>
      </c>
      <c r="C12" s="7" t="s">
        <v>737</v>
      </c>
      <c r="D12" s="7" t="s">
        <v>738</v>
      </c>
      <c r="E12" s="7" t="s">
        <v>739</v>
      </c>
      <c r="F12" s="7" t="s">
        <v>740</v>
      </c>
      <c r="G12" s="7" t="s">
        <v>741</v>
      </c>
      <c r="H12" s="7" t="s">
        <v>742</v>
      </c>
    </row>
    <row r="14" ht="17" spans="1:8">
      <c r="A14" s="8" t="s">
        <v>743</v>
      </c>
    </row>
    <row r="15" ht="52" customHeight="1" spans="1:8">
      <c r="A15" s="9" t="s">
        <v>744</v>
      </c>
      <c r="C15" s="7"/>
      <c r="D15" s="7" t="s">
        <v>745</v>
      </c>
    </row>
    <row r="16" ht="65" customHeight="1" spans="1:8">
      <c r="A16" s="9" t="s">
        <v>746</v>
      </c>
      <c r="C16" s="7"/>
      <c r="D16" s="7" t="s">
        <v>747</v>
      </c>
    </row>
    <row r="17" ht="39" customHeight="1" spans="1:8">
      <c r="A17" s="9" t="s">
        <v>748</v>
      </c>
      <c r="C17" s="7"/>
      <c r="D17" s="7" t="s">
        <v>749</v>
      </c>
    </row>
    <row r="18" ht="39" customHeight="1" spans="1:8">
      <c r="A18" s="9" t="s">
        <v>750</v>
      </c>
      <c r="C18" s="7"/>
      <c r="D18" s="7" t="s">
        <v>751</v>
      </c>
    </row>
    <row r="19" ht="26" customHeight="1" spans="1:8">
      <c r="A19" s="9" t="s">
        <v>752</v>
      </c>
      <c r="C19" s="7"/>
      <c r="D19" s="7" t="s">
        <v>753</v>
      </c>
    </row>
    <row r="21" spans="1:8">
      <c r="A21" s="7" t="s">
        <v>754</v>
      </c>
      <c r="B21" s="7" t="s">
        <v>755</v>
      </c>
    </row>
    <row r="22" ht="39" customHeight="1" spans="1:8">
      <c r="A22" s="7" t="s">
        <v>756</v>
      </c>
      <c r="B22" s="7" t="s">
        <v>757</v>
      </c>
    </row>
    <row r="24" spans="1:8">
      <c r="A24" s="10" t="s">
        <v>758</v>
      </c>
    </row>
    <row r="25" ht="31" spans="1:8">
      <c r="A25" s="11" t="s">
        <v>759</v>
      </c>
      <c r="B25" s="11" t="s">
        <v>760</v>
      </c>
      <c r="C25" s="11" t="s">
        <v>761</v>
      </c>
      <c r="D25" s="11" t="s">
        <v>673</v>
      </c>
      <c r="E25" s="11" t="s">
        <v>675</v>
      </c>
      <c r="F25" s="11" t="s">
        <v>762</v>
      </c>
      <c r="G25" s="11" t="s">
        <v>674</v>
      </c>
      <c r="H25" s="11" t="s">
        <v>763</v>
      </c>
    </row>
    <row r="26" ht="46" spans="1:8">
      <c r="A26" s="12" t="s">
        <v>764</v>
      </c>
      <c r="B26" s="12" t="s">
        <v>765</v>
      </c>
      <c r="C26" s="12" t="s">
        <v>766</v>
      </c>
      <c r="D26" s="12" t="s">
        <v>687</v>
      </c>
      <c r="E26" s="12" t="s">
        <v>767</v>
      </c>
      <c r="F26" s="12" t="s">
        <v>755</v>
      </c>
      <c r="G26" s="12" t="s">
        <v>768</v>
      </c>
      <c r="H26" s="12" t="s">
        <v>769</v>
      </c>
    </row>
    <row r="27" ht="31" spans="1:8">
      <c r="A27" s="12" t="s">
        <v>135</v>
      </c>
      <c r="B27" s="12" t="s">
        <v>770</v>
      </c>
      <c r="C27" s="12" t="s">
        <v>771</v>
      </c>
      <c r="D27" s="12" t="s">
        <v>772</v>
      </c>
      <c r="E27" s="12" t="s">
        <v>773</v>
      </c>
      <c r="F27" s="12" t="s">
        <v>755</v>
      </c>
      <c r="G27" s="12" t="s">
        <v>768</v>
      </c>
      <c r="H27" s="12" t="s">
        <v>774</v>
      </c>
    </row>
    <row r="28" ht="31" spans="1:8">
      <c r="A28" s="12" t="s">
        <v>775</v>
      </c>
      <c r="B28" s="12" t="s">
        <v>776</v>
      </c>
      <c r="C28" s="12" t="s">
        <v>777</v>
      </c>
      <c r="D28" s="12" t="s">
        <v>687</v>
      </c>
      <c r="E28" s="12" t="s">
        <v>767</v>
      </c>
      <c r="F28" s="12" t="s">
        <v>755</v>
      </c>
      <c r="G28" s="12" t="s">
        <v>768</v>
      </c>
      <c r="H28" s="12" t="s">
        <v>778</v>
      </c>
    </row>
    <row r="29" ht="31" spans="1:8">
      <c r="A29" s="12" t="s">
        <v>779</v>
      </c>
      <c r="B29" s="12" t="s">
        <v>780</v>
      </c>
      <c r="C29" s="12" t="s">
        <v>781</v>
      </c>
      <c r="D29" s="12" t="s">
        <v>687</v>
      </c>
      <c r="E29" s="12" t="s">
        <v>782</v>
      </c>
      <c r="F29" s="12" t="s">
        <v>755</v>
      </c>
      <c r="G29" s="12" t="s">
        <v>768</v>
      </c>
      <c r="H29" s="12" t="s">
        <v>783</v>
      </c>
    </row>
    <row r="30" ht="31" spans="1:8">
      <c r="A30" s="12" t="s">
        <v>784</v>
      </c>
      <c r="B30" s="12" t="s">
        <v>785</v>
      </c>
      <c r="C30" s="12" t="s">
        <v>786</v>
      </c>
      <c r="D30" s="12" t="s">
        <v>687</v>
      </c>
      <c r="E30" s="12" t="s">
        <v>787</v>
      </c>
      <c r="F30" s="12" t="s">
        <v>755</v>
      </c>
      <c r="G30" s="12" t="s">
        <v>768</v>
      </c>
      <c r="H30" s="12" t="s">
        <v>788</v>
      </c>
    </row>
    <row r="31" ht="46" spans="1:8">
      <c r="A31" s="12" t="s">
        <v>140</v>
      </c>
      <c r="B31" s="12" t="s">
        <v>789</v>
      </c>
      <c r="C31" s="12" t="s">
        <v>790</v>
      </c>
      <c r="D31" s="12" t="s">
        <v>687</v>
      </c>
      <c r="E31" s="12" t="s">
        <v>791</v>
      </c>
      <c r="F31" s="12" t="s">
        <v>755</v>
      </c>
      <c r="G31" s="12" t="s">
        <v>768</v>
      </c>
      <c r="H31" s="12" t="s">
        <v>792</v>
      </c>
    </row>
    <row r="32" ht="31" spans="1:8">
      <c r="A32" s="12" t="s">
        <v>793</v>
      </c>
      <c r="B32" s="12" t="s">
        <v>794</v>
      </c>
      <c r="C32" s="12" t="s">
        <v>795</v>
      </c>
      <c r="D32" s="12" t="s">
        <v>687</v>
      </c>
      <c r="E32" s="12" t="s">
        <v>796</v>
      </c>
      <c r="F32" s="12" t="s">
        <v>755</v>
      </c>
      <c r="G32" s="12" t="s">
        <v>797</v>
      </c>
      <c r="H32" s="12" t="s">
        <v>798</v>
      </c>
    </row>
    <row r="33" ht="31" spans="1:8">
      <c r="A33" s="12" t="s">
        <v>799</v>
      </c>
      <c r="B33" s="12" t="s">
        <v>800</v>
      </c>
      <c r="C33" s="12" t="s">
        <v>801</v>
      </c>
      <c r="D33" s="12" t="s">
        <v>802</v>
      </c>
      <c r="E33" s="12" t="s">
        <v>803</v>
      </c>
      <c r="F33" s="12" t="s">
        <v>755</v>
      </c>
      <c r="G33" s="12" t="s">
        <v>804</v>
      </c>
      <c r="H33" s="12" t="s">
        <v>805</v>
      </c>
    </row>
    <row r="34" ht="31" spans="1:8">
      <c r="A34" s="12" t="s">
        <v>806</v>
      </c>
      <c r="B34" s="12" t="s">
        <v>807</v>
      </c>
      <c r="C34" s="12" t="s">
        <v>808</v>
      </c>
      <c r="D34" s="12" t="s">
        <v>687</v>
      </c>
      <c r="E34" s="12" t="s">
        <v>809</v>
      </c>
      <c r="F34" s="12" t="s">
        <v>755</v>
      </c>
      <c r="G34" s="12" t="s">
        <v>810</v>
      </c>
      <c r="H34" s="12" t="s">
        <v>811</v>
      </c>
    </row>
    <row r="35" ht="76" spans="1:8">
      <c r="A35" s="12" t="s">
        <v>812</v>
      </c>
      <c r="B35" s="12" t="s">
        <v>813</v>
      </c>
      <c r="C35" s="12" t="s">
        <v>814</v>
      </c>
      <c r="D35" s="12" t="s">
        <v>717</v>
      </c>
      <c r="E35" s="12" t="s">
        <v>725</v>
      </c>
      <c r="F35" s="12" t="s">
        <v>755</v>
      </c>
      <c r="G35" s="12" t="s">
        <v>815</v>
      </c>
      <c r="H35" s="12" t="s">
        <v>816</v>
      </c>
    </row>
    <row r="36" ht="31" spans="1:8">
      <c r="A36" s="12" t="s">
        <v>817</v>
      </c>
      <c r="B36" s="12" t="s">
        <v>818</v>
      </c>
      <c r="C36" s="12" t="s">
        <v>819</v>
      </c>
      <c r="D36" s="12" t="s">
        <v>802</v>
      </c>
      <c r="E36" s="12" t="s">
        <v>820</v>
      </c>
      <c r="F36" s="12" t="s">
        <v>755</v>
      </c>
      <c r="G36" s="12" t="s">
        <v>821</v>
      </c>
      <c r="H36" s="12" t="s">
        <v>822</v>
      </c>
    </row>
    <row r="37" ht="31" spans="1:8">
      <c r="A37" s="12" t="s">
        <v>823</v>
      </c>
      <c r="B37" s="12" t="s">
        <v>824</v>
      </c>
      <c r="C37" s="12" t="s">
        <v>825</v>
      </c>
      <c r="D37" s="12" t="s">
        <v>687</v>
      </c>
      <c r="E37" s="12" t="s">
        <v>826</v>
      </c>
      <c r="F37" s="12" t="s">
        <v>755</v>
      </c>
      <c r="G37" s="12" t="s">
        <v>827</v>
      </c>
      <c r="H37" s="12" t="s">
        <v>828</v>
      </c>
    </row>
    <row r="38" ht="61" spans="1:8">
      <c r="A38" s="12" t="s">
        <v>829</v>
      </c>
      <c r="B38" s="12" t="s">
        <v>830</v>
      </c>
      <c r="C38" s="12" t="s">
        <v>831</v>
      </c>
      <c r="D38" s="12" t="s">
        <v>717</v>
      </c>
      <c r="E38" s="12" t="s">
        <v>725</v>
      </c>
      <c r="F38" s="12" t="s">
        <v>755</v>
      </c>
      <c r="G38" s="12" t="s">
        <v>827</v>
      </c>
      <c r="H38" s="12" t="s">
        <v>832</v>
      </c>
    </row>
    <row r="39" ht="76" spans="1:8">
      <c r="A39" s="12" t="s">
        <v>833</v>
      </c>
      <c r="B39" s="12" t="s">
        <v>834</v>
      </c>
      <c r="C39" s="12" t="s">
        <v>835</v>
      </c>
      <c r="D39" s="12" t="s">
        <v>836</v>
      </c>
      <c r="E39" s="12" t="s">
        <v>837</v>
      </c>
      <c r="F39" s="12" t="s">
        <v>755</v>
      </c>
      <c r="G39" s="12" t="s">
        <v>838</v>
      </c>
      <c r="H39" s="12" t="s">
        <v>839</v>
      </c>
    </row>
    <row r="40" ht="92" spans="1:8">
      <c r="A40" s="12" t="s">
        <v>840</v>
      </c>
      <c r="B40" s="12" t="s">
        <v>841</v>
      </c>
      <c r="C40" s="12" t="s">
        <v>842</v>
      </c>
      <c r="D40" s="12" t="s">
        <v>843</v>
      </c>
      <c r="E40" s="12" t="s">
        <v>844</v>
      </c>
      <c r="F40" s="12" t="s">
        <v>755</v>
      </c>
      <c r="G40" s="12" t="s">
        <v>845</v>
      </c>
      <c r="H40" s="12" t="s">
        <v>846</v>
      </c>
    </row>
    <row r="42" ht="409.5" spans="1:8">
      <c r="A42" s="13" t="s">
        <v>847</v>
      </c>
      <c r="B42" s="14" t="s">
        <v>848</v>
      </c>
    </row>
  </sheetData>
  <mergeCells count="11">
    <mergeCell ref="A15:B15"/>
    <mergeCell ref="D15:I15"/>
    <mergeCell ref="A16:B16"/>
    <mergeCell ref="D16:I16"/>
    <mergeCell ref="A17:B17"/>
    <mergeCell ref="D17:I17"/>
    <mergeCell ref="A18:B18"/>
    <mergeCell ref="D18:I18"/>
    <mergeCell ref="A19:B19"/>
    <mergeCell ref="D19:I19"/>
    <mergeCell ref="B22:I22"/>
  </mergeCells>
  <pageMargins left="0.75" right="0.75" top="1" bottom="1" header="0.5" footer="0.5"/>
  <pageSetup paperSize="1"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20"/>
  <sheetViews>
    <sheetView workbookViewId="0">
      <selection activeCell="B39" sqref="B39"/>
    </sheetView>
  </sheetViews>
  <sheetFormatPr defaultColWidth="8.5" defaultRowHeight="15" customHeight="1" outlineLevelCol="1"/>
  <cols>
    <col min="1" max="1" width="70" customWidth="1"/>
    <col min="2" max="2" width="80" customWidth="1"/>
  </cols>
  <sheetData>
    <row r="1" ht="19.5" customHeight="1" spans="1:2">
      <c r="A1" s="1" t="s">
        <v>849</v>
      </c>
    </row>
    <row r="3" customHeight="1" spans="1:2">
      <c r="A3" s="2" t="s">
        <v>850</v>
      </c>
      <c r="B3" s="2" t="s">
        <v>675</v>
      </c>
    </row>
    <row r="4" customHeight="1" spans="1:2">
      <c r="A4" t="s">
        <v>851</v>
      </c>
      <c r="B4" s="3" t="s">
        <v>852</v>
      </c>
    </row>
    <row r="5" customHeight="1" spans="1:2">
      <c r="A5" t="s">
        <v>853</v>
      </c>
      <c r="B5" s="3" t="s">
        <v>854</v>
      </c>
    </row>
    <row r="6" customHeight="1" spans="1:2">
      <c r="A6" t="s">
        <v>855</v>
      </c>
      <c r="B6" s="3" t="s">
        <v>856</v>
      </c>
    </row>
    <row r="7" customHeight="1" spans="1:2">
      <c r="A7" t="s">
        <v>857</v>
      </c>
      <c r="B7" s="3" t="s">
        <v>858</v>
      </c>
    </row>
    <row r="8" customHeight="1" spans="1:2">
      <c r="A8" t="s">
        <v>859</v>
      </c>
      <c r="B8" s="3" t="s">
        <v>695</v>
      </c>
    </row>
    <row r="9" customHeight="1" spans="1:2">
      <c r="A9" t="s">
        <v>860</v>
      </c>
      <c r="B9" s="3" t="s">
        <v>861</v>
      </c>
    </row>
    <row r="10" customHeight="1" spans="1:2">
      <c r="A10" t="s">
        <v>862</v>
      </c>
      <c r="B10" s="3" t="s">
        <v>863</v>
      </c>
    </row>
    <row r="11" customHeight="1" spans="1:2">
      <c r="A11" t="s">
        <v>864</v>
      </c>
      <c r="B11" s="3" t="s">
        <v>865</v>
      </c>
    </row>
    <row r="12" customHeight="1" spans="1:2">
      <c r="A12" t="s">
        <v>866</v>
      </c>
      <c r="B12" s="3" t="s">
        <v>867</v>
      </c>
    </row>
    <row r="13" customHeight="1" spans="1:2">
      <c r="A13" t="s">
        <v>868</v>
      </c>
      <c r="B13" s="3" t="s">
        <v>869</v>
      </c>
    </row>
    <row r="14" customHeight="1" spans="1:2">
      <c r="A14" t="s">
        <v>870</v>
      </c>
      <c r="B14" s="3" t="s">
        <v>871</v>
      </c>
    </row>
    <row r="15" customHeight="1" spans="1:2">
      <c r="A15" t="s">
        <v>872</v>
      </c>
      <c r="B15" s="3" t="s">
        <v>873</v>
      </c>
    </row>
    <row r="16" customHeight="1" spans="1:2">
      <c r="A16" t="s">
        <v>874</v>
      </c>
      <c r="B16" s="3" t="s">
        <v>689</v>
      </c>
    </row>
    <row r="17" customHeight="1" spans="1:2">
      <c r="A17" t="s">
        <v>875</v>
      </c>
      <c r="B17" s="3" t="s">
        <v>876</v>
      </c>
    </row>
    <row r="18" customHeight="1" spans="1:2">
      <c r="A18" t="s">
        <v>877</v>
      </c>
      <c r="B18" s="3" t="s">
        <v>878</v>
      </c>
    </row>
    <row r="19" ht="16.8" spans="1:2">
      <c r="A19" t="s">
        <v>879</v>
      </c>
      <c r="B19" t="s">
        <v>880</v>
      </c>
    </row>
    <row r="20" ht="15.2" spans="1:2">
      <c r="A20" s="4" t="s">
        <v>881</v>
      </c>
    </row>
  </sheetData>
  <hyperlinks>
    <hyperlink ref="B4" r:id="rId1" display="https://www.who.int/activities/prioritizing-diseases-for-research-and-development-in-emergency-contexts"/>
    <hyperlink ref="B5" r:id="rId2" display="https://africacdc.org/"/>
    <hyperlink ref="B6" r:id="rId3" display="https://vizhub.healthdata.org/gbd-compare/"/>
    <hyperlink ref="B7" r:id="rId4" display="https://www.afro.who.int/health-topics/disease-outbreaks/outbreaks-and-other-emergencies-updates"/>
    <hyperlink ref="B8" r:id="rId5" display="https://washdata.org/"/>
    <hyperlink ref="B9" r:id="rId6" display="https://www.who.int/teams/global-tuberculosis-programme/tb-reports"/>
    <hyperlink ref="B10" r:id="rId7" display="https://extranet.who.int/sph/spar"/>
    <hyperlink ref="B11" r:id="rId8" display="https://africacdc.org/download/africa-cdc-framework-for-antimicrobial-resistance-control-2023-2027/"/>
    <hyperlink ref="B12" r:id="rId9" display="https://www.who.int/publications/i/item/9789240093461"/>
    <hyperlink ref="B13" r:id="rId10" display="https://fragilestatesindex.org/"/>
    <hyperlink ref="B14" r:id="rId11" display="https://hdr.undp.org/"/>
    <hyperlink ref="B15" r:id="rId12" display="https://www.worldpop.org/"/>
    <hyperlink ref="B16" r:id="rId13" display="https://childmortality.org/"/>
    <hyperlink ref="B17" r:id="rId14" display="https://www.who.int/teams/global-task-force-on-cholera-control"/>
    <hyperlink ref="B18" r:id="rId15" display="https://africacdc.org/disease/mpox/"/>
  </hyperlinks>
  <pageMargins left="0.75" right="0.75" top="1" bottom="1" header="0.511811023622047" footer="0.511811023622047"/>
  <pageSetup paperSize="9"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19</vt:i4>
      </vt:variant>
    </vt:vector>
  </HeadingPairs>
  <TitlesOfParts>
    <vt:vector size="19" baseType="lpstr">
      <vt:lpstr>README</vt:lpstr>
      <vt:lpstr>Settings</vt:lpstr>
      <vt:lpstr>Calculator</vt:lpstr>
      <vt:lpstr>Feasibility</vt:lpstr>
      <vt:lpstr>Compare_Scenarios</vt:lpstr>
      <vt:lpstr>Export_Priorities</vt:lpstr>
      <vt:lpstr>Countries</vt:lpstr>
      <vt:lpstr>Pathogens</vt:lpstr>
      <vt:lpstr>Endemicity</vt:lpstr>
      <vt:lpstr>SubScores_Burden</vt:lpstr>
      <vt:lpstr>SubScores_Epidemic</vt:lpstr>
      <vt:lpstr>SubScores_WES</vt:lpstr>
      <vt:lpstr>SubScores_SurvGap</vt:lpstr>
      <vt:lpstr>SubScores_Intervene</vt:lpstr>
      <vt:lpstr>SubScores_AMR</vt:lpstr>
      <vt:lpstr>SubScores_Equity</vt:lpstr>
      <vt:lpstr>Thresholds</vt:lpstr>
      <vt:lpstr>Sources</vt:lpstr>
      <vt:lpstr>DataSources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WPS_1717488568</cp:lastModifiedBy>
  <cp:revision>0</cp:revision>
  <dcterms:created xsi:type="dcterms:W3CDTF">2026-04-24T15:29:00Z</dcterms:created>
  <dcterms:modified xsi:type="dcterms:W3CDTF">2026-08-05T07:08:56Z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9956BDB3F9CB90DA58B7726A90B46334_43</vt:lpwstr>
  </property>
  <property fmtid="{D5CDD505-2E9C-101B-9397-08002B2CF9AE}" pid="3" name="KSOProductBuildVer">
    <vt:lpwstr>1033-12.1.26015.26015</vt:lpwstr>
  </property>
  <property fmtid="{D5CDD505-2E9C-101B-9397-08002B2CF9AE}" pid="4" name="CalculationRule">
    <vt:i4>0</vt:i4>
  </property>
</Properties>
</file>