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sa\Desktop\LONG-TERM\drafts\Tables\"/>
    </mc:Choice>
  </mc:AlternateContent>
  <xr:revisionPtr revIDLastSave="0" documentId="13_ncr:1_{D371126D-844A-49FF-B1EC-8D6C86661C49}" xr6:coauthVersionLast="47" xr6:coauthVersionMax="47" xr10:uidLastSave="{00000000-0000-0000-0000-000000000000}"/>
  <bookViews>
    <workbookView xWindow="-108" yWindow="-108" windowWidth="23256" windowHeight="12456" xr2:uid="{AD67BA31-3386-4D26-BC7F-48FE948CD50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1" i="1" l="1"/>
  <c r="AG19" i="1"/>
  <c r="AG18" i="1"/>
  <c r="AG17" i="1"/>
  <c r="AC17" i="1"/>
  <c r="AG20" i="1"/>
  <c r="AE20" i="1"/>
  <c r="AE19" i="1"/>
  <c r="AE18" i="1"/>
  <c r="AE17" i="1"/>
  <c r="AE21" i="1"/>
  <c r="AC21" i="1"/>
  <c r="AC19" i="1"/>
  <c r="AC18" i="1"/>
  <c r="AC20" i="1"/>
  <c r="AA20" i="1"/>
  <c r="AA19" i="1"/>
  <c r="AA18" i="1"/>
  <c r="AA17" i="1"/>
  <c r="AA21" i="1"/>
  <c r="Y21" i="1"/>
  <c r="Y19" i="1"/>
  <c r="Y18" i="1"/>
  <c r="Y17" i="1"/>
  <c r="Y20" i="1"/>
  <c r="W20" i="1"/>
  <c r="W19" i="1"/>
  <c r="W18" i="1"/>
  <c r="W17" i="1"/>
  <c r="W21" i="1"/>
  <c r="U21" i="1"/>
  <c r="U20" i="1"/>
  <c r="U19" i="1"/>
  <c r="U18" i="1"/>
  <c r="U17" i="1"/>
  <c r="S17" i="1"/>
  <c r="S18" i="1"/>
  <c r="S19" i="1"/>
  <c r="S21" i="1"/>
  <c r="S20" i="1"/>
  <c r="Q20" i="1"/>
  <c r="Q19" i="1"/>
  <c r="Q18" i="1"/>
  <c r="Q17" i="1"/>
  <c r="Q21" i="1"/>
  <c r="I17" i="1"/>
  <c r="O21" i="1"/>
  <c r="O19" i="1"/>
  <c r="O18" i="1"/>
  <c r="O17" i="1"/>
  <c r="O20" i="1"/>
  <c r="M20" i="1"/>
  <c r="M19" i="1"/>
  <c r="M18" i="1"/>
  <c r="M17" i="1"/>
  <c r="M21" i="1"/>
  <c r="K21" i="1"/>
  <c r="K20" i="1"/>
  <c r="K19" i="1"/>
  <c r="K18" i="1"/>
  <c r="K17" i="1"/>
  <c r="I21" i="1"/>
  <c r="I19" i="1"/>
  <c r="I18" i="1"/>
  <c r="I20" i="1"/>
  <c r="G20" i="1"/>
  <c r="G19" i="1"/>
  <c r="G18" i="1"/>
  <c r="G17" i="1"/>
  <c r="G21" i="1"/>
  <c r="E21" i="1"/>
  <c r="E19" i="1"/>
  <c r="E18" i="1"/>
  <c r="E17" i="1"/>
  <c r="E20" i="1"/>
  <c r="C20" i="1"/>
  <c r="C21" i="1"/>
  <c r="C19" i="1"/>
  <c r="C18" i="1"/>
  <c r="C17" i="1"/>
  <c r="AE16" i="1"/>
  <c r="AC16" i="1"/>
  <c r="AC15" i="1"/>
  <c r="AA16" i="1"/>
  <c r="AA15" i="1"/>
  <c r="AA14" i="1"/>
  <c r="Y16" i="1"/>
  <c r="Y15" i="1"/>
  <c r="Y14" i="1"/>
  <c r="Y13" i="1"/>
  <c r="W16" i="1"/>
  <c r="W15" i="1"/>
  <c r="W14" i="1"/>
  <c r="W13" i="1"/>
  <c r="W12" i="1"/>
  <c r="U16" i="1"/>
  <c r="U15" i="1"/>
  <c r="U14" i="1"/>
  <c r="U13" i="1"/>
  <c r="U12" i="1"/>
  <c r="U11" i="1"/>
  <c r="S16" i="1"/>
  <c r="S15" i="1"/>
  <c r="S14" i="1"/>
  <c r="S13" i="1"/>
  <c r="S12" i="1"/>
  <c r="S11" i="1"/>
  <c r="S10" i="1"/>
  <c r="Q10" i="1"/>
  <c r="Q16" i="1"/>
  <c r="Q15" i="1"/>
  <c r="Q14" i="1"/>
  <c r="Q13" i="1"/>
  <c r="Q12" i="1"/>
  <c r="Q11" i="1"/>
  <c r="Q9" i="1"/>
  <c r="O16" i="1"/>
  <c r="O14" i="1"/>
  <c r="O15" i="1"/>
  <c r="O13" i="1"/>
  <c r="O12" i="1"/>
  <c r="O11" i="1"/>
  <c r="O10" i="1"/>
  <c r="O9" i="1"/>
  <c r="O8" i="1"/>
  <c r="M16" i="1"/>
  <c r="M15" i="1"/>
  <c r="M14" i="1"/>
  <c r="M13" i="1"/>
  <c r="M12" i="1"/>
  <c r="M11" i="1"/>
  <c r="M10" i="1"/>
  <c r="M8" i="1"/>
  <c r="M9" i="1"/>
  <c r="M7" i="1"/>
  <c r="K16" i="1"/>
  <c r="K15" i="1"/>
  <c r="K14" i="1"/>
  <c r="K13" i="1"/>
  <c r="K12" i="1"/>
  <c r="K11" i="1"/>
  <c r="K10" i="1"/>
  <c r="K9" i="1"/>
  <c r="K8" i="1"/>
  <c r="K7" i="1"/>
  <c r="K6" i="1"/>
  <c r="I16" i="1"/>
  <c r="I15" i="1"/>
  <c r="I14" i="1"/>
  <c r="I13" i="1"/>
  <c r="I12" i="1"/>
  <c r="I11" i="1"/>
  <c r="I10" i="1"/>
  <c r="I9" i="1"/>
  <c r="I8" i="1"/>
  <c r="I7" i="1"/>
  <c r="I6" i="1"/>
  <c r="I5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G16" i="1"/>
  <c r="G6" i="1"/>
  <c r="G4" i="1"/>
  <c r="G5" i="1"/>
  <c r="G8" i="1"/>
  <c r="G10" i="1"/>
  <c r="G9" i="1"/>
  <c r="E3" i="1"/>
  <c r="G15" i="1"/>
  <c r="G14" i="1"/>
  <c r="G13" i="1"/>
  <c r="G12" i="1"/>
  <c r="G11" i="1"/>
  <c r="G7" i="1"/>
  <c r="C16" i="1"/>
  <c r="C6" i="1"/>
  <c r="C4" i="1"/>
  <c r="C5" i="1"/>
  <c r="C8" i="1"/>
  <c r="C10" i="1"/>
  <c r="C9" i="1"/>
  <c r="C2" i="1"/>
  <c r="C15" i="1"/>
  <c r="C14" i="1"/>
  <c r="C13" i="1"/>
  <c r="C12" i="1"/>
  <c r="C11" i="1"/>
  <c r="C7" i="1"/>
  <c r="C3" i="1"/>
</calcChain>
</file>

<file path=xl/sharedStrings.xml><?xml version="1.0" encoding="utf-8"?>
<sst xmlns="http://schemas.openxmlformats.org/spreadsheetml/2006/main" count="252" uniqueCount="163">
  <si>
    <t>%</t>
  </si>
  <si>
    <t>553/578</t>
  </si>
  <si>
    <t>549/576</t>
  </si>
  <si>
    <t>526/573</t>
  </si>
  <si>
    <t>569/575</t>
  </si>
  <si>
    <t>570/575</t>
  </si>
  <si>
    <t>534/577</t>
  </si>
  <si>
    <t>531/579</t>
  </si>
  <si>
    <t>572/575</t>
  </si>
  <si>
    <t>548/576</t>
  </si>
  <si>
    <t>520/548</t>
  </si>
  <si>
    <t>533/577</t>
  </si>
  <si>
    <t>533/578</t>
  </si>
  <si>
    <t>529/575</t>
  </si>
  <si>
    <t>530/575</t>
  </si>
  <si>
    <t>535/570</t>
  </si>
  <si>
    <t>532/577</t>
  </si>
  <si>
    <t>537/577</t>
  </si>
  <si>
    <t>536/577</t>
  </si>
  <si>
    <t>555/576</t>
  </si>
  <si>
    <t>564/580</t>
  </si>
  <si>
    <t>531/577</t>
  </si>
  <si>
    <t>539/577</t>
  </si>
  <si>
    <t>513/549</t>
  </si>
  <si>
    <t>541/577</t>
  </si>
  <si>
    <t>574/576</t>
  </si>
  <si>
    <t>525/577</t>
  </si>
  <si>
    <t>CMG (G1)</t>
  </si>
  <si>
    <t>CMG (G2)</t>
  </si>
  <si>
    <t>CMC (C1)</t>
  </si>
  <si>
    <t>CMC (C2)</t>
  </si>
  <si>
    <t>CMC (C3)</t>
  </si>
  <si>
    <t>CMC (C4)</t>
  </si>
  <si>
    <t>CMR (R1)</t>
  </si>
  <si>
    <t>CMR (R2)</t>
  </si>
  <si>
    <t>CMR (R3)</t>
  </si>
  <si>
    <t>CMR (R4)</t>
  </si>
  <si>
    <t>CMK</t>
  </si>
  <si>
    <t>CMM (M1)</t>
  </si>
  <si>
    <t>CMM (M2)</t>
  </si>
  <si>
    <t>CMU</t>
  </si>
  <si>
    <t>CMT</t>
  </si>
  <si>
    <t>CMA</t>
  </si>
  <si>
    <t>Candidatus Mycoplasma  clethrionomae (C1)</t>
  </si>
  <si>
    <t>Candidatus Mycoplasma  clethrionomae (C2)</t>
  </si>
  <si>
    <t>Candidatus Mycoplasma  clethrionomae (C3)</t>
  </si>
  <si>
    <t>Candidatus Mycoplasma  clethrionomae (C4)</t>
  </si>
  <si>
    <t>Candidatus Mycoplasma rodentae (R1)</t>
  </si>
  <si>
    <t>Candidatus Mycoplasma rodentae (R2)</t>
  </si>
  <si>
    <t>Candidatus Mycoplasma rodentae (R3)</t>
  </si>
  <si>
    <t>Candidatus Mycoplasma rodentae (R4)</t>
  </si>
  <si>
    <t>Candidatus Mycoplasma glareolusae (G2)</t>
  </si>
  <si>
    <t>527/574</t>
  </si>
  <si>
    <t>540/568</t>
  </si>
  <si>
    <t>546/575</t>
  </si>
  <si>
    <t>518/547</t>
  </si>
  <si>
    <t>524/572</t>
  </si>
  <si>
    <t>567/574</t>
  </si>
  <si>
    <t>568/574</t>
  </si>
  <si>
    <t>532/576</t>
  </si>
  <si>
    <t>529/578</t>
  </si>
  <si>
    <t>528/574</t>
  </si>
  <si>
    <t>568/576</t>
  </si>
  <si>
    <t>529/569</t>
  </si>
  <si>
    <t>533/576</t>
  </si>
  <si>
    <t>535/576</t>
  </si>
  <si>
    <t>507/548</t>
  </si>
  <si>
    <t>523/574</t>
  </si>
  <si>
    <t>531/576</t>
  </si>
  <si>
    <t>530/576</t>
  </si>
  <si>
    <t>557/578</t>
  </si>
  <si>
    <t>519/576</t>
  </si>
  <si>
    <t>566/567</t>
  </si>
  <si>
    <t>564/567</t>
  </si>
  <si>
    <t>545/546</t>
  </si>
  <si>
    <t>518/567</t>
  </si>
  <si>
    <t>547/568</t>
  </si>
  <si>
    <t>546/568</t>
  </si>
  <si>
    <t>534/571</t>
  </si>
  <si>
    <t>529/568</t>
  </si>
  <si>
    <t>520/567</t>
  </si>
  <si>
    <t>570/574</t>
  </si>
  <si>
    <t>544/546</t>
  </si>
  <si>
    <t>553/575</t>
  </si>
  <si>
    <t>552/575</t>
  </si>
  <si>
    <t>537/575</t>
  </si>
  <si>
    <t>540/578</t>
  </si>
  <si>
    <t>542/546</t>
  </si>
  <si>
    <t>520/572</t>
  </si>
  <si>
    <t>535/575</t>
  </si>
  <si>
    <t>538/578</t>
  </si>
  <si>
    <t>526/576</t>
  </si>
  <si>
    <t>497/545</t>
  </si>
  <si>
    <t>525/547</t>
  </si>
  <si>
    <t>524/547</t>
  </si>
  <si>
    <t>507/547</t>
  </si>
  <si>
    <t>512/550</t>
  </si>
  <si>
    <t>498/546</t>
  </si>
  <si>
    <t>527/572</t>
  </si>
  <si>
    <t>526/572</t>
  </si>
  <si>
    <t>527/573</t>
  </si>
  <si>
    <t>524/576</t>
  </si>
  <si>
    <t>544/572</t>
  </si>
  <si>
    <t>573/574</t>
  </si>
  <si>
    <t>538/575</t>
  </si>
  <si>
    <t>536/578</t>
  </si>
  <si>
    <t>529/574</t>
  </si>
  <si>
    <t>535/578</t>
  </si>
  <si>
    <t>530/574</t>
  </si>
  <si>
    <t>551/578</t>
  </si>
  <si>
    <t>527/577</t>
  </si>
  <si>
    <t>523/578</t>
  </si>
  <si>
    <t>MT345318</t>
  </si>
  <si>
    <t>MT462251</t>
  </si>
  <si>
    <t>U82963</t>
  </si>
  <si>
    <t>OP271911</t>
  </si>
  <si>
    <t>PP109119</t>
  </si>
  <si>
    <t>560/563</t>
  </si>
  <si>
    <t>548/575</t>
  </si>
  <si>
    <t>504/529</t>
  </si>
  <si>
    <t>502/528</t>
  </si>
  <si>
    <t>558/562</t>
  </si>
  <si>
    <t>546/574</t>
  </si>
  <si>
    <t>572/576</t>
  </si>
  <si>
    <t>523/565</t>
  </si>
  <si>
    <t>493/531</t>
  </si>
  <si>
    <t>566/576</t>
  </si>
  <si>
    <t>518/565</t>
  </si>
  <si>
    <t>488/530</t>
  </si>
  <si>
    <t>518/521</t>
  </si>
  <si>
    <t>539/563</t>
  </si>
  <si>
    <t>536/570</t>
  </si>
  <si>
    <t>542/577</t>
  </si>
  <si>
    <t>538/563</t>
  </si>
  <si>
    <t>524/528</t>
  </si>
  <si>
    <t>522/528</t>
  </si>
  <si>
    <t>540/577</t>
  </si>
  <si>
    <t>522/547</t>
  </si>
  <si>
    <t>496/500</t>
  </si>
  <si>
    <t>514/549</t>
  </si>
  <si>
    <t>527/575</t>
  </si>
  <si>
    <t>518/562</t>
  </si>
  <si>
    <t>528/572</t>
  </si>
  <si>
    <t>476/526</t>
  </si>
  <si>
    <t>507/528</t>
  </si>
  <si>
    <t>557/562</t>
  </si>
  <si>
    <t>571/574</t>
  </si>
  <si>
    <t>553/574</t>
  </si>
  <si>
    <t>538/577</t>
  </si>
  <si>
    <t>572/574</t>
  </si>
  <si>
    <t>552/574</t>
  </si>
  <si>
    <t>508/528</t>
  </si>
  <si>
    <t>489/530</t>
  </si>
  <si>
    <t>522/564</t>
  </si>
  <si>
    <t>536/576</t>
  </si>
  <si>
    <t>534/576</t>
  </si>
  <si>
    <t>557/576</t>
  </si>
  <si>
    <t>562/578</t>
  </si>
  <si>
    <t>521/566</t>
  </si>
  <si>
    <t>494/532</t>
  </si>
  <si>
    <t>481/529</t>
  </si>
  <si>
    <t>520/562</t>
  </si>
  <si>
    <t>526/575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</si>
</sst>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212121"/>
      <name val="Calibri"/>
      <family val="2"/>
      <scheme val="minor"/>
    </font>
    <font>
      <sz val="8"/>
      <color rgb="FF21212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textRotation="45"/>
    </xf>
    <xf numFmtId="0" fontId="3" fillId="0" borderId="0" xfId="0" applyFont="1"/>
    <xf numFmtId="164" fontId="3" fillId="0" borderId="0" xfId="0" applyNumberFormat="1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2" borderId="1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71FF8-64C7-433D-8C8A-BB1454C259D6}">
  <dimension ref="A1:AG21"/>
  <sheetViews>
    <sheetView tabSelected="1" topLeftCell="B1" workbookViewId="0">
      <selection activeCell="A21" sqref="A21:XFD21"/>
    </sheetView>
  </sheetViews>
  <sheetFormatPr defaultRowHeight="13.8" x14ac:dyDescent="0.3"/>
  <cols>
    <col min="1" max="1" width="39.44140625" style="4" bestFit="1" customWidth="1"/>
    <col min="2" max="2" width="8.21875" style="2" bestFit="1" customWidth="1"/>
    <col min="3" max="3" width="4.44140625" style="2" bestFit="1" customWidth="1"/>
    <col min="4" max="4" width="8.21875" style="2" bestFit="1" customWidth="1"/>
    <col min="5" max="5" width="4.44140625" style="2" bestFit="1" customWidth="1"/>
    <col min="6" max="6" width="7.88671875" style="2" bestFit="1" customWidth="1"/>
    <col min="7" max="7" width="4.44140625" style="2" bestFit="1" customWidth="1"/>
    <col min="8" max="8" width="7.88671875" style="2" bestFit="1" customWidth="1"/>
    <col min="9" max="9" width="4.44140625" style="2" bestFit="1" customWidth="1"/>
    <col min="10" max="10" width="7.88671875" style="2" bestFit="1" customWidth="1"/>
    <col min="11" max="11" width="4.44140625" style="2" bestFit="1" customWidth="1"/>
    <col min="12" max="12" width="7.88671875" style="2" bestFit="1" customWidth="1"/>
    <col min="13" max="13" width="4.44140625" style="2" bestFit="1" customWidth="1"/>
    <col min="14" max="14" width="8.109375" style="2" bestFit="1" customWidth="1"/>
    <col min="15" max="15" width="4.44140625" style="2" bestFit="1" customWidth="1"/>
    <col min="16" max="16" width="8.109375" style="2" bestFit="1" customWidth="1"/>
    <col min="17" max="17" width="4.44140625" style="2" bestFit="1" customWidth="1"/>
    <col min="18" max="18" width="8.109375" style="2" bestFit="1" customWidth="1"/>
    <col min="19" max="19" width="4.44140625" style="2" bestFit="1" customWidth="1"/>
    <col min="20" max="20" width="8.109375" style="2" bestFit="1" customWidth="1"/>
    <col min="21" max="21" width="4.44140625" style="2" bestFit="1" customWidth="1"/>
    <col min="22" max="22" width="7.77734375" style="2" bestFit="1" customWidth="1"/>
    <col min="23" max="23" width="4.44140625" style="2" bestFit="1" customWidth="1"/>
    <col min="24" max="24" width="8.88671875" style="2"/>
    <col min="25" max="25" width="5.44140625" style="2" bestFit="1" customWidth="1"/>
    <col min="26" max="26" width="8.88671875" style="2"/>
    <col min="27" max="27" width="5.44140625" style="2" bestFit="1" customWidth="1"/>
    <col min="28" max="28" width="7.77734375" style="2" bestFit="1" customWidth="1"/>
    <col min="29" max="29" width="5.44140625" style="2" bestFit="1" customWidth="1"/>
    <col min="30" max="30" width="7.77734375" style="2" bestFit="1" customWidth="1"/>
    <col min="31" max="31" width="4.44140625" style="2" bestFit="1" customWidth="1"/>
    <col min="32" max="32" width="6.77734375" style="2" bestFit="1" customWidth="1"/>
    <col min="33" max="33" width="4.44140625" style="2" bestFit="1" customWidth="1"/>
    <col min="34" max="16384" width="8.88671875" style="2"/>
  </cols>
  <sheetData>
    <row r="1" spans="1:33" s="1" customFormat="1" ht="45.6" x14ac:dyDescent="0.3">
      <c r="B1" s="1" t="s">
        <v>27</v>
      </c>
      <c r="C1" s="1" t="s">
        <v>0</v>
      </c>
      <c r="D1" s="1" t="s">
        <v>28</v>
      </c>
      <c r="E1" s="1" t="s">
        <v>0</v>
      </c>
      <c r="F1" s="1" t="s">
        <v>29</v>
      </c>
      <c r="G1" s="1" t="s">
        <v>0</v>
      </c>
      <c r="H1" s="1" t="s">
        <v>30</v>
      </c>
      <c r="I1" s="1" t="s">
        <v>0</v>
      </c>
      <c r="J1" s="1" t="s">
        <v>31</v>
      </c>
      <c r="K1" s="1" t="s">
        <v>0</v>
      </c>
      <c r="L1" s="1" t="s">
        <v>32</v>
      </c>
      <c r="M1" s="1" t="s">
        <v>0</v>
      </c>
      <c r="N1" s="1" t="s">
        <v>33</v>
      </c>
      <c r="O1" s="1" t="s">
        <v>0</v>
      </c>
      <c r="P1" s="1" t="s">
        <v>34</v>
      </c>
      <c r="Q1" s="1" t="s">
        <v>0</v>
      </c>
      <c r="R1" s="1" t="s">
        <v>35</v>
      </c>
      <c r="S1" s="1" t="s">
        <v>0</v>
      </c>
      <c r="T1" s="1" t="s">
        <v>36</v>
      </c>
      <c r="U1" s="1" t="s">
        <v>0</v>
      </c>
      <c r="V1" s="1" t="s">
        <v>37</v>
      </c>
      <c r="W1" s="1" t="s">
        <v>0</v>
      </c>
      <c r="X1" s="1" t="s">
        <v>38</v>
      </c>
      <c r="Y1" s="1" t="s">
        <v>0</v>
      </c>
      <c r="Z1" s="1" t="s">
        <v>39</v>
      </c>
      <c r="AA1" s="1" t="s">
        <v>0</v>
      </c>
      <c r="AB1" s="1" t="s">
        <v>40</v>
      </c>
      <c r="AC1" s="1" t="s">
        <v>0</v>
      </c>
      <c r="AD1" s="1" t="s">
        <v>41</v>
      </c>
      <c r="AE1" s="1" t="s">
        <v>0</v>
      </c>
      <c r="AF1" s="1" t="s">
        <v>42</v>
      </c>
      <c r="AG1" s="1" t="s">
        <v>0</v>
      </c>
    </row>
    <row r="2" spans="1:33" s="1" customFormat="1" x14ac:dyDescent="0.3">
      <c r="A2" s="4" t="s">
        <v>51</v>
      </c>
      <c r="B2" s="2" t="s">
        <v>8</v>
      </c>
      <c r="C2" s="3">
        <f>572/575*100</f>
        <v>99.478260869565219</v>
      </c>
      <c r="D2" s="3"/>
      <c r="E2" s="3"/>
    </row>
    <row r="3" spans="1:33" x14ac:dyDescent="0.3">
      <c r="A3" s="4" t="s">
        <v>43</v>
      </c>
      <c r="B3" s="2" t="s">
        <v>1</v>
      </c>
      <c r="C3" s="3">
        <f>553/578*100</f>
        <v>95.674740484429066</v>
      </c>
      <c r="D3" s="5" t="s">
        <v>21</v>
      </c>
      <c r="E3" s="3">
        <f>531/577*100</f>
        <v>92.027729636048534</v>
      </c>
    </row>
    <row r="4" spans="1:33" x14ac:dyDescent="0.3">
      <c r="A4" s="4" t="s">
        <v>44</v>
      </c>
      <c r="B4" s="2" t="s">
        <v>12</v>
      </c>
      <c r="C4" s="3">
        <f>533/578*100</f>
        <v>92.214532871972324</v>
      </c>
      <c r="D4" s="5" t="s">
        <v>21</v>
      </c>
      <c r="E4" s="3">
        <f>531/577*100</f>
        <v>92.027729636048534</v>
      </c>
      <c r="F4" s="5" t="s">
        <v>25</v>
      </c>
      <c r="G4" s="3">
        <f>574/576*100</f>
        <v>99.652777777777786</v>
      </c>
    </row>
    <row r="5" spans="1:33" x14ac:dyDescent="0.3">
      <c r="A5" s="4" t="s">
        <v>45</v>
      </c>
      <c r="B5" s="2" t="s">
        <v>12</v>
      </c>
      <c r="C5" s="3">
        <f>533/578*100</f>
        <v>92.214532871972324</v>
      </c>
      <c r="D5" s="5" t="s">
        <v>21</v>
      </c>
      <c r="E5" s="3">
        <f>531/577*100</f>
        <v>92.027729636048534</v>
      </c>
      <c r="F5" s="5" t="s">
        <v>25</v>
      </c>
      <c r="G5" s="3">
        <f>574/576*100</f>
        <v>99.652777777777786</v>
      </c>
      <c r="H5" s="5" t="s">
        <v>25</v>
      </c>
      <c r="I5" s="3">
        <f>574/576*100</f>
        <v>99.652777777777786</v>
      </c>
      <c r="J5" s="3"/>
      <c r="K5" s="3"/>
    </row>
    <row r="6" spans="1:33" x14ac:dyDescent="0.3">
      <c r="A6" s="4" t="s">
        <v>46</v>
      </c>
      <c r="B6" s="2" t="s">
        <v>13</v>
      </c>
      <c r="C6" s="3">
        <f>529/575*100</f>
        <v>92</v>
      </c>
      <c r="D6" s="5" t="s">
        <v>52</v>
      </c>
      <c r="E6" s="3">
        <f>527/574*100</f>
        <v>91.811846689895475</v>
      </c>
      <c r="F6" s="5" t="s">
        <v>16</v>
      </c>
      <c r="G6" s="3">
        <f>532/577*100</f>
        <v>92.201039861351816</v>
      </c>
      <c r="H6" s="5" t="s">
        <v>25</v>
      </c>
      <c r="I6" s="3">
        <f>574/576*100</f>
        <v>99.652777777777786</v>
      </c>
      <c r="J6" s="5" t="s">
        <v>62</v>
      </c>
      <c r="K6" s="3">
        <f>568/576*100</f>
        <v>98.611111111111114</v>
      </c>
    </row>
    <row r="7" spans="1:33" x14ac:dyDescent="0.3">
      <c r="A7" s="4" t="s">
        <v>47</v>
      </c>
      <c r="B7" s="2" t="s">
        <v>2</v>
      </c>
      <c r="C7" s="3">
        <f>549/576*100</f>
        <v>95.3125</v>
      </c>
      <c r="D7" s="5" t="s">
        <v>53</v>
      </c>
      <c r="E7" s="3">
        <f>540/568*100</f>
        <v>95.070422535211264</v>
      </c>
      <c r="F7" s="2" t="s">
        <v>15</v>
      </c>
      <c r="G7" s="3">
        <f>535/570*100</f>
        <v>93.859649122807014</v>
      </c>
      <c r="H7" s="5" t="s">
        <v>62</v>
      </c>
      <c r="I7" s="3">
        <f>568/576*100</f>
        <v>98.611111111111114</v>
      </c>
      <c r="J7" s="5" t="s">
        <v>15</v>
      </c>
      <c r="K7" s="3">
        <f>535/570*100</f>
        <v>93.859649122807014</v>
      </c>
      <c r="L7" s="5" t="s">
        <v>63</v>
      </c>
      <c r="M7" s="3">
        <f>529/569*100</f>
        <v>92.970123022847091</v>
      </c>
    </row>
    <row r="8" spans="1:33" x14ac:dyDescent="0.3">
      <c r="A8" s="4" t="s">
        <v>48</v>
      </c>
      <c r="B8" s="2" t="s">
        <v>11</v>
      </c>
      <c r="C8" s="3">
        <f>533/577*100</f>
        <v>92.374350086655113</v>
      </c>
      <c r="D8" s="5" t="s">
        <v>54</v>
      </c>
      <c r="E8" s="3">
        <f>546/575*100</f>
        <v>94.956521739130437</v>
      </c>
      <c r="F8" s="5" t="s">
        <v>24</v>
      </c>
      <c r="G8" s="3">
        <f>541/577*100</f>
        <v>93.760831889081459</v>
      </c>
      <c r="H8" s="5" t="s">
        <v>15</v>
      </c>
      <c r="I8" s="3">
        <f>535/570*100</f>
        <v>93.859649122807014</v>
      </c>
      <c r="J8" s="5" t="s">
        <v>24</v>
      </c>
      <c r="K8" s="3">
        <f>541/577*100</f>
        <v>93.760831889081459</v>
      </c>
      <c r="L8" s="5" t="s">
        <v>65</v>
      </c>
      <c r="M8" s="3">
        <f>535/576*100</f>
        <v>92.881944444444443</v>
      </c>
      <c r="N8" s="5" t="s">
        <v>72</v>
      </c>
      <c r="O8" s="3">
        <f>566/567*100</f>
        <v>99.82363315696648</v>
      </c>
    </row>
    <row r="9" spans="1:33" x14ac:dyDescent="0.3">
      <c r="A9" s="4" t="s">
        <v>49</v>
      </c>
      <c r="B9" s="2" t="s">
        <v>9</v>
      </c>
      <c r="C9" s="3">
        <f>548/576*100</f>
        <v>95.138888888888886</v>
      </c>
      <c r="D9" s="5" t="s">
        <v>54</v>
      </c>
      <c r="E9" s="3">
        <f>546/575*100</f>
        <v>94.956521739130437</v>
      </c>
      <c r="F9" s="5" t="s">
        <v>22</v>
      </c>
      <c r="G9" s="3">
        <f>539/577*100</f>
        <v>93.414211438474865</v>
      </c>
      <c r="H9" s="5" t="s">
        <v>22</v>
      </c>
      <c r="I9" s="3">
        <f>539/577*100</f>
        <v>93.414211438474865</v>
      </c>
      <c r="J9" s="5" t="s">
        <v>22</v>
      </c>
      <c r="K9" s="3">
        <f>539/577*100</f>
        <v>93.414211438474865</v>
      </c>
      <c r="L9" s="5" t="s">
        <v>64</v>
      </c>
      <c r="M9" s="3">
        <f>533/576*100</f>
        <v>92.534722222222214</v>
      </c>
      <c r="N9" s="5" t="s">
        <v>73</v>
      </c>
      <c r="O9" s="3">
        <f>564/567*100</f>
        <v>99.470899470899468</v>
      </c>
      <c r="P9" s="5" t="s">
        <v>81</v>
      </c>
      <c r="Q9" s="3">
        <f>570/574*100</f>
        <v>99.303135888501743</v>
      </c>
    </row>
    <row r="10" spans="1:33" x14ac:dyDescent="0.3">
      <c r="A10" s="4" t="s">
        <v>50</v>
      </c>
      <c r="B10" s="2" t="s">
        <v>10</v>
      </c>
      <c r="C10" s="3">
        <f>520/548*100</f>
        <v>94.890510948905103</v>
      </c>
      <c r="D10" s="5" t="s">
        <v>55</v>
      </c>
      <c r="E10" s="3">
        <f>518/547*100</f>
        <v>94.698354661791598</v>
      </c>
      <c r="F10" s="5" t="s">
        <v>23</v>
      </c>
      <c r="G10" s="3">
        <f>513/549*100</f>
        <v>93.442622950819683</v>
      </c>
      <c r="H10" s="5" t="s">
        <v>23</v>
      </c>
      <c r="I10" s="3">
        <f>513/549*100</f>
        <v>93.442622950819683</v>
      </c>
      <c r="J10" s="5" t="s">
        <v>23</v>
      </c>
      <c r="K10" s="3">
        <f>513/549*100</f>
        <v>93.442622950819683</v>
      </c>
      <c r="L10" s="5" t="s">
        <v>66</v>
      </c>
      <c r="M10" s="3">
        <f>507/548*100</f>
        <v>92.518248175182478</v>
      </c>
      <c r="N10" s="5" t="s">
        <v>74</v>
      </c>
      <c r="O10" s="3">
        <f>545/546*100</f>
        <v>99.81684981684981</v>
      </c>
      <c r="P10" s="5" t="s">
        <v>82</v>
      </c>
      <c r="Q10" s="3">
        <f>544/546*100</f>
        <v>99.633699633699635</v>
      </c>
      <c r="R10" s="5" t="s">
        <v>87</v>
      </c>
      <c r="S10" s="3">
        <f>542/546*100</f>
        <v>99.26739926739927</v>
      </c>
    </row>
    <row r="11" spans="1:33" x14ac:dyDescent="0.3">
      <c r="A11" s="4" t="s">
        <v>37</v>
      </c>
      <c r="B11" s="2" t="s">
        <v>3</v>
      </c>
      <c r="C11" s="3">
        <f>526/573*100</f>
        <v>91.797556719022694</v>
      </c>
      <c r="D11" s="5" t="s">
        <v>56</v>
      </c>
      <c r="E11" s="3">
        <f>524/572*100</f>
        <v>91.608391608391599</v>
      </c>
      <c r="F11" s="2" t="s">
        <v>16</v>
      </c>
      <c r="G11" s="3">
        <f>532/577*100</f>
        <v>92.201039861351816</v>
      </c>
      <c r="H11" s="5" t="s">
        <v>13</v>
      </c>
      <c r="I11" s="3">
        <f>529/575*100</f>
        <v>92</v>
      </c>
      <c r="J11" s="5" t="s">
        <v>13</v>
      </c>
      <c r="K11" s="3">
        <f>529/575*100</f>
        <v>92</v>
      </c>
      <c r="L11" s="5" t="s">
        <v>67</v>
      </c>
      <c r="M11" s="3">
        <f>523/574*100</f>
        <v>91.114982578397203</v>
      </c>
      <c r="N11" s="5" t="s">
        <v>75</v>
      </c>
      <c r="O11" s="3">
        <f>518/567*100</f>
        <v>91.358024691358025</v>
      </c>
      <c r="P11" s="5" t="s">
        <v>56</v>
      </c>
      <c r="Q11" s="3">
        <f>524/572*100</f>
        <v>91.608391608391599</v>
      </c>
      <c r="R11" s="5" t="s">
        <v>88</v>
      </c>
      <c r="S11" s="3">
        <f>520/572*100</f>
        <v>90.909090909090907</v>
      </c>
      <c r="T11" s="5" t="s">
        <v>92</v>
      </c>
      <c r="U11" s="3">
        <f>497/545*100</f>
        <v>91.192660550458712</v>
      </c>
    </row>
    <row r="12" spans="1:33" x14ac:dyDescent="0.3">
      <c r="A12" s="4" t="s">
        <v>38</v>
      </c>
      <c r="B12" s="2" t="s">
        <v>4</v>
      </c>
      <c r="C12" s="3">
        <f>569/575*100</f>
        <v>98.956521739130437</v>
      </c>
      <c r="D12" s="5" t="s">
        <v>57</v>
      </c>
      <c r="E12" s="3">
        <f>567/574*100</f>
        <v>98.780487804878049</v>
      </c>
      <c r="F12" s="2" t="s">
        <v>17</v>
      </c>
      <c r="G12" s="3">
        <f>537/577*100</f>
        <v>93.067590987868286</v>
      </c>
      <c r="H12" s="5" t="s">
        <v>17</v>
      </c>
      <c r="I12" s="3">
        <f>537/577*100</f>
        <v>93.067590987868286</v>
      </c>
      <c r="J12" s="5" t="s">
        <v>17</v>
      </c>
      <c r="K12" s="3">
        <f>537/577*100</f>
        <v>93.067590987868286</v>
      </c>
      <c r="L12" s="5" t="s">
        <v>68</v>
      </c>
      <c r="M12" s="3">
        <f>531/576*100</f>
        <v>92.1875</v>
      </c>
      <c r="N12" s="5" t="s">
        <v>76</v>
      </c>
      <c r="O12" s="3">
        <f>547/568*100</f>
        <v>96.302816901408448</v>
      </c>
      <c r="P12" s="5" t="s">
        <v>83</v>
      </c>
      <c r="Q12" s="3">
        <f>553/575*100</f>
        <v>96.173913043478265</v>
      </c>
      <c r="R12" s="5" t="s">
        <v>83</v>
      </c>
      <c r="S12" s="3">
        <f>553/575*100</f>
        <v>96.173913043478265</v>
      </c>
      <c r="T12" s="5" t="s">
        <v>93</v>
      </c>
      <c r="U12" s="3">
        <f>525/547*100</f>
        <v>95.978062157221217</v>
      </c>
      <c r="V12" s="5" t="s">
        <v>98</v>
      </c>
      <c r="W12" s="3">
        <f>527/572*100</f>
        <v>92.132867132867133</v>
      </c>
    </row>
    <row r="13" spans="1:33" x14ac:dyDescent="0.3">
      <c r="A13" s="4" t="s">
        <v>39</v>
      </c>
      <c r="B13" s="2" t="s">
        <v>5</v>
      </c>
      <c r="C13" s="3">
        <f>570/575*100</f>
        <v>99.130434782608702</v>
      </c>
      <c r="D13" s="5" t="s">
        <v>58</v>
      </c>
      <c r="E13" s="3">
        <f>568/574*100</f>
        <v>98.954703832752614</v>
      </c>
      <c r="F13" s="5" t="s">
        <v>18</v>
      </c>
      <c r="G13" s="3">
        <f>536/577*100</f>
        <v>92.894280762564989</v>
      </c>
      <c r="H13" s="5" t="s">
        <v>18</v>
      </c>
      <c r="I13" s="3">
        <f>536/577*100</f>
        <v>92.894280762564989</v>
      </c>
      <c r="J13" s="5" t="s">
        <v>18</v>
      </c>
      <c r="K13" s="3">
        <f>536/577*100</f>
        <v>92.894280762564989</v>
      </c>
      <c r="L13" s="5" t="s">
        <v>69</v>
      </c>
      <c r="M13" s="3">
        <f>530/576*100</f>
        <v>92.013888888888886</v>
      </c>
      <c r="N13" s="5" t="s">
        <v>77</v>
      </c>
      <c r="O13" s="3">
        <f>546/568*100</f>
        <v>96.126760563380287</v>
      </c>
      <c r="P13" s="5" t="s">
        <v>84</v>
      </c>
      <c r="Q13" s="3">
        <f>552/575*100</f>
        <v>96</v>
      </c>
      <c r="R13" s="5" t="s">
        <v>84</v>
      </c>
      <c r="S13" s="3">
        <f>552/575*100</f>
        <v>96</v>
      </c>
      <c r="T13" s="5" t="s">
        <v>94</v>
      </c>
      <c r="U13" s="3">
        <f>524/547*100</f>
        <v>95.795246800731263</v>
      </c>
      <c r="V13" s="5" t="s">
        <v>99</v>
      </c>
      <c r="W13" s="3">
        <f>526/572*100</f>
        <v>91.95804195804196</v>
      </c>
      <c r="X13" s="5" t="s">
        <v>103</v>
      </c>
      <c r="Y13" s="3">
        <f>573/574*100</f>
        <v>99.825783972125436</v>
      </c>
    </row>
    <row r="14" spans="1:33" x14ac:dyDescent="0.3">
      <c r="A14" s="4" t="s">
        <v>40</v>
      </c>
      <c r="B14" s="2" t="s">
        <v>6</v>
      </c>
      <c r="C14" s="3">
        <f>534/577*100</f>
        <v>92.547660311958396</v>
      </c>
      <c r="D14" s="5" t="s">
        <v>59</v>
      </c>
      <c r="E14" s="3">
        <f>532/576*100</f>
        <v>92.361111111111114</v>
      </c>
      <c r="F14" s="5" t="s">
        <v>19</v>
      </c>
      <c r="G14" s="3">
        <f>555/576*100</f>
        <v>96.354166666666657</v>
      </c>
      <c r="H14" s="5" t="s">
        <v>19</v>
      </c>
      <c r="I14" s="3">
        <f>555/576*100</f>
        <v>96.354166666666657</v>
      </c>
      <c r="J14" s="5" t="s">
        <v>19</v>
      </c>
      <c r="K14" s="3">
        <f>555/576*100</f>
        <v>96.354166666666657</v>
      </c>
      <c r="L14" s="5" t="s">
        <v>2</v>
      </c>
      <c r="M14" s="3">
        <f>549/576*100</f>
        <v>95.3125</v>
      </c>
      <c r="N14" s="5" t="s">
        <v>79</v>
      </c>
      <c r="O14" s="3">
        <f>529/568*100</f>
        <v>93.133802816901408</v>
      </c>
      <c r="P14" s="5" t="s">
        <v>85</v>
      </c>
      <c r="Q14" s="3">
        <f>537/575*100</f>
        <v>93.391304347826093</v>
      </c>
      <c r="R14" s="5" t="s">
        <v>89</v>
      </c>
      <c r="S14" s="3">
        <f>535/575*100</f>
        <v>93.043478260869563</v>
      </c>
      <c r="T14" s="5" t="s">
        <v>95</v>
      </c>
      <c r="U14" s="3">
        <f>507/547*100</f>
        <v>92.687385740402192</v>
      </c>
      <c r="V14" s="5" t="s">
        <v>100</v>
      </c>
      <c r="W14" s="3">
        <f>527/573*100</f>
        <v>91.972076788830719</v>
      </c>
      <c r="X14" s="5" t="s">
        <v>104</v>
      </c>
      <c r="Y14" s="3">
        <f>538/575*100</f>
        <v>93.565217391304344</v>
      </c>
      <c r="Z14" s="5" t="s">
        <v>85</v>
      </c>
      <c r="AA14" s="3">
        <f>537/575*100</f>
        <v>93.391304347826093</v>
      </c>
    </row>
    <row r="15" spans="1:33" x14ac:dyDescent="0.3">
      <c r="A15" s="4" t="s">
        <v>41</v>
      </c>
      <c r="B15" s="2" t="s">
        <v>7</v>
      </c>
      <c r="C15" s="3">
        <f>531/579*100</f>
        <v>91.709844559585491</v>
      </c>
      <c r="D15" s="5" t="s">
        <v>60</v>
      </c>
      <c r="E15" s="3">
        <f>529/578*100</f>
        <v>91.522491349480973</v>
      </c>
      <c r="F15" s="5" t="s">
        <v>20</v>
      </c>
      <c r="G15" s="3">
        <f>564/580*100</f>
        <v>97.241379310344826</v>
      </c>
      <c r="H15" s="5" t="s">
        <v>20</v>
      </c>
      <c r="I15" s="3">
        <f>564/580*100</f>
        <v>97.241379310344826</v>
      </c>
      <c r="J15" s="5" t="s">
        <v>20</v>
      </c>
      <c r="K15" s="3">
        <f>564/580*100</f>
        <v>97.241379310344826</v>
      </c>
      <c r="L15" s="5" t="s">
        <v>70</v>
      </c>
      <c r="M15" s="3">
        <f>557/578*100</f>
        <v>96.366782006920417</v>
      </c>
      <c r="N15" s="5" t="s">
        <v>78</v>
      </c>
      <c r="O15" s="3">
        <f>534/571*100</f>
        <v>93.520140105078809</v>
      </c>
      <c r="P15" s="5" t="s">
        <v>86</v>
      </c>
      <c r="Q15" s="3">
        <f>540/578*100</f>
        <v>93.425605536332185</v>
      </c>
      <c r="R15" s="5" t="s">
        <v>90</v>
      </c>
      <c r="S15" s="3">
        <f>538/578*100</f>
        <v>93.079584775086516</v>
      </c>
      <c r="T15" s="5" t="s">
        <v>96</v>
      </c>
      <c r="U15" s="3">
        <f>512/550*100</f>
        <v>93.090909090909093</v>
      </c>
      <c r="V15" s="5" t="s">
        <v>101</v>
      </c>
      <c r="W15" s="3">
        <f>524/576*100</f>
        <v>90.972222222222214</v>
      </c>
      <c r="X15" s="5" t="s">
        <v>105</v>
      </c>
      <c r="Y15" s="3">
        <f>536/578*100</f>
        <v>92.733564013840834</v>
      </c>
      <c r="Z15" s="5" t="s">
        <v>107</v>
      </c>
      <c r="AA15" s="3">
        <f>535/578*100</f>
        <v>92.560553633217992</v>
      </c>
      <c r="AB15" s="5" t="s">
        <v>109</v>
      </c>
      <c r="AC15" s="3">
        <f>551/578*100</f>
        <v>95.328719723183383</v>
      </c>
    </row>
    <row r="16" spans="1:33" x14ac:dyDescent="0.3">
      <c r="A16" s="4" t="s">
        <v>42</v>
      </c>
      <c r="B16" s="2" t="s">
        <v>14</v>
      </c>
      <c r="C16" s="3">
        <f>530/575*100</f>
        <v>92.173913043478265</v>
      </c>
      <c r="D16" s="5" t="s">
        <v>61</v>
      </c>
      <c r="E16" s="3">
        <f>528/574*100</f>
        <v>91.986062717770039</v>
      </c>
      <c r="F16" s="5" t="s">
        <v>26</v>
      </c>
      <c r="G16" s="3">
        <f>525/577*100</f>
        <v>90.987868284228767</v>
      </c>
      <c r="H16" s="5" t="s">
        <v>26</v>
      </c>
      <c r="I16" s="3">
        <f>525/577*100</f>
        <v>90.987868284228767</v>
      </c>
      <c r="J16" s="5" t="s">
        <v>26</v>
      </c>
      <c r="K16" s="3">
        <f>525/577*100</f>
        <v>90.987868284228767</v>
      </c>
      <c r="L16" s="5" t="s">
        <v>71</v>
      </c>
      <c r="M16" s="3">
        <f>519/576*100</f>
        <v>90.104166666666657</v>
      </c>
      <c r="N16" s="5" t="s">
        <v>80</v>
      </c>
      <c r="O16" s="3">
        <f>520/567*100</f>
        <v>91.710758377425037</v>
      </c>
      <c r="P16" s="5" t="s">
        <v>52</v>
      </c>
      <c r="Q16" s="3">
        <f>527/574*100</f>
        <v>91.811846689895475</v>
      </c>
      <c r="R16" s="5" t="s">
        <v>91</v>
      </c>
      <c r="S16" s="3">
        <f>526/576*100</f>
        <v>91.319444444444443</v>
      </c>
      <c r="T16" s="5" t="s">
        <v>97</v>
      </c>
      <c r="U16" s="3">
        <f>498/546*100</f>
        <v>91.208791208791212</v>
      </c>
      <c r="V16" s="5" t="s">
        <v>102</v>
      </c>
      <c r="W16" s="3">
        <f>544/572*100</f>
        <v>95.104895104895107</v>
      </c>
      <c r="X16" s="5" t="s">
        <v>106</v>
      </c>
      <c r="Y16" s="3">
        <f>529/574*100</f>
        <v>92.160278745644604</v>
      </c>
      <c r="Z16" s="5" t="s">
        <v>108</v>
      </c>
      <c r="AA16" s="3">
        <f>530/574*100</f>
        <v>92.334494773519154</v>
      </c>
      <c r="AB16" s="5" t="s">
        <v>110</v>
      </c>
      <c r="AC16" s="3">
        <f>527/577*100</f>
        <v>91.334488734835347</v>
      </c>
      <c r="AD16" s="5" t="s">
        <v>111</v>
      </c>
      <c r="AE16" s="3">
        <f>523/578*100</f>
        <v>90.484429065743939</v>
      </c>
    </row>
    <row r="17" spans="1:33" ht="14.4" thickBot="1" x14ac:dyDescent="0.35">
      <c r="A17" s="4" t="s">
        <v>112</v>
      </c>
      <c r="B17" s="6" t="s">
        <v>117</v>
      </c>
      <c r="C17" s="3">
        <f>560/563*100</f>
        <v>99.46714031971581</v>
      </c>
      <c r="D17" s="6" t="s">
        <v>121</v>
      </c>
      <c r="E17" s="3">
        <f>558/562*100</f>
        <v>99.288256227758012</v>
      </c>
      <c r="F17" s="2" t="s">
        <v>124</v>
      </c>
      <c r="G17" s="3">
        <f>523/565*100</f>
        <v>92.56637168141593</v>
      </c>
      <c r="H17" s="6" t="s">
        <v>124</v>
      </c>
      <c r="I17" s="3">
        <f>523/565*100</f>
        <v>92.56637168141593</v>
      </c>
      <c r="J17" s="6" t="s">
        <v>124</v>
      </c>
      <c r="K17" s="3">
        <f>523/565*100</f>
        <v>92.56637168141593</v>
      </c>
      <c r="L17" s="6" t="s">
        <v>127</v>
      </c>
      <c r="M17" s="3">
        <f>518/565*100</f>
        <v>91.681415929203538</v>
      </c>
      <c r="N17" s="6" t="s">
        <v>130</v>
      </c>
      <c r="O17" s="3">
        <f>539/563*100</f>
        <v>95.737122557726465</v>
      </c>
      <c r="P17" s="6" t="s">
        <v>133</v>
      </c>
      <c r="Q17" s="3">
        <f>538/563*100</f>
        <v>95.559502664298407</v>
      </c>
      <c r="R17" s="6" t="s">
        <v>133</v>
      </c>
      <c r="S17" s="3">
        <f>538/563*100</f>
        <v>95.559502664298407</v>
      </c>
      <c r="T17" s="6" t="s">
        <v>137</v>
      </c>
      <c r="U17" s="3">
        <f>522/547*100</f>
        <v>95.42961608775137</v>
      </c>
      <c r="V17" s="6" t="s">
        <v>141</v>
      </c>
      <c r="W17" s="3">
        <f>518/562*100</f>
        <v>92.170818505338076</v>
      </c>
      <c r="X17" s="6" t="s">
        <v>145</v>
      </c>
      <c r="Y17" s="3">
        <f>557/562*100</f>
        <v>99.110320284697508</v>
      </c>
      <c r="Z17" s="6" t="s">
        <v>121</v>
      </c>
      <c r="AA17" s="3">
        <f>558/562*100</f>
        <v>99.288256227758012</v>
      </c>
      <c r="AB17" s="6" t="s">
        <v>153</v>
      </c>
      <c r="AC17" s="3">
        <f>535/578*100</f>
        <v>92.560553633217992</v>
      </c>
      <c r="AD17" s="6" t="s">
        <v>158</v>
      </c>
      <c r="AE17" s="3">
        <f>521/566*100</f>
        <v>92.049469964664311</v>
      </c>
      <c r="AF17" s="6" t="s">
        <v>161</v>
      </c>
      <c r="AG17" s="3">
        <f>520/562*100</f>
        <v>92.52669039145907</v>
      </c>
    </row>
    <row r="18" spans="1:33" ht="14.4" thickBot="1" x14ac:dyDescent="0.35">
      <c r="A18" s="4" t="s">
        <v>113</v>
      </c>
      <c r="B18" s="6" t="s">
        <v>5</v>
      </c>
      <c r="C18" s="3">
        <f>570/575*100</f>
        <v>99.130434782608702</v>
      </c>
      <c r="D18" s="6" t="s">
        <v>58</v>
      </c>
      <c r="E18" s="3">
        <f>568/574*100</f>
        <v>98.954703832752614</v>
      </c>
      <c r="F18" s="7" t="s">
        <v>18</v>
      </c>
      <c r="G18" s="3">
        <f>536/577*100</f>
        <v>92.894280762564989</v>
      </c>
      <c r="H18" s="6" t="s">
        <v>18</v>
      </c>
      <c r="I18" s="3">
        <f>536/577*100</f>
        <v>92.894280762564989</v>
      </c>
      <c r="J18" s="6" t="s">
        <v>18</v>
      </c>
      <c r="K18" s="3">
        <f>536/577*100</f>
        <v>92.894280762564989</v>
      </c>
      <c r="L18" s="6" t="s">
        <v>69</v>
      </c>
      <c r="M18" s="3">
        <f>530/576*100</f>
        <v>92.013888888888886</v>
      </c>
      <c r="N18" s="6" t="s">
        <v>77</v>
      </c>
      <c r="O18" s="3">
        <f>546/568*100</f>
        <v>96.126760563380287</v>
      </c>
      <c r="P18" s="6" t="s">
        <v>84</v>
      </c>
      <c r="Q18" s="3">
        <f>552/575*100</f>
        <v>96</v>
      </c>
      <c r="R18" s="6" t="s">
        <v>84</v>
      </c>
      <c r="S18" s="3">
        <f>552/575*100</f>
        <v>96</v>
      </c>
      <c r="T18" s="6" t="s">
        <v>94</v>
      </c>
      <c r="U18" s="3">
        <f>524/547*100</f>
        <v>95.795246800731263</v>
      </c>
      <c r="V18" s="6" t="s">
        <v>142</v>
      </c>
      <c r="W18" s="3">
        <f>528/572*100</f>
        <v>92.307692307692307</v>
      </c>
      <c r="X18" s="6" t="s">
        <v>146</v>
      </c>
      <c r="Y18" s="3">
        <f>571/574*100</f>
        <v>99.477351916376307</v>
      </c>
      <c r="Z18" s="6" t="s">
        <v>149</v>
      </c>
      <c r="AA18" s="3">
        <f>572/574*100</f>
        <v>99.651567944250871</v>
      </c>
      <c r="AB18" s="6" t="s">
        <v>154</v>
      </c>
      <c r="AC18" s="3">
        <f>536/576*100</f>
        <v>93.055555555555557</v>
      </c>
      <c r="AD18" s="6" t="s">
        <v>107</v>
      </c>
      <c r="AE18" s="3">
        <f>535/578*100</f>
        <v>92.560553633217992</v>
      </c>
      <c r="AF18" s="6" t="s">
        <v>108</v>
      </c>
      <c r="AG18" s="3">
        <f>530/574*100</f>
        <v>92.334494773519154</v>
      </c>
    </row>
    <row r="19" spans="1:33" x14ac:dyDescent="0.3">
      <c r="A19" s="4" t="s">
        <v>114</v>
      </c>
      <c r="B19" s="6" t="s">
        <v>118</v>
      </c>
      <c r="C19" s="3">
        <f>548/575*100</f>
        <v>95.304347826086953</v>
      </c>
      <c r="D19" s="6" t="s">
        <v>122</v>
      </c>
      <c r="E19" s="3">
        <f>546/574*100</f>
        <v>95.121951219512198</v>
      </c>
      <c r="F19" s="6" t="s">
        <v>22</v>
      </c>
      <c r="G19" s="3">
        <f>539/577*100</f>
        <v>93.414211438474865</v>
      </c>
      <c r="H19" s="6" t="s">
        <v>22</v>
      </c>
      <c r="I19" s="3">
        <f>539/577*100</f>
        <v>93.414211438474865</v>
      </c>
      <c r="J19" s="6" t="s">
        <v>22</v>
      </c>
      <c r="K19" s="3">
        <f>539/577*100</f>
        <v>93.414211438474865</v>
      </c>
      <c r="L19" s="6" t="s">
        <v>64</v>
      </c>
      <c r="M19" s="3">
        <f>533/576*100</f>
        <v>92.534722222222214</v>
      </c>
      <c r="N19" s="6" t="s">
        <v>73</v>
      </c>
      <c r="O19" s="3">
        <f>564/567*100</f>
        <v>99.470899470899468</v>
      </c>
      <c r="P19" s="6" t="s">
        <v>81</v>
      </c>
      <c r="Q19" s="3">
        <f>570/574*100</f>
        <v>99.303135888501743</v>
      </c>
      <c r="R19" s="6" t="s">
        <v>58</v>
      </c>
      <c r="S19" s="3">
        <f>568/574*100</f>
        <v>98.954703832752614</v>
      </c>
      <c r="T19" s="6" t="s">
        <v>87</v>
      </c>
      <c r="U19" s="3">
        <f>542/546*100</f>
        <v>99.26739926739927</v>
      </c>
      <c r="V19" s="6" t="s">
        <v>88</v>
      </c>
      <c r="W19" s="3">
        <f>520/572*100</f>
        <v>90.909090909090907</v>
      </c>
      <c r="X19" s="6" t="s">
        <v>147</v>
      </c>
      <c r="Y19" s="3">
        <f>553/574*100</f>
        <v>96.341463414634148</v>
      </c>
      <c r="Z19" s="6" t="s">
        <v>150</v>
      </c>
      <c r="AA19" s="3">
        <f>552/574*100</f>
        <v>96.167247386759584</v>
      </c>
      <c r="AB19" s="6" t="s">
        <v>155</v>
      </c>
      <c r="AC19" s="3">
        <f>534/576*100</f>
        <v>92.708333333333343</v>
      </c>
      <c r="AD19" s="6" t="s">
        <v>90</v>
      </c>
      <c r="AE19" s="3">
        <f>538/578*100</f>
        <v>93.079584775086516</v>
      </c>
      <c r="AF19" s="6" t="s">
        <v>162</v>
      </c>
      <c r="AG19" s="3">
        <f>526/575*100</f>
        <v>91.478260869565219</v>
      </c>
    </row>
    <row r="20" spans="1:33" x14ac:dyDescent="0.3">
      <c r="A20" s="4" t="s">
        <v>115</v>
      </c>
      <c r="B20" s="6" t="s">
        <v>119</v>
      </c>
      <c r="C20" s="3">
        <f>504/529*100</f>
        <v>95.274102079395078</v>
      </c>
      <c r="D20" s="6" t="s">
        <v>120</v>
      </c>
      <c r="E20" s="3">
        <f>502/528*100</f>
        <v>95.075757575757578</v>
      </c>
      <c r="F20" s="6" t="s">
        <v>125</v>
      </c>
      <c r="G20" s="3">
        <f>493/531*100</f>
        <v>92.843691148775903</v>
      </c>
      <c r="H20" s="6" t="s">
        <v>125</v>
      </c>
      <c r="I20" s="3">
        <f>493/531*100</f>
        <v>92.843691148775903</v>
      </c>
      <c r="J20" s="6" t="s">
        <v>125</v>
      </c>
      <c r="K20" s="3">
        <f>493/531*100</f>
        <v>92.843691148775903</v>
      </c>
      <c r="L20" s="6" t="s">
        <v>128</v>
      </c>
      <c r="M20" s="3">
        <f>488/530*100</f>
        <v>92.075471698113205</v>
      </c>
      <c r="N20" s="6" t="s">
        <v>129</v>
      </c>
      <c r="O20" s="3">
        <f>518/521*100</f>
        <v>99.424184261036459</v>
      </c>
      <c r="P20" s="6" t="s">
        <v>134</v>
      </c>
      <c r="Q20" s="3">
        <f>524/528*100</f>
        <v>99.242424242424249</v>
      </c>
      <c r="R20" s="6" t="s">
        <v>135</v>
      </c>
      <c r="S20" s="3">
        <f>522/528*100</f>
        <v>98.86363636363636</v>
      </c>
      <c r="T20" s="6" t="s">
        <v>138</v>
      </c>
      <c r="U20" s="3">
        <f>496/500*100</f>
        <v>99.2</v>
      </c>
      <c r="V20" s="6" t="s">
        <v>143</v>
      </c>
      <c r="W20" s="3">
        <f>476/526*100</f>
        <v>90.49429657794677</v>
      </c>
      <c r="X20" s="6" t="s">
        <v>144</v>
      </c>
      <c r="Y20" s="3">
        <f>507/528*100</f>
        <v>96.022727272727266</v>
      </c>
      <c r="Z20" s="6" t="s">
        <v>151</v>
      </c>
      <c r="AA20" s="3">
        <f>508/528*100</f>
        <v>96.212121212121218</v>
      </c>
      <c r="AB20" s="6" t="s">
        <v>152</v>
      </c>
      <c r="AC20" s="3">
        <f>489/530*100</f>
        <v>92.264150943396231</v>
      </c>
      <c r="AD20" s="6" t="s">
        <v>159</v>
      </c>
      <c r="AE20" s="3">
        <f>494/532*100</f>
        <v>92.857142857142861</v>
      </c>
      <c r="AF20" s="6" t="s">
        <v>160</v>
      </c>
      <c r="AG20" s="3">
        <f>481/529*100</f>
        <v>90.926275992438562</v>
      </c>
    </row>
    <row r="21" spans="1:33" x14ac:dyDescent="0.3">
      <c r="A21" s="4" t="s">
        <v>116</v>
      </c>
      <c r="B21" s="6" t="s">
        <v>6</v>
      </c>
      <c r="C21" s="3">
        <f>534/577*100</f>
        <v>92.547660311958396</v>
      </c>
      <c r="D21" s="6" t="s">
        <v>59</v>
      </c>
      <c r="E21" s="3">
        <f>532/576*100</f>
        <v>92.361111111111114</v>
      </c>
      <c r="F21" s="6" t="s">
        <v>123</v>
      </c>
      <c r="G21" s="3">
        <f>572/576*100</f>
        <v>99.305555555555557</v>
      </c>
      <c r="H21" s="6" t="s">
        <v>123</v>
      </c>
      <c r="I21" s="3">
        <f>572/576*100</f>
        <v>99.305555555555557</v>
      </c>
      <c r="J21" s="6" t="s">
        <v>123</v>
      </c>
      <c r="K21" s="3">
        <f>572/576*100</f>
        <v>99.305555555555557</v>
      </c>
      <c r="L21" s="6" t="s">
        <v>126</v>
      </c>
      <c r="M21" s="3">
        <f>566/576*100</f>
        <v>98.263888888888886</v>
      </c>
      <c r="N21" s="6" t="s">
        <v>131</v>
      </c>
      <c r="O21" s="3">
        <f>536/570*100</f>
        <v>94.035087719298247</v>
      </c>
      <c r="P21" s="6" t="s">
        <v>132</v>
      </c>
      <c r="Q21" s="3">
        <f>542/577*100</f>
        <v>93.934142114384741</v>
      </c>
      <c r="R21" s="6" t="s">
        <v>136</v>
      </c>
      <c r="S21" s="3">
        <f>540/577*100</f>
        <v>93.587521663778162</v>
      </c>
      <c r="T21" s="6" t="s">
        <v>139</v>
      </c>
      <c r="U21" s="3">
        <f>514/549*100</f>
        <v>93.624772313296901</v>
      </c>
      <c r="V21" s="6" t="s">
        <v>140</v>
      </c>
      <c r="W21" s="3">
        <f>527/575*100</f>
        <v>91.652173913043484</v>
      </c>
      <c r="X21" s="6" t="s">
        <v>22</v>
      </c>
      <c r="Y21" s="3">
        <f>539/577*100</f>
        <v>93.414211438474865</v>
      </c>
      <c r="Z21" s="6" t="s">
        <v>148</v>
      </c>
      <c r="AA21" s="3">
        <f>538/577*100</f>
        <v>93.240901213171583</v>
      </c>
      <c r="AB21" s="6" t="s">
        <v>156</v>
      </c>
      <c r="AC21" s="3">
        <f>557/576*100</f>
        <v>96.701388888888886</v>
      </c>
      <c r="AD21" s="6" t="s">
        <v>157</v>
      </c>
      <c r="AE21" s="3">
        <f>562/578*100</f>
        <v>97.231833910034609</v>
      </c>
      <c r="AF21" s="6" t="s">
        <v>110</v>
      </c>
      <c r="AG21" s="3">
        <f>527/577*100</f>
        <v>91.334488734835347</v>
      </c>
    </row>
  </sheetData>
  <phoneticPr fontId="1" type="noConversion"/>
  <conditionalFormatting sqref="A1:XFD16 A22:XFD1048576 A17:A21 C17:C21 E17:G17 E18:E21 G18:G21 K17:K21 M17:M21 I17:I21 O17:O21 Q17:Q21 S17:S21 U17:U21 W17:W21 Y17:Y21 AA17:AA21 AC17:AC21 AE17:AE21 AG17:XFD2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Al-Sarraf</dc:creator>
  <cp:lastModifiedBy>Mohammed Alsarraf</cp:lastModifiedBy>
  <dcterms:created xsi:type="dcterms:W3CDTF">2026-07-27T08:44:55Z</dcterms:created>
  <dcterms:modified xsi:type="dcterms:W3CDTF">2026-08-08T21:28:01Z</dcterms:modified>
</cp:coreProperties>
</file>