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ml.chartshap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80" windowHeight="15990"/>
  </bookViews>
  <sheets>
    <sheet name="Profile rocks" sheetId="1" r:id="rId1"/>
    <sheet name="CIA-Pb isotope correlation" sheetId="2" r:id="rId2"/>
    <sheet name="ARD" sheetId="3" r:id="rId3"/>
  </sheets>
  <definedNames>
    <definedName name="OLE_LINK1" localSheetId="0">'Profile rocks'!#REF!</definedName>
  </definedNames>
  <calcPr calcId="125725"/>
</workbook>
</file>

<file path=xl/calcChain.xml><?xml version="1.0" encoding="utf-8"?>
<calcChain xmlns="http://schemas.openxmlformats.org/spreadsheetml/2006/main">
  <c r="E45" i="1"/>
  <c r="F45"/>
  <c r="F47" s="1"/>
  <c r="G45"/>
  <c r="H45"/>
  <c r="I45"/>
  <c r="J45"/>
  <c r="J47" s="1"/>
  <c r="K45"/>
  <c r="L45"/>
  <c r="M45"/>
  <c r="N45"/>
  <c r="N47" s="1"/>
  <c r="O45"/>
  <c r="Q45"/>
  <c r="D45"/>
  <c r="J30"/>
  <c r="K30"/>
  <c r="L30"/>
  <c r="M30"/>
  <c r="N30"/>
  <c r="G30"/>
  <c r="H30"/>
  <c r="I30"/>
  <c r="E30"/>
  <c r="F30"/>
  <c r="D30"/>
  <c r="E43"/>
  <c r="F43"/>
  <c r="G43"/>
  <c r="H43"/>
  <c r="I43"/>
  <c r="J43"/>
  <c r="K43"/>
  <c r="L43"/>
  <c r="M43"/>
  <c r="N43"/>
  <c r="O43"/>
  <c r="Q43"/>
  <c r="S43"/>
  <c r="T43"/>
  <c r="U43"/>
  <c r="V43"/>
  <c r="W43"/>
  <c r="X43"/>
  <c r="Y43"/>
  <c r="Z43"/>
  <c r="AA43"/>
  <c r="AB43"/>
  <c r="AC43"/>
  <c r="AD43"/>
  <c r="AE43"/>
  <c r="AF43"/>
  <c r="AM43"/>
  <c r="AN43"/>
  <c r="AO43"/>
  <c r="AP43"/>
  <c r="E44"/>
  <c r="F44"/>
  <c r="G44"/>
  <c r="H44"/>
  <c r="I44"/>
  <c r="J44"/>
  <c r="K44"/>
  <c r="L44"/>
  <c r="M44"/>
  <c r="N44"/>
  <c r="O44"/>
  <c r="Q44"/>
  <c r="S44"/>
  <c r="T44"/>
  <c r="U44"/>
  <c r="V44"/>
  <c r="W44"/>
  <c r="X44"/>
  <c r="Y44"/>
  <c r="Z44"/>
  <c r="AA44"/>
  <c r="AB44"/>
  <c r="AC44"/>
  <c r="AD44"/>
  <c r="AE44"/>
  <c r="AF44"/>
  <c r="AL44"/>
  <c r="AM44"/>
  <c r="AN44"/>
  <c r="AO44"/>
  <c r="AP44"/>
  <c r="S45"/>
  <c r="T45"/>
  <c r="U45"/>
  <c r="V45"/>
  <c r="V47" s="1"/>
  <c r="W45"/>
  <c r="X45"/>
  <c r="Y45"/>
  <c r="Z45"/>
  <c r="AA45"/>
  <c r="AB45"/>
  <c r="AC45"/>
  <c r="AD45"/>
  <c r="AD47" s="1"/>
  <c r="AE45"/>
  <c r="AF45"/>
  <c r="AL45"/>
  <c r="AL47" s="1"/>
  <c r="AM45"/>
  <c r="AM47" s="1"/>
  <c r="AN45"/>
  <c r="AO45"/>
  <c r="AP45"/>
  <c r="AQ45"/>
  <c r="AW45"/>
  <c r="E46"/>
  <c r="F46"/>
  <c r="G46"/>
  <c r="G47" s="1"/>
  <c r="H46"/>
  <c r="H47" s="1"/>
  <c r="I46"/>
  <c r="J46"/>
  <c r="K46"/>
  <c r="L46"/>
  <c r="L47" s="1"/>
  <c r="M46"/>
  <c r="N46"/>
  <c r="O46"/>
  <c r="O47" s="1"/>
  <c r="S46"/>
  <c r="S47" s="1"/>
  <c r="T46"/>
  <c r="T47" s="1"/>
  <c r="U46"/>
  <c r="V46"/>
  <c r="W46"/>
  <c r="X46"/>
  <c r="X47" s="1"/>
  <c r="Y46"/>
  <c r="Z46"/>
  <c r="AA46"/>
  <c r="AA47" s="1"/>
  <c r="AB46"/>
  <c r="AB47" s="1"/>
  <c r="AC46"/>
  <c r="AD46"/>
  <c r="AE46"/>
  <c r="AF46"/>
  <c r="AF47" s="1"/>
  <c r="AL46"/>
  <c r="AM46"/>
  <c r="AN46"/>
  <c r="AN47" s="1"/>
  <c r="AO46"/>
  <c r="AO47" s="1"/>
  <c r="AP46"/>
  <c r="AP47" s="1"/>
  <c r="K47"/>
  <c r="W47"/>
  <c r="Z47"/>
  <c r="AE47"/>
  <c r="D46"/>
  <c r="D47" s="1"/>
  <c r="D44"/>
  <c r="D43"/>
  <c r="AU42"/>
  <c r="AU45" s="1"/>
  <c r="AQ40"/>
  <c r="AW40" s="1"/>
  <c r="AQ41"/>
  <c r="AV41" s="1"/>
  <c r="AQ42"/>
  <c r="AW42" s="1"/>
  <c r="E49"/>
  <c r="F49"/>
  <c r="G49"/>
  <c r="H49"/>
  <c r="I49"/>
  <c r="J49"/>
  <c r="K49"/>
  <c r="L49"/>
  <c r="M49"/>
  <c r="N49"/>
  <c r="O49"/>
  <c r="S49"/>
  <c r="T49"/>
  <c r="U49"/>
  <c r="V49"/>
  <c r="W49"/>
  <c r="X49"/>
  <c r="Y49"/>
  <c r="Z49"/>
  <c r="AA49"/>
  <c r="AB49"/>
  <c r="AC49"/>
  <c r="AD49"/>
  <c r="AE49"/>
  <c r="AF49"/>
  <c r="AG49"/>
  <c r="AH49"/>
  <c r="AI49"/>
  <c r="AJ49"/>
  <c r="AL49"/>
  <c r="AM49"/>
  <c r="AN49"/>
  <c r="AO49"/>
  <c r="AP49"/>
  <c r="E50"/>
  <c r="F50"/>
  <c r="G50"/>
  <c r="H50"/>
  <c r="I50"/>
  <c r="J50"/>
  <c r="K50"/>
  <c r="L50"/>
  <c r="M50"/>
  <c r="N50"/>
  <c r="O50"/>
  <c r="S50"/>
  <c r="T50"/>
  <c r="U50"/>
  <c r="V50"/>
  <c r="W50"/>
  <c r="X50"/>
  <c r="Y50"/>
  <c r="Z50"/>
  <c r="AA50"/>
  <c r="AB50"/>
  <c r="AC50"/>
  <c r="AD50"/>
  <c r="AE50"/>
  <c r="AF50"/>
  <c r="AG50"/>
  <c r="AH50"/>
  <c r="AI50"/>
  <c r="AJ50"/>
  <c r="AL50"/>
  <c r="AM50"/>
  <c r="AN50"/>
  <c r="AO50"/>
  <c r="AP50"/>
  <c r="E51"/>
  <c r="F51"/>
  <c r="G51"/>
  <c r="H51"/>
  <c r="I51"/>
  <c r="J51"/>
  <c r="K51"/>
  <c r="L51"/>
  <c r="M51"/>
  <c r="N51"/>
  <c r="N53" s="1"/>
  <c r="O51"/>
  <c r="S51"/>
  <c r="T51"/>
  <c r="U51"/>
  <c r="V51"/>
  <c r="W51"/>
  <c r="X51"/>
  <c r="Y51"/>
  <c r="Z51"/>
  <c r="AA51"/>
  <c r="AB51"/>
  <c r="AC51"/>
  <c r="AD51"/>
  <c r="AE51"/>
  <c r="AF51"/>
  <c r="AG51"/>
  <c r="AH51"/>
  <c r="AI51"/>
  <c r="AJ51"/>
  <c r="AL51"/>
  <c r="AL53" s="1"/>
  <c r="AM51"/>
  <c r="AN51"/>
  <c r="AO51"/>
  <c r="AP51"/>
  <c r="E52"/>
  <c r="E53" s="1"/>
  <c r="F52"/>
  <c r="G52"/>
  <c r="H52"/>
  <c r="I52"/>
  <c r="I53" s="1"/>
  <c r="J52"/>
  <c r="K52"/>
  <c r="L52"/>
  <c r="M52"/>
  <c r="M53" s="1"/>
  <c r="N52"/>
  <c r="O52"/>
  <c r="S52"/>
  <c r="T52"/>
  <c r="U52"/>
  <c r="V52"/>
  <c r="W52"/>
  <c r="X52"/>
  <c r="Y52"/>
  <c r="Z52"/>
  <c r="AA52"/>
  <c r="AB52"/>
  <c r="AC52"/>
  <c r="AD52"/>
  <c r="AE52"/>
  <c r="AF52"/>
  <c r="AG52"/>
  <c r="AH52"/>
  <c r="AI52"/>
  <c r="AJ52"/>
  <c r="AL52"/>
  <c r="AM52"/>
  <c r="AN52"/>
  <c r="AO52"/>
  <c r="AO53" s="1"/>
  <c r="AP52"/>
  <c r="V53"/>
  <c r="AD53"/>
  <c r="AR49"/>
  <c r="AY49"/>
  <c r="AR50"/>
  <c r="AY50"/>
  <c r="AR51"/>
  <c r="AY51"/>
  <c r="AR52"/>
  <c r="AY52"/>
  <c r="E55"/>
  <c r="F55"/>
  <c r="G55"/>
  <c r="H55"/>
  <c r="I55"/>
  <c r="J55"/>
  <c r="K55"/>
  <c r="L55"/>
  <c r="M55"/>
  <c r="N55"/>
  <c r="O55"/>
  <c r="S55"/>
  <c r="T55"/>
  <c r="U55"/>
  <c r="V55"/>
  <c r="W55"/>
  <c r="X55"/>
  <c r="Y55"/>
  <c r="Z55"/>
  <c r="AA55"/>
  <c r="AB55"/>
  <c r="AC55"/>
  <c r="AD55"/>
  <c r="AE55"/>
  <c r="AF55"/>
  <c r="AG55"/>
  <c r="AH55"/>
  <c r="AI55"/>
  <c r="AJ55"/>
  <c r="AL55"/>
  <c r="AM55"/>
  <c r="AN55"/>
  <c r="AR55"/>
  <c r="E56"/>
  <c r="F56"/>
  <c r="G56"/>
  <c r="H56"/>
  <c r="I56"/>
  <c r="J56"/>
  <c r="K56"/>
  <c r="L56"/>
  <c r="M56"/>
  <c r="N56"/>
  <c r="O56"/>
  <c r="S56"/>
  <c r="T56"/>
  <c r="U56"/>
  <c r="V56"/>
  <c r="W56"/>
  <c r="X56"/>
  <c r="Y56"/>
  <c r="Z56"/>
  <c r="AA56"/>
  <c r="AB56"/>
  <c r="AC56"/>
  <c r="AD56"/>
  <c r="AE56"/>
  <c r="AF56"/>
  <c r="AG56"/>
  <c r="AH56"/>
  <c r="AI56"/>
  <c r="AJ56"/>
  <c r="AL56"/>
  <c r="AM56"/>
  <c r="AN56"/>
  <c r="AR56"/>
  <c r="E57"/>
  <c r="F57"/>
  <c r="G57"/>
  <c r="H57"/>
  <c r="I57"/>
  <c r="J57"/>
  <c r="K57"/>
  <c r="L57"/>
  <c r="M57"/>
  <c r="N57"/>
  <c r="O57"/>
  <c r="S57"/>
  <c r="T57"/>
  <c r="U57"/>
  <c r="V57"/>
  <c r="W57"/>
  <c r="X57"/>
  <c r="Y57"/>
  <c r="Z57"/>
  <c r="AA57"/>
  <c r="AB57"/>
  <c r="AC57"/>
  <c r="AD57"/>
  <c r="AE57"/>
  <c r="AF57"/>
  <c r="AG57"/>
  <c r="AH57"/>
  <c r="AI57"/>
  <c r="AJ57"/>
  <c r="AL57"/>
  <c r="AM57"/>
  <c r="AN57"/>
  <c r="AR57"/>
  <c r="E58"/>
  <c r="F58"/>
  <c r="G58"/>
  <c r="H58"/>
  <c r="I58"/>
  <c r="J58"/>
  <c r="J59" s="1"/>
  <c r="K58"/>
  <c r="L58"/>
  <c r="M58"/>
  <c r="N58"/>
  <c r="N59" s="1"/>
  <c r="O58"/>
  <c r="S58"/>
  <c r="T58"/>
  <c r="U58"/>
  <c r="U59" s="1"/>
  <c r="V58"/>
  <c r="W58"/>
  <c r="X58"/>
  <c r="Y58"/>
  <c r="Y59" s="1"/>
  <c r="Z58"/>
  <c r="Z59" s="1"/>
  <c r="AA58"/>
  <c r="AB58"/>
  <c r="AC58"/>
  <c r="AC59" s="1"/>
  <c r="AD58"/>
  <c r="AD59" s="1"/>
  <c r="AE58"/>
  <c r="AF58"/>
  <c r="AG58"/>
  <c r="AG59" s="1"/>
  <c r="AH58"/>
  <c r="AH59" s="1"/>
  <c r="AI58"/>
  <c r="AJ58"/>
  <c r="AL58"/>
  <c r="AM58"/>
  <c r="AN58"/>
  <c r="AR58"/>
  <c r="D53"/>
  <c r="D52"/>
  <c r="D51"/>
  <c r="D50"/>
  <c r="D49"/>
  <c r="D59"/>
  <c r="D58"/>
  <c r="D57"/>
  <c r="D56"/>
  <c r="D55"/>
  <c r="AQ39"/>
  <c r="AU39" s="1"/>
  <c r="Q39"/>
  <c r="P39"/>
  <c r="BA38"/>
  <c r="AQ38"/>
  <c r="AU38" s="1"/>
  <c r="Q38"/>
  <c r="Q46" s="1"/>
  <c r="P38"/>
  <c r="P45" s="1"/>
  <c r="AM96"/>
  <c r="AN96"/>
  <c r="AM97"/>
  <c r="AN97"/>
  <c r="AM98"/>
  <c r="AN98"/>
  <c r="AM99"/>
  <c r="AN99"/>
  <c r="AL99"/>
  <c r="AL98"/>
  <c r="AL97"/>
  <c r="AL96"/>
  <c r="AO83"/>
  <c r="AP83"/>
  <c r="AO84"/>
  <c r="AP84"/>
  <c r="AO85"/>
  <c r="AP85"/>
  <c r="AO86"/>
  <c r="AP86"/>
  <c r="AO87"/>
  <c r="AP87"/>
  <c r="AO88"/>
  <c r="AP88"/>
  <c r="AO89"/>
  <c r="AP89"/>
  <c r="AO90"/>
  <c r="AP90"/>
  <c r="AO91"/>
  <c r="AP91"/>
  <c r="AO92"/>
  <c r="AP92"/>
  <c r="AO93"/>
  <c r="AP93"/>
  <c r="AO94"/>
  <c r="AP94"/>
  <c r="AO95"/>
  <c r="AP95"/>
  <c r="AM78"/>
  <c r="AN78"/>
  <c r="AM79"/>
  <c r="AN79"/>
  <c r="AM80"/>
  <c r="AN80"/>
  <c r="AM81"/>
  <c r="AN81"/>
  <c r="AL81"/>
  <c r="AL80"/>
  <c r="AL79"/>
  <c r="AL78"/>
  <c r="AP63"/>
  <c r="AP64"/>
  <c r="AP65"/>
  <c r="AP66"/>
  <c r="AP67"/>
  <c r="AP68"/>
  <c r="AP69"/>
  <c r="AP70"/>
  <c r="AP71"/>
  <c r="AP72"/>
  <c r="AP73"/>
  <c r="AP74"/>
  <c r="AP75"/>
  <c r="AP76"/>
  <c r="AP77"/>
  <c r="AP62"/>
  <c r="AO63"/>
  <c r="AO64"/>
  <c r="AO65"/>
  <c r="AO66"/>
  <c r="AO67"/>
  <c r="AO68"/>
  <c r="AO69"/>
  <c r="AO70"/>
  <c r="AO71"/>
  <c r="AO72"/>
  <c r="AO73"/>
  <c r="AO74"/>
  <c r="AO75"/>
  <c r="AO76"/>
  <c r="AO77"/>
  <c r="AO62"/>
  <c r="T31"/>
  <c r="U31"/>
  <c r="V31"/>
  <c r="W31"/>
  <c r="X31"/>
  <c r="Y31"/>
  <c r="Z31"/>
  <c r="AA31"/>
  <c r="AB31"/>
  <c r="AC31"/>
  <c r="AD31"/>
  <c r="AE31"/>
  <c r="AF31"/>
  <c r="AG31"/>
  <c r="AH31"/>
  <c r="AI31"/>
  <c r="AJ31"/>
  <c r="AL31"/>
  <c r="AM31"/>
  <c r="AN31"/>
  <c r="AO31"/>
  <c r="AP31"/>
  <c r="AR31"/>
  <c r="AY31"/>
  <c r="T32"/>
  <c r="U32"/>
  <c r="V32"/>
  <c r="W32"/>
  <c r="X32"/>
  <c r="Y32"/>
  <c r="Z32"/>
  <c r="AA32"/>
  <c r="AB32"/>
  <c r="AC32"/>
  <c r="AD32"/>
  <c r="AE32"/>
  <c r="AF32"/>
  <c r="AG32"/>
  <c r="AH32"/>
  <c r="AI32"/>
  <c r="AJ32"/>
  <c r="AL32"/>
  <c r="AM32"/>
  <c r="AN32"/>
  <c r="AO32"/>
  <c r="AP32"/>
  <c r="AR32"/>
  <c r="AY32"/>
  <c r="T33"/>
  <c r="U33"/>
  <c r="V33"/>
  <c r="W33"/>
  <c r="X33"/>
  <c r="Y33"/>
  <c r="Z33"/>
  <c r="AA33"/>
  <c r="AB33"/>
  <c r="AC33"/>
  <c r="AD33"/>
  <c r="AE33"/>
  <c r="AF33"/>
  <c r="AG33"/>
  <c r="AH33"/>
  <c r="AI33"/>
  <c r="AJ33"/>
  <c r="AL33"/>
  <c r="AM33"/>
  <c r="AN33"/>
  <c r="AO33"/>
  <c r="AP33"/>
  <c r="AR33"/>
  <c r="AY33"/>
  <c r="T34"/>
  <c r="T35" s="1"/>
  <c r="U34"/>
  <c r="U35" s="1"/>
  <c r="V34"/>
  <c r="V35" s="1"/>
  <c r="W34"/>
  <c r="W35" s="1"/>
  <c r="X34"/>
  <c r="X35" s="1"/>
  <c r="Y34"/>
  <c r="Y35" s="1"/>
  <c r="Z34"/>
  <c r="Z35" s="1"/>
  <c r="AA34"/>
  <c r="AA35" s="1"/>
  <c r="AB34"/>
  <c r="AB35" s="1"/>
  <c r="AC34"/>
  <c r="AC35" s="1"/>
  <c r="AD34"/>
  <c r="AD35" s="1"/>
  <c r="AE34"/>
  <c r="AE35" s="1"/>
  <c r="AF34"/>
  <c r="AF35" s="1"/>
  <c r="AG34"/>
  <c r="AG35" s="1"/>
  <c r="AH34"/>
  <c r="AH35" s="1"/>
  <c r="AI34"/>
  <c r="AI35" s="1"/>
  <c r="AJ34"/>
  <c r="AJ35" s="1"/>
  <c r="AL34"/>
  <c r="AL35" s="1"/>
  <c r="AM34"/>
  <c r="AM35" s="1"/>
  <c r="AN34"/>
  <c r="AN35" s="1"/>
  <c r="AO34"/>
  <c r="AO35" s="1"/>
  <c r="AP34"/>
  <c r="AP35" s="1"/>
  <c r="AR34"/>
  <c r="AR35" s="1"/>
  <c r="AY34"/>
  <c r="AY35" s="1"/>
  <c r="AY55"/>
  <c r="BB37" i="2"/>
  <c r="BB36"/>
  <c r="BB35"/>
  <c r="BB34"/>
  <c r="BB33"/>
  <c r="BB32"/>
  <c r="BB31"/>
  <c r="BB30"/>
  <c r="BB29"/>
  <c r="BB28"/>
  <c r="BC37"/>
  <c r="BC36"/>
  <c r="BC35"/>
  <c r="BC34"/>
  <c r="BC33"/>
  <c r="BC31"/>
  <c r="BC32" s="1"/>
  <c r="BC30"/>
  <c r="BC29"/>
  <c r="BC28"/>
  <c r="BD37"/>
  <c r="BD36"/>
  <c r="BD35"/>
  <c r="BD34"/>
  <c r="BD33"/>
  <c r="BD31"/>
  <c r="BD32" s="1"/>
  <c r="BD30"/>
  <c r="BD29"/>
  <c r="BD28"/>
  <c r="BE37"/>
  <c r="BE36"/>
  <c r="BE35"/>
  <c r="BE34"/>
  <c r="BE33"/>
  <c r="BE32"/>
  <c r="BE31"/>
  <c r="BE30"/>
  <c r="BE29"/>
  <c r="BE28"/>
  <c r="AY37"/>
  <c r="AR37"/>
  <c r="AP37"/>
  <c r="AO37"/>
  <c r="AN37"/>
  <c r="AM37"/>
  <c r="AL37"/>
  <c r="AJ37"/>
  <c r="AI37"/>
  <c r="AH37"/>
  <c r="AG37"/>
  <c r="AF37"/>
  <c r="AE37"/>
  <c r="AD37"/>
  <c r="AC37"/>
  <c r="AB37"/>
  <c r="AA37"/>
  <c r="Z37"/>
  <c r="Y37"/>
  <c r="X37"/>
  <c r="W37"/>
  <c r="V37"/>
  <c r="U37"/>
  <c r="T37"/>
  <c r="S37"/>
  <c r="N37"/>
  <c r="M37"/>
  <c r="L37"/>
  <c r="K37"/>
  <c r="J37"/>
  <c r="I37"/>
  <c r="H37"/>
  <c r="G37"/>
  <c r="F37"/>
  <c r="E37"/>
  <c r="D37"/>
  <c r="AY36"/>
  <c r="AR36"/>
  <c r="AP36"/>
  <c r="AO36"/>
  <c r="AN36"/>
  <c r="AM36"/>
  <c r="AL36"/>
  <c r="AJ36"/>
  <c r="AI36"/>
  <c r="AH36"/>
  <c r="AG36"/>
  <c r="AF36"/>
  <c r="AE36"/>
  <c r="AD36"/>
  <c r="AC36"/>
  <c r="AB36"/>
  <c r="AA36"/>
  <c r="Z36"/>
  <c r="Y36"/>
  <c r="X36"/>
  <c r="W36"/>
  <c r="V36"/>
  <c r="U36"/>
  <c r="T36"/>
  <c r="S36"/>
  <c r="N36"/>
  <c r="M36"/>
  <c r="L36"/>
  <c r="K36"/>
  <c r="J36"/>
  <c r="I36"/>
  <c r="H36"/>
  <c r="G36"/>
  <c r="F36"/>
  <c r="E36"/>
  <c r="D36"/>
  <c r="AY35"/>
  <c r="AR35"/>
  <c r="AP35"/>
  <c r="AO35"/>
  <c r="AN35"/>
  <c r="AM35"/>
  <c r="AL35"/>
  <c r="AJ35"/>
  <c r="AI35"/>
  <c r="AH35"/>
  <c r="AG35"/>
  <c r="AF35"/>
  <c r="AE35"/>
  <c r="AD35"/>
  <c r="AC35"/>
  <c r="AB35"/>
  <c r="AA35"/>
  <c r="Z35"/>
  <c r="Y35"/>
  <c r="X35"/>
  <c r="W35"/>
  <c r="V35"/>
  <c r="U35"/>
  <c r="T35"/>
  <c r="S35"/>
  <c r="N35"/>
  <c r="M35"/>
  <c r="L35"/>
  <c r="K35"/>
  <c r="J35"/>
  <c r="I35"/>
  <c r="H35"/>
  <c r="G35"/>
  <c r="F35"/>
  <c r="E35"/>
  <c r="D35"/>
  <c r="AY34"/>
  <c r="AR34"/>
  <c r="AP34"/>
  <c r="AO34"/>
  <c r="AN34"/>
  <c r="AM34"/>
  <c r="AL34"/>
  <c r="AJ34"/>
  <c r="AI34"/>
  <c r="AH34"/>
  <c r="AG34"/>
  <c r="AF34"/>
  <c r="AE34"/>
  <c r="AD34"/>
  <c r="AC34"/>
  <c r="AB34"/>
  <c r="AA34"/>
  <c r="Z34"/>
  <c r="Y34"/>
  <c r="X34"/>
  <c r="W34"/>
  <c r="V34"/>
  <c r="U34"/>
  <c r="T34"/>
  <c r="S34"/>
  <c r="N34"/>
  <c r="M34"/>
  <c r="L34"/>
  <c r="K34"/>
  <c r="J34"/>
  <c r="I34"/>
  <c r="H34"/>
  <c r="G34"/>
  <c r="F34"/>
  <c r="E34"/>
  <c r="D34"/>
  <c r="AY33"/>
  <c r="AR33"/>
  <c r="AP33"/>
  <c r="AO33"/>
  <c r="AN33"/>
  <c r="AM33"/>
  <c r="AL33"/>
  <c r="AJ33"/>
  <c r="AI33"/>
  <c r="AH33"/>
  <c r="AG33"/>
  <c r="AF33"/>
  <c r="AE33"/>
  <c r="AD33"/>
  <c r="AC33"/>
  <c r="AB33"/>
  <c r="AA33"/>
  <c r="Z33"/>
  <c r="Y33"/>
  <c r="X33"/>
  <c r="W33"/>
  <c r="V33"/>
  <c r="U33"/>
  <c r="T33"/>
  <c r="S33"/>
  <c r="N33"/>
  <c r="M33"/>
  <c r="L33"/>
  <c r="K33"/>
  <c r="J33"/>
  <c r="I33"/>
  <c r="H33"/>
  <c r="G33"/>
  <c r="F33"/>
  <c r="E33"/>
  <c r="D33"/>
  <c r="AM32"/>
  <c r="V32"/>
  <c r="L32"/>
  <c r="H32"/>
  <c r="AY31"/>
  <c r="AR31"/>
  <c r="AP31"/>
  <c r="AO31"/>
  <c r="AN31"/>
  <c r="AM31"/>
  <c r="AL31"/>
  <c r="AJ31"/>
  <c r="AI31"/>
  <c r="AH31"/>
  <c r="AH32" s="1"/>
  <c r="AG31"/>
  <c r="AF31"/>
  <c r="AE31"/>
  <c r="AD31"/>
  <c r="AD32" s="1"/>
  <c r="AC31"/>
  <c r="AB31"/>
  <c r="AA31"/>
  <c r="Z31"/>
  <c r="Z32" s="1"/>
  <c r="Y31"/>
  <c r="X31"/>
  <c r="W31"/>
  <c r="V31"/>
  <c r="U31"/>
  <c r="T31"/>
  <c r="S31"/>
  <c r="N31"/>
  <c r="M31"/>
  <c r="M32" s="1"/>
  <c r="L31"/>
  <c r="K31"/>
  <c r="J31"/>
  <c r="I31"/>
  <c r="H31"/>
  <c r="G31"/>
  <c r="F31"/>
  <c r="E31"/>
  <c r="D31"/>
  <c r="D32" s="1"/>
  <c r="AY30"/>
  <c r="AR30"/>
  <c r="AP30"/>
  <c r="AO30"/>
  <c r="AN30"/>
  <c r="AM30"/>
  <c r="AL30"/>
  <c r="AJ30"/>
  <c r="AI30"/>
  <c r="AH30"/>
  <c r="AG30"/>
  <c r="AF30"/>
  <c r="AE30"/>
  <c r="AD30"/>
  <c r="AC30"/>
  <c r="AB30"/>
  <c r="AA30"/>
  <c r="Z30"/>
  <c r="Y30"/>
  <c r="X30"/>
  <c r="W30"/>
  <c r="V30"/>
  <c r="U30"/>
  <c r="T30"/>
  <c r="S30"/>
  <c r="N30"/>
  <c r="M30"/>
  <c r="L30"/>
  <c r="K30"/>
  <c r="J30"/>
  <c r="I30"/>
  <c r="H30"/>
  <c r="G30"/>
  <c r="F30"/>
  <c r="E30"/>
  <c r="D30"/>
  <c r="AY29"/>
  <c r="AR29"/>
  <c r="AP29"/>
  <c r="AO29"/>
  <c r="AN29"/>
  <c r="AM29"/>
  <c r="AL29"/>
  <c r="AJ29"/>
  <c r="AI29"/>
  <c r="AH29"/>
  <c r="AG29"/>
  <c r="AF29"/>
  <c r="AE29"/>
  <c r="AD29"/>
  <c r="AC29"/>
  <c r="AB29"/>
  <c r="AA29"/>
  <c r="Z29"/>
  <c r="Y29"/>
  <c r="X29"/>
  <c r="W29"/>
  <c r="V29"/>
  <c r="U29"/>
  <c r="T29"/>
  <c r="S29"/>
  <c r="N29"/>
  <c r="M29"/>
  <c r="L29"/>
  <c r="K29"/>
  <c r="J29"/>
  <c r="I29"/>
  <c r="H29"/>
  <c r="G29"/>
  <c r="F29"/>
  <c r="E29"/>
  <c r="D29"/>
  <c r="AY28"/>
  <c r="AR28"/>
  <c r="AP28"/>
  <c r="AO28"/>
  <c r="AN28"/>
  <c r="AM28"/>
  <c r="AL28"/>
  <c r="AJ28"/>
  <c r="AI28"/>
  <c r="AH28"/>
  <c r="AG28"/>
  <c r="AF28"/>
  <c r="AE28"/>
  <c r="AD28"/>
  <c r="AC28"/>
  <c r="AB28"/>
  <c r="AA28"/>
  <c r="Z28"/>
  <c r="Y28"/>
  <c r="X28"/>
  <c r="W28"/>
  <c r="V28"/>
  <c r="U28"/>
  <c r="T28"/>
  <c r="S28"/>
  <c r="N28"/>
  <c r="M28"/>
  <c r="L28"/>
  <c r="K28"/>
  <c r="J28"/>
  <c r="I28"/>
  <c r="H28"/>
  <c r="G28"/>
  <c r="F28"/>
  <c r="E28"/>
  <c r="D28"/>
  <c r="AU27"/>
  <c r="AQ27"/>
  <c r="AW27" s="1"/>
  <c r="BF27"/>
  <c r="BA27"/>
  <c r="AQ26"/>
  <c r="AV26" s="1"/>
  <c r="BF26"/>
  <c r="BA26"/>
  <c r="AV25"/>
  <c r="AU25"/>
  <c r="AQ25"/>
  <c r="AW25" s="1"/>
  <c r="BF25"/>
  <c r="BA25"/>
  <c r="BA37" s="1"/>
  <c r="AV24"/>
  <c r="AU24"/>
  <c r="AQ24"/>
  <c r="AW24" s="1"/>
  <c r="BF24"/>
  <c r="BA24"/>
  <c r="AU23"/>
  <c r="AQ23"/>
  <c r="AW23" s="1"/>
  <c r="BF23"/>
  <c r="BA23"/>
  <c r="AQ22"/>
  <c r="AV22" s="1"/>
  <c r="BF22"/>
  <c r="BA22"/>
  <c r="AQ21"/>
  <c r="AU21" s="1"/>
  <c r="BF21"/>
  <c r="BA21"/>
  <c r="AU20"/>
  <c r="AQ20"/>
  <c r="AW20" s="1"/>
  <c r="BF20"/>
  <c r="BA20"/>
  <c r="AU19"/>
  <c r="AQ19"/>
  <c r="AW19" s="1"/>
  <c r="BF19"/>
  <c r="BA19"/>
  <c r="AQ18"/>
  <c r="AV18" s="1"/>
  <c r="BF18"/>
  <c r="BA18"/>
  <c r="AV17"/>
  <c r="AU17"/>
  <c r="AQ17"/>
  <c r="AW17" s="1"/>
  <c r="BF17"/>
  <c r="BA17"/>
  <c r="AV16"/>
  <c r="AU16"/>
  <c r="AQ16"/>
  <c r="AW16" s="1"/>
  <c r="BF16"/>
  <c r="BA16"/>
  <c r="AU15"/>
  <c r="AQ15"/>
  <c r="AW15" s="1"/>
  <c r="BF15"/>
  <c r="BA15"/>
  <c r="AQ14"/>
  <c r="AV14" s="1"/>
  <c r="BF14"/>
  <c r="BA14"/>
  <c r="AQ13"/>
  <c r="AU13" s="1"/>
  <c r="BF13"/>
  <c r="BF33" s="1"/>
  <c r="BA13"/>
  <c r="AU12"/>
  <c r="AQ12"/>
  <c r="AV12" s="1"/>
  <c r="BF12"/>
  <c r="BA12"/>
  <c r="AU11"/>
  <c r="AQ11"/>
  <c r="AW11" s="1"/>
  <c r="BF11"/>
  <c r="BA11"/>
  <c r="AQ10"/>
  <c r="AQ30" s="1"/>
  <c r="BF10"/>
  <c r="BA10"/>
  <c r="T180" i="1"/>
  <c r="W180"/>
  <c r="AY205"/>
  <c r="AY206"/>
  <c r="AY207"/>
  <c r="AY208"/>
  <c r="AY209"/>
  <c r="AY210"/>
  <c r="AY211"/>
  <c r="AY212"/>
  <c r="AY213"/>
  <c r="AY214"/>
  <c r="AY215"/>
  <c r="AY216"/>
  <c r="AY217"/>
  <c r="AY218"/>
  <c r="AY219"/>
  <c r="AY220"/>
  <c r="AY221"/>
  <c r="AY204"/>
  <c r="BA39" s="1"/>
  <c r="AR205"/>
  <c r="AR206"/>
  <c r="AR207"/>
  <c r="AR208"/>
  <c r="AR209"/>
  <c r="AR210"/>
  <c r="AR211"/>
  <c r="AR212"/>
  <c r="AR213"/>
  <c r="AR214"/>
  <c r="AR215"/>
  <c r="AR216"/>
  <c r="AR217"/>
  <c r="AR218"/>
  <c r="AR219"/>
  <c r="AR220"/>
  <c r="AR221"/>
  <c r="AR204"/>
  <c r="E204"/>
  <c r="AS204"/>
  <c r="AS205"/>
  <c r="AS206"/>
  <c r="AS207"/>
  <c r="AS208"/>
  <c r="AS209"/>
  <c r="AS210"/>
  <c r="AS211"/>
  <c r="AS212"/>
  <c r="AS213"/>
  <c r="AS214"/>
  <c r="AS215"/>
  <c r="AI205"/>
  <c r="AI206"/>
  <c r="AI207"/>
  <c r="AI208"/>
  <c r="AI209"/>
  <c r="AI210"/>
  <c r="AI211"/>
  <c r="AI212"/>
  <c r="AI213"/>
  <c r="AI214"/>
  <c r="AI215"/>
  <c r="AI216"/>
  <c r="AI217"/>
  <c r="AI218"/>
  <c r="AI219"/>
  <c r="AI220"/>
  <c r="AI221"/>
  <c r="AI204"/>
  <c r="AI178"/>
  <c r="N205"/>
  <c r="S205"/>
  <c r="T205"/>
  <c r="U205"/>
  <c r="V205"/>
  <c r="X205"/>
  <c r="Y205"/>
  <c r="Z205"/>
  <c r="AA205"/>
  <c r="AB205"/>
  <c r="AC205"/>
  <c r="AD205"/>
  <c r="W205"/>
  <c r="AE205"/>
  <c r="AF205"/>
  <c r="AG205"/>
  <c r="AH205"/>
  <c r="AJ205"/>
  <c r="N206"/>
  <c r="S206"/>
  <c r="T206"/>
  <c r="U206"/>
  <c r="V206"/>
  <c r="X206"/>
  <c r="Y206"/>
  <c r="Z206"/>
  <c r="AA206"/>
  <c r="AB206"/>
  <c r="AC206"/>
  <c r="AD206"/>
  <c r="W206"/>
  <c r="AE206"/>
  <c r="AF206"/>
  <c r="AG206"/>
  <c r="AH206"/>
  <c r="AJ206"/>
  <c r="N207"/>
  <c r="S207"/>
  <c r="T207"/>
  <c r="U207"/>
  <c r="V207"/>
  <c r="X207"/>
  <c r="Y207"/>
  <c r="Z207"/>
  <c r="AA207"/>
  <c r="AB207"/>
  <c r="AC207"/>
  <c r="AD207"/>
  <c r="W207"/>
  <c r="AE207"/>
  <c r="AF207"/>
  <c r="AG207"/>
  <c r="AH207"/>
  <c r="AJ207"/>
  <c r="N208"/>
  <c r="S208"/>
  <c r="T208"/>
  <c r="U208"/>
  <c r="V208"/>
  <c r="X208"/>
  <c r="Y208"/>
  <c r="Z208"/>
  <c r="AA208"/>
  <c r="AB208"/>
  <c r="AC208"/>
  <c r="AD208"/>
  <c r="W208"/>
  <c r="AE208"/>
  <c r="AF208"/>
  <c r="AG208"/>
  <c r="AH208"/>
  <c r="AJ208"/>
  <c r="N209"/>
  <c r="S209"/>
  <c r="T209"/>
  <c r="U209"/>
  <c r="V209"/>
  <c r="X209"/>
  <c r="Y209"/>
  <c r="Z209"/>
  <c r="AA209"/>
  <c r="AB209"/>
  <c r="AC209"/>
  <c r="AD209"/>
  <c r="W209"/>
  <c r="AE209"/>
  <c r="AF209"/>
  <c r="AG209"/>
  <c r="AH209"/>
  <c r="AJ209"/>
  <c r="N210"/>
  <c r="S210"/>
  <c r="T210"/>
  <c r="U210"/>
  <c r="V210"/>
  <c r="X210"/>
  <c r="Y210"/>
  <c r="Z210"/>
  <c r="AA210"/>
  <c r="AB210"/>
  <c r="AC210"/>
  <c r="AD210"/>
  <c r="W210"/>
  <c r="AE210"/>
  <c r="AF210"/>
  <c r="AG210"/>
  <c r="AH210"/>
  <c r="AJ210"/>
  <c r="N211"/>
  <c r="S211"/>
  <c r="T211"/>
  <c r="U211"/>
  <c r="V211"/>
  <c r="X211"/>
  <c r="Y211"/>
  <c r="Z211"/>
  <c r="AA211"/>
  <c r="AB211"/>
  <c r="AC211"/>
  <c r="AD211"/>
  <c r="W211"/>
  <c r="AE211"/>
  <c r="AF211"/>
  <c r="AG211"/>
  <c r="AH211"/>
  <c r="AJ211"/>
  <c r="N212"/>
  <c r="S212"/>
  <c r="T212"/>
  <c r="U212"/>
  <c r="V212"/>
  <c r="X212"/>
  <c r="Y212"/>
  <c r="Z212"/>
  <c r="AA212"/>
  <c r="AB212"/>
  <c r="AC212"/>
  <c r="AD212"/>
  <c r="W212"/>
  <c r="AE212"/>
  <c r="AF212"/>
  <c r="AG212"/>
  <c r="AH212"/>
  <c r="AJ212"/>
  <c r="N213"/>
  <c r="S213"/>
  <c r="T213"/>
  <c r="U213"/>
  <c r="V213"/>
  <c r="X213"/>
  <c r="Y213"/>
  <c r="Z213"/>
  <c r="AA213"/>
  <c r="AB213"/>
  <c r="AC213"/>
  <c r="AD213"/>
  <c r="W213"/>
  <c r="AE213"/>
  <c r="AF213"/>
  <c r="AG213"/>
  <c r="AH213"/>
  <c r="AJ213"/>
  <c r="N214"/>
  <c r="S214"/>
  <c r="T214"/>
  <c r="U214"/>
  <c r="V214"/>
  <c r="X214"/>
  <c r="Y214"/>
  <c r="Z214"/>
  <c r="AA214"/>
  <c r="AB214"/>
  <c r="AC214"/>
  <c r="AD214"/>
  <c r="W214"/>
  <c r="AE214"/>
  <c r="AF214"/>
  <c r="AG214"/>
  <c r="AH214"/>
  <c r="AJ214"/>
  <c r="N215"/>
  <c r="S215"/>
  <c r="T215"/>
  <c r="U215"/>
  <c r="V215"/>
  <c r="X215"/>
  <c r="Y215"/>
  <c r="Z215"/>
  <c r="AA215"/>
  <c r="AB215"/>
  <c r="AC215"/>
  <c r="AD215"/>
  <c r="W215"/>
  <c r="AE215"/>
  <c r="AF215"/>
  <c r="AG215"/>
  <c r="AH215"/>
  <c r="AJ215"/>
  <c r="N216"/>
  <c r="S216"/>
  <c r="T216"/>
  <c r="U216"/>
  <c r="V216"/>
  <c r="X216"/>
  <c r="Y216"/>
  <c r="Z216"/>
  <c r="AA216"/>
  <c r="AB216"/>
  <c r="AC216"/>
  <c r="AD216"/>
  <c r="W216"/>
  <c r="AE216"/>
  <c r="AF216"/>
  <c r="AG216"/>
  <c r="AH216"/>
  <c r="AJ216"/>
  <c r="N217"/>
  <c r="S217"/>
  <c r="T217"/>
  <c r="U217"/>
  <c r="V217"/>
  <c r="X217"/>
  <c r="Y217"/>
  <c r="Z217"/>
  <c r="AA217"/>
  <c r="AB217"/>
  <c r="AC217"/>
  <c r="AD217"/>
  <c r="W217"/>
  <c r="AE217"/>
  <c r="AF217"/>
  <c r="AG217"/>
  <c r="AH217"/>
  <c r="AJ217"/>
  <c r="N218"/>
  <c r="S218"/>
  <c r="T218"/>
  <c r="U218"/>
  <c r="V218"/>
  <c r="X218"/>
  <c r="Y218"/>
  <c r="Z218"/>
  <c r="AA218"/>
  <c r="AB218"/>
  <c r="AC218"/>
  <c r="AD218"/>
  <c r="W218"/>
  <c r="AE218"/>
  <c r="AF218"/>
  <c r="AG218"/>
  <c r="AH218"/>
  <c r="AJ218"/>
  <c r="N219"/>
  <c r="S219"/>
  <c r="T219"/>
  <c r="U219"/>
  <c r="V219"/>
  <c r="X219"/>
  <c r="Y219"/>
  <c r="Z219"/>
  <c r="AA219"/>
  <c r="AB219"/>
  <c r="AC219"/>
  <c r="AD219"/>
  <c r="W219"/>
  <c r="AE219"/>
  <c r="AF219"/>
  <c r="AG219"/>
  <c r="AH219"/>
  <c r="AJ219"/>
  <c r="N220"/>
  <c r="S220"/>
  <c r="T220"/>
  <c r="U220"/>
  <c r="V220"/>
  <c r="X220"/>
  <c r="Y220"/>
  <c r="Z220"/>
  <c r="AA220"/>
  <c r="AB220"/>
  <c r="AC220"/>
  <c r="AD220"/>
  <c r="W220"/>
  <c r="AE220"/>
  <c r="AF220"/>
  <c r="AG220"/>
  <c r="AH220"/>
  <c r="AJ220"/>
  <c r="N221"/>
  <c r="S221"/>
  <c r="T221"/>
  <c r="U221"/>
  <c r="V221"/>
  <c r="X221"/>
  <c r="Y221"/>
  <c r="Z221"/>
  <c r="AA221"/>
  <c r="AB221"/>
  <c r="AC221"/>
  <c r="AD221"/>
  <c r="W221"/>
  <c r="AE221"/>
  <c r="AF221"/>
  <c r="AG221"/>
  <c r="AH221"/>
  <c r="AJ221"/>
  <c r="AJ204"/>
  <c r="AH204"/>
  <c r="AG204"/>
  <c r="AF204"/>
  <c r="AE204"/>
  <c r="W204"/>
  <c r="AD204"/>
  <c r="AC204"/>
  <c r="AB204"/>
  <c r="AA204"/>
  <c r="Z204"/>
  <c r="Y204"/>
  <c r="X204"/>
  <c r="V204"/>
  <c r="U204"/>
  <c r="T204"/>
  <c r="S204"/>
  <c r="N204"/>
  <c r="D205"/>
  <c r="E205"/>
  <c r="F205"/>
  <c r="G205"/>
  <c r="H205"/>
  <c r="I205"/>
  <c r="J205"/>
  <c r="K205"/>
  <c r="L205"/>
  <c r="M205"/>
  <c r="D206"/>
  <c r="E206"/>
  <c r="F206"/>
  <c r="G206"/>
  <c r="H206"/>
  <c r="I206"/>
  <c r="J206"/>
  <c r="K206"/>
  <c r="L206"/>
  <c r="M206"/>
  <c r="D207"/>
  <c r="E207"/>
  <c r="F207"/>
  <c r="G207"/>
  <c r="H207"/>
  <c r="I207"/>
  <c r="J207"/>
  <c r="K207"/>
  <c r="L207"/>
  <c r="M207"/>
  <c r="D208"/>
  <c r="E208"/>
  <c r="F208"/>
  <c r="G208"/>
  <c r="H208"/>
  <c r="I208"/>
  <c r="J208"/>
  <c r="K208"/>
  <c r="L208"/>
  <c r="M208"/>
  <c r="D209"/>
  <c r="E209"/>
  <c r="F209"/>
  <c r="G209"/>
  <c r="H209"/>
  <c r="I209"/>
  <c r="J209"/>
  <c r="K209"/>
  <c r="L209"/>
  <c r="M209"/>
  <c r="D210"/>
  <c r="E210"/>
  <c r="F210"/>
  <c r="G210"/>
  <c r="H210"/>
  <c r="I210"/>
  <c r="J210"/>
  <c r="K210"/>
  <c r="L210"/>
  <c r="M210"/>
  <c r="D211"/>
  <c r="E211"/>
  <c r="F211"/>
  <c r="G211"/>
  <c r="H211"/>
  <c r="I211"/>
  <c r="J211"/>
  <c r="K211"/>
  <c r="L211"/>
  <c r="M211"/>
  <c r="D212"/>
  <c r="E212"/>
  <c r="F212"/>
  <c r="G212"/>
  <c r="H212"/>
  <c r="I212"/>
  <c r="J212"/>
  <c r="K212"/>
  <c r="L212"/>
  <c r="M212"/>
  <c r="D213"/>
  <c r="E213"/>
  <c r="F213"/>
  <c r="G213"/>
  <c r="H213"/>
  <c r="I213"/>
  <c r="J213"/>
  <c r="K213"/>
  <c r="L213"/>
  <c r="M213"/>
  <c r="D214"/>
  <c r="E214"/>
  <c r="F214"/>
  <c r="G214"/>
  <c r="H214"/>
  <c r="I214"/>
  <c r="J214"/>
  <c r="K214"/>
  <c r="L214"/>
  <c r="M214"/>
  <c r="D215"/>
  <c r="E215"/>
  <c r="F215"/>
  <c r="G215"/>
  <c r="H215"/>
  <c r="I215"/>
  <c r="J215"/>
  <c r="K215"/>
  <c r="L215"/>
  <c r="M215"/>
  <c r="D216"/>
  <c r="E216"/>
  <c r="F216"/>
  <c r="G216"/>
  <c r="H216"/>
  <c r="I216"/>
  <c r="J216"/>
  <c r="K216"/>
  <c r="L216"/>
  <c r="M216"/>
  <c r="D217"/>
  <c r="E217"/>
  <c r="F217"/>
  <c r="G217"/>
  <c r="H217"/>
  <c r="I217"/>
  <c r="J217"/>
  <c r="K217"/>
  <c r="L217"/>
  <c r="M217"/>
  <c r="D218"/>
  <c r="E218"/>
  <c r="F218"/>
  <c r="G218"/>
  <c r="H218"/>
  <c r="I218"/>
  <c r="J218"/>
  <c r="K218"/>
  <c r="L218"/>
  <c r="M218"/>
  <c r="D219"/>
  <c r="E219"/>
  <c r="F219"/>
  <c r="G219"/>
  <c r="H219"/>
  <c r="I219"/>
  <c r="J219"/>
  <c r="K219"/>
  <c r="L219"/>
  <c r="M219"/>
  <c r="D220"/>
  <c r="E220"/>
  <c r="F220"/>
  <c r="G220"/>
  <c r="H220"/>
  <c r="I220"/>
  <c r="J220"/>
  <c r="K220"/>
  <c r="L220"/>
  <c r="M220"/>
  <c r="D221"/>
  <c r="E221"/>
  <c r="F221"/>
  <c r="G221"/>
  <c r="H221"/>
  <c r="I221"/>
  <c r="J221"/>
  <c r="K221"/>
  <c r="L221"/>
  <c r="M221"/>
  <c r="M204"/>
  <c r="L204"/>
  <c r="K204"/>
  <c r="J204"/>
  <c r="I204"/>
  <c r="H204"/>
  <c r="G204"/>
  <c r="F204"/>
  <c r="D204"/>
  <c r="E178"/>
  <c r="F178"/>
  <c r="G178"/>
  <c r="H178"/>
  <c r="I178"/>
  <c r="J178"/>
  <c r="K178"/>
  <c r="L178"/>
  <c r="M178"/>
  <c r="N178"/>
  <c r="S178"/>
  <c r="T178"/>
  <c r="U178"/>
  <c r="V178"/>
  <c r="X178"/>
  <c r="Y178"/>
  <c r="Z178"/>
  <c r="AA178"/>
  <c r="AB178"/>
  <c r="AC178"/>
  <c r="AD178"/>
  <c r="W178"/>
  <c r="AE178"/>
  <c r="AF178"/>
  <c r="AG178"/>
  <c r="AH178"/>
  <c r="AJ178"/>
  <c r="E179"/>
  <c r="F179"/>
  <c r="G179"/>
  <c r="H179"/>
  <c r="I179"/>
  <c r="J179"/>
  <c r="K179"/>
  <c r="L179"/>
  <c r="M179"/>
  <c r="N179"/>
  <c r="S179"/>
  <c r="T179"/>
  <c r="U179"/>
  <c r="V179"/>
  <c r="X179"/>
  <c r="Y179"/>
  <c r="Z179"/>
  <c r="AA179"/>
  <c r="AB179"/>
  <c r="AC179"/>
  <c r="AD179"/>
  <c r="W179"/>
  <c r="AE179"/>
  <c r="AF179"/>
  <c r="AG179"/>
  <c r="AH179"/>
  <c r="AI179"/>
  <c r="AJ179"/>
  <c r="E180"/>
  <c r="F180"/>
  <c r="G180"/>
  <c r="H180"/>
  <c r="I180"/>
  <c r="J180"/>
  <c r="K180"/>
  <c r="L180"/>
  <c r="M180"/>
  <c r="N180"/>
  <c r="S180"/>
  <c r="U180"/>
  <c r="V180"/>
  <c r="X180"/>
  <c r="Y180"/>
  <c r="Z180"/>
  <c r="AA180"/>
  <c r="AB180"/>
  <c r="AC180"/>
  <c r="AD180"/>
  <c r="AE180"/>
  <c r="AF180"/>
  <c r="AG180"/>
  <c r="AH180"/>
  <c r="AI180"/>
  <c r="AJ180"/>
  <c r="E181"/>
  <c r="F181"/>
  <c r="G181"/>
  <c r="H181"/>
  <c r="I181"/>
  <c r="J181"/>
  <c r="K181"/>
  <c r="L181"/>
  <c r="M181"/>
  <c r="N181"/>
  <c r="S181"/>
  <c r="T181"/>
  <c r="U181"/>
  <c r="V181"/>
  <c r="X181"/>
  <c r="Y181"/>
  <c r="Z181"/>
  <c r="AA181"/>
  <c r="AB181"/>
  <c r="AC181"/>
  <c r="AD181"/>
  <c r="W181"/>
  <c r="AE181"/>
  <c r="AF181"/>
  <c r="AG181"/>
  <c r="AH181"/>
  <c r="AI181"/>
  <c r="AJ181"/>
  <c r="E182"/>
  <c r="F182"/>
  <c r="G182"/>
  <c r="H182"/>
  <c r="I182"/>
  <c r="J182"/>
  <c r="K182"/>
  <c r="L182"/>
  <c r="M182"/>
  <c r="N182"/>
  <c r="S182"/>
  <c r="T182"/>
  <c r="U182"/>
  <c r="V182"/>
  <c r="X182"/>
  <c r="Y182"/>
  <c r="Z182"/>
  <c r="AA182"/>
  <c r="AB182"/>
  <c r="AC182"/>
  <c r="AD182"/>
  <c r="W182"/>
  <c r="AE182"/>
  <c r="AF182"/>
  <c r="AG182"/>
  <c r="AH182"/>
  <c r="AI182"/>
  <c r="AJ182"/>
  <c r="E183"/>
  <c r="F183"/>
  <c r="G183"/>
  <c r="H183"/>
  <c r="I183"/>
  <c r="J183"/>
  <c r="K183"/>
  <c r="L183"/>
  <c r="M183"/>
  <c r="N183"/>
  <c r="S183"/>
  <c r="T183"/>
  <c r="U183"/>
  <c r="V183"/>
  <c r="X183"/>
  <c r="Y183"/>
  <c r="Z183"/>
  <c r="AA183"/>
  <c r="AB183"/>
  <c r="AC183"/>
  <c r="AD183"/>
  <c r="W183"/>
  <c r="AE183"/>
  <c r="AF183"/>
  <c r="AG183"/>
  <c r="AH183"/>
  <c r="AI183"/>
  <c r="AJ183"/>
  <c r="E184"/>
  <c r="F184"/>
  <c r="G184"/>
  <c r="H184"/>
  <c r="I184"/>
  <c r="J184"/>
  <c r="K184"/>
  <c r="L184"/>
  <c r="M184"/>
  <c r="N184"/>
  <c r="S184"/>
  <c r="T184"/>
  <c r="U184"/>
  <c r="V184"/>
  <c r="X184"/>
  <c r="Y184"/>
  <c r="Z184"/>
  <c r="AA184"/>
  <c r="AB184"/>
  <c r="AC184"/>
  <c r="AD184"/>
  <c r="W184"/>
  <c r="AE184"/>
  <c r="AF184"/>
  <c r="AG184"/>
  <c r="AH184"/>
  <c r="AI184"/>
  <c r="AJ184"/>
  <c r="E185"/>
  <c r="F185"/>
  <c r="G185"/>
  <c r="H185"/>
  <c r="I185"/>
  <c r="J185"/>
  <c r="K185"/>
  <c r="L185"/>
  <c r="M185"/>
  <c r="N185"/>
  <c r="S185"/>
  <c r="T185"/>
  <c r="U185"/>
  <c r="V185"/>
  <c r="X185"/>
  <c r="Y185"/>
  <c r="Z185"/>
  <c r="AA185"/>
  <c r="AB185"/>
  <c r="AC185"/>
  <c r="AD185"/>
  <c r="W185"/>
  <c r="AE185"/>
  <c r="AF185"/>
  <c r="AG185"/>
  <c r="AH185"/>
  <c r="AI185"/>
  <c r="AJ185"/>
  <c r="E186"/>
  <c r="F186"/>
  <c r="G186"/>
  <c r="H186"/>
  <c r="I186"/>
  <c r="J186"/>
  <c r="K186"/>
  <c r="L186"/>
  <c r="M186"/>
  <c r="N186"/>
  <c r="S186"/>
  <c r="T186"/>
  <c r="U186"/>
  <c r="V186"/>
  <c r="X186"/>
  <c r="Y186"/>
  <c r="Z186"/>
  <c r="AA186"/>
  <c r="AB186"/>
  <c r="AC186"/>
  <c r="AD186"/>
  <c r="W186"/>
  <c r="AE186"/>
  <c r="AF186"/>
  <c r="AG186"/>
  <c r="AH186"/>
  <c r="AI186"/>
  <c r="AJ186"/>
  <c r="E187"/>
  <c r="F187"/>
  <c r="G187"/>
  <c r="H187"/>
  <c r="I187"/>
  <c r="J187"/>
  <c r="K187"/>
  <c r="L187"/>
  <c r="M187"/>
  <c r="N187"/>
  <c r="S187"/>
  <c r="T187"/>
  <c r="U187"/>
  <c r="V187"/>
  <c r="X187"/>
  <c r="Y187"/>
  <c r="Z187"/>
  <c r="AA187"/>
  <c r="AB187"/>
  <c r="AC187"/>
  <c r="AD187"/>
  <c r="W187"/>
  <c r="AE187"/>
  <c r="AF187"/>
  <c r="AG187"/>
  <c r="AH187"/>
  <c r="AI187"/>
  <c r="AJ187"/>
  <c r="E188"/>
  <c r="F188"/>
  <c r="G188"/>
  <c r="H188"/>
  <c r="I188"/>
  <c r="J188"/>
  <c r="K188"/>
  <c r="L188"/>
  <c r="M188"/>
  <c r="N188"/>
  <c r="S188"/>
  <c r="T188"/>
  <c r="U188"/>
  <c r="V188"/>
  <c r="X188"/>
  <c r="Y188"/>
  <c r="Z188"/>
  <c r="AA188"/>
  <c r="AB188"/>
  <c r="AC188"/>
  <c r="AD188"/>
  <c r="W188"/>
  <c r="AE188"/>
  <c r="AF188"/>
  <c r="AG188"/>
  <c r="AH188"/>
  <c r="AI188"/>
  <c r="AJ188"/>
  <c r="E189"/>
  <c r="F189"/>
  <c r="G189"/>
  <c r="H189"/>
  <c r="I189"/>
  <c r="J189"/>
  <c r="K189"/>
  <c r="L189"/>
  <c r="M189"/>
  <c r="N189"/>
  <c r="S189"/>
  <c r="T189"/>
  <c r="U189"/>
  <c r="V189"/>
  <c r="X189"/>
  <c r="Y189"/>
  <c r="Z189"/>
  <c r="AA189"/>
  <c r="AB189"/>
  <c r="AC189"/>
  <c r="AD189"/>
  <c r="W189"/>
  <c r="AE189"/>
  <c r="AF189"/>
  <c r="AG189"/>
  <c r="AH189"/>
  <c r="AI189"/>
  <c r="AJ189"/>
  <c r="E190"/>
  <c r="F190"/>
  <c r="G190"/>
  <c r="H190"/>
  <c r="I190"/>
  <c r="J190"/>
  <c r="K190"/>
  <c r="L190"/>
  <c r="M190"/>
  <c r="N190"/>
  <c r="S190"/>
  <c r="T190"/>
  <c r="U190"/>
  <c r="V190"/>
  <c r="X190"/>
  <c r="Y190"/>
  <c r="Z190"/>
  <c r="AA190"/>
  <c r="AB190"/>
  <c r="AC190"/>
  <c r="AD190"/>
  <c r="W190"/>
  <c r="AE190"/>
  <c r="AF190"/>
  <c r="AG190"/>
  <c r="AH190"/>
  <c r="AI190"/>
  <c r="AJ190"/>
  <c r="E191"/>
  <c r="F191"/>
  <c r="G191"/>
  <c r="H191"/>
  <c r="I191"/>
  <c r="J191"/>
  <c r="K191"/>
  <c r="L191"/>
  <c r="M191"/>
  <c r="N191"/>
  <c r="S191"/>
  <c r="T191"/>
  <c r="U191"/>
  <c r="V191"/>
  <c r="X191"/>
  <c r="Y191"/>
  <c r="Z191"/>
  <c r="AA191"/>
  <c r="AB191"/>
  <c r="AC191"/>
  <c r="AD191"/>
  <c r="W191"/>
  <c r="AE191"/>
  <c r="AF191"/>
  <c r="AG191"/>
  <c r="AH191"/>
  <c r="AI191"/>
  <c r="AJ191"/>
  <c r="E192"/>
  <c r="F192"/>
  <c r="G192"/>
  <c r="H192"/>
  <c r="I192"/>
  <c r="J192"/>
  <c r="K192"/>
  <c r="L192"/>
  <c r="M192"/>
  <c r="N192"/>
  <c r="S192"/>
  <c r="T192"/>
  <c r="U192"/>
  <c r="V192"/>
  <c r="X192"/>
  <c r="Y192"/>
  <c r="Z192"/>
  <c r="AA192"/>
  <c r="AB192"/>
  <c r="AC192"/>
  <c r="AD192"/>
  <c r="W192"/>
  <c r="AE192"/>
  <c r="AF192"/>
  <c r="AG192"/>
  <c r="AH192"/>
  <c r="AI192"/>
  <c r="AJ192"/>
  <c r="E193"/>
  <c r="F193"/>
  <c r="G193"/>
  <c r="H193"/>
  <c r="I193"/>
  <c r="J193"/>
  <c r="K193"/>
  <c r="L193"/>
  <c r="M193"/>
  <c r="N193"/>
  <c r="S193"/>
  <c r="T193"/>
  <c r="U193"/>
  <c r="V193"/>
  <c r="X193"/>
  <c r="Y193"/>
  <c r="Z193"/>
  <c r="AA193"/>
  <c r="AB193"/>
  <c r="AC193"/>
  <c r="AD193"/>
  <c r="W193"/>
  <c r="AE193"/>
  <c r="AF193"/>
  <c r="AG193"/>
  <c r="AH193"/>
  <c r="AI193"/>
  <c r="AJ193"/>
  <c r="D194"/>
  <c r="D193"/>
  <c r="D192"/>
  <c r="D191"/>
  <c r="D190"/>
  <c r="D189"/>
  <c r="D188"/>
  <c r="D187"/>
  <c r="D186"/>
  <c r="D185"/>
  <c r="D184"/>
  <c r="D183"/>
  <c r="D182"/>
  <c r="D181"/>
  <c r="D180"/>
  <c r="D179"/>
  <c r="D178"/>
  <c r="AU101"/>
  <c r="AY195"/>
  <c r="BA29" s="1"/>
  <c r="AY194"/>
  <c r="BA28" s="1"/>
  <c r="AY193"/>
  <c r="BA27" s="1"/>
  <c r="AY192"/>
  <c r="BA26" s="1"/>
  <c r="AY191"/>
  <c r="BA25" s="1"/>
  <c r="AY190"/>
  <c r="BA24" s="1"/>
  <c r="AY189"/>
  <c r="BA23" s="1"/>
  <c r="AY188"/>
  <c r="BA22" s="1"/>
  <c r="AY187"/>
  <c r="BA21" s="1"/>
  <c r="AY186"/>
  <c r="BA20" s="1"/>
  <c r="AY185"/>
  <c r="BA19" s="1"/>
  <c r="AY184"/>
  <c r="BA18" s="1"/>
  <c r="AY183"/>
  <c r="BA17" s="1"/>
  <c r="AY182"/>
  <c r="BA16" s="1"/>
  <c r="AY181"/>
  <c r="BA15" s="1"/>
  <c r="AY180"/>
  <c r="BA14" s="1"/>
  <c r="AY179"/>
  <c r="BA13" s="1"/>
  <c r="AY178"/>
  <c r="BA12" s="1"/>
  <c r="AQ171"/>
  <c r="AQ170"/>
  <c r="AQ169"/>
  <c r="AQ168"/>
  <c r="AQ167"/>
  <c r="AQ166"/>
  <c r="AQ165"/>
  <c r="AQ164"/>
  <c r="AQ163"/>
  <c r="AQ162"/>
  <c r="AQ161"/>
  <c r="AQ155"/>
  <c r="AQ154"/>
  <c r="AQ153"/>
  <c r="AQ152"/>
  <c r="AQ151"/>
  <c r="AQ150"/>
  <c r="AQ149"/>
  <c r="AQ148"/>
  <c r="AQ147"/>
  <c r="AQ146"/>
  <c r="AQ142"/>
  <c r="AV142" s="1"/>
  <c r="AQ141"/>
  <c r="AU141" s="1"/>
  <c r="AQ140"/>
  <c r="AV140" s="1"/>
  <c r="AQ139"/>
  <c r="AW139" s="1"/>
  <c r="AQ138"/>
  <c r="AV138" s="1"/>
  <c r="AQ137"/>
  <c r="AU137" s="1"/>
  <c r="AQ136"/>
  <c r="AV136" s="1"/>
  <c r="AQ135"/>
  <c r="AW135" s="1"/>
  <c r="AQ134"/>
  <c r="AV134" s="1"/>
  <c r="AQ133"/>
  <c r="AU133" s="1"/>
  <c r="AQ132"/>
  <c r="AV132" s="1"/>
  <c r="AQ131"/>
  <c r="AW131" s="1"/>
  <c r="AQ130"/>
  <c r="AV130" s="1"/>
  <c r="AQ129"/>
  <c r="AU129" s="1"/>
  <c r="AQ128"/>
  <c r="AV128" s="1"/>
  <c r="AQ127"/>
  <c r="AW127" s="1"/>
  <c r="AQ126"/>
  <c r="AV126" s="1"/>
  <c r="AQ125"/>
  <c r="AU125" s="1"/>
  <c r="AQ124"/>
  <c r="AV124" s="1"/>
  <c r="AQ123"/>
  <c r="AW123" s="1"/>
  <c r="AQ122"/>
  <c r="AV122" s="1"/>
  <c r="AQ121"/>
  <c r="AU121" s="1"/>
  <c r="AQ120"/>
  <c r="AV120" s="1"/>
  <c r="AQ119"/>
  <c r="AW119" s="1"/>
  <c r="AQ118"/>
  <c r="AV118" s="1"/>
  <c r="AQ117"/>
  <c r="AU117" s="1"/>
  <c r="AQ116"/>
  <c r="AV116" s="1"/>
  <c r="AQ115"/>
  <c r="AW115" s="1"/>
  <c r="AQ114"/>
  <c r="AV114" s="1"/>
  <c r="AQ113"/>
  <c r="AU113" s="1"/>
  <c r="AQ112"/>
  <c r="AV112" s="1"/>
  <c r="AQ111"/>
  <c r="AW111" s="1"/>
  <c r="AQ110"/>
  <c r="AV110" s="1"/>
  <c r="AQ109"/>
  <c r="AU109" s="1"/>
  <c r="AQ108"/>
  <c r="AV108" s="1"/>
  <c r="AQ107"/>
  <c r="AW107" s="1"/>
  <c r="AQ106"/>
  <c r="AV106" s="1"/>
  <c r="AQ105"/>
  <c r="AU105" s="1"/>
  <c r="AQ104"/>
  <c r="AV104" s="1"/>
  <c r="AQ103"/>
  <c r="AW103" s="1"/>
  <c r="AQ68"/>
  <c r="AV68" s="1"/>
  <c r="Q68"/>
  <c r="P68"/>
  <c r="AQ67"/>
  <c r="AW67" s="1"/>
  <c r="Q67"/>
  <c r="P67"/>
  <c r="AQ66"/>
  <c r="AV66" s="1"/>
  <c r="Q66"/>
  <c r="P66"/>
  <c r="AQ65"/>
  <c r="AU65" s="1"/>
  <c r="Q65"/>
  <c r="P65"/>
  <c r="AQ64"/>
  <c r="AV64" s="1"/>
  <c r="Q64"/>
  <c r="P64"/>
  <c r="AQ63"/>
  <c r="AW63" s="1"/>
  <c r="Q63"/>
  <c r="P63"/>
  <c r="AQ62"/>
  <c r="AV62" s="1"/>
  <c r="Q62"/>
  <c r="P62"/>
  <c r="S34"/>
  <c r="N34"/>
  <c r="M34"/>
  <c r="L34"/>
  <c r="K34"/>
  <c r="J34"/>
  <c r="I34"/>
  <c r="H34"/>
  <c r="G34"/>
  <c r="F34"/>
  <c r="E34"/>
  <c r="D34"/>
  <c r="S33"/>
  <c r="N33"/>
  <c r="N35" s="1"/>
  <c r="M33"/>
  <c r="L33"/>
  <c r="K33"/>
  <c r="J33"/>
  <c r="J35" s="1"/>
  <c r="I33"/>
  <c r="H33"/>
  <c r="G33"/>
  <c r="F33"/>
  <c r="F35" s="1"/>
  <c r="E33"/>
  <c r="D33"/>
  <c r="S32"/>
  <c r="N32"/>
  <c r="M32"/>
  <c r="L32"/>
  <c r="K32"/>
  <c r="J32"/>
  <c r="I32"/>
  <c r="H32"/>
  <c r="G32"/>
  <c r="F32"/>
  <c r="E32"/>
  <c r="D32"/>
  <c r="S31"/>
  <c r="N31"/>
  <c r="M31"/>
  <c r="L31"/>
  <c r="K31"/>
  <c r="J31"/>
  <c r="I31"/>
  <c r="H31"/>
  <c r="G31"/>
  <c r="F31"/>
  <c r="E31"/>
  <c r="D31"/>
  <c r="AQ29"/>
  <c r="AV29" s="1"/>
  <c r="Q29"/>
  <c r="P29"/>
  <c r="P221" s="1"/>
  <c r="AQ28"/>
  <c r="AW28" s="1"/>
  <c r="Q28"/>
  <c r="P28"/>
  <c r="P220" s="1"/>
  <c r="AQ27"/>
  <c r="AU27" s="1"/>
  <c r="Q27"/>
  <c r="P27"/>
  <c r="P219" s="1"/>
  <c r="AQ26"/>
  <c r="AU26" s="1"/>
  <c r="Q26"/>
  <c r="P26"/>
  <c r="P218" s="1"/>
  <c r="AQ25"/>
  <c r="AV25" s="1"/>
  <c r="Q25"/>
  <c r="P25"/>
  <c r="P217" s="1"/>
  <c r="AQ24"/>
  <c r="AW24" s="1"/>
  <c r="Q24"/>
  <c r="P24"/>
  <c r="P216" s="1"/>
  <c r="AQ23"/>
  <c r="AU23" s="1"/>
  <c r="Q23"/>
  <c r="P23"/>
  <c r="P215" s="1"/>
  <c r="AQ22"/>
  <c r="AU22" s="1"/>
  <c r="Q22"/>
  <c r="P22"/>
  <c r="P214" s="1"/>
  <c r="AQ21"/>
  <c r="AV21" s="1"/>
  <c r="Q21"/>
  <c r="P21"/>
  <c r="P213" s="1"/>
  <c r="AQ20"/>
  <c r="AW20" s="1"/>
  <c r="Q20"/>
  <c r="P20"/>
  <c r="P212" s="1"/>
  <c r="AQ19"/>
  <c r="AU19" s="1"/>
  <c r="Q19"/>
  <c r="P19"/>
  <c r="P211" s="1"/>
  <c r="AQ18"/>
  <c r="AU18" s="1"/>
  <c r="Q18"/>
  <c r="P18"/>
  <c r="P210" s="1"/>
  <c r="AQ17"/>
  <c r="AV17" s="1"/>
  <c r="Q17"/>
  <c r="P17"/>
  <c r="P209" s="1"/>
  <c r="AQ16"/>
  <c r="AW16" s="1"/>
  <c r="Q16"/>
  <c r="P16"/>
  <c r="P208" s="1"/>
  <c r="AQ15"/>
  <c r="AW15" s="1"/>
  <c r="Q15"/>
  <c r="P15"/>
  <c r="P207" s="1"/>
  <c r="AQ14"/>
  <c r="AU14" s="1"/>
  <c r="Q14"/>
  <c r="P14"/>
  <c r="AQ13"/>
  <c r="AV13" s="1"/>
  <c r="Q13"/>
  <c r="P13"/>
  <c r="P205" s="1"/>
  <c r="AQ12"/>
  <c r="AQ204" s="1"/>
  <c r="Q12"/>
  <c r="P12"/>
  <c r="P204" s="1"/>
  <c r="P44" l="1"/>
  <c r="P43"/>
  <c r="AN59"/>
  <c r="L59"/>
  <c r="AC47"/>
  <c r="Y47"/>
  <c r="U47"/>
  <c r="P46"/>
  <c r="P47" s="1"/>
  <c r="AQ44"/>
  <c r="AN100"/>
  <c r="AR59"/>
  <c r="AJ59"/>
  <c r="AF59"/>
  <c r="AB59"/>
  <c r="X59"/>
  <c r="T59"/>
  <c r="M59"/>
  <c r="I59"/>
  <c r="E59"/>
  <c r="AG53"/>
  <c r="AC53"/>
  <c r="Y53"/>
  <c r="U53"/>
  <c r="F53"/>
  <c r="AQ46"/>
  <c r="AQ47" s="1"/>
  <c r="AQ43"/>
  <c r="H59"/>
  <c r="Q47"/>
  <c r="M47"/>
  <c r="I47"/>
  <c r="E47"/>
  <c r="F59"/>
  <c r="O53"/>
  <c r="K53"/>
  <c r="G53"/>
  <c r="AU41"/>
  <c r="P52"/>
  <c r="Q49"/>
  <c r="P58"/>
  <c r="Q58"/>
  <c r="AP58"/>
  <c r="AL82"/>
  <c r="AP53"/>
  <c r="AH53"/>
  <c r="Z53"/>
  <c r="AW41"/>
  <c r="AX41" s="1"/>
  <c r="J53"/>
  <c r="Q57"/>
  <c r="AO57"/>
  <c r="AP56"/>
  <c r="Q50"/>
  <c r="AM100"/>
  <c r="AL59"/>
  <c r="V59"/>
  <c r="AM53"/>
  <c r="AI53"/>
  <c r="AE53"/>
  <c r="AA53"/>
  <c r="W53"/>
  <c r="S53"/>
  <c r="Q59"/>
  <c r="AO79"/>
  <c r="AO58"/>
  <c r="AO59" s="1"/>
  <c r="AP57"/>
  <c r="AP59" s="1"/>
  <c r="AQ56"/>
  <c r="P55"/>
  <c r="AQ57"/>
  <c r="P56"/>
  <c r="AO55"/>
  <c r="Q55"/>
  <c r="Q52"/>
  <c r="AN53"/>
  <c r="AJ53"/>
  <c r="AF53"/>
  <c r="AB53"/>
  <c r="X53"/>
  <c r="T53"/>
  <c r="P51"/>
  <c r="P53" s="1"/>
  <c r="L53"/>
  <c r="H53"/>
  <c r="AQ50"/>
  <c r="AU40"/>
  <c r="AU43" s="1"/>
  <c r="AV38"/>
  <c r="AQ58"/>
  <c r="AM59"/>
  <c r="AI59"/>
  <c r="AE59"/>
  <c r="AA59"/>
  <c r="W59"/>
  <c r="S59"/>
  <c r="O59"/>
  <c r="K59"/>
  <c r="G59"/>
  <c r="P57"/>
  <c r="AO56"/>
  <c r="Q56"/>
  <c r="AP55"/>
  <c r="AR53"/>
  <c r="Q51"/>
  <c r="P50"/>
  <c r="AQ49"/>
  <c r="AV42"/>
  <c r="AV40"/>
  <c r="AQ51"/>
  <c r="AQ55"/>
  <c r="AY53"/>
  <c r="AQ52"/>
  <c r="AQ53" s="1"/>
  <c r="P49"/>
  <c r="AP79"/>
  <c r="BA49"/>
  <c r="AO78"/>
  <c r="AN82"/>
  <c r="AP96"/>
  <c r="AL100"/>
  <c r="AW38"/>
  <c r="AM82"/>
  <c r="AO96"/>
  <c r="BA55"/>
  <c r="BA32"/>
  <c r="AQ31"/>
  <c r="AP80"/>
  <c r="AP78"/>
  <c r="AO99"/>
  <c r="AO100" s="1"/>
  <c r="AO98"/>
  <c r="AO97"/>
  <c r="AQ32"/>
  <c r="AO81"/>
  <c r="AP99"/>
  <c r="AP98"/>
  <c r="AP97"/>
  <c r="AW39"/>
  <c r="AQ33"/>
  <c r="AP81"/>
  <c r="AP82" s="1"/>
  <c r="AV39"/>
  <c r="AU17"/>
  <c r="AU128"/>
  <c r="AQ34"/>
  <c r="AO80"/>
  <c r="BA52"/>
  <c r="BA50"/>
  <c r="BA33"/>
  <c r="BA31"/>
  <c r="BA51"/>
  <c r="BA34"/>
  <c r="AX20" i="2"/>
  <c r="K32"/>
  <c r="W32"/>
  <c r="AI32"/>
  <c r="AY32"/>
  <c r="AW13"/>
  <c r="AW21"/>
  <c r="J32"/>
  <c r="AR32"/>
  <c r="AQ33"/>
  <c r="BA29"/>
  <c r="BF34"/>
  <c r="AV13"/>
  <c r="AX13" s="1"/>
  <c r="AX16"/>
  <c r="AV21"/>
  <c r="AX21" s="1"/>
  <c r="AX24"/>
  <c r="BA33"/>
  <c r="AV20"/>
  <c r="BF37"/>
  <c r="T32"/>
  <c r="X32"/>
  <c r="AB32"/>
  <c r="AF32"/>
  <c r="AJ32"/>
  <c r="AO32"/>
  <c r="G32"/>
  <c r="S32"/>
  <c r="AA32"/>
  <c r="AE32"/>
  <c r="AN32"/>
  <c r="BF30"/>
  <c r="AQ34"/>
  <c r="AX17"/>
  <c r="F32"/>
  <c r="N32"/>
  <c r="E32"/>
  <c r="I32"/>
  <c r="U32"/>
  <c r="Y32"/>
  <c r="AC32"/>
  <c r="AG32"/>
  <c r="AL32"/>
  <c r="AP32"/>
  <c r="AX19"/>
  <c r="BF28"/>
  <c r="AQ28"/>
  <c r="AW14"/>
  <c r="AW18"/>
  <c r="AW26"/>
  <c r="AW37" s="1"/>
  <c r="BF29"/>
  <c r="AQ29"/>
  <c r="BA36"/>
  <c r="AQ37"/>
  <c r="AU10"/>
  <c r="AV11"/>
  <c r="AX11" s="1"/>
  <c r="AW12"/>
  <c r="AU14"/>
  <c r="AU36" s="1"/>
  <c r="AV15"/>
  <c r="AU18"/>
  <c r="AV19"/>
  <c r="AU22"/>
  <c r="AV23"/>
  <c r="AX23" s="1"/>
  <c r="AX25"/>
  <c r="AU26"/>
  <c r="AV27"/>
  <c r="AX27" s="1"/>
  <c r="BA30"/>
  <c r="BF31"/>
  <c r="BF32" s="1"/>
  <c r="AQ31"/>
  <c r="AQ32" s="1"/>
  <c r="AU33"/>
  <c r="BA34"/>
  <c r="BF35"/>
  <c r="AQ35"/>
  <c r="BA31"/>
  <c r="BA32" s="1"/>
  <c r="BA35"/>
  <c r="BF36"/>
  <c r="AQ36"/>
  <c r="AW10"/>
  <c r="AW22"/>
  <c r="BA28"/>
  <c r="AV10"/>
  <c r="AX12"/>
  <c r="I227" i="1"/>
  <c r="M231"/>
  <c r="AB196"/>
  <c r="AW118"/>
  <c r="I231"/>
  <c r="E231"/>
  <c r="N227"/>
  <c r="V227"/>
  <c r="AA227"/>
  <c r="W227"/>
  <c r="AH227"/>
  <c r="AI231"/>
  <c r="P206"/>
  <c r="AW120"/>
  <c r="L231"/>
  <c r="H231"/>
  <c r="AQ209"/>
  <c r="AR230"/>
  <c r="I230"/>
  <c r="AG229"/>
  <c r="U230"/>
  <c r="G225"/>
  <c r="K225"/>
  <c r="U222"/>
  <c r="Z227"/>
  <c r="AD227"/>
  <c r="AG222"/>
  <c r="AQ217"/>
  <c r="M228"/>
  <c r="E229"/>
  <c r="AD228"/>
  <c r="AV133"/>
  <c r="AJ231"/>
  <c r="AG228"/>
  <c r="AD230"/>
  <c r="Z229"/>
  <c r="U228"/>
  <c r="AQ221"/>
  <c r="AU25"/>
  <c r="AW116"/>
  <c r="M222"/>
  <c r="X225"/>
  <c r="AB225"/>
  <c r="AE225"/>
  <c r="AQ205"/>
  <c r="AQ227" s="1"/>
  <c r="G222"/>
  <c r="Z231"/>
  <c r="AE228"/>
  <c r="X228"/>
  <c r="AD223"/>
  <c r="AD222"/>
  <c r="AW114"/>
  <c r="AV141"/>
  <c r="G196"/>
  <c r="J231"/>
  <c r="F231"/>
  <c r="J228"/>
  <c r="F228"/>
  <c r="L228"/>
  <c r="H228"/>
  <c r="D230"/>
  <c r="J225"/>
  <c r="F225"/>
  <c r="AF231"/>
  <c r="AC231"/>
  <c r="Y231"/>
  <c r="T231"/>
  <c r="AH223"/>
  <c r="W224"/>
  <c r="AA222"/>
  <c r="V223"/>
  <c r="N222"/>
  <c r="AF222"/>
  <c r="AC222"/>
  <c r="Y222"/>
  <c r="T222"/>
  <c r="AI225"/>
  <c r="AG230"/>
  <c r="M230"/>
  <c r="AD229"/>
  <c r="I229"/>
  <c r="Z228"/>
  <c r="E228"/>
  <c r="U227"/>
  <c r="Z222"/>
  <c r="AQ220"/>
  <c r="AQ216"/>
  <c r="AQ212"/>
  <c r="AQ208"/>
  <c r="AR223"/>
  <c r="K231"/>
  <c r="K222"/>
  <c r="AD231"/>
  <c r="AJ228"/>
  <c r="S228"/>
  <c r="Z223"/>
  <c r="M229"/>
  <c r="I228"/>
  <c r="I222"/>
  <c r="AQ213"/>
  <c r="AV23"/>
  <c r="AV109"/>
  <c r="AU118"/>
  <c r="AU120"/>
  <c r="AU126"/>
  <c r="AW142"/>
  <c r="D231"/>
  <c r="L222"/>
  <c r="H222"/>
  <c r="D222"/>
  <c r="AH231"/>
  <c r="W231"/>
  <c r="AA231"/>
  <c r="V231"/>
  <c r="N231"/>
  <c r="AF228"/>
  <c r="AC228"/>
  <c r="Y228"/>
  <c r="T228"/>
  <c r="AH225"/>
  <c r="W225"/>
  <c r="AA225"/>
  <c r="V225"/>
  <c r="N225"/>
  <c r="Z230"/>
  <c r="E230"/>
  <c r="U229"/>
  <c r="AG227"/>
  <c r="M227"/>
  <c r="AQ218"/>
  <c r="AQ214"/>
  <c r="AQ210"/>
  <c r="AQ206"/>
  <c r="AR231"/>
  <c r="G231"/>
  <c r="AG231"/>
  <c r="U231"/>
  <c r="AB228"/>
  <c r="AG223"/>
  <c r="U223"/>
  <c r="S225"/>
  <c r="P31"/>
  <c r="K228"/>
  <c r="G228"/>
  <c r="M223"/>
  <c r="I223"/>
  <c r="AE231"/>
  <c r="AB231"/>
  <c r="X231"/>
  <c r="S231"/>
  <c r="AJ222"/>
  <c r="AE222"/>
  <c r="AB222"/>
  <c r="X222"/>
  <c r="S222"/>
  <c r="AI222"/>
  <c r="AQ219"/>
  <c r="AQ215"/>
  <c r="AQ211"/>
  <c r="AQ207"/>
  <c r="D229"/>
  <c r="AH224"/>
  <c r="AA224"/>
  <c r="N224"/>
  <c r="F224"/>
  <c r="W223"/>
  <c r="AA223"/>
  <c r="N223"/>
  <c r="J223"/>
  <c r="F223"/>
  <c r="D224"/>
  <c r="D228"/>
  <c r="AH230"/>
  <c r="W230"/>
  <c r="AA230"/>
  <c r="V230"/>
  <c r="N230"/>
  <c r="J230"/>
  <c r="F230"/>
  <c r="AH229"/>
  <c r="W229"/>
  <c r="AA229"/>
  <c r="V229"/>
  <c r="N229"/>
  <c r="J229"/>
  <c r="F229"/>
  <c r="AH228"/>
  <c r="W228"/>
  <c r="AA228"/>
  <c r="V228"/>
  <c r="N228"/>
  <c r="J227"/>
  <c r="F227"/>
  <c r="AJ225"/>
  <c r="AF225"/>
  <c r="AC225"/>
  <c r="Y225"/>
  <c r="T225"/>
  <c r="L225"/>
  <c r="H225"/>
  <c r="AI224"/>
  <c r="AE224"/>
  <c r="AB224"/>
  <c r="X224"/>
  <c r="S224"/>
  <c r="K224"/>
  <c r="G224"/>
  <c r="AI223"/>
  <c r="AE223"/>
  <c r="AB223"/>
  <c r="X223"/>
  <c r="S223"/>
  <c r="K223"/>
  <c r="G223"/>
  <c r="AH222"/>
  <c r="W222"/>
  <c r="V222"/>
  <c r="J222"/>
  <c r="F222"/>
  <c r="D223"/>
  <c r="D227"/>
  <c r="AI230"/>
  <c r="AE230"/>
  <c r="AB230"/>
  <c r="X230"/>
  <c r="S230"/>
  <c r="K230"/>
  <c r="G230"/>
  <c r="AI229"/>
  <c r="AE229"/>
  <c r="AB229"/>
  <c r="X229"/>
  <c r="S229"/>
  <c r="K229"/>
  <c r="G229"/>
  <c r="AI228"/>
  <c r="AI227"/>
  <c r="AE227"/>
  <c r="AB227"/>
  <c r="X227"/>
  <c r="S227"/>
  <c r="K227"/>
  <c r="G227"/>
  <c r="AG225"/>
  <c r="AD225"/>
  <c r="Z225"/>
  <c r="U225"/>
  <c r="M225"/>
  <c r="I225"/>
  <c r="AJ224"/>
  <c r="AF224"/>
  <c r="AC224"/>
  <c r="Y224"/>
  <c r="T224"/>
  <c r="L224"/>
  <c r="L226" s="1"/>
  <c r="H224"/>
  <c r="H226" s="1"/>
  <c r="AJ223"/>
  <c r="AF223"/>
  <c r="AC223"/>
  <c r="Y223"/>
  <c r="T223"/>
  <c r="L223"/>
  <c r="H223"/>
  <c r="E224"/>
  <c r="D225"/>
  <c r="V224"/>
  <c r="J224"/>
  <c r="AJ230"/>
  <c r="AF230"/>
  <c r="AC230"/>
  <c r="Y230"/>
  <c r="T230"/>
  <c r="L230"/>
  <c r="H230"/>
  <c r="AJ229"/>
  <c r="AF229"/>
  <c r="AC229"/>
  <c r="Y229"/>
  <c r="T229"/>
  <c r="L229"/>
  <c r="H229"/>
  <c r="AJ227"/>
  <c r="AF227"/>
  <c r="AC227"/>
  <c r="Y227"/>
  <c r="T227"/>
  <c r="L227"/>
  <c r="H227"/>
  <c r="AG224"/>
  <c r="AD224"/>
  <c r="Z224"/>
  <c r="U224"/>
  <c r="M224"/>
  <c r="I224"/>
  <c r="AR227"/>
  <c r="AR229"/>
  <c r="AR224"/>
  <c r="AR228"/>
  <c r="AR225"/>
  <c r="AR222"/>
  <c r="E227"/>
  <c r="E225"/>
  <c r="E223"/>
  <c r="E222"/>
  <c r="W197"/>
  <c r="J197"/>
  <c r="AG199"/>
  <c r="Z199"/>
  <c r="M199"/>
  <c r="I199"/>
  <c r="AU13"/>
  <c r="D35"/>
  <c r="H35"/>
  <c r="L35"/>
  <c r="AW62"/>
  <c r="AW66"/>
  <c r="AW68"/>
  <c r="AW104"/>
  <c r="AU110"/>
  <c r="AV125"/>
  <c r="AW130"/>
  <c r="AW134"/>
  <c r="AW136"/>
  <c r="AU142"/>
  <c r="AH197"/>
  <c r="AA197"/>
  <c r="N197"/>
  <c r="F197"/>
  <c r="AD199"/>
  <c r="U199"/>
  <c r="E199"/>
  <c r="AV15"/>
  <c r="AW17"/>
  <c r="AW183" s="1"/>
  <c r="AW23"/>
  <c r="AW189" s="1"/>
  <c r="AW25"/>
  <c r="AW191" s="1"/>
  <c r="AW64"/>
  <c r="AV65"/>
  <c r="AU66"/>
  <c r="AU68"/>
  <c r="AU104"/>
  <c r="AU112"/>
  <c r="AV117"/>
  <c r="AW132"/>
  <c r="AU134"/>
  <c r="AU136"/>
  <c r="AE197"/>
  <c r="AB197"/>
  <c r="K196"/>
  <c r="AW13"/>
  <c r="AV14"/>
  <c r="AU15"/>
  <c r="AW19"/>
  <c r="AW185" s="1"/>
  <c r="AW21"/>
  <c r="AW187" s="1"/>
  <c r="AV22"/>
  <c r="AW27"/>
  <c r="AW29"/>
  <c r="AW186" s="1"/>
  <c r="G35"/>
  <c r="K35"/>
  <c r="S35"/>
  <c r="AU62"/>
  <c r="AU64"/>
  <c r="AV105"/>
  <c r="AW110"/>
  <c r="AW112"/>
  <c r="AU114"/>
  <c r="AU116"/>
  <c r="AV121"/>
  <c r="AW126"/>
  <c r="AW128"/>
  <c r="AU130"/>
  <c r="AU132"/>
  <c r="AV137"/>
  <c r="AH198"/>
  <c r="W198"/>
  <c r="AA198"/>
  <c r="V198"/>
  <c r="N198"/>
  <c r="J198"/>
  <c r="F198"/>
  <c r="Z198"/>
  <c r="E198"/>
  <c r="V197"/>
  <c r="AE196"/>
  <c r="Z200"/>
  <c r="AV19"/>
  <c r="AU21"/>
  <c r="AV27"/>
  <c r="AU29"/>
  <c r="AW106"/>
  <c r="AW108"/>
  <c r="AW122"/>
  <c r="AW124"/>
  <c r="AW138"/>
  <c r="AW140"/>
  <c r="AY199"/>
  <c r="D196"/>
  <c r="AJ196"/>
  <c r="X197"/>
  <c r="S197"/>
  <c r="K197"/>
  <c r="G197"/>
  <c r="AD198"/>
  <c r="I198"/>
  <c r="S196"/>
  <c r="P34"/>
  <c r="U198"/>
  <c r="Q32"/>
  <c r="Q31"/>
  <c r="AV18"/>
  <c r="AV26"/>
  <c r="E35"/>
  <c r="I35"/>
  <c r="M35"/>
  <c r="AU106"/>
  <c r="AU108"/>
  <c r="AV113"/>
  <c r="AU122"/>
  <c r="AU124"/>
  <c r="AV129"/>
  <c r="AU138"/>
  <c r="AU140"/>
  <c r="AY198"/>
  <c r="D199"/>
  <c r="AF196"/>
  <c r="AC196"/>
  <c r="Y196"/>
  <c r="T196"/>
  <c r="L196"/>
  <c r="H196"/>
  <c r="AG198"/>
  <c r="M198"/>
  <c r="X196"/>
  <c r="AI197"/>
  <c r="AI196"/>
  <c r="AW181"/>
  <c r="AW182"/>
  <c r="AW190"/>
  <c r="AW194"/>
  <c r="AJ199"/>
  <c r="Y199"/>
  <c r="H199"/>
  <c r="AV12"/>
  <c r="AV20"/>
  <c r="AV186" s="1"/>
  <c r="AV24"/>
  <c r="AV28"/>
  <c r="AV194" s="1"/>
  <c r="P32"/>
  <c r="Q33"/>
  <c r="AV63"/>
  <c r="AV67"/>
  <c r="AV107"/>
  <c r="AV111"/>
  <c r="AV115"/>
  <c r="AV119"/>
  <c r="AV123"/>
  <c r="AV127"/>
  <c r="AV131"/>
  <c r="AV135"/>
  <c r="AV139"/>
  <c r="D198"/>
  <c r="AH199"/>
  <c r="W199"/>
  <c r="AA199"/>
  <c r="V199"/>
  <c r="N199"/>
  <c r="J199"/>
  <c r="F199"/>
  <c r="AI198"/>
  <c r="AE198"/>
  <c r="AB198"/>
  <c r="X198"/>
  <c r="S198"/>
  <c r="K198"/>
  <c r="G198"/>
  <c r="AJ197"/>
  <c r="AF197"/>
  <c r="AC197"/>
  <c r="Y197"/>
  <c r="T197"/>
  <c r="L197"/>
  <c r="H197"/>
  <c r="AY196"/>
  <c r="BA30" s="1"/>
  <c r="AG196"/>
  <c r="AD196"/>
  <c r="Z196"/>
  <c r="U196"/>
  <c r="M196"/>
  <c r="I196"/>
  <c r="E196"/>
  <c r="AV103"/>
  <c r="AF199"/>
  <c r="T199"/>
  <c r="AV16"/>
  <c r="AU12"/>
  <c r="AW14"/>
  <c r="AU16"/>
  <c r="AW18"/>
  <c r="AW184" s="1"/>
  <c r="AU20"/>
  <c r="AW22"/>
  <c r="AW188" s="1"/>
  <c r="AU24"/>
  <c r="AW26"/>
  <c r="AW192" s="1"/>
  <c r="AU28"/>
  <c r="P33"/>
  <c r="Q34"/>
  <c r="AU63"/>
  <c r="AW65"/>
  <c r="AU67"/>
  <c r="AW105"/>
  <c r="AU107"/>
  <c r="AW109"/>
  <c r="AU111"/>
  <c r="AW113"/>
  <c r="AU115"/>
  <c r="AW117"/>
  <c r="AU119"/>
  <c r="AW121"/>
  <c r="AU123"/>
  <c r="AW125"/>
  <c r="AU127"/>
  <c r="AW129"/>
  <c r="AU131"/>
  <c r="AW133"/>
  <c r="AU135"/>
  <c r="AW137"/>
  <c r="AU139"/>
  <c r="AW141"/>
  <c r="AX141" s="1"/>
  <c r="AU103"/>
  <c r="D197"/>
  <c r="AI199"/>
  <c r="AE199"/>
  <c r="AB199"/>
  <c r="X199"/>
  <c r="S199"/>
  <c r="K199"/>
  <c r="G199"/>
  <c r="AJ198"/>
  <c r="AF198"/>
  <c r="AC198"/>
  <c r="Y198"/>
  <c r="T198"/>
  <c r="L198"/>
  <c r="H198"/>
  <c r="AY197"/>
  <c r="AG197"/>
  <c r="AD197"/>
  <c r="Z197"/>
  <c r="U197"/>
  <c r="M197"/>
  <c r="I197"/>
  <c r="E197"/>
  <c r="AH196"/>
  <c r="W196"/>
  <c r="AA196"/>
  <c r="V196"/>
  <c r="N196"/>
  <c r="J196"/>
  <c r="F196"/>
  <c r="AC199"/>
  <c r="L199"/>
  <c r="AW12"/>
  <c r="AV44" l="1"/>
  <c r="AV43"/>
  <c r="AV46"/>
  <c r="P59"/>
  <c r="AU44"/>
  <c r="AX42"/>
  <c r="AX45" s="1"/>
  <c r="AV45"/>
  <c r="AW43"/>
  <c r="AW46"/>
  <c r="AW47" s="1"/>
  <c r="AW44"/>
  <c r="AU46"/>
  <c r="AU47" s="1"/>
  <c r="AX142"/>
  <c r="AZ38"/>
  <c r="AQ59"/>
  <c r="AX40"/>
  <c r="AU50"/>
  <c r="AU52"/>
  <c r="AU49"/>
  <c r="AU51"/>
  <c r="AV50"/>
  <c r="AV49"/>
  <c r="AV51"/>
  <c r="AV52"/>
  <c r="AX38"/>
  <c r="AG200"/>
  <c r="Q53"/>
  <c r="AW49"/>
  <c r="AW51"/>
  <c r="AW50"/>
  <c r="AW52"/>
  <c r="AW53" s="1"/>
  <c r="AV182"/>
  <c r="AQ35"/>
  <c r="AP100"/>
  <c r="AZ39"/>
  <c r="AO82"/>
  <c r="AU183"/>
  <c r="AU32"/>
  <c r="AU31"/>
  <c r="AU34"/>
  <c r="AU33"/>
  <c r="AV31"/>
  <c r="AV34"/>
  <c r="AV35" s="1"/>
  <c r="AV33"/>
  <c r="AV32"/>
  <c r="AW34"/>
  <c r="AW33"/>
  <c r="AW32"/>
  <c r="AW31"/>
  <c r="AX39"/>
  <c r="AX109"/>
  <c r="AV184"/>
  <c r="AX128"/>
  <c r="AX114"/>
  <c r="AU184"/>
  <c r="AZ18" s="1"/>
  <c r="V226"/>
  <c r="AX120"/>
  <c r="AU55"/>
  <c r="AV55"/>
  <c r="AW55"/>
  <c r="G226"/>
  <c r="AB226"/>
  <c r="W226"/>
  <c r="BA35"/>
  <c r="BA53"/>
  <c r="AX62"/>
  <c r="AX13"/>
  <c r="AX205" s="1"/>
  <c r="AV35" i="2"/>
  <c r="AV37"/>
  <c r="AV33"/>
  <c r="AU35"/>
  <c r="AX33"/>
  <c r="AW30"/>
  <c r="AW29"/>
  <c r="AW28"/>
  <c r="AW31"/>
  <c r="AW32" s="1"/>
  <c r="AU28"/>
  <c r="AU31"/>
  <c r="AX10"/>
  <c r="AU29"/>
  <c r="AU30"/>
  <c r="AW34"/>
  <c r="AW35"/>
  <c r="AW33"/>
  <c r="AW36"/>
  <c r="AV29"/>
  <c r="AV28"/>
  <c r="AV30"/>
  <c r="AV31"/>
  <c r="AU34"/>
  <c r="AX14"/>
  <c r="AX15"/>
  <c r="AV34"/>
  <c r="AX18"/>
  <c r="AX26"/>
  <c r="AX37" s="1"/>
  <c r="AV36"/>
  <c r="AX22"/>
  <c r="AU37"/>
  <c r="AX118" i="1"/>
  <c r="AW179"/>
  <c r="AX125"/>
  <c r="AX17"/>
  <c r="AX209" s="1"/>
  <c r="AX135"/>
  <c r="AX119"/>
  <c r="AX67"/>
  <c r="V200"/>
  <c r="N200"/>
  <c r="AH200"/>
  <c r="M200"/>
  <c r="F226"/>
  <c r="AX116"/>
  <c r="AX15"/>
  <c r="AX207" s="1"/>
  <c r="AX134"/>
  <c r="AX137"/>
  <c r="AX121"/>
  <c r="AW195"/>
  <c r="AD200"/>
  <c r="AX64"/>
  <c r="AX66"/>
  <c r="Z226"/>
  <c r="AX133"/>
  <c r="AX117"/>
  <c r="AX23"/>
  <c r="AX215" s="1"/>
  <c r="AH226"/>
  <c r="AX130"/>
  <c r="AX68"/>
  <c r="X226"/>
  <c r="AR226"/>
  <c r="AQ231"/>
  <c r="AQ229"/>
  <c r="AE226"/>
  <c r="AX104"/>
  <c r="AQ222"/>
  <c r="J226"/>
  <c r="S226"/>
  <c r="AQ223"/>
  <c r="AX25"/>
  <c r="AX217" s="1"/>
  <c r="K226"/>
  <c r="AX113"/>
  <c r="E226"/>
  <c r="AG226"/>
  <c r="AA226"/>
  <c r="AQ230"/>
  <c r="AX126"/>
  <c r="AW193"/>
  <c r="AC200"/>
  <c r="U200"/>
  <c r="AX21"/>
  <c r="AX213" s="1"/>
  <c r="AX132"/>
  <c r="AX110"/>
  <c r="AX19"/>
  <c r="AX211" s="1"/>
  <c r="AX136"/>
  <c r="AX112"/>
  <c r="AQ224"/>
  <c r="AD226"/>
  <c r="N226"/>
  <c r="AQ228"/>
  <c r="AQ225"/>
  <c r="AW180"/>
  <c r="AX140"/>
  <c r="AI226"/>
  <c r="AX131"/>
  <c r="AX115"/>
  <c r="AX63"/>
  <c r="D200"/>
  <c r="E200"/>
  <c r="I200"/>
  <c r="U226"/>
  <c r="AF226"/>
  <c r="D226"/>
  <c r="I226"/>
  <c r="Y226"/>
  <c r="M226"/>
  <c r="AC226"/>
  <c r="T226"/>
  <c r="AJ226"/>
  <c r="AX127"/>
  <c r="AX111"/>
  <c r="F200"/>
  <c r="AA200"/>
  <c r="AJ200"/>
  <c r="AX108"/>
  <c r="AX105"/>
  <c r="H200"/>
  <c r="K200"/>
  <c r="AE200"/>
  <c r="AX65"/>
  <c r="P35"/>
  <c r="AV187"/>
  <c r="AX124"/>
  <c r="AX29"/>
  <c r="AX221" s="1"/>
  <c r="X200"/>
  <c r="AX129"/>
  <c r="AX27"/>
  <c r="AV191"/>
  <c r="AX138"/>
  <c r="L200"/>
  <c r="S200"/>
  <c r="AX139"/>
  <c r="AX123"/>
  <c r="AX107"/>
  <c r="AX103"/>
  <c r="J200"/>
  <c r="W200"/>
  <c r="AV193"/>
  <c r="AX122"/>
  <c r="AX106"/>
  <c r="AY200"/>
  <c r="AI200"/>
  <c r="AU190"/>
  <c r="AX24"/>
  <c r="AX216" s="1"/>
  <c r="AU191"/>
  <c r="AF200"/>
  <c r="AU195"/>
  <c r="AV190"/>
  <c r="Y200"/>
  <c r="AV180"/>
  <c r="AX22"/>
  <c r="AX214" s="1"/>
  <c r="AV179"/>
  <c r="AV185"/>
  <c r="AX18"/>
  <c r="AW178"/>
  <c r="AU194"/>
  <c r="AZ28" s="1"/>
  <c r="AX28"/>
  <c r="AU178"/>
  <c r="AX12"/>
  <c r="AU186"/>
  <c r="AZ20" s="1"/>
  <c r="AX20"/>
  <c r="AU188"/>
  <c r="G200"/>
  <c r="AB200"/>
  <c r="Q35"/>
  <c r="T200"/>
  <c r="AV188"/>
  <c r="AU181"/>
  <c r="AV195"/>
  <c r="AU180"/>
  <c r="AV189"/>
  <c r="AV192"/>
  <c r="AU187"/>
  <c r="AU192"/>
  <c r="AU182"/>
  <c r="AX16"/>
  <c r="AV178"/>
  <c r="AU185"/>
  <c r="AU179"/>
  <c r="AU189"/>
  <c r="AV183"/>
  <c r="AX14"/>
  <c r="AV181"/>
  <c r="AU193"/>
  <c r="AX26"/>
  <c r="AV47" l="1"/>
  <c r="AX46"/>
  <c r="AX47" s="1"/>
  <c r="AX44"/>
  <c r="AX43"/>
  <c r="AZ16"/>
  <c r="AU53"/>
  <c r="AX49"/>
  <c r="AX50"/>
  <c r="AX52"/>
  <c r="AX53" s="1"/>
  <c r="AX51"/>
  <c r="AZ17"/>
  <c r="AV53"/>
  <c r="AZ15"/>
  <c r="AZ13"/>
  <c r="AZ29"/>
  <c r="AZ24"/>
  <c r="AX55"/>
  <c r="AZ25"/>
  <c r="AZ19"/>
  <c r="AZ26"/>
  <c r="AZ14"/>
  <c r="AZ22"/>
  <c r="AZ12"/>
  <c r="AZ21"/>
  <c r="AX210"/>
  <c r="AX184"/>
  <c r="AX204"/>
  <c r="AX33"/>
  <c r="AX32"/>
  <c r="AX31"/>
  <c r="AX34"/>
  <c r="AZ27"/>
  <c r="AZ55" s="1"/>
  <c r="AZ23"/>
  <c r="AW35"/>
  <c r="AU35"/>
  <c r="AX36" i="2"/>
  <c r="AU32"/>
  <c r="AX35"/>
  <c r="AX31"/>
  <c r="AX30"/>
  <c r="AX29"/>
  <c r="AX28"/>
  <c r="AX34"/>
  <c r="AV32"/>
  <c r="AX183" i="1"/>
  <c r="AX186"/>
  <c r="AX212"/>
  <c r="AX179"/>
  <c r="AX220"/>
  <c r="AQ226"/>
  <c r="AX227"/>
  <c r="AX219"/>
  <c r="AX182"/>
  <c r="AX208"/>
  <c r="AX192"/>
  <c r="AX218"/>
  <c r="AX180"/>
  <c r="AX206"/>
  <c r="AX187"/>
  <c r="AX189"/>
  <c r="AX190"/>
  <c r="AX193"/>
  <c r="AV198"/>
  <c r="AV197"/>
  <c r="AV196"/>
  <c r="AV199"/>
  <c r="AX188"/>
  <c r="AW197"/>
  <c r="AW199"/>
  <c r="AW196"/>
  <c r="AW198"/>
  <c r="AX194"/>
  <c r="AX195"/>
  <c r="AX185"/>
  <c r="AX191"/>
  <c r="AX178"/>
  <c r="AU199"/>
  <c r="AU197"/>
  <c r="AU198"/>
  <c r="AU196"/>
  <c r="AX181"/>
  <c r="AZ30" l="1"/>
  <c r="AX35"/>
  <c r="AZ49"/>
  <c r="AZ34"/>
  <c r="AZ33"/>
  <c r="AZ51"/>
  <c r="AZ31"/>
  <c r="AZ52"/>
  <c r="AZ32"/>
  <c r="AZ50"/>
  <c r="AX32" i="2"/>
  <c r="AX231" i="1"/>
  <c r="AX224"/>
  <c r="AX222"/>
  <c r="AX223"/>
  <c r="AX228"/>
  <c r="AX229"/>
  <c r="AX230"/>
  <c r="AX225"/>
  <c r="AX196"/>
  <c r="AX199"/>
  <c r="AX198"/>
  <c r="AX197"/>
  <c r="AU200"/>
  <c r="AW200"/>
  <c r="AV200"/>
  <c r="AZ35" l="1"/>
  <c r="AZ53"/>
  <c r="AX226"/>
  <c r="AX200"/>
</calcChain>
</file>

<file path=xl/sharedStrings.xml><?xml version="1.0" encoding="utf-8"?>
<sst xmlns="http://schemas.openxmlformats.org/spreadsheetml/2006/main" count="1637" uniqueCount="228">
  <si>
    <t xml:space="preserve">STable 2 Concentrations of major elements(%),Pb and other metals (mg/kg) and Pb isotope ratios of rock and ARD samples from the outcrop </t>
  </si>
  <si>
    <t>SiO2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</si>
  <si>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</si>
  <si>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</si>
  <si>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</si>
  <si>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</si>
  <si>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</si>
  <si>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</si>
  <si>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</si>
  <si>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</si>
  <si>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</si>
  <si>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LOI</t>
  </si>
  <si>
    <t>CIA</t>
  </si>
  <si>
    <t>SiO2/Al2O3</t>
  </si>
  <si>
    <t>Pb</t>
  </si>
  <si>
    <t>Th</t>
  </si>
  <si>
    <t>U</t>
  </si>
  <si>
    <t>Zn</t>
  </si>
  <si>
    <t>V</t>
  </si>
  <si>
    <t>Cr</t>
  </si>
  <si>
    <t>Mn</t>
  </si>
  <si>
    <t>Co</t>
  </si>
  <si>
    <t>Ni</t>
  </si>
  <si>
    <t>Cu</t>
  </si>
  <si>
    <t>Mo</t>
  </si>
  <si>
    <t>Cd</t>
  </si>
  <si>
    <t>Ba</t>
  </si>
  <si>
    <t>Sr</t>
  </si>
  <si>
    <t>Zr</t>
  </si>
  <si>
    <t>Hf</t>
  </si>
  <si>
    <t>Nb</t>
  </si>
  <si>
    <t>Ta</t>
  </si>
  <si>
    <t>SampleID</t>
  </si>
  <si>
    <t>[Pb]</t>
  </si>
  <si>
    <t>Trace metal concentrations (mg/kg)</t>
  </si>
  <si>
    <t>Concentration (mg/kg)</t>
  </si>
  <si>
    <t>Bulk sample</t>
  </si>
  <si>
    <t>M1-1</t>
  </si>
  <si>
    <t>M2-2</t>
  </si>
  <si>
    <t>M3</t>
  </si>
  <si>
    <t>M4</t>
  </si>
  <si>
    <t>M5</t>
  </si>
  <si>
    <t>M6</t>
  </si>
  <si>
    <t>M7</t>
  </si>
  <si>
    <t>M9</t>
  </si>
  <si>
    <t>M10</t>
  </si>
  <si>
    <t>M11</t>
  </si>
  <si>
    <t>M12</t>
  </si>
  <si>
    <t>M14</t>
  </si>
  <si>
    <t>M15</t>
  </si>
  <si>
    <t>M16</t>
  </si>
  <si>
    <t>M18</t>
  </si>
  <si>
    <t>M20</t>
  </si>
  <si>
    <t>M27</t>
  </si>
  <si>
    <t>M28</t>
  </si>
  <si>
    <t>Min</t>
  </si>
  <si>
    <t>Max</t>
  </si>
  <si>
    <t>Ave</t>
  </si>
  <si>
    <t>Sd</t>
  </si>
  <si>
    <t>Cv</t>
  </si>
  <si>
    <t>FBS samples</t>
  </si>
  <si>
    <t>Fe2O3T</t>
  </si>
  <si>
    <t>Cs</t>
  </si>
  <si>
    <t>MR-1</t>
  </si>
  <si>
    <t>MR-2</t>
  </si>
  <si>
    <t>MR-3</t>
  </si>
  <si>
    <t>MR-5</t>
  </si>
  <si>
    <t>D15</t>
  </si>
  <si>
    <t>GZW27</t>
  </si>
  <si>
    <t>GZW28</t>
  </si>
  <si>
    <t>GZW30</t>
  </si>
  <si>
    <t>ZN29</t>
  </si>
  <si>
    <t>ZN30</t>
  </si>
  <si>
    <t>ZN32</t>
  </si>
  <si>
    <t>ZN33</t>
  </si>
  <si>
    <t>ZN34</t>
  </si>
  <si>
    <t>ZN35</t>
  </si>
  <si>
    <t>sd</t>
  </si>
  <si>
    <t>Pyrite</t>
  </si>
  <si>
    <t>CD11</t>
  </si>
  <si>
    <t>CD13</t>
  </si>
  <si>
    <t>CD21</t>
  </si>
  <si>
    <t>CD3-1</t>
  </si>
  <si>
    <t>CD9-1</t>
  </si>
  <si>
    <t>CD9-3</t>
  </si>
  <si>
    <t>CD5-2</t>
  </si>
  <si>
    <t>CD5-4</t>
  </si>
  <si>
    <t>CD2-1</t>
  </si>
  <si>
    <t>KM11</t>
  </si>
  <si>
    <t>KM18</t>
  </si>
  <si>
    <t>KD2-7</t>
  </si>
  <si>
    <t>1M HCl</t>
  </si>
  <si>
    <t>1M HCl extraction</t>
  </si>
  <si>
    <t>M1-1S</t>
  </si>
  <si>
    <t>M1-1R</t>
  </si>
  <si>
    <t>M3S</t>
  </si>
  <si>
    <t>M3R</t>
  </si>
  <si>
    <t>M5S</t>
  </si>
  <si>
    <t>M5R</t>
  </si>
  <si>
    <t>M6S</t>
  </si>
  <si>
    <t>M6R</t>
  </si>
  <si>
    <t>M8S</t>
  </si>
  <si>
    <t>M8R</t>
  </si>
  <si>
    <t>M10S</t>
  </si>
  <si>
    <t>M10R</t>
  </si>
  <si>
    <t>M11S</t>
  </si>
  <si>
    <t>M11R</t>
  </si>
  <si>
    <t>M15S</t>
  </si>
  <si>
    <t>M15R</t>
  </si>
  <si>
    <t>M16S</t>
  </si>
  <si>
    <t>M16R</t>
  </si>
  <si>
    <t>M20S</t>
  </si>
  <si>
    <t>M20R</t>
  </si>
  <si>
    <t>M27S</t>
  </si>
  <si>
    <t>M27R</t>
  </si>
  <si>
    <t>Pb(mg/kg)</t>
  </si>
  <si>
    <r>
      <t>206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204</t>
    </r>
    <r>
      <rPr>
        <sz val="11"/>
        <rFont val="Times New Roman"/>
        <family val="1"/>
      </rPr>
      <t>Pb</t>
    </r>
  </si>
  <si>
    <r>
      <t>207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204</t>
    </r>
    <r>
      <rPr>
        <sz val="11"/>
        <rFont val="Times New Roman"/>
        <family val="1"/>
      </rPr>
      <t>Pb</t>
    </r>
  </si>
  <si>
    <r>
      <t>208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204</t>
    </r>
    <r>
      <rPr>
        <sz val="11"/>
        <rFont val="Times New Roman"/>
        <family val="1"/>
      </rPr>
      <t>Pb</t>
    </r>
  </si>
  <si>
    <r>
      <rPr>
        <vertAlign val="superscript"/>
        <sz val="11"/>
        <rFont val="Times New Roman"/>
        <family val="1"/>
      </rPr>
      <t>208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206</t>
    </r>
    <r>
      <rPr>
        <sz val="11"/>
        <rFont val="Times New Roman"/>
        <family val="1"/>
      </rPr>
      <t>Pb</t>
    </r>
  </si>
  <si>
    <r>
      <rPr>
        <vertAlign val="superscript"/>
        <sz val="11"/>
        <rFont val="Times New Roman"/>
        <family val="1"/>
      </rPr>
      <t>206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207</t>
    </r>
    <r>
      <rPr>
        <sz val="11"/>
        <rFont val="Times New Roman"/>
        <family val="1"/>
      </rPr>
      <t>Pb</t>
    </r>
  </si>
  <si>
    <r>
      <rPr>
        <vertAlign val="superscript"/>
        <sz val="11"/>
        <color theme="1"/>
        <rFont val="Times New Roman"/>
        <family val="1"/>
      </rPr>
      <t>204</t>
    </r>
    <r>
      <rPr>
        <sz val="11"/>
        <color theme="1"/>
        <rFont val="Times New Roman"/>
        <family val="1"/>
      </rPr>
      <t>Pb</t>
    </r>
  </si>
  <si>
    <r>
      <t>[</t>
    </r>
    <r>
      <rPr>
        <b/>
        <vertAlign val="superscript"/>
        <sz val="11"/>
        <color rgb="FF0000CC"/>
        <rFont val="Times New Roman"/>
        <family val="1"/>
      </rPr>
      <t>206</t>
    </r>
    <r>
      <rPr>
        <b/>
        <sz val="11"/>
        <color rgb="FF0000CC"/>
        <rFont val="Times New Roman"/>
        <family val="1"/>
      </rPr>
      <t>Pb]</t>
    </r>
  </si>
  <si>
    <r>
      <t>[</t>
    </r>
    <r>
      <rPr>
        <b/>
        <vertAlign val="superscript"/>
        <sz val="11"/>
        <color rgb="FF0000CC"/>
        <rFont val="Times New Roman"/>
        <family val="1"/>
      </rPr>
      <t>207</t>
    </r>
    <r>
      <rPr>
        <b/>
        <sz val="11"/>
        <color rgb="FF0000CC"/>
        <rFont val="Times New Roman"/>
        <family val="1"/>
      </rPr>
      <t>Pb]</t>
    </r>
  </si>
  <si>
    <r>
      <t>[</t>
    </r>
    <r>
      <rPr>
        <b/>
        <vertAlign val="superscript"/>
        <sz val="11"/>
        <color rgb="FF0000CC"/>
        <rFont val="Times New Roman"/>
        <family val="1"/>
      </rPr>
      <t>208</t>
    </r>
    <r>
      <rPr>
        <b/>
        <sz val="11"/>
        <color rgb="FF0000CC"/>
        <rFont val="Times New Roman"/>
        <family val="1"/>
      </rPr>
      <t>Pb]</t>
    </r>
  </si>
  <si>
    <r>
      <t>UCC</t>
    </r>
    <r>
      <rPr>
        <vertAlign val="superscript"/>
        <sz val="11"/>
        <color rgb="FF0000FF"/>
        <rFont val="Times New Roman"/>
        <family val="1"/>
      </rPr>
      <t>1)</t>
    </r>
  </si>
  <si>
    <t>Profile samples</t>
    <phoneticPr fontId="33" type="noConversion"/>
  </si>
  <si>
    <t>Mass balance calculation (Tao)-bedrock</t>
    <phoneticPr fontId="33" type="noConversion"/>
  </si>
  <si>
    <t>EF value-NASC</t>
    <phoneticPr fontId="33" type="noConversion"/>
  </si>
  <si>
    <t>Total profile rocks</t>
    <phoneticPr fontId="33" type="noConversion"/>
  </si>
  <si>
    <t>BSS</t>
    <phoneticPr fontId="33" type="noConversion"/>
  </si>
  <si>
    <t>WBS</t>
    <phoneticPr fontId="33" type="noConversion"/>
  </si>
  <si>
    <t>FBS</t>
    <phoneticPr fontId="33" type="noConversion"/>
  </si>
  <si>
    <t>Max</t>
    <phoneticPr fontId="33" type="noConversion"/>
  </si>
  <si>
    <t>Min</t>
    <phoneticPr fontId="33" type="noConversion"/>
  </si>
  <si>
    <t>Ave-Total</t>
    <phoneticPr fontId="33" type="noConversion"/>
  </si>
  <si>
    <t>Ave-BSS</t>
    <phoneticPr fontId="33" type="noConversion"/>
  </si>
  <si>
    <t>Ave-WBS</t>
    <phoneticPr fontId="33" type="noConversion"/>
  </si>
  <si>
    <t xml:space="preserve"> </t>
    <phoneticPr fontId="33" type="noConversion"/>
  </si>
  <si>
    <t>Ave-FBS</t>
    <phoneticPr fontId="33" type="noConversion"/>
  </si>
  <si>
    <r>
      <t>HBS</t>
    </r>
    <r>
      <rPr>
        <vertAlign val="superscript"/>
        <sz val="11"/>
        <rFont val="Times New Roman"/>
        <family val="1"/>
      </rPr>
      <t>3)</t>
    </r>
  </si>
  <si>
    <r>
      <t>NASC</t>
    </r>
    <r>
      <rPr>
        <b/>
        <vertAlign val="superscript"/>
        <sz val="11"/>
        <color rgb="FFFF0000"/>
        <rFont val="Times New Roman"/>
        <family val="1"/>
      </rPr>
      <t>2)</t>
    </r>
  </si>
  <si>
    <t>Depth (cm)</t>
    <phoneticPr fontId="33" type="noConversion"/>
  </si>
  <si>
    <t xml:space="preserve"> </t>
    <phoneticPr fontId="33" type="noConversion"/>
  </si>
  <si>
    <t>Min</t>
    <phoneticPr fontId="33" type="noConversion"/>
  </si>
  <si>
    <t>Profile rocks</t>
    <phoneticPr fontId="33" type="noConversion"/>
  </si>
  <si>
    <t>Max</t>
    <phoneticPr fontId="33" type="noConversion"/>
  </si>
  <si>
    <r>
      <t>Mass loss (mg/kg) of ([</t>
    </r>
    <r>
      <rPr>
        <b/>
        <vertAlign val="superscript"/>
        <sz val="11"/>
        <color rgb="FF0000CC"/>
        <rFont val="Times New Roman"/>
        <family val="1"/>
      </rPr>
      <t>206</t>
    </r>
    <r>
      <rPr>
        <b/>
        <sz val="11"/>
        <color rgb="FF0000CC"/>
        <rFont val="Times New Roman"/>
        <family val="1"/>
      </rPr>
      <t>Pb]+[</t>
    </r>
    <r>
      <rPr>
        <b/>
        <vertAlign val="superscript"/>
        <sz val="11"/>
        <color rgb="FF0000CC"/>
        <rFont val="Times New Roman"/>
        <family val="1"/>
      </rPr>
      <t>207</t>
    </r>
    <r>
      <rPr>
        <b/>
        <sz val="11"/>
        <color rgb="FF0000CC"/>
        <rFont val="Times New Roman"/>
        <family val="1"/>
      </rPr>
      <t>Pb]+[</t>
    </r>
    <r>
      <rPr>
        <b/>
        <vertAlign val="superscript"/>
        <sz val="11"/>
        <color rgb="FF0000CC"/>
        <rFont val="Times New Roman"/>
        <family val="1"/>
      </rPr>
      <t>208</t>
    </r>
    <r>
      <rPr>
        <b/>
        <sz val="11"/>
        <color rgb="FF0000CC"/>
        <rFont val="Times New Roman"/>
        <family val="1"/>
      </rPr>
      <t>Pb])</t>
    </r>
    <phoneticPr fontId="33" type="noConversion"/>
  </si>
  <si>
    <t>Mass loss (mg/kg) of Pb</t>
    <phoneticPr fontId="33" type="noConversion"/>
  </si>
  <si>
    <t>Ave-BSS</t>
    <phoneticPr fontId="33" type="noConversion"/>
  </si>
  <si>
    <t>Ave-WBS</t>
    <phoneticPr fontId="33" type="noConversion"/>
  </si>
  <si>
    <t>Sd</t>
    <phoneticPr fontId="33" type="noConversion"/>
  </si>
  <si>
    <t>Cv</t>
    <phoneticPr fontId="33" type="noConversion"/>
  </si>
  <si>
    <t>BSS</t>
    <phoneticPr fontId="33" type="noConversion"/>
  </si>
  <si>
    <t>BSS samples</t>
    <phoneticPr fontId="33" type="noConversion"/>
  </si>
  <si>
    <t>Pyrite samples</t>
    <phoneticPr fontId="33" type="noConversion"/>
  </si>
  <si>
    <t>Pyrite (n=12)</t>
    <phoneticPr fontId="33" type="noConversion"/>
  </si>
  <si>
    <t>This study</t>
    <phoneticPr fontId="33" type="noConversion"/>
  </si>
  <si>
    <t>FBS(n=16)</t>
    <phoneticPr fontId="33" type="noConversion"/>
  </si>
  <si>
    <t>WBS(n=15)</t>
    <phoneticPr fontId="33" type="noConversion"/>
  </si>
  <si>
    <t>MS1</t>
    <phoneticPr fontId="33" type="noConversion"/>
  </si>
  <si>
    <t>MS3</t>
    <phoneticPr fontId="33" type="noConversion"/>
  </si>
  <si>
    <t>BSS(n=5)</t>
    <phoneticPr fontId="33" type="noConversion"/>
  </si>
  <si>
    <t>MS6</t>
    <phoneticPr fontId="33" type="noConversion"/>
  </si>
  <si>
    <t>207/206</t>
  </si>
  <si>
    <t>208/206</t>
  </si>
  <si>
    <t>206/204</t>
  </si>
  <si>
    <t>208/204</t>
  </si>
  <si>
    <t>207/204</t>
  </si>
  <si>
    <t>Concentrations (ug/L)of trace metal ions and Pb isotope ratios of ARD water samples</t>
  </si>
  <si>
    <t>SD</t>
  </si>
  <si>
    <r>
      <rPr>
        <vertAlign val="superscript"/>
        <sz val="11"/>
        <rFont val="Times New Roman"/>
        <family val="1"/>
      </rPr>
      <t>207</t>
    </r>
    <r>
      <rPr>
        <sz val="11"/>
        <rFont val="Times New Roman"/>
        <family val="1"/>
      </rPr>
      <t>Pb/</t>
    </r>
    <r>
      <rPr>
        <vertAlign val="superscript"/>
        <sz val="11"/>
        <rFont val="Times New Roman"/>
        <family val="1"/>
      </rPr>
      <t>206</t>
    </r>
    <r>
      <rPr>
        <sz val="11"/>
        <rFont val="Times New Roman"/>
        <family val="1"/>
      </rPr>
      <t>Pb</t>
    </r>
  </si>
  <si>
    <t>U(ug/L)</t>
  </si>
  <si>
    <t>Pb(ug/L)</t>
  </si>
  <si>
    <t>pH</t>
  </si>
  <si>
    <r>
      <t>Na</t>
    </r>
    <r>
      <rPr>
        <vertAlign val="superscript"/>
        <sz val="11"/>
        <rFont val="Times New Roman"/>
        <family val="1"/>
      </rPr>
      <t>+</t>
    </r>
  </si>
  <si>
    <r>
      <t>K</t>
    </r>
    <r>
      <rPr>
        <vertAlign val="superscript"/>
        <sz val="11"/>
        <rFont val="Times New Roman"/>
        <family val="1"/>
      </rPr>
      <t>+</t>
    </r>
  </si>
  <si>
    <r>
      <t>Mg</t>
    </r>
    <r>
      <rPr>
        <vertAlign val="superscript"/>
        <sz val="11"/>
        <rFont val="Times New Roman"/>
        <family val="1"/>
      </rPr>
      <t>2+</t>
    </r>
  </si>
  <si>
    <r>
      <t>Ca</t>
    </r>
    <r>
      <rPr>
        <vertAlign val="superscript"/>
        <sz val="11"/>
        <color theme="1"/>
        <rFont val="Times New Roman"/>
        <family val="1"/>
      </rPr>
      <t>2+</t>
    </r>
  </si>
  <si>
    <r>
      <t>NH</t>
    </r>
    <r>
      <rPr>
        <vertAlign val="subscript"/>
        <sz val="11"/>
        <color theme="1"/>
        <rFont val="Times New Roman"/>
        <family val="1"/>
      </rPr>
      <t>4</t>
    </r>
    <r>
      <rPr>
        <vertAlign val="superscript"/>
        <sz val="11"/>
        <color theme="1"/>
        <rFont val="Times New Roman"/>
        <family val="1"/>
      </rPr>
      <t>+</t>
    </r>
  </si>
  <si>
    <r>
      <t>F</t>
    </r>
    <r>
      <rPr>
        <vertAlign val="superscript"/>
        <sz val="11"/>
        <color theme="1"/>
        <rFont val="Times New Roman"/>
        <family val="1"/>
      </rPr>
      <t>-</t>
    </r>
  </si>
  <si>
    <r>
      <t>Cl</t>
    </r>
    <r>
      <rPr>
        <vertAlign val="superscript"/>
        <sz val="11"/>
        <color theme="1"/>
        <rFont val="Times New Roman"/>
        <family val="1"/>
      </rPr>
      <t>-</t>
    </r>
  </si>
  <si>
    <r>
      <t>SO</t>
    </r>
    <r>
      <rPr>
        <vertAlign val="subscript"/>
        <sz val="11"/>
        <color theme="1"/>
        <rFont val="Times New Roman"/>
        <family val="1"/>
      </rPr>
      <t>4</t>
    </r>
    <r>
      <rPr>
        <vertAlign val="superscript"/>
        <sz val="11"/>
        <color theme="1"/>
        <rFont val="Times New Roman"/>
        <family val="1"/>
      </rPr>
      <t>2-</t>
    </r>
  </si>
  <si>
    <r>
      <t>NO</t>
    </r>
    <r>
      <rPr>
        <vertAlign val="subscript"/>
        <sz val="11"/>
        <color theme="1"/>
        <rFont val="Times New Roman"/>
        <family val="1"/>
      </rPr>
      <t>3</t>
    </r>
    <r>
      <rPr>
        <vertAlign val="superscript"/>
        <sz val="11"/>
        <color theme="1"/>
        <rFont val="Times New Roman"/>
        <family val="1"/>
      </rPr>
      <t>-</t>
    </r>
  </si>
  <si>
    <t>Tl</t>
  </si>
  <si>
    <t>Sn</t>
  </si>
  <si>
    <t>Th(ug/L)</t>
  </si>
  <si>
    <t>Sc</t>
  </si>
  <si>
    <t>Ti</t>
  </si>
  <si>
    <t>Ga</t>
  </si>
  <si>
    <t>Ge</t>
  </si>
  <si>
    <t>Rb</t>
  </si>
  <si>
    <t>U/Th</t>
  </si>
  <si>
    <t>Th/Sc</t>
  </si>
  <si>
    <t>Rb/Cs</t>
  </si>
  <si>
    <t>Sr/Rb</t>
  </si>
  <si>
    <t>Ga/Ge</t>
  </si>
  <si>
    <t>Ti/Cs</t>
  </si>
  <si>
    <t>Sc/Sn</t>
  </si>
  <si>
    <t>Cr/Sc</t>
  </si>
  <si>
    <r>
      <t>Li</t>
    </r>
    <r>
      <rPr>
        <vertAlign val="superscript"/>
        <sz val="11"/>
        <rFont val="Times New Roman"/>
        <family val="1"/>
      </rPr>
      <t>+</t>
    </r>
  </si>
  <si>
    <t>Th/U</t>
  </si>
  <si>
    <t>ARD waters</t>
  </si>
  <si>
    <t>ARD</t>
  </si>
  <si>
    <t>ZJ2</t>
  </si>
  <si>
    <t>PX1</t>
  </si>
  <si>
    <t>DW1</t>
  </si>
  <si>
    <t>DW2</t>
  </si>
  <si>
    <t>DW3</t>
  </si>
  <si>
    <t>DW4</t>
  </si>
  <si>
    <t>DW5</t>
  </si>
  <si>
    <t>DW6</t>
  </si>
  <si>
    <t>DW7</t>
  </si>
  <si>
    <t>DW8</t>
  </si>
  <si>
    <t>DW9</t>
  </si>
  <si>
    <t>DW10</t>
  </si>
  <si>
    <t>DW11</t>
  </si>
  <si>
    <t>DW12</t>
  </si>
  <si>
    <t>DW13</t>
  </si>
  <si>
    <t>DW14</t>
  </si>
  <si>
    <t>DW15</t>
  </si>
  <si>
    <t>DW16</t>
  </si>
  <si>
    <t>average of WBS</t>
    <phoneticPr fontId="33" type="noConversion"/>
  </si>
  <si>
    <t>Jiang et al (2006)</t>
  </si>
  <si>
    <t>Jiang et al (2006)</t>
    <phoneticPr fontId="33" type="noConversion"/>
  </si>
  <si>
    <t>Ave (n=16)</t>
    <phoneticPr fontId="33" type="noConversion"/>
  </si>
  <si>
    <t>1M HCl grouping</t>
    <phoneticPr fontId="33" type="noConversion"/>
  </si>
  <si>
    <t xml:space="preserve">Title: Mobility of lead (Pb) isotopes during weathering of black shales in central Hunan (China): Implications on Pb isotopes used as an environmental tracer
Journal: Environmental Geochemistry and Health
Authors: Bo Penga, b*, Albert Juhaszc, Nengqiu Wua, b, Hongjie Hua, b, Xia Yanga, b, Sicheng Wua, b, Xiaohong Fangd, Shurong Xiee
Affiliations: a School of Geographical Sciences, Hunan Normal University, Changsha 410081, People’s Republic of China; b Key Laboratory of Environmental Heavy-Metal Contamination and Ecological Remediation, Hunan Normal University, Changsha 410081, People’s Republic of China; c Future Industries Institute, Adelaide University, Mawson Lakes Campus, Adelaide, SA 5095, Australia; d College of Geography and Tourism, Hengyang Normal University, Hengyang 421002, People’s Republic of China; e School of Earth Sciences, East China University of Technology, Nanchang 330013, People’s Republic of China.
Email of Correspongding author Bo Peng: pengbo@hunnu.edu.cn
</t>
    <phoneticPr fontId="33" type="noConversion"/>
  </si>
</sst>
</file>

<file path=xl/styles.xml><?xml version="1.0" encoding="utf-8"?>
<styleSheet xmlns="http://schemas.openxmlformats.org/spreadsheetml/2006/main">
  <numFmts count="16">
    <numFmt numFmtId="176" formatCode="0.000_);[Red]\(0.000\)"/>
    <numFmt numFmtId="177" formatCode="0.00_ "/>
    <numFmt numFmtId="178" formatCode="0.000000_);[Red]\(0.000000\)"/>
    <numFmt numFmtId="179" formatCode="0.0000_);[Red]\(0.0000\)"/>
    <numFmt numFmtId="180" formatCode="0.0000"/>
    <numFmt numFmtId="181" formatCode="0.000_ "/>
    <numFmt numFmtId="182" formatCode="0.00_);[Red]\(0.00\)"/>
    <numFmt numFmtId="183" formatCode="0.000_ ;[Red]\-0.000\ "/>
    <numFmt numFmtId="184" formatCode="0_ "/>
    <numFmt numFmtId="185" formatCode="0.00000_ "/>
    <numFmt numFmtId="186" formatCode="0.00000_);[Red]\(0.00000\)"/>
    <numFmt numFmtId="187" formatCode="0.0000000_);[Red]\(0.0000000\)"/>
    <numFmt numFmtId="188" formatCode="0.0000000_ "/>
    <numFmt numFmtId="189" formatCode="0.0_ "/>
    <numFmt numFmtId="190" formatCode="0.0_);[Red]\(0.0\)"/>
    <numFmt numFmtId="191" formatCode="0.000000_ "/>
  </numFmts>
  <fonts count="66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FF"/>
      <name val="Times New Roman"/>
      <family val="1"/>
    </font>
    <font>
      <sz val="11"/>
      <color rgb="FF000099"/>
      <name val="宋体"/>
      <charset val="134"/>
      <scheme val="minor"/>
    </font>
    <font>
      <sz val="11"/>
      <color rgb="FF000099"/>
      <name val="Times New Roman"/>
      <family val="1"/>
    </font>
    <font>
      <sz val="12"/>
      <name val="Times New Roman"/>
      <family val="1"/>
    </font>
    <font>
      <sz val="10"/>
      <color rgb="FFFF0000"/>
      <name val="Times New Roman"/>
      <family val="1"/>
    </font>
    <font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sz val="12"/>
      <color rgb="FFFF0000"/>
      <name val="Times New Roman"/>
      <family val="1"/>
    </font>
    <font>
      <sz val="11"/>
      <color rgb="FF0000CC"/>
      <name val="Times New Roman"/>
      <family val="1"/>
    </font>
    <font>
      <sz val="11"/>
      <color rgb="FF0000FF"/>
      <name val="Times New Roman"/>
      <family val="1"/>
    </font>
    <font>
      <b/>
      <sz val="11"/>
      <color rgb="FF0000CC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000099"/>
      <name val="Times New Roman"/>
      <family val="1"/>
    </font>
    <font>
      <vertAlign val="superscript"/>
      <sz val="11"/>
      <name val="Times New Roman"/>
      <family val="1"/>
    </font>
    <font>
      <vertAlign val="superscript"/>
      <sz val="11"/>
      <color theme="1"/>
      <name val="Times New Roman"/>
      <family val="1"/>
    </font>
    <font>
      <b/>
      <vertAlign val="superscript"/>
      <sz val="11"/>
      <color rgb="FF0000CC"/>
      <name val="Times New Roman"/>
      <family val="1"/>
    </font>
    <font>
      <vertAlign val="superscript"/>
      <sz val="11"/>
      <color rgb="FF0000FF"/>
      <name val="Times New Roman"/>
      <family val="1"/>
    </font>
    <font>
      <b/>
      <sz val="11"/>
      <color rgb="FF0000FF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sz val="11"/>
      <color indexed="10"/>
      <name val="Times New Roman"/>
      <family val="1"/>
    </font>
    <font>
      <b/>
      <sz val="11"/>
      <color indexed="10"/>
      <name val="Times New Roman"/>
      <family val="1"/>
    </font>
    <font>
      <sz val="11"/>
      <color theme="8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2"/>
      <color rgb="FF0000CC"/>
      <name val="Times New Roman"/>
      <family val="1"/>
    </font>
    <font>
      <b/>
      <sz val="12"/>
      <color rgb="FFFF0000"/>
      <name val="Times New Roman"/>
      <family val="1"/>
    </font>
    <font>
      <b/>
      <vertAlign val="superscript"/>
      <sz val="11"/>
      <color rgb="FFFF0000"/>
      <name val="Times New Roman"/>
      <family val="1"/>
    </font>
    <font>
      <sz val="11"/>
      <color theme="1"/>
      <name val="宋体"/>
      <family val="2"/>
      <scheme val="minor"/>
    </font>
    <font>
      <sz val="18"/>
      <color theme="3"/>
      <name val="宋体"/>
      <family val="2"/>
      <scheme val="major"/>
    </font>
    <font>
      <b/>
      <sz val="15"/>
      <color theme="3"/>
      <name val="宋体"/>
      <family val="2"/>
      <scheme val="minor"/>
    </font>
    <font>
      <b/>
      <sz val="13"/>
      <color theme="3"/>
      <name val="宋体"/>
      <family val="2"/>
      <scheme val="minor"/>
    </font>
    <font>
      <b/>
      <sz val="11"/>
      <color theme="3"/>
      <name val="宋体"/>
      <family val="2"/>
      <scheme val="minor"/>
    </font>
    <font>
      <sz val="11"/>
      <color rgb="FF006100"/>
      <name val="宋体"/>
      <family val="2"/>
      <scheme val="minor"/>
    </font>
    <font>
      <sz val="11"/>
      <color rgb="FF9C0006"/>
      <name val="宋体"/>
      <family val="2"/>
      <scheme val="minor"/>
    </font>
    <font>
      <sz val="11"/>
      <color rgb="FF9C5700"/>
      <name val="宋体"/>
      <family val="2"/>
      <scheme val="minor"/>
    </font>
    <font>
      <sz val="11"/>
      <color rgb="FF3F3F76"/>
      <name val="宋体"/>
      <family val="2"/>
      <scheme val="minor"/>
    </font>
    <font>
      <b/>
      <sz val="11"/>
      <color rgb="FF3F3F3F"/>
      <name val="宋体"/>
      <family val="2"/>
      <scheme val="minor"/>
    </font>
    <font>
      <b/>
      <sz val="11"/>
      <color rgb="FFFA7D00"/>
      <name val="宋体"/>
      <family val="2"/>
      <scheme val="minor"/>
    </font>
    <font>
      <sz val="11"/>
      <color rgb="FFFA7D00"/>
      <name val="宋体"/>
      <family val="2"/>
      <scheme val="minor"/>
    </font>
    <font>
      <b/>
      <sz val="11"/>
      <color theme="0"/>
      <name val="宋体"/>
      <family val="2"/>
      <scheme val="minor"/>
    </font>
    <font>
      <sz val="11"/>
      <color rgb="FFFF0000"/>
      <name val="宋体"/>
      <family val="2"/>
      <scheme val="minor"/>
    </font>
    <font>
      <i/>
      <sz val="11"/>
      <color rgb="FF7F7F7F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11"/>
      <color theme="0"/>
      <name val="宋体"/>
      <family val="2"/>
      <scheme val="minor"/>
    </font>
    <font>
      <sz val="11"/>
      <color rgb="FF9C6500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rgb="FF0000FF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4"/>
      <color rgb="FF000099"/>
      <name val="Times New Roman"/>
      <family val="1"/>
    </font>
    <font>
      <vertAlign val="subscript"/>
      <sz val="11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rgb="FF0000FF"/>
      <name val="Times New Roman"/>
      <family val="1"/>
    </font>
    <font>
      <b/>
      <sz val="14"/>
      <color rgb="FF000099"/>
      <name val="Times New Roman"/>
      <family val="1"/>
    </font>
    <font>
      <sz val="14"/>
      <color rgb="FFFF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19" fillId="0" borderId="0"/>
    <xf numFmtId="0" fontId="10" fillId="0" borderId="0">
      <alignment vertical="center"/>
    </xf>
    <xf numFmtId="0" fontId="19" fillId="0" borderId="0"/>
    <xf numFmtId="0" fontId="10" fillId="0" borderId="0">
      <alignment vertical="center"/>
    </xf>
    <xf numFmtId="0" fontId="10" fillId="0" borderId="0">
      <alignment vertical="center"/>
    </xf>
    <xf numFmtId="0" fontId="19" fillId="0" borderId="0"/>
    <xf numFmtId="0" fontId="10" fillId="0" borderId="0">
      <alignment vertical="center"/>
    </xf>
    <xf numFmtId="0" fontId="19" fillId="0" borderId="0">
      <alignment vertical="center"/>
    </xf>
    <xf numFmtId="0" fontId="19" fillId="0" borderId="0"/>
    <xf numFmtId="0" fontId="37" fillId="0" borderId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3" borderId="0" applyNumberFormat="0" applyBorder="0" applyAlignment="0" applyProtection="0"/>
    <xf numFmtId="0" fontId="43" fillId="4" borderId="0" applyNumberFormat="0" applyBorder="0" applyAlignment="0" applyProtection="0"/>
    <xf numFmtId="0" fontId="44" fillId="5" borderId="0" applyNumberFormat="0" applyBorder="0" applyAlignment="0" applyProtection="0"/>
    <xf numFmtId="0" fontId="45" fillId="6" borderId="4" applyNumberFormat="0" applyAlignment="0" applyProtection="0"/>
    <xf numFmtId="0" fontId="46" fillId="7" borderId="5" applyNumberFormat="0" applyAlignment="0" applyProtection="0"/>
    <xf numFmtId="0" fontId="47" fillId="7" borderId="4" applyNumberFormat="0" applyAlignment="0" applyProtection="0"/>
    <xf numFmtId="0" fontId="48" fillId="0" borderId="6" applyNumberFormat="0" applyFill="0" applyAlignment="0" applyProtection="0"/>
    <xf numFmtId="0" fontId="49" fillId="8" borderId="7" applyNumberFormat="0" applyAlignment="0" applyProtection="0"/>
    <xf numFmtId="0" fontId="50" fillId="0" borderId="0" applyNumberFormat="0" applyFill="0" applyBorder="0" applyAlignment="0" applyProtection="0"/>
    <xf numFmtId="0" fontId="37" fillId="9" borderId="8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3" fillId="10" borderId="0" applyNumberFormat="0" applyBorder="0" applyAlignment="0" applyProtection="0"/>
    <xf numFmtId="0" fontId="37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53" fillId="14" borderId="0" applyNumberFormat="0" applyBorder="0" applyAlignment="0" applyProtection="0"/>
    <xf numFmtId="0" fontId="37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53" fillId="18" borderId="0" applyNumberFormat="0" applyBorder="0" applyAlignment="0" applyProtection="0"/>
    <xf numFmtId="0" fontId="37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53" fillId="22" borderId="0" applyNumberFormat="0" applyBorder="0" applyAlignment="0" applyProtection="0"/>
    <xf numFmtId="0" fontId="37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53" fillId="26" borderId="0" applyNumberFormat="0" applyBorder="0" applyAlignment="0" applyProtection="0"/>
    <xf numFmtId="0" fontId="37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53" fillId="30" borderId="0" applyNumberFormat="0" applyBorder="0" applyAlignment="0" applyProtection="0"/>
    <xf numFmtId="0" fontId="37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54" fillId="5" borderId="0" applyNumberFormat="0" applyBorder="0" applyAlignment="0" applyProtection="0"/>
    <xf numFmtId="0" fontId="53" fillId="13" borderId="0" applyNumberFormat="0" applyBorder="0" applyAlignment="0" applyProtection="0"/>
    <xf numFmtId="0" fontId="53" fillId="17" borderId="0" applyNumberFormat="0" applyBorder="0" applyAlignment="0" applyProtection="0"/>
    <xf numFmtId="0" fontId="53" fillId="21" borderId="0" applyNumberFormat="0" applyBorder="0" applyAlignment="0" applyProtection="0"/>
    <xf numFmtId="0" fontId="53" fillId="25" borderId="0" applyNumberFormat="0" applyBorder="0" applyAlignment="0" applyProtection="0"/>
    <xf numFmtId="0" fontId="53" fillId="29" borderId="0" applyNumberFormat="0" applyBorder="0" applyAlignment="0" applyProtection="0"/>
    <xf numFmtId="0" fontId="53" fillId="33" borderId="0" applyNumberFormat="0" applyBorder="0" applyAlignment="0" applyProtection="0"/>
    <xf numFmtId="0" fontId="1" fillId="0" borderId="0">
      <alignment vertical="center"/>
    </xf>
    <xf numFmtId="0" fontId="37" fillId="0" borderId="0"/>
    <xf numFmtId="0" fontId="1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>
      <alignment vertical="center"/>
    </xf>
    <xf numFmtId="0" fontId="55" fillId="0" borderId="0"/>
    <xf numFmtId="0" fontId="1" fillId="0" borderId="0">
      <alignment vertical="center"/>
    </xf>
    <xf numFmtId="0" fontId="1" fillId="0" borderId="0">
      <alignment vertical="center"/>
    </xf>
  </cellStyleXfs>
  <cellXfs count="25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2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176" fontId="5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/>
    </xf>
    <xf numFmtId="177" fontId="12" fillId="0" borderId="0" xfId="0" applyNumberFormat="1" applyFont="1" applyFill="1" applyAlignment="1">
      <alignment horizontal="left"/>
    </xf>
    <xf numFmtId="0" fontId="13" fillId="0" borderId="0" xfId="0" applyFont="1" applyAlignment="1">
      <alignment horizontal="left"/>
    </xf>
    <xf numFmtId="177" fontId="14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 vertical="center"/>
    </xf>
    <xf numFmtId="0" fontId="15" fillId="0" borderId="0" xfId="0" applyFont="1">
      <alignment vertical="center"/>
    </xf>
    <xf numFmtId="0" fontId="16" fillId="0" borderId="0" xfId="0" applyFont="1" applyFill="1" applyAlignment="1"/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/>
    </xf>
    <xf numFmtId="177" fontId="18" fillId="0" borderId="0" xfId="0" applyNumberFormat="1" applyFont="1" applyFill="1" applyAlignment="1">
      <alignment horizontal="left"/>
    </xf>
    <xf numFmtId="0" fontId="16" fillId="0" borderId="0" xfId="0" applyFont="1">
      <alignment vertical="center"/>
    </xf>
    <xf numFmtId="176" fontId="2" fillId="0" borderId="0" xfId="0" applyNumberFormat="1" applyFont="1" applyAlignment="1">
      <alignment horizontal="left" vertical="center"/>
    </xf>
    <xf numFmtId="0" fontId="21" fillId="0" borderId="0" xfId="0" applyFont="1">
      <alignment vertical="center"/>
    </xf>
    <xf numFmtId="0" fontId="3" fillId="0" borderId="0" xfId="0" applyFont="1" applyAlignment="1">
      <alignment horizontal="left" vertical="center"/>
    </xf>
    <xf numFmtId="177" fontId="4" fillId="0" borderId="0" xfId="0" applyNumberFormat="1" applyFont="1" applyAlignment="1">
      <alignment horizontal="left"/>
    </xf>
    <xf numFmtId="176" fontId="15" fillId="0" borderId="0" xfId="0" applyNumberFormat="1" applyFont="1">
      <alignment vertical="center"/>
    </xf>
    <xf numFmtId="0" fontId="16" fillId="0" borderId="0" xfId="0" applyFont="1" applyAlignment="1">
      <alignment horizontal="left" vertical="center"/>
    </xf>
    <xf numFmtId="178" fontId="16" fillId="0" borderId="0" xfId="0" applyNumberFormat="1" applyFont="1" applyAlignment="1">
      <alignment horizontal="left" vertical="center"/>
    </xf>
    <xf numFmtId="179" fontId="22" fillId="0" borderId="0" xfId="0" applyNumberFormat="1" applyFont="1" applyAlignment="1">
      <alignment horizontal="left" vertical="center"/>
    </xf>
    <xf numFmtId="178" fontId="3" fillId="0" borderId="0" xfId="0" applyNumberFormat="1" applyFont="1" applyAlignment="1">
      <alignment horizontal="left" vertical="center"/>
    </xf>
    <xf numFmtId="176" fontId="17" fillId="0" borderId="0" xfId="0" applyNumberFormat="1" applyFont="1" applyAlignment="1">
      <alignment horizontal="left" vertical="center"/>
    </xf>
    <xf numFmtId="176" fontId="3" fillId="0" borderId="0" xfId="0" applyNumberFormat="1" applyFont="1" applyFill="1" applyAlignment="1">
      <alignment horizontal="left" vertical="center" wrapText="1"/>
    </xf>
    <xf numFmtId="176" fontId="15" fillId="0" borderId="0" xfId="0" applyNumberFormat="1" applyFont="1" applyAlignment="1">
      <alignment horizontal="left" vertical="center"/>
    </xf>
    <xf numFmtId="176" fontId="26" fillId="0" borderId="0" xfId="0" applyNumberFormat="1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7" fillId="0" borderId="0" xfId="0" applyFont="1" applyAlignment="1">
      <alignment horizontal="left"/>
    </xf>
    <xf numFmtId="177" fontId="3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left"/>
    </xf>
    <xf numFmtId="177" fontId="2" fillId="0" borderId="0" xfId="0" applyNumberFormat="1" applyFont="1" applyFill="1" applyAlignment="1">
      <alignment horizontal="left"/>
    </xf>
    <xf numFmtId="0" fontId="16" fillId="0" borderId="0" xfId="0" applyFont="1" applyAlignment="1">
      <alignment horizontal="left"/>
    </xf>
    <xf numFmtId="180" fontId="2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28" fillId="0" borderId="0" xfId="0" applyFont="1" applyAlignment="1">
      <alignment horizontal="left"/>
    </xf>
    <xf numFmtId="177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28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176" fontId="3" fillId="0" borderId="0" xfId="0" applyNumberFormat="1" applyFont="1" applyAlignment="1">
      <alignment horizontal="left" vertical="center"/>
    </xf>
    <xf numFmtId="176" fontId="28" fillId="0" borderId="0" xfId="0" applyNumberFormat="1" applyFont="1" applyAlignment="1">
      <alignment horizontal="left"/>
    </xf>
    <xf numFmtId="176" fontId="26" fillId="0" borderId="0" xfId="0" applyNumberFormat="1" applyFont="1" applyAlignment="1">
      <alignment horizontal="left" vertical="center"/>
    </xf>
    <xf numFmtId="176" fontId="16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177" fontId="4" fillId="0" borderId="0" xfId="0" applyNumberFormat="1" applyFont="1" applyFill="1" applyAlignment="1">
      <alignment horizontal="left"/>
    </xf>
    <xf numFmtId="0" fontId="29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177" fontId="3" fillId="0" borderId="0" xfId="0" applyNumberFormat="1" applyFont="1" applyFill="1" applyAlignment="1">
      <alignment horizontal="left"/>
    </xf>
    <xf numFmtId="177" fontId="27" fillId="0" borderId="0" xfId="0" applyNumberFormat="1" applyFont="1" applyFill="1" applyAlignment="1">
      <alignment horizontal="left"/>
    </xf>
    <xf numFmtId="0" fontId="28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5" fillId="0" borderId="0" xfId="0" applyFont="1" applyAlignment="1">
      <alignment horizontal="left"/>
    </xf>
    <xf numFmtId="177" fontId="3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left" vertical="center" wrapText="1"/>
    </xf>
    <xf numFmtId="181" fontId="16" fillId="0" borderId="0" xfId="0" applyNumberFormat="1" applyFont="1" applyAlignment="1">
      <alignment horizontal="left" vertical="center"/>
    </xf>
    <xf numFmtId="181" fontId="3" fillId="0" borderId="0" xfId="0" applyNumberFormat="1" applyFont="1" applyAlignment="1">
      <alignment horizontal="left" vertical="center"/>
    </xf>
    <xf numFmtId="181" fontId="15" fillId="0" borderId="0" xfId="0" applyNumberFormat="1" applyFont="1" applyAlignment="1">
      <alignment horizontal="left" vertical="center"/>
    </xf>
    <xf numFmtId="0" fontId="26" fillId="0" borderId="0" xfId="0" applyFont="1" applyAlignment="1">
      <alignment horizontal="left"/>
    </xf>
    <xf numFmtId="0" fontId="31" fillId="0" borderId="0" xfId="0" applyFont="1" applyAlignment="1">
      <alignment horizontal="left" vertical="center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left"/>
    </xf>
    <xf numFmtId="0" fontId="34" fillId="0" borderId="0" xfId="0" applyFont="1">
      <alignment vertical="center"/>
    </xf>
    <xf numFmtId="0" fontId="34" fillId="0" borderId="0" xfId="0" applyFont="1" applyAlignment="1">
      <alignment horizontal="left" vertical="center"/>
    </xf>
    <xf numFmtId="0" fontId="34" fillId="0" borderId="0" xfId="0" applyFont="1" applyAlignment="1">
      <alignment horizontal="left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16" fillId="2" borderId="0" xfId="0" applyFont="1" applyFill="1">
      <alignment vertical="center"/>
    </xf>
    <xf numFmtId="176" fontId="2" fillId="2" borderId="0" xfId="0" applyNumberFormat="1" applyFont="1" applyFill="1" applyAlignment="1">
      <alignment horizontal="left" vertical="center"/>
    </xf>
    <xf numFmtId="0" fontId="9" fillId="2" borderId="0" xfId="0" applyFont="1" applyFill="1">
      <alignment vertical="center"/>
    </xf>
    <xf numFmtId="182" fontId="16" fillId="0" borderId="0" xfId="0" applyNumberFormat="1" applyFont="1">
      <alignment vertical="center"/>
    </xf>
    <xf numFmtId="182" fontId="16" fillId="0" borderId="0" xfId="0" applyNumberFormat="1" applyFont="1" applyAlignment="1">
      <alignment horizontal="left" vertical="center"/>
    </xf>
    <xf numFmtId="182" fontId="16" fillId="0" borderId="0" xfId="0" applyNumberFormat="1" applyFont="1" applyAlignment="1">
      <alignment horizontal="left"/>
    </xf>
    <xf numFmtId="182" fontId="17" fillId="0" borderId="0" xfId="0" applyNumberFormat="1" applyFont="1" applyAlignment="1">
      <alignment horizontal="left" vertical="center"/>
    </xf>
    <xf numFmtId="182" fontId="15" fillId="0" borderId="0" xfId="0" applyNumberFormat="1" applyFont="1" applyAlignment="1">
      <alignment horizontal="left" vertical="center"/>
    </xf>
    <xf numFmtId="182" fontId="26" fillId="0" borderId="0" xfId="0" applyNumberFormat="1" applyFont="1" applyAlignment="1">
      <alignment horizontal="left" vertical="center"/>
    </xf>
    <xf numFmtId="182" fontId="2" fillId="0" borderId="0" xfId="0" applyNumberFormat="1" applyFont="1">
      <alignment vertical="center"/>
    </xf>
    <xf numFmtId="182" fontId="26" fillId="0" borderId="0" xfId="0" applyNumberFormat="1" applyFont="1" applyFill="1" applyAlignment="1">
      <alignment horizontal="left" vertical="center" wrapText="1"/>
    </xf>
    <xf numFmtId="182" fontId="3" fillId="0" borderId="0" xfId="0" applyNumberFormat="1" applyFont="1" applyFill="1" applyAlignment="1">
      <alignment horizontal="left"/>
    </xf>
    <xf numFmtId="182" fontId="4" fillId="0" borderId="0" xfId="0" applyNumberFormat="1" applyFont="1" applyFill="1" applyAlignment="1">
      <alignment horizontal="left"/>
    </xf>
    <xf numFmtId="182" fontId="26" fillId="0" borderId="0" xfId="0" applyNumberFormat="1" applyFont="1" applyAlignment="1">
      <alignment horizontal="left"/>
    </xf>
    <xf numFmtId="182" fontId="16" fillId="2" borderId="0" xfId="0" applyNumberFormat="1" applyFont="1" applyFill="1">
      <alignment vertical="center"/>
    </xf>
    <xf numFmtId="182" fontId="3" fillId="0" borderId="0" xfId="0" applyNumberFormat="1" applyFont="1" applyFill="1" applyAlignment="1">
      <alignment horizontal="left" vertical="center"/>
    </xf>
    <xf numFmtId="182" fontId="32" fillId="0" borderId="0" xfId="0" applyNumberFormat="1" applyFont="1" applyFill="1" applyAlignment="1">
      <alignment horizontal="left"/>
    </xf>
    <xf numFmtId="182" fontId="12" fillId="0" borderId="0" xfId="0" applyNumberFormat="1" applyFont="1" applyFill="1" applyAlignment="1">
      <alignment horizontal="left"/>
    </xf>
    <xf numFmtId="182" fontId="18" fillId="0" borderId="0" xfId="0" applyNumberFormat="1" applyFont="1" applyFill="1" applyAlignment="1">
      <alignment horizontal="left"/>
    </xf>
    <xf numFmtId="182" fontId="7" fillId="0" borderId="0" xfId="0" applyNumberFormat="1" applyFont="1">
      <alignment vertical="center"/>
    </xf>
    <xf numFmtId="176" fontId="16" fillId="0" borderId="0" xfId="0" applyNumberFormat="1" applyFont="1">
      <alignment vertical="center"/>
    </xf>
    <xf numFmtId="183" fontId="16" fillId="0" borderId="0" xfId="0" applyNumberFormat="1" applyFont="1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 applyAlignment="1">
      <alignment horizontal="left" vertical="center"/>
    </xf>
    <xf numFmtId="0" fontId="15" fillId="0" borderId="0" xfId="0" applyNumberFormat="1" applyFont="1">
      <alignment vertical="center"/>
    </xf>
    <xf numFmtId="0" fontId="4" fillId="0" borderId="0" xfId="0" applyNumberFormat="1" applyFont="1" applyAlignment="1">
      <alignment horizontal="left"/>
    </xf>
    <xf numFmtId="0" fontId="16" fillId="0" borderId="0" xfId="0" applyNumberFormat="1" applyFont="1" applyAlignment="1">
      <alignment horizontal="left" vertical="center"/>
    </xf>
    <xf numFmtId="0" fontId="17" fillId="0" borderId="0" xfId="0" applyNumberFormat="1" applyFont="1" applyAlignment="1">
      <alignment horizontal="left" vertical="center"/>
    </xf>
    <xf numFmtId="0" fontId="22" fillId="0" borderId="0" xfId="0" applyNumberFormat="1" applyFont="1" applyAlignment="1">
      <alignment horizontal="left" vertical="center"/>
    </xf>
    <xf numFmtId="0" fontId="16" fillId="0" borderId="0" xfId="0" applyNumberFormat="1" applyFont="1">
      <alignment vertical="center"/>
    </xf>
    <xf numFmtId="0" fontId="3" fillId="0" borderId="0" xfId="0" applyNumberFormat="1" applyFont="1" applyFill="1" applyAlignment="1">
      <alignment horizontal="left" vertical="center" wrapText="1"/>
    </xf>
    <xf numFmtId="0" fontId="2" fillId="0" borderId="0" xfId="0" applyNumberFormat="1" applyFont="1" applyAlignment="1">
      <alignment horizontal="left" vertical="center"/>
    </xf>
    <xf numFmtId="0" fontId="9" fillId="0" borderId="0" xfId="0" applyNumberFormat="1" applyFont="1">
      <alignment vertical="center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left"/>
    </xf>
    <xf numFmtId="0" fontId="27" fillId="0" borderId="0" xfId="0" applyNumberFormat="1" applyFont="1" applyAlignment="1">
      <alignment horizontal="left" vertical="center"/>
    </xf>
    <xf numFmtId="0" fontId="27" fillId="0" borderId="0" xfId="0" applyNumberFormat="1" applyFont="1" applyFill="1" applyAlignment="1">
      <alignment horizontal="left" vertical="center" wrapText="1"/>
    </xf>
    <xf numFmtId="0" fontId="28" fillId="0" borderId="0" xfId="0" applyNumberFormat="1" applyFont="1" applyFill="1" applyAlignment="1">
      <alignment horizontal="left" vertical="center" wrapText="1"/>
    </xf>
    <xf numFmtId="176" fontId="27" fillId="0" borderId="0" xfId="0" applyNumberFormat="1" applyFont="1" applyAlignment="1">
      <alignment horizontal="left" vertical="center"/>
    </xf>
    <xf numFmtId="0" fontId="28" fillId="0" borderId="0" xfId="0" applyFont="1" applyFill="1" applyAlignment="1">
      <alignment horizontal="left" vertical="center"/>
    </xf>
    <xf numFmtId="181" fontId="27" fillId="0" borderId="0" xfId="0" applyNumberFormat="1" applyFont="1" applyAlignment="1">
      <alignment horizontal="left" vertical="center"/>
    </xf>
    <xf numFmtId="0" fontId="27" fillId="2" borderId="0" xfId="0" applyFont="1" applyFill="1">
      <alignment vertical="center"/>
    </xf>
    <xf numFmtId="177" fontId="27" fillId="0" borderId="0" xfId="0" applyNumberFormat="1" applyFont="1" applyFill="1" applyAlignment="1">
      <alignment horizontal="left" vertical="center" wrapText="1"/>
    </xf>
    <xf numFmtId="183" fontId="27" fillId="0" borderId="0" xfId="0" applyNumberFormat="1" applyFont="1">
      <alignment vertical="center"/>
    </xf>
    <xf numFmtId="0" fontId="28" fillId="0" borderId="0" xfId="0" applyFont="1" applyFill="1" applyAlignment="1">
      <alignment horizontal="left"/>
    </xf>
    <xf numFmtId="0" fontId="28" fillId="0" borderId="0" xfId="0" applyNumberFormat="1" applyFont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177" fontId="27" fillId="0" borderId="0" xfId="0" applyNumberFormat="1" applyFont="1" applyAlignment="1">
      <alignment horizontal="left"/>
    </xf>
    <xf numFmtId="177" fontId="28" fillId="0" borderId="0" xfId="0" applyNumberFormat="1" applyFont="1" applyFill="1" applyAlignment="1">
      <alignment horizontal="left"/>
    </xf>
    <xf numFmtId="177" fontId="28" fillId="0" borderId="0" xfId="0" applyNumberFormat="1" applyFont="1" applyAlignment="1">
      <alignment horizontal="left"/>
    </xf>
    <xf numFmtId="0" fontId="27" fillId="0" borderId="0" xfId="0" applyFont="1" applyFill="1" applyAlignment="1"/>
    <xf numFmtId="176" fontId="27" fillId="0" borderId="0" xfId="0" applyNumberFormat="1" applyFont="1" applyFill="1" applyAlignment="1">
      <alignment horizontal="left" vertical="center" wrapText="1"/>
    </xf>
    <xf numFmtId="0" fontId="27" fillId="0" borderId="0" xfId="0" applyNumberFormat="1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left"/>
    </xf>
    <xf numFmtId="177" fontId="35" fillId="0" borderId="0" xfId="0" applyNumberFormat="1" applyFont="1" applyFill="1" applyAlignment="1">
      <alignment horizontal="left"/>
    </xf>
    <xf numFmtId="0" fontId="32" fillId="0" borderId="0" xfId="0" applyFont="1">
      <alignment vertical="center"/>
    </xf>
    <xf numFmtId="176" fontId="32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82" fontId="4" fillId="0" borderId="0" xfId="0" applyNumberFormat="1" applyFont="1" applyAlignment="1">
      <alignment horizontal="left"/>
    </xf>
    <xf numFmtId="183" fontId="3" fillId="0" borderId="0" xfId="0" applyNumberFormat="1" applyFont="1">
      <alignment vertical="center"/>
    </xf>
    <xf numFmtId="177" fontId="10" fillId="0" borderId="0" xfId="0" applyNumberFormat="1" applyFont="1" applyFill="1" applyAlignment="1">
      <alignment horizontal="left"/>
    </xf>
    <xf numFmtId="176" fontId="32" fillId="0" borderId="0" xfId="0" applyNumberFormat="1" applyFont="1">
      <alignment vertical="center"/>
    </xf>
    <xf numFmtId="176" fontId="26" fillId="0" borderId="0" xfId="0" applyNumberFormat="1" applyFont="1">
      <alignment vertical="center"/>
    </xf>
    <xf numFmtId="176" fontId="17" fillId="0" borderId="0" xfId="0" applyNumberFormat="1" applyFont="1" applyAlignment="1">
      <alignment horizontal="left"/>
    </xf>
    <xf numFmtId="176" fontId="21" fillId="0" borderId="0" xfId="0" applyNumberFormat="1" applyFont="1" applyAlignment="1">
      <alignment horizontal="left" vertical="center"/>
    </xf>
    <xf numFmtId="181" fontId="26" fillId="0" borderId="0" xfId="0" applyNumberFormat="1" applyFont="1" applyAlignment="1">
      <alignment horizontal="left" vertical="center"/>
    </xf>
    <xf numFmtId="182" fontId="28" fillId="0" borderId="0" xfId="0" applyNumberFormat="1" applyFont="1" applyAlignment="1">
      <alignment horizontal="left" vertical="center"/>
    </xf>
    <xf numFmtId="0" fontId="3" fillId="0" borderId="0" xfId="0" applyNumberFormat="1" applyFont="1">
      <alignment vertical="center"/>
    </xf>
    <xf numFmtId="0" fontId="28" fillId="0" borderId="0" xfId="0" applyNumberFormat="1" applyFont="1">
      <alignment vertical="center"/>
    </xf>
    <xf numFmtId="0" fontId="36" fillId="0" borderId="0" xfId="0" applyNumberFormat="1" applyFont="1" applyAlignment="1">
      <alignment horizontal="left" vertical="center"/>
    </xf>
    <xf numFmtId="0" fontId="15" fillId="0" borderId="0" xfId="0" applyNumberFormat="1" applyFont="1" applyAlignment="1">
      <alignment horizontal="left"/>
    </xf>
    <xf numFmtId="184" fontId="3" fillId="0" borderId="0" xfId="0" applyNumberFormat="1" applyFont="1">
      <alignment vertical="center"/>
    </xf>
    <xf numFmtId="184" fontId="3" fillId="0" borderId="0" xfId="0" applyNumberFormat="1" applyFont="1" applyAlignment="1">
      <alignment horizontal="left" vertical="center"/>
    </xf>
    <xf numFmtId="184" fontId="16" fillId="0" borderId="0" xfId="0" applyNumberFormat="1" applyFont="1">
      <alignment vertical="center"/>
    </xf>
    <xf numFmtId="184" fontId="28" fillId="0" borderId="0" xfId="0" applyNumberFormat="1" applyFont="1">
      <alignment vertical="center"/>
    </xf>
    <xf numFmtId="184" fontId="2" fillId="0" borderId="0" xfId="0" applyNumberFormat="1" applyFont="1">
      <alignment vertical="center"/>
    </xf>
    <xf numFmtId="184" fontId="27" fillId="0" borderId="0" xfId="0" applyNumberFormat="1" applyFont="1" applyAlignment="1">
      <alignment horizontal="left"/>
    </xf>
    <xf numFmtId="184" fontId="4" fillId="0" borderId="0" xfId="0" applyNumberFormat="1" applyFont="1" applyAlignment="1">
      <alignment horizontal="left" vertical="center"/>
    </xf>
    <xf numFmtId="184" fontId="26" fillId="0" borderId="0" xfId="0" applyNumberFormat="1" applyFont="1" applyAlignment="1">
      <alignment horizontal="left" vertical="center"/>
    </xf>
    <xf numFmtId="184" fontId="16" fillId="0" borderId="0" xfId="0" applyNumberFormat="1" applyFont="1" applyAlignment="1">
      <alignment horizontal="left" vertical="center"/>
    </xf>
    <xf numFmtId="184" fontId="34" fillId="0" borderId="0" xfId="0" applyNumberFormat="1" applyFont="1" applyAlignment="1">
      <alignment horizontal="left" vertical="center"/>
    </xf>
    <xf numFmtId="184" fontId="27" fillId="0" borderId="0" xfId="0" applyNumberFormat="1" applyFont="1" applyAlignment="1">
      <alignment horizontal="left" vertical="center"/>
    </xf>
    <xf numFmtId="184" fontId="3" fillId="0" borderId="0" xfId="0" applyNumberFormat="1" applyFont="1" applyAlignment="1">
      <alignment horizontal="left"/>
    </xf>
    <xf numFmtId="184" fontId="34" fillId="0" borderId="0" xfId="0" applyNumberFormat="1" applyFont="1" applyAlignment="1">
      <alignment horizontal="left"/>
    </xf>
    <xf numFmtId="184" fontId="28" fillId="0" borderId="0" xfId="0" applyNumberFormat="1" applyFont="1" applyAlignment="1">
      <alignment horizontal="left"/>
    </xf>
    <xf numFmtId="184" fontId="3" fillId="2" borderId="0" xfId="0" applyNumberFormat="1" applyFont="1" applyFill="1">
      <alignment vertical="center"/>
    </xf>
    <xf numFmtId="184" fontId="15" fillId="0" borderId="0" xfId="0" applyNumberFormat="1" applyFont="1" applyAlignment="1">
      <alignment horizontal="left"/>
    </xf>
    <xf numFmtId="184" fontId="17" fillId="0" borderId="0" xfId="0" applyNumberFormat="1" applyFont="1" applyAlignment="1">
      <alignment horizontal="left"/>
    </xf>
    <xf numFmtId="184" fontId="6" fillId="0" borderId="0" xfId="0" applyNumberFormat="1" applyFo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83" fontId="16" fillId="0" borderId="0" xfId="0" applyNumberFormat="1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82" fontId="3" fillId="0" borderId="0" xfId="0" applyNumberFormat="1" applyFont="1" applyAlignment="1">
      <alignment horizontal="left"/>
    </xf>
    <xf numFmtId="185" fontId="3" fillId="0" borderId="0" xfId="0" applyNumberFormat="1" applyFont="1" applyAlignment="1">
      <alignment horizontal="left" vertical="center"/>
    </xf>
    <xf numFmtId="185" fontId="4" fillId="0" borderId="0" xfId="0" applyNumberFormat="1" applyFont="1" applyAlignment="1">
      <alignment horizontal="left" vertical="center"/>
    </xf>
    <xf numFmtId="181" fontId="4" fillId="0" borderId="0" xfId="0" applyNumberFormat="1" applyFont="1" applyAlignment="1">
      <alignment horizontal="left" vertical="center"/>
    </xf>
    <xf numFmtId="177" fontId="26" fillId="0" borderId="0" xfId="0" applyNumberFormat="1" applyFont="1" applyAlignment="1">
      <alignment horizontal="left" vertical="center"/>
    </xf>
    <xf numFmtId="186" fontId="16" fillId="0" borderId="0" xfId="0" applyNumberFormat="1" applyFont="1" applyAlignment="1">
      <alignment horizontal="left" vertical="center"/>
    </xf>
    <xf numFmtId="186" fontId="26" fillId="0" borderId="0" xfId="0" applyNumberFormat="1" applyFont="1" applyAlignment="1">
      <alignment horizontal="left" vertical="center"/>
    </xf>
    <xf numFmtId="186" fontId="15" fillId="0" borderId="0" xfId="0" applyNumberFormat="1" applyFont="1" applyAlignment="1">
      <alignment horizontal="left" vertical="center"/>
    </xf>
    <xf numFmtId="0" fontId="52" fillId="0" borderId="0" xfId="21" applyFont="1"/>
    <xf numFmtId="0" fontId="3" fillId="0" borderId="0" xfId="90" applyFont="1" applyAlignment="1">
      <alignment horizontal="left" vertical="center"/>
    </xf>
    <xf numFmtId="188" fontId="3" fillId="0" borderId="0" xfId="0" applyNumberFormat="1" applyFont="1" applyAlignment="1">
      <alignment horizontal="left" vertical="center"/>
    </xf>
    <xf numFmtId="191" fontId="7" fillId="0" borderId="0" xfId="90" applyNumberFormat="1" applyFont="1" applyAlignment="1">
      <alignment horizontal="left" vertical="center"/>
    </xf>
    <xf numFmtId="187" fontId="3" fillId="0" borderId="0" xfId="0" applyNumberFormat="1" applyFont="1" applyAlignment="1">
      <alignment horizontal="left" vertical="center"/>
    </xf>
    <xf numFmtId="0" fontId="16" fillId="0" borderId="0" xfId="90" applyFont="1" applyAlignment="1">
      <alignment horizontal="left" vertical="center"/>
    </xf>
    <xf numFmtId="187" fontId="4" fillId="0" borderId="0" xfId="0" applyNumberFormat="1" applyFont="1" applyAlignment="1">
      <alignment horizontal="left" vertical="center"/>
    </xf>
    <xf numFmtId="0" fontId="2" fillId="0" borderId="0" xfId="90" applyFont="1" applyAlignment="1">
      <alignment horizontal="left" vertical="center"/>
    </xf>
    <xf numFmtId="0" fontId="37" fillId="0" borderId="0" xfId="21"/>
    <xf numFmtId="0" fontId="3" fillId="0" borderId="0" xfId="21" applyFont="1" applyAlignment="1">
      <alignment horizontal="left"/>
    </xf>
    <xf numFmtId="0" fontId="1" fillId="0" borderId="0" xfId="90">
      <alignment vertical="center"/>
    </xf>
    <xf numFmtId="0" fontId="27" fillId="0" borderId="0" xfId="90" applyFont="1" applyAlignment="1">
      <alignment horizontal="left" vertical="center"/>
    </xf>
    <xf numFmtId="0" fontId="2" fillId="2" borderId="0" xfId="90" applyFont="1" applyFill="1" applyAlignment="1">
      <alignment horizontal="left" vertical="center"/>
    </xf>
    <xf numFmtId="0" fontId="52" fillId="0" borderId="0" xfId="21" applyFont="1"/>
    <xf numFmtId="185" fontId="2" fillId="0" borderId="0" xfId="90" applyNumberFormat="1" applyFont="1" applyAlignment="1">
      <alignment horizontal="left" vertical="center"/>
    </xf>
    <xf numFmtId="185" fontId="2" fillId="2" borderId="0" xfId="90" applyNumberFormat="1" applyFont="1" applyFill="1" applyAlignment="1">
      <alignment horizontal="left" vertical="center"/>
    </xf>
    <xf numFmtId="178" fontId="4" fillId="0" borderId="0" xfId="90" applyNumberFormat="1" applyFont="1" applyAlignment="1">
      <alignment horizontal="left" vertical="center"/>
    </xf>
    <xf numFmtId="0" fontId="16" fillId="2" borderId="0" xfId="90" applyFont="1" applyFill="1" applyAlignment="1">
      <alignment horizontal="left" vertical="center"/>
    </xf>
    <xf numFmtId="176" fontId="16" fillId="0" borderId="0" xfId="90" applyNumberFormat="1" applyFont="1" applyAlignment="1">
      <alignment horizontal="left" vertical="center"/>
    </xf>
    <xf numFmtId="176" fontId="3" fillId="0" borderId="0" xfId="90" applyNumberFormat="1" applyFont="1" applyAlignment="1">
      <alignment horizontal="left" vertical="center"/>
    </xf>
    <xf numFmtId="0" fontId="26" fillId="0" borderId="0" xfId="90" applyFont="1">
      <alignment vertical="center"/>
    </xf>
    <xf numFmtId="0" fontId="10" fillId="0" borderId="0" xfId="75" applyFont="1" applyAlignment="1">
      <alignment horizontal="left" vertical="center"/>
    </xf>
    <xf numFmtId="182" fontId="16" fillId="0" borderId="0" xfId="90" applyNumberFormat="1" applyFont="1" applyAlignment="1">
      <alignment horizontal="left" vertical="center"/>
    </xf>
    <xf numFmtId="0" fontId="58" fillId="0" borderId="0" xfId="90" applyFont="1" applyAlignment="1">
      <alignment horizontal="left" vertical="center"/>
    </xf>
    <xf numFmtId="179" fontId="22" fillId="0" borderId="0" xfId="90" applyNumberFormat="1" applyFont="1" applyAlignment="1">
      <alignment horizontal="left" vertical="center"/>
    </xf>
    <xf numFmtId="179" fontId="3" fillId="0" borderId="0" xfId="90" applyNumberFormat="1" applyFont="1" applyAlignment="1">
      <alignment horizontal="left" vertical="center"/>
    </xf>
    <xf numFmtId="178" fontId="3" fillId="0" borderId="0" xfId="90" applyNumberFormat="1" applyFont="1" applyAlignment="1">
      <alignment horizontal="left" vertical="center"/>
    </xf>
    <xf numFmtId="178" fontId="16" fillId="0" borderId="0" xfId="90" applyNumberFormat="1" applyFont="1" applyAlignment="1">
      <alignment horizontal="left" vertical="center"/>
    </xf>
    <xf numFmtId="182" fontId="3" fillId="0" borderId="0" xfId="75" applyNumberFormat="1" applyFont="1" applyAlignment="1">
      <alignment horizontal="left"/>
    </xf>
    <xf numFmtId="182" fontId="27" fillId="0" borderId="0" xfId="75" applyNumberFormat="1" applyFont="1" applyAlignment="1">
      <alignment horizontal="left"/>
    </xf>
    <xf numFmtId="182" fontId="3" fillId="2" borderId="0" xfId="75" applyNumberFormat="1" applyFont="1" applyFill="1" applyAlignment="1">
      <alignment horizontal="left"/>
    </xf>
    <xf numFmtId="0" fontId="59" fillId="0" borderId="0" xfId="90" applyFont="1" applyAlignment="1">
      <alignment horizontal="left" vertical="center"/>
    </xf>
    <xf numFmtId="176" fontId="16" fillId="2" borderId="0" xfId="90" applyNumberFormat="1" applyFont="1" applyFill="1" applyAlignment="1">
      <alignment horizontal="left" vertical="center"/>
    </xf>
    <xf numFmtId="0" fontId="3" fillId="2" borderId="0" xfId="90" applyFont="1" applyFill="1" applyAlignment="1">
      <alignment horizontal="left" vertical="center"/>
    </xf>
    <xf numFmtId="0" fontId="7" fillId="0" borderId="0" xfId="90" applyFont="1" applyAlignment="1">
      <alignment horizontal="left" vertical="center"/>
    </xf>
    <xf numFmtId="185" fontId="7" fillId="0" borderId="0" xfId="90" applyNumberFormat="1" applyFont="1" applyAlignment="1">
      <alignment horizontal="left" vertical="center"/>
    </xf>
    <xf numFmtId="181" fontId="7" fillId="0" borderId="0" xfId="90" applyNumberFormat="1" applyFont="1" applyAlignment="1">
      <alignment horizontal="left" vertical="center"/>
    </xf>
    <xf numFmtId="189" fontId="7" fillId="0" borderId="0" xfId="90" applyNumberFormat="1" applyFont="1" applyAlignment="1">
      <alignment horizontal="left" vertical="center"/>
    </xf>
    <xf numFmtId="190" fontId="7" fillId="0" borderId="0" xfId="90" applyNumberFormat="1" applyFont="1" applyAlignment="1">
      <alignment horizontal="left" vertical="center"/>
    </xf>
    <xf numFmtId="176" fontId="27" fillId="0" borderId="0" xfId="75" applyNumberFormat="1" applyFont="1" applyAlignment="1">
      <alignment horizontal="left"/>
    </xf>
    <xf numFmtId="190" fontId="27" fillId="0" borderId="0" xfId="75" applyNumberFormat="1" applyFont="1" applyAlignment="1">
      <alignment horizontal="left"/>
    </xf>
    <xf numFmtId="176" fontId="3" fillId="0" borderId="0" xfId="75" applyNumberFormat="1" applyFont="1" applyAlignment="1">
      <alignment horizontal="left"/>
    </xf>
    <xf numFmtId="190" fontId="3" fillId="0" borderId="0" xfId="75" applyNumberFormat="1" applyFont="1" applyAlignment="1">
      <alignment horizontal="left"/>
    </xf>
    <xf numFmtId="176" fontId="7" fillId="0" borderId="0" xfId="90" applyNumberFormat="1" applyFont="1" applyAlignment="1">
      <alignment horizontal="left" vertical="center"/>
    </xf>
    <xf numFmtId="176" fontId="10" fillId="0" borderId="0" xfId="75" applyNumberFormat="1" applyFont="1" applyAlignment="1">
      <alignment horizontal="left" vertical="center"/>
    </xf>
    <xf numFmtId="176" fontId="3" fillId="2" borderId="0" xfId="75" applyNumberFormat="1" applyFont="1" applyFill="1" applyAlignment="1">
      <alignment horizontal="left"/>
    </xf>
    <xf numFmtId="182" fontId="10" fillId="0" borderId="0" xfId="75" applyNumberFormat="1" applyFont="1" applyAlignment="1">
      <alignment horizontal="left" vertical="center"/>
    </xf>
    <xf numFmtId="176" fontId="3" fillId="2" borderId="0" xfId="90" applyNumberFormat="1" applyFont="1" applyFill="1" applyAlignment="1">
      <alignment horizontal="left" vertical="center"/>
    </xf>
    <xf numFmtId="177" fontId="7" fillId="0" borderId="0" xfId="90" applyNumberFormat="1" applyFont="1" applyAlignment="1">
      <alignment horizontal="left" vertical="center"/>
    </xf>
    <xf numFmtId="182" fontId="16" fillId="2" borderId="0" xfId="90" applyNumberFormat="1" applyFont="1" applyFill="1" applyAlignment="1">
      <alignment horizontal="left" vertical="center"/>
    </xf>
    <xf numFmtId="176" fontId="57" fillId="0" borderId="0" xfId="90" applyNumberFormat="1" applyFont="1" applyAlignment="1">
      <alignment horizontal="left" vertical="center"/>
    </xf>
    <xf numFmtId="177" fontId="32" fillId="0" borderId="0" xfId="0" applyNumberFormat="1" applyFont="1" applyFill="1" applyAlignment="1">
      <alignment horizontal="left"/>
    </xf>
    <xf numFmtId="0" fontId="17" fillId="0" borderId="0" xfId="0" applyFont="1">
      <alignment vertical="center"/>
    </xf>
    <xf numFmtId="0" fontId="61" fillId="0" borderId="0" xfId="0" applyFont="1">
      <alignment vertical="center"/>
    </xf>
    <xf numFmtId="0" fontId="62" fillId="0" borderId="0" xfId="0" applyFont="1">
      <alignment vertical="center"/>
    </xf>
    <xf numFmtId="184" fontId="62" fillId="0" borderId="0" xfId="0" applyNumberFormat="1" applyFont="1">
      <alignment vertical="center"/>
    </xf>
    <xf numFmtId="0" fontId="63" fillId="0" borderId="0" xfId="0" applyFont="1">
      <alignment vertical="center"/>
    </xf>
    <xf numFmtId="0" fontId="64" fillId="0" borderId="0" xfId="0" applyFont="1">
      <alignment vertical="center"/>
    </xf>
    <xf numFmtId="0" fontId="65" fillId="0" borderId="0" xfId="0" applyFont="1">
      <alignment vertical="center"/>
    </xf>
    <xf numFmtId="182" fontId="63" fillId="0" borderId="0" xfId="0" applyNumberFormat="1" applyFont="1">
      <alignment vertical="center"/>
    </xf>
    <xf numFmtId="0" fontId="61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176" fontId="61" fillId="0" borderId="0" xfId="0" applyNumberFormat="1" applyFont="1" applyAlignment="1">
      <alignment horizontal="left" vertical="center"/>
    </xf>
    <xf numFmtId="0" fontId="59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</cellXfs>
  <cellStyles count="92">
    <cellStyle name="20% - 强调文字颜色 1 2" xfId="40"/>
    <cellStyle name="20% - 强调文字颜色 2 2" xfId="44"/>
    <cellStyle name="20% - 强调文字颜色 3 2" xfId="48"/>
    <cellStyle name="20% - 强调文字颜色 4 2" xfId="52"/>
    <cellStyle name="20% - 强调文字颜色 5 2" xfId="56"/>
    <cellStyle name="20% - 强调文字颜色 6 2" xfId="60"/>
    <cellStyle name="40% - 强调文字颜色 1 2" xfId="41"/>
    <cellStyle name="40% - 强调文字颜色 2 2" xfId="45"/>
    <cellStyle name="40% - 强调文字颜色 3 2" xfId="49"/>
    <cellStyle name="40% - 强调文字颜色 4 2" xfId="53"/>
    <cellStyle name="40% - 强调文字颜色 5 2" xfId="57"/>
    <cellStyle name="40% - 强调文字颜色 6 2" xfId="61"/>
    <cellStyle name="60% - 强调文字颜色 1 2" xfId="64"/>
    <cellStyle name="60% - 强调文字颜色 1 3" xfId="42"/>
    <cellStyle name="60% - 强调文字颜色 2 2" xfId="65"/>
    <cellStyle name="60% - 强调文字颜色 2 3" xfId="46"/>
    <cellStyle name="60% - 强调文字颜色 3 2" xfId="66"/>
    <cellStyle name="60% - 强调文字颜色 3 3" xfId="50"/>
    <cellStyle name="60% - 强调文字颜色 4 2" xfId="67"/>
    <cellStyle name="60% - 强调文字颜色 4 3" xfId="54"/>
    <cellStyle name="60% - 强调文字颜色 5 2" xfId="68"/>
    <cellStyle name="60% - 强调文字颜色 5 3" xfId="58"/>
    <cellStyle name="60% - 强调文字颜色 6 2" xfId="69"/>
    <cellStyle name="60% - 强调文字颜色 6 3" xfId="62"/>
    <cellStyle name="标题 1 2" xfId="23"/>
    <cellStyle name="标题 2 2" xfId="24"/>
    <cellStyle name="标题 3 2" xfId="25"/>
    <cellStyle name="标题 4 2" xfId="26"/>
    <cellStyle name="标题 5" xfId="22"/>
    <cellStyle name="差 2" xfId="28"/>
    <cellStyle name="常规" xfId="0" builtinId="0"/>
    <cellStyle name="常规 10" xfId="21"/>
    <cellStyle name="常规 11" xfId="73"/>
    <cellStyle name="常规 12" xfId="90"/>
    <cellStyle name="常规 2" xfId="1"/>
    <cellStyle name="常规 2 2" xfId="2"/>
    <cellStyle name="常规 2 2 2" xfId="75"/>
    <cellStyle name="常规 2 3" xfId="3"/>
    <cellStyle name="常规 2 3 2" xfId="76"/>
    <cellStyle name="常规 2 4" xfId="4"/>
    <cellStyle name="常规 2 4 2" xfId="77"/>
    <cellStyle name="常规 2 5" xfId="74"/>
    <cellStyle name="常规 3" xfId="5"/>
    <cellStyle name="常规 3 2" xfId="6"/>
    <cellStyle name="常规 3 2 2" xfId="79"/>
    <cellStyle name="常规 3 3" xfId="7"/>
    <cellStyle name="常规 3 3 2" xfId="80"/>
    <cellStyle name="常规 3 4" xfId="78"/>
    <cellStyle name="常规 4" xfId="8"/>
    <cellStyle name="常规 4 2" xfId="9"/>
    <cellStyle name="常规 4 2 2" xfId="82"/>
    <cellStyle name="常规 4 2 3" xfId="70"/>
    <cellStyle name="常规 4 3" xfId="10"/>
    <cellStyle name="常规 4 3 2" xfId="83"/>
    <cellStyle name="常规 4 3 3" xfId="72"/>
    <cellStyle name="常规 4 4" xfId="81"/>
    <cellStyle name="常规 5" xfId="11"/>
    <cellStyle name="常规 5 2" xfId="12"/>
    <cellStyle name="常规 5 2 2" xfId="85"/>
    <cellStyle name="常规 5 3" xfId="84"/>
    <cellStyle name="常规 6" xfId="13"/>
    <cellStyle name="常规 6 2" xfId="14"/>
    <cellStyle name="常规 6 2 2" xfId="86"/>
    <cellStyle name="常规 6 2 3" xfId="71"/>
    <cellStyle name="常规 6 3" xfId="15"/>
    <cellStyle name="常规 7" xfId="16"/>
    <cellStyle name="常规 7 2" xfId="17"/>
    <cellStyle name="常规 7 2 2" xfId="87"/>
    <cellStyle name="常规 7 3" xfId="18"/>
    <cellStyle name="常规 8" xfId="19"/>
    <cellStyle name="常规 8 2" xfId="88"/>
    <cellStyle name="常规 8 3" xfId="91"/>
    <cellStyle name="常规 9" xfId="20"/>
    <cellStyle name="常规 9 2" xfId="89"/>
    <cellStyle name="好 2" xfId="27"/>
    <cellStyle name="汇总 2" xfId="38"/>
    <cellStyle name="计算 2" xfId="32"/>
    <cellStyle name="检查单元格 2" xfId="34"/>
    <cellStyle name="解释性文本 2" xfId="37"/>
    <cellStyle name="警告文本 2" xfId="35"/>
    <cellStyle name="链接单元格 2" xfId="33"/>
    <cellStyle name="强调文字颜色 1 2" xfId="39"/>
    <cellStyle name="强调文字颜色 2 2" xfId="43"/>
    <cellStyle name="强调文字颜色 3 2" xfId="47"/>
    <cellStyle name="强调文字颜色 4 2" xfId="51"/>
    <cellStyle name="强调文字颜色 5 2" xfId="55"/>
    <cellStyle name="强调文字颜色 6 2" xfId="59"/>
    <cellStyle name="适中 2" xfId="63"/>
    <cellStyle name="适中 3" xfId="29"/>
    <cellStyle name="输出 2" xfId="31"/>
    <cellStyle name="输入 2" xfId="30"/>
    <cellStyle name="注释 2" xfId="36"/>
  </cellStyles>
  <dxfs count="0"/>
  <tableStyles count="0" defaultTableStyle="TableStyleMedium2" defaultPivotStyle="PivotStyleLight16"/>
  <colors>
    <mruColors>
      <color rgb="FF0000CC"/>
      <color rgb="FF0000FF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title>
      <c:tx>
        <c:rich>
          <a:bodyPr/>
          <a:lstStyle/>
          <a:p>
            <a:pPr>
              <a:defRPr/>
            </a:pPr>
            <a:r>
              <a:rPr lang="en-US" altLang="zh-CN" sz="900" b="0">
                <a:latin typeface="Arial" pitchFamily="34" charset="0"/>
                <a:cs typeface="Arial" pitchFamily="34" charset="0"/>
              </a:rPr>
              <a:t>a</a:t>
            </a:r>
            <a:endParaRPr lang="en-US" altLang="en-US" sz="900" b="0">
              <a:latin typeface="Arial" pitchFamily="34" charset="0"/>
              <a:cs typeface="Arial" pitchFamily="34" charset="0"/>
            </a:endParaRPr>
          </a:p>
        </c:rich>
      </c:tx>
      <c:layout>
        <c:manualLayout>
          <c:xMode val="edge"/>
          <c:yMode val="edge"/>
          <c:x val="0.20189151409463327"/>
          <c:y val="0.10213546223388764"/>
        </c:manualLayout>
      </c:layout>
    </c:title>
    <c:plotArea>
      <c:layout>
        <c:manualLayout>
          <c:layoutTarget val="inner"/>
          <c:xMode val="edge"/>
          <c:yMode val="edge"/>
          <c:x val="0.16692779814736963"/>
          <c:y val="6.5173884514435704E-2"/>
          <c:w val="0.79006146531805532"/>
          <c:h val="0.78710018390558323"/>
        </c:manualLayout>
      </c:layout>
      <c:scatterChart>
        <c:scatterStyle val="lineMarker"/>
        <c:ser>
          <c:idx val="0"/>
          <c:order val="0"/>
          <c:tx>
            <c:strRef>
              <c:f>'CIA-Pb isotope correlation'!$BE$9</c:f>
              <c:strCache>
                <c:ptCount val="1"/>
                <c:pt idx="0">
                  <c:v>206Pb/204Pb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noFill/>
              <a:ln w="6350">
                <a:solidFill>
                  <a:sysClr val="windowText" lastClr="000000"/>
                </a:solidFill>
              </a:ln>
            </c:spPr>
          </c:marker>
          <c:dPt>
            <c:idx val="0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5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6"/>
            <c:marker>
              <c:spPr>
                <a:solidFill>
                  <a:schemeClr val="tx1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7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trendline>
            <c:spPr>
              <a:ln>
                <a:solidFill>
                  <a:srgbClr val="FF0000"/>
                </a:solidFill>
                <a:prstDash val="lgDash"/>
              </a:ln>
            </c:spPr>
            <c:trendlineType val="linear"/>
            <c:dispRSqr val="1"/>
            <c:dispEq val="1"/>
            <c:trendlineLbl>
              <c:layout>
                <c:manualLayout>
                  <c:x val="-0.23794273807377167"/>
                  <c:y val="-2.0939882514685738E-2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800" baseline="0">
                      <a:latin typeface="Times New Roman" pitchFamily="18" charset="0"/>
                    </a:defRPr>
                  </a:pPr>
                  <a:endParaRPr lang="zh-CN"/>
                </a:p>
              </c:txPr>
            </c:trendlineLbl>
          </c:trendline>
          <c:xVal>
            <c:numRef>
              <c:f>'CIA-Pb isotope correlation'!$BA$10:$BA$27</c:f>
              <c:numCache>
                <c:formatCode>0.00_);[Red]\(0.00\)</c:formatCode>
                <c:ptCount val="18"/>
                <c:pt idx="0">
                  <c:v>86.636187023724844</c:v>
                </c:pt>
                <c:pt idx="1">
                  <c:v>85.699929466158906</c:v>
                </c:pt>
                <c:pt idx="2">
                  <c:v>82.580870301604378</c:v>
                </c:pt>
                <c:pt idx="3">
                  <c:v>82.254970483286698</c:v>
                </c:pt>
                <c:pt idx="4">
                  <c:v>80.334226836819582</c:v>
                </c:pt>
                <c:pt idx="5">
                  <c:v>82.561934821023613</c:v>
                </c:pt>
                <c:pt idx="6">
                  <c:v>78.667821951977643</c:v>
                </c:pt>
                <c:pt idx="7">
                  <c:v>82.485237228307838</c:v>
                </c:pt>
                <c:pt idx="8">
                  <c:v>77.675331945529564</c:v>
                </c:pt>
                <c:pt idx="9">
                  <c:v>82.971534900249353</c:v>
                </c:pt>
                <c:pt idx="10">
                  <c:v>76.936089076355032</c:v>
                </c:pt>
                <c:pt idx="11">
                  <c:v>80.65882441117499</c:v>
                </c:pt>
                <c:pt idx="12">
                  <c:v>79.255820420456303</c:v>
                </c:pt>
                <c:pt idx="13">
                  <c:v>77.32627172109936</c:v>
                </c:pt>
                <c:pt idx="14">
                  <c:v>75.329440318235172</c:v>
                </c:pt>
                <c:pt idx="15">
                  <c:v>73.772527719636003</c:v>
                </c:pt>
                <c:pt idx="16">
                  <c:v>71.15115253553472</c:v>
                </c:pt>
                <c:pt idx="17">
                  <c:v>67.947827902721059</c:v>
                </c:pt>
              </c:numCache>
            </c:numRef>
          </c:xVal>
          <c:yVal>
            <c:numRef>
              <c:f>'CIA-Pb isotope correlation'!$BE$10:$BE$27</c:f>
              <c:numCache>
                <c:formatCode>General</c:formatCode>
                <c:ptCount val="18"/>
                <c:pt idx="0">
                  <c:v>19.0993439633225</c:v>
                </c:pt>
                <c:pt idx="1">
                  <c:v>19.504755642668901</c:v>
                </c:pt>
                <c:pt idx="2">
                  <c:v>19.280915129325599</c:v>
                </c:pt>
                <c:pt idx="3">
                  <c:v>19.473511359999002</c:v>
                </c:pt>
                <c:pt idx="4">
                  <c:v>19.504104523004099</c:v>
                </c:pt>
                <c:pt idx="5">
                  <c:v>19.384648900141102</c:v>
                </c:pt>
                <c:pt idx="6">
                  <c:v>19.590824995630602</c:v>
                </c:pt>
                <c:pt idx="7">
                  <c:v>19.741025778123301</c:v>
                </c:pt>
                <c:pt idx="8">
                  <c:v>19.890228930074201</c:v>
                </c:pt>
                <c:pt idx="9">
                  <c:v>19.470144810298901</c:v>
                </c:pt>
                <c:pt idx="10">
                  <c:v>19.758347963347902</c:v>
                </c:pt>
                <c:pt idx="11">
                  <c:v>19.754117851242899</c:v>
                </c:pt>
                <c:pt idx="12">
                  <c:v>19.317435544242901</c:v>
                </c:pt>
                <c:pt idx="13">
                  <c:v>19.618483787572401</c:v>
                </c:pt>
                <c:pt idx="14">
                  <c:v>19.628348748394401</c:v>
                </c:pt>
                <c:pt idx="15">
                  <c:v>20.228054780682701</c:v>
                </c:pt>
                <c:pt idx="16">
                  <c:v>19.748839065507202</c:v>
                </c:pt>
                <c:pt idx="17">
                  <c:v>20.392712119978</c:v>
                </c:pt>
              </c:numCache>
            </c:numRef>
          </c:yVal>
        </c:ser>
        <c:axId val="173364736"/>
        <c:axId val="173366272"/>
      </c:scatterChart>
      <c:valAx>
        <c:axId val="173364736"/>
        <c:scaling>
          <c:orientation val="minMax"/>
          <c:max val="100"/>
          <c:min val="50"/>
        </c:scaling>
        <c:axPos val="b"/>
        <c:numFmt formatCode="General" sourceLinked="0"/>
        <c:minorTickMark val="out"/>
        <c:tickLblPos val="nextTo"/>
        <c:spPr>
          <a:ln w="635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173366272"/>
        <c:crossesAt val="19"/>
        <c:crossBetween val="midCat"/>
        <c:majorUnit val="10"/>
        <c:minorUnit val="5"/>
      </c:valAx>
      <c:valAx>
        <c:axId val="173366272"/>
        <c:scaling>
          <c:orientation val="minMax"/>
        </c:scaling>
        <c:axPos val="l"/>
        <c:numFmt formatCode="#,##0.0_);\(#,##0.0\)" sourceLinked="0"/>
        <c:minorTickMark val="out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173364736"/>
        <c:crossesAt val="50"/>
        <c:crossBetween val="midCat"/>
        <c:minorUnit val="0.1"/>
      </c:valAx>
      <c:spPr>
        <a:ln w="6350">
          <a:solidFill>
            <a:schemeClr val="tx1"/>
          </a:solidFill>
        </a:ln>
      </c:spPr>
    </c:plotArea>
    <c:plotVisOnly val="1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title>
      <c:tx>
        <c:rich>
          <a:bodyPr/>
          <a:lstStyle/>
          <a:p>
            <a:pPr>
              <a:defRPr/>
            </a:pPr>
            <a:r>
              <a:rPr lang="en-US" altLang="en-US" sz="900" b="0">
                <a:latin typeface="Arial" pitchFamily="34" charset="0"/>
                <a:cs typeface="Arial" pitchFamily="34" charset="0"/>
              </a:rPr>
              <a:t>b</a:t>
            </a:r>
          </a:p>
        </c:rich>
      </c:tx>
      <c:layout>
        <c:manualLayout>
          <c:xMode val="edge"/>
          <c:yMode val="edge"/>
          <c:x val="0.19554398442130286"/>
          <c:y val="5.5555555555555455E-2"/>
        </c:manualLayout>
      </c:layout>
    </c:title>
    <c:plotArea>
      <c:layout>
        <c:manualLayout>
          <c:layoutTarget val="inner"/>
          <c:xMode val="edge"/>
          <c:yMode val="edge"/>
          <c:x val="0.16835464115372675"/>
          <c:y val="2.8252405949256338E-2"/>
          <c:w val="0.78997883329100183"/>
          <c:h val="0.82624635462233886"/>
        </c:manualLayout>
      </c:layout>
      <c:scatterChart>
        <c:scatterStyle val="lineMarker"/>
        <c:ser>
          <c:idx val="0"/>
          <c:order val="0"/>
          <c:tx>
            <c:strRef>
              <c:f>'CIA-Pb isotope correlation'!$BD$9</c:f>
              <c:strCache>
                <c:ptCount val="1"/>
                <c:pt idx="0">
                  <c:v>207Pb/204Pb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noFill/>
              <a:ln w="6350">
                <a:solidFill>
                  <a:sysClr val="windowText" lastClr="000000"/>
                </a:solidFill>
              </a:ln>
            </c:spPr>
          </c:marker>
          <c:dPt>
            <c:idx val="0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5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6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7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'CIA-Pb isotope correlation'!$BA$10:$BA$27</c:f>
              <c:numCache>
                <c:formatCode>0.00_);[Red]\(0.00\)</c:formatCode>
                <c:ptCount val="18"/>
                <c:pt idx="0">
                  <c:v>86.636187023724844</c:v>
                </c:pt>
                <c:pt idx="1">
                  <c:v>85.699929466158906</c:v>
                </c:pt>
                <c:pt idx="2">
                  <c:v>82.580870301604378</c:v>
                </c:pt>
                <c:pt idx="3">
                  <c:v>82.254970483286698</c:v>
                </c:pt>
                <c:pt idx="4">
                  <c:v>80.334226836819582</c:v>
                </c:pt>
                <c:pt idx="5">
                  <c:v>82.561934821023613</c:v>
                </c:pt>
                <c:pt idx="6">
                  <c:v>78.667821951977643</c:v>
                </c:pt>
                <c:pt idx="7">
                  <c:v>82.485237228307838</c:v>
                </c:pt>
                <c:pt idx="8">
                  <c:v>77.675331945529564</c:v>
                </c:pt>
                <c:pt idx="9">
                  <c:v>82.971534900249353</c:v>
                </c:pt>
                <c:pt idx="10">
                  <c:v>76.936089076355032</c:v>
                </c:pt>
                <c:pt idx="11">
                  <c:v>80.65882441117499</c:v>
                </c:pt>
                <c:pt idx="12">
                  <c:v>79.255820420456303</c:v>
                </c:pt>
                <c:pt idx="13">
                  <c:v>77.32627172109936</c:v>
                </c:pt>
                <c:pt idx="14">
                  <c:v>75.329440318235172</c:v>
                </c:pt>
                <c:pt idx="15">
                  <c:v>73.772527719636003</c:v>
                </c:pt>
                <c:pt idx="16">
                  <c:v>71.15115253553472</c:v>
                </c:pt>
                <c:pt idx="17">
                  <c:v>67.947827902721059</c:v>
                </c:pt>
              </c:numCache>
            </c:numRef>
          </c:xVal>
          <c:yVal>
            <c:numRef>
              <c:f>'CIA-Pb isotope correlation'!$BD$10:$BD$27</c:f>
              <c:numCache>
                <c:formatCode>General</c:formatCode>
                <c:ptCount val="18"/>
                <c:pt idx="0">
                  <c:v>15.602621153514701</c:v>
                </c:pt>
                <c:pt idx="1">
                  <c:v>15.978948531879899</c:v>
                </c:pt>
                <c:pt idx="2">
                  <c:v>15.6226725103812</c:v>
                </c:pt>
                <c:pt idx="3">
                  <c:v>15.511142197988001</c:v>
                </c:pt>
                <c:pt idx="4">
                  <c:v>15.3946308306178</c:v>
                </c:pt>
                <c:pt idx="5">
                  <c:v>15.720864913740799</c:v>
                </c:pt>
                <c:pt idx="6">
                  <c:v>15.7627398055679</c:v>
                </c:pt>
                <c:pt idx="7">
                  <c:v>15.723212724728301</c:v>
                </c:pt>
                <c:pt idx="8">
                  <c:v>16.004798891094602</c:v>
                </c:pt>
                <c:pt idx="9">
                  <c:v>15.6894067358479</c:v>
                </c:pt>
                <c:pt idx="10">
                  <c:v>15.689903359375201</c:v>
                </c:pt>
                <c:pt idx="11">
                  <c:v>15.585598061529501</c:v>
                </c:pt>
                <c:pt idx="12">
                  <c:v>15.490416730677101</c:v>
                </c:pt>
                <c:pt idx="13">
                  <c:v>15.691158200333801</c:v>
                </c:pt>
                <c:pt idx="14">
                  <c:v>15.715663541532599</c:v>
                </c:pt>
                <c:pt idx="15">
                  <c:v>15.7220342537556</c:v>
                </c:pt>
                <c:pt idx="16">
                  <c:v>15.777891342129401</c:v>
                </c:pt>
                <c:pt idx="17">
                  <c:v>15.592029266351901</c:v>
                </c:pt>
              </c:numCache>
            </c:numRef>
          </c:yVal>
        </c:ser>
        <c:axId val="208012032"/>
        <c:axId val="208013568"/>
      </c:scatterChart>
      <c:valAx>
        <c:axId val="208012032"/>
        <c:scaling>
          <c:orientation val="minMax"/>
          <c:min val="50"/>
        </c:scaling>
        <c:axPos val="b"/>
        <c:numFmt formatCode="General" sourceLinked="0"/>
        <c:minorTickMark val="out"/>
        <c:tickLblPos val="nextTo"/>
        <c:spPr>
          <a:ln w="635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208013568"/>
        <c:crosses val="autoZero"/>
        <c:crossBetween val="midCat"/>
        <c:majorUnit val="10"/>
        <c:minorUnit val="5"/>
      </c:valAx>
      <c:valAx>
        <c:axId val="208013568"/>
        <c:scaling>
          <c:orientation val="minMax"/>
          <c:max val="16.100000000000001"/>
          <c:min val="15.1"/>
        </c:scaling>
        <c:axPos val="l"/>
        <c:numFmt formatCode="General" sourceLinked="1"/>
        <c:minorTickMark val="out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208012032"/>
        <c:crossesAt val="50"/>
        <c:crossBetween val="midCat"/>
        <c:majorUnit val="0.2"/>
        <c:minorUnit val="0.1"/>
      </c:valAx>
      <c:spPr>
        <a:noFill/>
        <a:ln w="6350">
          <a:solidFill>
            <a:sysClr val="windowText" lastClr="000000"/>
          </a:solidFill>
        </a:ln>
      </c:spPr>
    </c:plotArea>
    <c:plotVisOnly val="1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title>
      <c:tx>
        <c:rich>
          <a:bodyPr/>
          <a:lstStyle/>
          <a:p>
            <a:pPr>
              <a:defRPr/>
            </a:pPr>
            <a:r>
              <a:rPr lang="en-US" altLang="en-US" sz="900" b="0">
                <a:latin typeface="Arial" pitchFamily="34" charset="0"/>
                <a:cs typeface="Arial" pitchFamily="34" charset="0"/>
              </a:rPr>
              <a:t>c</a:t>
            </a:r>
          </a:p>
        </c:rich>
      </c:tx>
      <c:layout>
        <c:manualLayout>
          <c:xMode val="edge"/>
          <c:yMode val="edge"/>
          <c:x val="0.19957751248835817"/>
          <c:y val="9.7222222222222224E-2"/>
        </c:manualLayout>
      </c:layout>
    </c:title>
    <c:plotArea>
      <c:layout>
        <c:manualLayout>
          <c:layoutTarget val="inner"/>
          <c:xMode val="edge"/>
          <c:yMode val="edge"/>
          <c:x val="0.17839020122484689"/>
          <c:y val="4.2025736366287515E-2"/>
          <c:w val="0.7819414105494914"/>
          <c:h val="0.8003277194517352"/>
        </c:manualLayout>
      </c:layout>
      <c:scatterChart>
        <c:scatterStyle val="lineMarker"/>
        <c:ser>
          <c:idx val="0"/>
          <c:order val="0"/>
          <c:tx>
            <c:strRef>
              <c:f>'CIA-Pb isotope correlation'!$BC$9</c:f>
              <c:strCache>
                <c:ptCount val="1"/>
                <c:pt idx="0">
                  <c:v>208Pb/204Pb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noFill/>
              <a:ln w="6350">
                <a:solidFill>
                  <a:sysClr val="windowText" lastClr="000000"/>
                </a:solidFill>
              </a:ln>
            </c:spPr>
          </c:marker>
          <c:dPt>
            <c:idx val="0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5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6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7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xVal>
            <c:numRef>
              <c:f>'CIA-Pb isotope correlation'!$BA$10:$BA$27</c:f>
              <c:numCache>
                <c:formatCode>0.00_);[Red]\(0.00\)</c:formatCode>
                <c:ptCount val="18"/>
                <c:pt idx="0">
                  <c:v>86.636187023724844</c:v>
                </c:pt>
                <c:pt idx="1">
                  <c:v>85.699929466158906</c:v>
                </c:pt>
                <c:pt idx="2">
                  <c:v>82.580870301604378</c:v>
                </c:pt>
                <c:pt idx="3">
                  <c:v>82.254970483286698</c:v>
                </c:pt>
                <c:pt idx="4">
                  <c:v>80.334226836819582</c:v>
                </c:pt>
                <c:pt idx="5">
                  <c:v>82.561934821023613</c:v>
                </c:pt>
                <c:pt idx="6">
                  <c:v>78.667821951977643</c:v>
                </c:pt>
                <c:pt idx="7">
                  <c:v>82.485237228307838</c:v>
                </c:pt>
                <c:pt idx="8">
                  <c:v>77.675331945529564</c:v>
                </c:pt>
                <c:pt idx="9">
                  <c:v>82.971534900249353</c:v>
                </c:pt>
                <c:pt idx="10">
                  <c:v>76.936089076355032</c:v>
                </c:pt>
                <c:pt idx="11">
                  <c:v>80.65882441117499</c:v>
                </c:pt>
                <c:pt idx="12">
                  <c:v>79.255820420456303</c:v>
                </c:pt>
                <c:pt idx="13">
                  <c:v>77.32627172109936</c:v>
                </c:pt>
                <c:pt idx="14">
                  <c:v>75.329440318235172</c:v>
                </c:pt>
                <c:pt idx="15">
                  <c:v>73.772527719636003</c:v>
                </c:pt>
                <c:pt idx="16">
                  <c:v>71.15115253553472</c:v>
                </c:pt>
                <c:pt idx="17">
                  <c:v>67.947827902721059</c:v>
                </c:pt>
              </c:numCache>
            </c:numRef>
          </c:xVal>
          <c:yVal>
            <c:numRef>
              <c:f>'CIA-Pb isotope correlation'!$BC$10:$BC$27</c:f>
              <c:numCache>
                <c:formatCode>General</c:formatCode>
                <c:ptCount val="18"/>
                <c:pt idx="0">
                  <c:v>38.568842325659702</c:v>
                </c:pt>
                <c:pt idx="1">
                  <c:v>39.107622779555598</c:v>
                </c:pt>
                <c:pt idx="2">
                  <c:v>38.719367058816097</c:v>
                </c:pt>
                <c:pt idx="3">
                  <c:v>38.977049993409402</c:v>
                </c:pt>
                <c:pt idx="4">
                  <c:v>38.5505910287362</c:v>
                </c:pt>
                <c:pt idx="5">
                  <c:v>38.775168626444902</c:v>
                </c:pt>
                <c:pt idx="6">
                  <c:v>39.056023468687101</c:v>
                </c:pt>
                <c:pt idx="7">
                  <c:v>39.298723942898903</c:v>
                </c:pt>
                <c:pt idx="8">
                  <c:v>39.764841694981698</c:v>
                </c:pt>
                <c:pt idx="9">
                  <c:v>38.900066036574003</c:v>
                </c:pt>
                <c:pt idx="10">
                  <c:v>39.418251658851297</c:v>
                </c:pt>
                <c:pt idx="11">
                  <c:v>38.8474179709279</c:v>
                </c:pt>
                <c:pt idx="12">
                  <c:v>38.524485053992201</c:v>
                </c:pt>
                <c:pt idx="13">
                  <c:v>39.167144641809799</c:v>
                </c:pt>
                <c:pt idx="14">
                  <c:v>39.408095669814699</c:v>
                </c:pt>
                <c:pt idx="15">
                  <c:v>38.844881376946901</c:v>
                </c:pt>
                <c:pt idx="16">
                  <c:v>38.885489675941898</c:v>
                </c:pt>
                <c:pt idx="17">
                  <c:v>39.2375266333461</c:v>
                </c:pt>
              </c:numCache>
            </c:numRef>
          </c:yVal>
        </c:ser>
        <c:axId val="208035200"/>
        <c:axId val="208053376"/>
      </c:scatterChart>
      <c:valAx>
        <c:axId val="208035200"/>
        <c:scaling>
          <c:orientation val="minMax"/>
          <c:min val="50"/>
        </c:scaling>
        <c:axPos val="b"/>
        <c:numFmt formatCode="General" sourceLinked="0"/>
        <c:minorTickMark val="out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208053376"/>
        <c:crossesAt val="38.400000000000006"/>
        <c:crossBetween val="midCat"/>
        <c:majorUnit val="10"/>
        <c:minorUnit val="5"/>
      </c:valAx>
      <c:valAx>
        <c:axId val="208053376"/>
        <c:scaling>
          <c:orientation val="minMax"/>
          <c:min val="38.400000000000006"/>
        </c:scaling>
        <c:axPos val="l"/>
        <c:numFmt formatCode="#,##0.0_);\(#,##0.0\)" sourceLinked="0"/>
        <c:minorTickMark val="out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208035200"/>
        <c:crossesAt val="0"/>
        <c:crossBetween val="midCat"/>
        <c:majorUnit val="0.2"/>
        <c:minorUnit val="0.1"/>
      </c:valAx>
      <c:spPr>
        <a:ln w="6350">
          <a:solidFill>
            <a:sysClr val="windowText" lastClr="000000"/>
          </a:solidFill>
        </a:ln>
      </c:spPr>
    </c:plotArea>
    <c:plotVisOnly val="1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CN"/>
  <c:chart>
    <c:title>
      <c:tx>
        <c:rich>
          <a:bodyPr/>
          <a:lstStyle/>
          <a:p>
            <a:pPr>
              <a:defRPr/>
            </a:pPr>
            <a:r>
              <a:rPr lang="en-US" altLang="en-US" sz="900" b="0">
                <a:latin typeface="Arial" pitchFamily="34" charset="0"/>
                <a:cs typeface="Arial" pitchFamily="34" charset="0"/>
              </a:rPr>
              <a:t>d</a:t>
            </a:r>
          </a:p>
        </c:rich>
      </c:tx>
      <c:layout>
        <c:manualLayout>
          <c:xMode val="edge"/>
          <c:yMode val="edge"/>
          <c:x val="0.18523918381170182"/>
          <c:y val="5.5555555555555455E-2"/>
        </c:manualLayout>
      </c:layout>
    </c:title>
    <c:plotArea>
      <c:layout>
        <c:manualLayout>
          <c:layoutTarget val="inner"/>
          <c:xMode val="edge"/>
          <c:yMode val="edge"/>
          <c:x val="0.17028984280190826"/>
          <c:y val="3.2766477107028284E-2"/>
          <c:w val="0.7685541726639028"/>
          <c:h val="0.80958697871099239"/>
        </c:manualLayout>
      </c:layout>
      <c:scatterChart>
        <c:scatterStyle val="lineMarker"/>
        <c:ser>
          <c:idx val="0"/>
          <c:order val="0"/>
          <c:tx>
            <c:strRef>
              <c:f>'CIA-Pb isotope correlation'!$BB$9</c:f>
              <c:strCache>
                <c:ptCount val="1"/>
                <c:pt idx="0">
                  <c:v>206Pb/207Pb</c:v>
                </c:pt>
              </c:strCache>
            </c:strRef>
          </c:tx>
          <c:spPr>
            <a:ln w="28575">
              <a:noFill/>
            </a:ln>
          </c:spPr>
          <c:marker>
            <c:symbol val="circle"/>
            <c:size val="7"/>
            <c:spPr>
              <a:noFill/>
              <a:ln w="6350">
                <a:solidFill>
                  <a:sysClr val="windowText" lastClr="000000"/>
                </a:solidFill>
              </a:ln>
            </c:spPr>
          </c:marker>
          <c:dPt>
            <c:idx val="0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"/>
            <c:marker>
              <c:spPr>
                <a:noFill/>
                <a:ln w="6350">
                  <a:solidFill>
                    <a:srgbClr val="FF0000"/>
                  </a:solidFill>
                  <a:prstDash val="dash"/>
                </a:ln>
              </c:spPr>
            </c:marker>
          </c:dPt>
          <c:dPt>
            <c:idx val="15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6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dPt>
            <c:idx val="17"/>
            <c:marker>
              <c:spPr>
                <a:solidFill>
                  <a:sysClr val="windowText" lastClr="000000"/>
                </a:solidFill>
                <a:ln w="6350">
                  <a:solidFill>
                    <a:sysClr val="windowText" lastClr="000000"/>
                  </a:solidFill>
                </a:ln>
              </c:spPr>
            </c:marker>
          </c:dPt>
          <c:trendline>
            <c:spPr>
              <a:ln>
                <a:solidFill>
                  <a:srgbClr val="FF0000"/>
                </a:solidFill>
                <a:prstDash val="lgDash"/>
              </a:ln>
            </c:spPr>
            <c:trendlineType val="linear"/>
            <c:dispRSqr val="1"/>
            <c:dispEq val="1"/>
            <c:trendlineLbl>
              <c:layout>
                <c:manualLayout>
                  <c:x val="-0.36638077498377386"/>
                  <c:y val="4.555373286672499E-2"/>
                </c:manualLayout>
              </c:layout>
              <c:tx>
                <c:rich>
                  <a:bodyPr/>
                  <a:lstStyle/>
                  <a:p>
                    <a:pPr>
                      <a:defRPr/>
                    </a:pPr>
                    <a:r>
                      <a:rPr lang="en-US" altLang="en-US" sz="800" baseline="0">
                        <a:latin typeface="Times New Roman" pitchFamily="18" charset="0"/>
                        <a:cs typeface="Times New Roman" pitchFamily="18" charset="0"/>
                      </a:rPr>
                      <a:t>y = -0.0032x + 1.5081
R² = 0.5575</a:t>
                    </a:r>
                    <a:endParaRPr lang="en-US" altLang="en-US" sz="800">
                      <a:latin typeface="Times New Roman" pitchFamily="18" charset="0"/>
                      <a:cs typeface="Times New Roman" pitchFamily="18" charset="0"/>
                    </a:endParaRPr>
                  </a:p>
                </c:rich>
              </c:tx>
              <c:numFmt formatCode="General" sourceLinked="0"/>
            </c:trendlineLbl>
          </c:trendline>
          <c:xVal>
            <c:numRef>
              <c:f>'CIA-Pb isotope correlation'!$BA$10:$BA$27</c:f>
              <c:numCache>
                <c:formatCode>0.00_);[Red]\(0.00\)</c:formatCode>
                <c:ptCount val="18"/>
                <c:pt idx="0">
                  <c:v>86.636187023724844</c:v>
                </c:pt>
                <c:pt idx="1">
                  <c:v>85.699929466158906</c:v>
                </c:pt>
                <c:pt idx="2">
                  <c:v>82.580870301604378</c:v>
                </c:pt>
                <c:pt idx="3">
                  <c:v>82.254970483286698</c:v>
                </c:pt>
                <c:pt idx="4">
                  <c:v>80.334226836819582</c:v>
                </c:pt>
                <c:pt idx="5">
                  <c:v>82.561934821023613</c:v>
                </c:pt>
                <c:pt idx="6">
                  <c:v>78.667821951977643</c:v>
                </c:pt>
                <c:pt idx="7">
                  <c:v>82.485237228307838</c:v>
                </c:pt>
                <c:pt idx="8">
                  <c:v>77.675331945529564</c:v>
                </c:pt>
                <c:pt idx="9">
                  <c:v>82.971534900249353</c:v>
                </c:pt>
                <c:pt idx="10">
                  <c:v>76.936089076355032</c:v>
                </c:pt>
                <c:pt idx="11">
                  <c:v>80.65882441117499</c:v>
                </c:pt>
                <c:pt idx="12">
                  <c:v>79.255820420456303</c:v>
                </c:pt>
                <c:pt idx="13">
                  <c:v>77.32627172109936</c:v>
                </c:pt>
                <c:pt idx="14">
                  <c:v>75.329440318235172</c:v>
                </c:pt>
                <c:pt idx="15">
                  <c:v>73.772527719636003</c:v>
                </c:pt>
                <c:pt idx="16">
                  <c:v>71.15115253553472</c:v>
                </c:pt>
                <c:pt idx="17">
                  <c:v>67.947827902721059</c:v>
                </c:pt>
              </c:numCache>
            </c:numRef>
          </c:xVal>
          <c:yVal>
            <c:numRef>
              <c:f>'CIA-Pb isotope correlation'!$BB$10:$BB$27</c:f>
              <c:numCache>
                <c:formatCode>General</c:formatCode>
                <c:ptCount val="18"/>
                <c:pt idx="0">
                  <c:v>1.22415477406203</c:v>
                </c:pt>
                <c:pt idx="1">
                  <c:v>1.22081275712694</c:v>
                </c:pt>
                <c:pt idx="2">
                  <c:v>1.2342533061746099</c:v>
                </c:pt>
                <c:pt idx="3">
                  <c:v>1.25553113898482</c:v>
                </c:pt>
                <c:pt idx="4">
                  <c:v>1.2669640254763801</c:v>
                </c:pt>
                <c:pt idx="5">
                  <c:v>1.2330656305672101</c:v>
                </c:pt>
                <c:pt idx="6">
                  <c:v>1.2428574690210901</c:v>
                </c:pt>
                <c:pt idx="7" formatCode="0.0000">
                  <c:v>1.25549998784943</c:v>
                </c:pt>
                <c:pt idx="8">
                  <c:v>1.2428042873424501</c:v>
                </c:pt>
                <c:pt idx="9">
                  <c:v>1.2411245458920801</c:v>
                </c:pt>
                <c:pt idx="10">
                  <c:v>1.2592971971818301</c:v>
                </c:pt>
                <c:pt idx="11">
                  <c:v>1.26747239029307</c:v>
                </c:pt>
                <c:pt idx="12">
                  <c:v>1.2470866320229601</c:v>
                </c:pt>
                <c:pt idx="13">
                  <c:v>1.25031460935217</c:v>
                </c:pt>
                <c:pt idx="14">
                  <c:v>1.24899350440313</c:v>
                </c:pt>
                <c:pt idx="15">
                  <c:v>1.2865581183636099</c:v>
                </c:pt>
                <c:pt idx="16">
                  <c:v>1.2517663299073101</c:v>
                </c:pt>
                <c:pt idx="17">
                  <c:v>1.30792426620763</c:v>
                </c:pt>
              </c:numCache>
            </c:numRef>
          </c:yVal>
        </c:ser>
        <c:axId val="208146816"/>
        <c:axId val="208148352"/>
      </c:scatterChart>
      <c:valAx>
        <c:axId val="208146816"/>
        <c:scaling>
          <c:orientation val="minMax"/>
          <c:min val="50"/>
        </c:scaling>
        <c:axPos val="b"/>
        <c:numFmt formatCode="General" sourceLinked="0"/>
        <c:minorTickMark val="out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208148352"/>
        <c:crossesAt val="1.2"/>
        <c:crossBetween val="midCat"/>
        <c:majorUnit val="10"/>
        <c:minorUnit val="5"/>
      </c:valAx>
      <c:valAx>
        <c:axId val="208148352"/>
        <c:scaling>
          <c:orientation val="minMax"/>
          <c:min val="1.2"/>
        </c:scaling>
        <c:axPos val="l"/>
        <c:numFmt formatCode="#,##0.00_);\(#,##0.00\)" sourceLinked="0"/>
        <c:minorTickMark val="out"/>
        <c:tickLblPos val="nextTo"/>
        <c:spPr>
          <a:ln w="6350">
            <a:solidFill>
              <a:sysClr val="windowText" lastClr="000000"/>
            </a:solidFill>
          </a:ln>
        </c:spPr>
        <c:txPr>
          <a:bodyPr/>
          <a:lstStyle/>
          <a:p>
            <a:pPr>
              <a:defRPr sz="800" baseline="0">
                <a:latin typeface="Times New Roman" pitchFamily="18" charset="0"/>
              </a:defRPr>
            </a:pPr>
            <a:endParaRPr lang="zh-CN"/>
          </a:p>
        </c:txPr>
        <c:crossAx val="208146816"/>
        <c:crossesAt val="50"/>
        <c:crossBetween val="midCat"/>
        <c:majorUnit val="2.0000000000000011E-2"/>
        <c:minorUnit val="1.0000000000000005E-2"/>
      </c:valAx>
      <c:spPr>
        <a:ln w="6350">
          <a:solidFill>
            <a:sysClr val="windowText" lastClr="000000"/>
          </a:solidFill>
        </a:ln>
      </c:spPr>
    </c:plotArea>
    <c:plotVisOnly val="1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58</xdr:col>
      <xdr:colOff>57150</xdr:colOff>
      <xdr:row>8</xdr:row>
      <xdr:rowOff>209550</xdr:rowOff>
    </xdr:from>
    <xdr:to>
      <xdr:col>63</xdr:col>
      <xdr:colOff>171449</xdr:colOff>
      <xdr:row>23</xdr:row>
      <xdr:rowOff>57150</xdr:rowOff>
    </xdr:to>
    <xdr:graphicFrame macro="">
      <xdr:nvGraphicFramePr>
        <xdr:cNvPr id="2" name="图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63</xdr:col>
      <xdr:colOff>228600</xdr:colOff>
      <xdr:row>8</xdr:row>
      <xdr:rowOff>219075</xdr:rowOff>
    </xdr:from>
    <xdr:to>
      <xdr:col>68</xdr:col>
      <xdr:colOff>342900</xdr:colOff>
      <xdr:row>23</xdr:row>
      <xdr:rowOff>66675</xdr:rowOff>
    </xdr:to>
    <xdr:graphicFrame macro="">
      <xdr:nvGraphicFramePr>
        <xdr:cNvPr id="3" name="图表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58</xdr:col>
      <xdr:colOff>47625</xdr:colOff>
      <xdr:row>23</xdr:row>
      <xdr:rowOff>114300</xdr:rowOff>
    </xdr:from>
    <xdr:to>
      <xdr:col>63</xdr:col>
      <xdr:colOff>161925</xdr:colOff>
      <xdr:row>38</xdr:row>
      <xdr:rowOff>57150</xdr:rowOff>
    </xdr:to>
    <xdr:graphicFrame macro="">
      <xdr:nvGraphicFramePr>
        <xdr:cNvPr id="4" name="图表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oneCellAnchor>
    <xdr:from>
      <xdr:col>58</xdr:col>
      <xdr:colOff>114301</xdr:colOff>
      <xdr:row>28</xdr:row>
      <xdr:rowOff>85725</xdr:rowOff>
    </xdr:from>
    <xdr:ext cx="228600" cy="685799"/>
    <xdr:sp macro="" textlink="">
      <xdr:nvSpPr>
        <xdr:cNvPr id="5" name="TextBox 4"/>
        <xdr:cNvSpPr txBox="1"/>
      </xdr:nvSpPr>
      <xdr:spPr>
        <a:xfrm rot="16200000">
          <a:off x="39662101" y="5848350"/>
          <a:ext cx="685799" cy="228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208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Pb/</a:t>
          </a:r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204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twoCellAnchor>
    <xdr:from>
      <xdr:col>63</xdr:col>
      <xdr:colOff>238125</xdr:colOff>
      <xdr:row>23</xdr:row>
      <xdr:rowOff>123825</xdr:rowOff>
    </xdr:from>
    <xdr:to>
      <xdr:col>68</xdr:col>
      <xdr:colOff>352425</xdr:colOff>
      <xdr:row>38</xdr:row>
      <xdr:rowOff>66675</xdr:rowOff>
    </xdr:to>
    <xdr:graphicFrame macro="">
      <xdr:nvGraphicFramePr>
        <xdr:cNvPr id="6" name="图表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63</xdr:col>
      <xdr:colOff>285750</xdr:colOff>
      <xdr:row>28</xdr:row>
      <xdr:rowOff>19049</xdr:rowOff>
    </xdr:from>
    <xdr:ext cx="247650" cy="638175"/>
    <xdr:sp macro="" textlink="">
      <xdr:nvSpPr>
        <xdr:cNvPr id="7" name="TextBox 6"/>
        <xdr:cNvSpPr txBox="1"/>
      </xdr:nvSpPr>
      <xdr:spPr>
        <a:xfrm rot="16200000">
          <a:off x="43295887" y="5748337"/>
          <a:ext cx="638175" cy="2476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206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Pb/</a:t>
          </a:r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207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0.44072</cdr:x>
      <cdr:y>0.92198</cdr:y>
    </cdr:from>
    <cdr:to>
      <cdr:x>0.55508</cdr:x>
      <cdr:y>0.99681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61592" y="2529179"/>
          <a:ext cx="405218" cy="2052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900">
              <a:latin typeface="Times New Roman" pitchFamily="18" charset="0"/>
              <a:cs typeface="Times New Roman" pitchFamily="18" charset="0"/>
            </a:rPr>
            <a:t>CIA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cdr:txBody>
    </cdr:sp>
  </cdr:relSizeAnchor>
  <cdr:relSizeAnchor xmlns:cdr="http://schemas.openxmlformats.org/drawingml/2006/chartDrawing">
    <cdr:from>
      <cdr:x>0.01255</cdr:x>
      <cdr:y>0.35381</cdr:y>
    </cdr:from>
    <cdr:to>
      <cdr:x>0.07293</cdr:x>
      <cdr:y>0.59531</cdr:y>
    </cdr:to>
    <cdr:sp macro="" textlink="">
      <cdr:nvSpPr>
        <cdr:cNvPr id="3" name="TextBox 2"/>
        <cdr:cNvSpPr txBox="1"/>
      </cdr:nvSpPr>
      <cdr:spPr>
        <a:xfrm xmlns:a="http://schemas.openxmlformats.org/drawingml/2006/main" rot="16200000">
          <a:off x="-179795" y="1194843"/>
          <a:ext cx="662474" cy="2139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206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Pb/</a:t>
          </a:r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204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0.4328</cdr:x>
      <cdr:y>0.95139</cdr:y>
    </cdr:from>
    <cdr:to>
      <cdr:x>0.4457</cdr:x>
      <cdr:y>0.96806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533525" y="2609850"/>
          <a:ext cx="45719" cy="4571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zh-CN" altLang="en-US" sz="1100"/>
        </a:p>
      </cdr:txBody>
    </cdr:sp>
  </cdr:relSizeAnchor>
  <cdr:relSizeAnchor xmlns:cdr="http://schemas.openxmlformats.org/drawingml/2006/chartDrawing">
    <cdr:from>
      <cdr:x>0.50538</cdr:x>
      <cdr:y>0.91319</cdr:y>
    </cdr:from>
    <cdr:to>
      <cdr:x>0.60215</cdr:x>
      <cdr:y>1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1790699" y="2514600"/>
          <a:ext cx="342901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900">
              <a:latin typeface="Times New Roman" pitchFamily="18" charset="0"/>
              <a:cs typeface="Times New Roman" pitchFamily="18" charset="0"/>
            </a:rPr>
            <a:t>CIA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cdr:txBody>
    </cdr:sp>
  </cdr:relSizeAnchor>
  <cdr:relSizeAnchor xmlns:cdr="http://schemas.openxmlformats.org/drawingml/2006/chartDrawing">
    <cdr:from>
      <cdr:x>0.01747</cdr:x>
      <cdr:y>0.31424</cdr:y>
    </cdr:from>
    <cdr:to>
      <cdr:x>0.07661</cdr:x>
      <cdr:y>0.55382</cdr:y>
    </cdr:to>
    <cdr:sp macro="" textlink="">
      <cdr:nvSpPr>
        <cdr:cNvPr id="4" name="TextBox 3"/>
        <cdr:cNvSpPr txBox="1"/>
      </cdr:nvSpPr>
      <cdr:spPr>
        <a:xfrm xmlns:a="http://schemas.openxmlformats.org/drawingml/2006/main" rot="16200000">
          <a:off x="-161925" y="1085850"/>
          <a:ext cx="657225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207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Pb/</a:t>
          </a:r>
          <a:r>
            <a:rPr lang="en-US" altLang="zh-CN" sz="900" baseline="30000">
              <a:latin typeface="Times New Roman" pitchFamily="18" charset="0"/>
              <a:cs typeface="Times New Roman" pitchFamily="18" charset="0"/>
            </a:rPr>
            <a:t>204</a:t>
          </a:r>
          <a:r>
            <a:rPr lang="en-US" altLang="zh-CN" sz="900">
              <a:latin typeface="Times New Roman" pitchFamily="18" charset="0"/>
              <a:cs typeface="Times New Roman" pitchFamily="18" charset="0"/>
            </a:rPr>
            <a:t>Pb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0.50269</cdr:x>
      <cdr:y>0.91667</cdr:y>
    </cdr:from>
    <cdr:to>
      <cdr:x>0.62366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81174" y="2543175"/>
          <a:ext cx="428625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900">
              <a:latin typeface="Times New Roman" pitchFamily="18" charset="0"/>
              <a:cs typeface="Times New Roman" pitchFamily="18" charset="0"/>
            </a:rPr>
            <a:t>CIA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0.50538</cdr:x>
      <cdr:y>0.90972</cdr:y>
    </cdr:from>
    <cdr:to>
      <cdr:x>0.63441</cdr:x>
      <cdr:y>0.99306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790701" y="2495550"/>
          <a:ext cx="457200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altLang="zh-CN" sz="900">
              <a:latin typeface="Times New Roman" pitchFamily="18" charset="0"/>
              <a:cs typeface="Times New Roman" pitchFamily="18" charset="0"/>
            </a:rPr>
            <a:t>CIA</a:t>
          </a:r>
          <a:endParaRPr lang="zh-CN" altLang="en-US" sz="900"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Q373"/>
  <sheetViews>
    <sheetView tabSelected="1" zoomScale="89" zoomScaleNormal="89" workbookViewId="0">
      <pane xSplit="2" ySplit="10" topLeftCell="C11" activePane="bottomRight" state="frozen"/>
      <selection pane="topRight"/>
      <selection pane="bottomLeft"/>
      <selection pane="bottomRight" activeCell="D16" sqref="D16"/>
    </sheetView>
  </sheetViews>
  <sheetFormatPr defaultColWidth="9" defaultRowHeight="13.5"/>
  <cols>
    <col min="1" max="1" width="12.75" style="5" customWidth="1"/>
    <col min="2" max="2" width="9" style="6"/>
    <col min="3" max="3" width="9" style="174"/>
    <col min="4" max="12" width="11.25" style="7" bestFit="1" customWidth="1"/>
    <col min="13" max="13" width="11.25" style="11" bestFit="1" customWidth="1"/>
    <col min="14" max="14" width="11.25" style="7" bestFit="1" customWidth="1"/>
    <col min="15" max="15" width="11.25" style="7" customWidth="1"/>
    <col min="16" max="17" width="11.25" style="103" bestFit="1" customWidth="1"/>
    <col min="18" max="18" width="13.125" style="6" customWidth="1"/>
    <col min="19" max="21" width="9.125" style="5" bestFit="1" customWidth="1"/>
    <col min="22" max="22" width="9.125" style="6" bestFit="1" customWidth="1"/>
    <col min="23" max="23" width="9.5" style="11" bestFit="1" customWidth="1"/>
    <col min="24" max="25" width="9.125" style="5" bestFit="1" customWidth="1"/>
    <col min="26" max="26" width="10.125" style="5" bestFit="1" customWidth="1"/>
    <col min="27" max="30" width="9.125" style="5" bestFit="1" customWidth="1"/>
    <col min="31" max="31" width="9.5" style="5" bestFit="1" customWidth="1"/>
    <col min="32" max="32" width="9.125" style="5" bestFit="1" customWidth="1"/>
    <col min="33" max="36" width="9.125" style="11" bestFit="1" customWidth="1"/>
    <col min="37" max="37" width="13.125" style="6" customWidth="1"/>
    <col min="38" max="40" width="12" style="5" bestFit="1" customWidth="1"/>
    <col min="41" max="42" width="11.375" style="5" bestFit="1" customWidth="1"/>
    <col min="43" max="43" width="11" style="179" bestFit="1" customWidth="1"/>
    <col min="44" max="44" width="9.125" style="179" bestFit="1" customWidth="1"/>
    <col min="45" max="45" width="9" style="179"/>
    <col min="46" max="46" width="9" style="180"/>
    <col min="47" max="47" width="8" style="8" customWidth="1"/>
    <col min="48" max="48" width="8.375" style="8" customWidth="1"/>
    <col min="49" max="50" width="7.375" style="8" customWidth="1"/>
    <col min="51" max="51" width="12.125" style="179" bestFit="1" customWidth="1"/>
    <col min="52" max="52" width="30.375" style="5" customWidth="1"/>
    <col min="53" max="53" width="8" style="5" customWidth="1"/>
    <col min="54" max="54" width="11.25" style="5" bestFit="1" customWidth="1"/>
    <col min="55" max="55" width="9.25" style="5" customWidth="1"/>
    <col min="56" max="57" width="7.875" style="5" customWidth="1"/>
    <col min="58" max="58" width="7.375" style="5" customWidth="1"/>
    <col min="59" max="59" width="13.75" style="9"/>
    <col min="61" max="61" width="13.75" style="9"/>
    <col min="62" max="62" width="12" style="9"/>
    <col min="63" max="63" width="12.625" style="9"/>
    <col min="64" max="68" width="13.75" style="9"/>
  </cols>
  <sheetData>
    <row r="1" spans="1:68" s="1" customFormat="1" ht="15">
      <c r="B1" s="2"/>
      <c r="C1" s="157"/>
      <c r="D1" s="24"/>
      <c r="E1" s="24"/>
      <c r="F1" s="24"/>
      <c r="G1" s="24"/>
      <c r="H1" s="24"/>
      <c r="I1" s="24"/>
      <c r="J1" s="24"/>
      <c r="K1" s="24"/>
      <c r="L1" s="24"/>
      <c r="M1" s="40"/>
      <c r="N1" s="24"/>
      <c r="O1" s="24"/>
      <c r="P1" s="87"/>
      <c r="Q1" s="87"/>
      <c r="R1" s="2"/>
      <c r="S1" s="1" t="s">
        <v>138</v>
      </c>
      <c r="V1" s="2"/>
      <c r="W1" s="40"/>
      <c r="AG1" s="40"/>
      <c r="AH1" s="40"/>
      <c r="AI1" s="40"/>
      <c r="AJ1" s="40"/>
      <c r="AK1" s="2"/>
      <c r="AQ1" s="38"/>
      <c r="AR1" s="38"/>
      <c r="AS1" s="38"/>
      <c r="AT1" s="27"/>
      <c r="AU1" s="25"/>
      <c r="AV1" s="25"/>
      <c r="AW1" s="25"/>
      <c r="AX1" s="25"/>
      <c r="AY1" s="38"/>
      <c r="BG1" s="10"/>
      <c r="BI1" s="10"/>
      <c r="BJ1" s="10"/>
      <c r="BK1" s="10"/>
      <c r="BL1" s="10"/>
      <c r="BM1" s="10"/>
      <c r="BN1" s="10"/>
      <c r="BO1" s="10"/>
      <c r="BP1" s="10"/>
    </row>
    <row r="2" spans="1:68" s="1" customFormat="1" ht="15">
      <c r="A2" s="254" t="s">
        <v>227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  <c r="N2" s="253"/>
      <c r="O2" s="253"/>
      <c r="P2" s="253"/>
      <c r="Q2" s="253"/>
      <c r="R2" s="253"/>
      <c r="S2" s="253"/>
      <c r="T2" s="253"/>
      <c r="V2" s="2"/>
      <c r="W2" s="40"/>
      <c r="AG2" s="40"/>
      <c r="AH2" s="40"/>
      <c r="AI2" s="40"/>
      <c r="AJ2" s="40"/>
      <c r="AK2" s="2"/>
      <c r="AQ2" s="38"/>
      <c r="AR2" s="38"/>
      <c r="AS2" s="38"/>
      <c r="AT2" s="27"/>
      <c r="AU2" s="25"/>
      <c r="AV2" s="25"/>
      <c r="AW2" s="25"/>
      <c r="AX2" s="25"/>
      <c r="AY2" s="38"/>
      <c r="BG2" s="10"/>
      <c r="BI2" s="10"/>
      <c r="BJ2" s="10"/>
      <c r="BK2" s="10"/>
      <c r="BL2" s="10"/>
      <c r="BM2" s="10"/>
      <c r="BN2" s="10"/>
      <c r="BO2" s="10"/>
      <c r="BP2" s="10"/>
    </row>
    <row r="3" spans="1:68" s="1" customFormat="1" ht="15">
      <c r="B3" s="2"/>
      <c r="C3" s="157"/>
      <c r="D3" s="24"/>
      <c r="E3" s="24"/>
      <c r="F3" s="24"/>
      <c r="G3" s="24"/>
      <c r="H3" s="24"/>
      <c r="I3" s="24"/>
      <c r="J3" s="24"/>
      <c r="K3" s="24"/>
      <c r="L3" s="24"/>
      <c r="M3" s="40"/>
      <c r="N3" s="24"/>
      <c r="O3" s="24"/>
      <c r="P3" s="87"/>
      <c r="Q3" s="87"/>
      <c r="R3" s="2"/>
      <c r="V3" s="2"/>
      <c r="W3" s="40"/>
      <c r="AG3" s="40"/>
      <c r="AH3" s="40"/>
      <c r="AI3" s="40"/>
      <c r="AJ3" s="40"/>
      <c r="AK3" s="2"/>
      <c r="AQ3" s="38"/>
      <c r="AR3" s="38"/>
      <c r="AS3" s="38"/>
      <c r="AT3" s="27"/>
      <c r="AU3" s="25"/>
      <c r="AV3" s="25"/>
      <c r="AW3" s="25"/>
      <c r="AX3" s="25"/>
      <c r="AY3" s="38"/>
      <c r="BG3" s="10"/>
      <c r="BI3" s="10"/>
      <c r="BJ3" s="10"/>
      <c r="BK3" s="10"/>
      <c r="BL3" s="10"/>
      <c r="BM3" s="10"/>
      <c r="BN3" s="10"/>
      <c r="BO3" s="10"/>
      <c r="BP3" s="10"/>
    </row>
    <row r="4" spans="1:68" s="242" customFormat="1" ht="18.75">
      <c r="B4" s="243"/>
      <c r="C4" s="244"/>
      <c r="D4" s="245"/>
      <c r="E4" s="246" t="s">
        <v>0</v>
      </c>
      <c r="F4" s="245"/>
      <c r="G4" s="245"/>
      <c r="H4" s="245"/>
      <c r="I4" s="245"/>
      <c r="J4" s="245"/>
      <c r="K4" s="245"/>
      <c r="L4" s="245"/>
      <c r="M4" s="247"/>
      <c r="N4" s="245"/>
      <c r="O4" s="245"/>
      <c r="P4" s="248"/>
      <c r="Q4" s="248"/>
      <c r="R4" s="243"/>
      <c r="V4" s="243"/>
      <c r="W4" s="247"/>
      <c r="AG4" s="247"/>
      <c r="AH4" s="247"/>
      <c r="AI4" s="247"/>
      <c r="AJ4" s="247"/>
      <c r="AK4" s="243"/>
      <c r="AQ4" s="249"/>
      <c r="AR4" s="249"/>
      <c r="AS4" s="249"/>
      <c r="AT4" s="250"/>
      <c r="AU4" s="251"/>
      <c r="AV4" s="251"/>
      <c r="AW4" s="251"/>
      <c r="AX4" s="251"/>
      <c r="AY4" s="249"/>
      <c r="BG4" s="252"/>
      <c r="BI4" s="252"/>
      <c r="BJ4" s="252"/>
      <c r="BK4" s="252"/>
      <c r="BL4" s="252"/>
      <c r="BM4" s="252"/>
      <c r="BN4" s="252"/>
      <c r="BO4" s="252"/>
      <c r="BP4" s="252"/>
    </row>
    <row r="5" spans="1:68" s="106" customFormat="1" ht="18">
      <c r="B5" s="107"/>
      <c r="C5" s="158"/>
      <c r="D5" s="108" t="s">
        <v>1</v>
      </c>
      <c r="E5" s="109" t="s">
        <v>2</v>
      </c>
      <c r="F5" s="108" t="s">
        <v>3</v>
      </c>
      <c r="G5" s="108" t="s">
        <v>4</v>
      </c>
      <c r="H5" s="108" t="s">
        <v>5</v>
      </c>
      <c r="I5" s="108" t="s">
        <v>6</v>
      </c>
      <c r="J5" s="108" t="s">
        <v>7</v>
      </c>
      <c r="K5" s="108" t="s">
        <v>8</v>
      </c>
      <c r="L5" s="108" t="s">
        <v>9</v>
      </c>
      <c r="M5" s="137" t="s">
        <v>10</v>
      </c>
      <c r="N5" s="108" t="s">
        <v>11</v>
      </c>
      <c r="O5" s="108"/>
      <c r="P5" s="110" t="s">
        <v>12</v>
      </c>
      <c r="Q5" s="110" t="s">
        <v>13</v>
      </c>
      <c r="R5" s="107"/>
      <c r="S5" s="111" t="s">
        <v>14</v>
      </c>
      <c r="T5" s="111" t="s">
        <v>15</v>
      </c>
      <c r="U5" s="111" t="s">
        <v>16</v>
      </c>
      <c r="V5" s="118" t="s">
        <v>17</v>
      </c>
      <c r="W5" s="120" t="s">
        <v>25</v>
      </c>
      <c r="X5" s="110" t="s">
        <v>18</v>
      </c>
      <c r="Y5" s="110" t="s">
        <v>19</v>
      </c>
      <c r="Z5" s="110" t="s">
        <v>20</v>
      </c>
      <c r="AA5" s="110" t="s">
        <v>21</v>
      </c>
      <c r="AB5" s="110" t="s">
        <v>22</v>
      </c>
      <c r="AC5" s="110" t="s">
        <v>23</v>
      </c>
      <c r="AD5" s="110" t="s">
        <v>24</v>
      </c>
      <c r="AE5" s="110" t="s">
        <v>26</v>
      </c>
      <c r="AF5" s="110" t="s">
        <v>27</v>
      </c>
      <c r="AG5" s="130" t="s">
        <v>28</v>
      </c>
      <c r="AH5" s="130" t="s">
        <v>29</v>
      </c>
      <c r="AI5" s="130" t="s">
        <v>30</v>
      </c>
      <c r="AJ5" s="130" t="s">
        <v>31</v>
      </c>
      <c r="AK5" s="107"/>
      <c r="AL5" s="112" t="s">
        <v>116</v>
      </c>
      <c r="AM5" s="112" t="s">
        <v>117</v>
      </c>
      <c r="AN5" s="112" t="s">
        <v>118</v>
      </c>
      <c r="AO5" s="107" t="s">
        <v>119</v>
      </c>
      <c r="AP5" s="107" t="s">
        <v>120</v>
      </c>
      <c r="AQ5" s="115" t="s">
        <v>121</v>
      </c>
      <c r="AR5" s="107" t="s">
        <v>14</v>
      </c>
      <c r="AS5" s="115"/>
      <c r="AT5" s="107"/>
      <c r="AU5" s="111" t="s">
        <v>122</v>
      </c>
      <c r="AV5" s="111" t="s">
        <v>123</v>
      </c>
      <c r="AW5" s="111" t="s">
        <v>124</v>
      </c>
      <c r="AX5" s="111" t="s">
        <v>33</v>
      </c>
      <c r="AY5" s="111" t="s">
        <v>14</v>
      </c>
      <c r="AZ5" s="111"/>
      <c r="BA5" s="111"/>
      <c r="BB5" s="111"/>
      <c r="BC5" s="111"/>
      <c r="BD5" s="111"/>
      <c r="BE5" s="111"/>
      <c r="BF5" s="111"/>
    </row>
    <row r="6" spans="1:68" s="106" customFormat="1" ht="18">
      <c r="B6" s="113" t="s">
        <v>125</v>
      </c>
      <c r="C6" s="159"/>
      <c r="D6" s="114">
        <v>65.459999999999994</v>
      </c>
      <c r="E6" s="114">
        <v>0.65</v>
      </c>
      <c r="F6" s="114">
        <v>13.65</v>
      </c>
      <c r="G6" s="114">
        <v>5.35</v>
      </c>
      <c r="H6" s="114">
        <v>0.1</v>
      </c>
      <c r="I6" s="114">
        <v>2.52</v>
      </c>
      <c r="J6" s="114">
        <v>3.31</v>
      </c>
      <c r="K6" s="114">
        <v>2.75</v>
      </c>
      <c r="L6" s="114">
        <v>2.58</v>
      </c>
      <c r="M6" s="121">
        <v>0.15</v>
      </c>
      <c r="N6" s="114">
        <v>0.91</v>
      </c>
      <c r="O6" s="114"/>
      <c r="P6" s="113"/>
      <c r="Q6" s="113"/>
      <c r="R6" s="113" t="s">
        <v>125</v>
      </c>
      <c r="S6" s="114">
        <v>18</v>
      </c>
      <c r="T6" s="114">
        <v>8.9499999999999993</v>
      </c>
      <c r="U6" s="114">
        <v>1.55</v>
      </c>
      <c r="V6" s="114">
        <v>70</v>
      </c>
      <c r="W6" s="121">
        <v>7.9000000000000001E-2</v>
      </c>
      <c r="X6" s="114">
        <v>98</v>
      </c>
      <c r="Y6" s="114">
        <v>80</v>
      </c>
      <c r="Z6" s="114">
        <v>774.5</v>
      </c>
      <c r="AA6" s="114">
        <v>17</v>
      </c>
      <c r="AB6" s="114">
        <v>38</v>
      </c>
      <c r="AC6" s="114">
        <v>32</v>
      </c>
      <c r="AD6" s="114">
        <v>0.78</v>
      </c>
      <c r="AE6" s="114">
        <v>678</v>
      </c>
      <c r="AF6" s="114">
        <v>266</v>
      </c>
      <c r="AG6" s="121">
        <v>188</v>
      </c>
      <c r="AH6" s="121">
        <v>5.12</v>
      </c>
      <c r="AI6" s="121">
        <v>12</v>
      </c>
      <c r="AJ6" s="121">
        <v>0.74</v>
      </c>
      <c r="AK6" s="113" t="s">
        <v>125</v>
      </c>
      <c r="AQ6" s="115"/>
      <c r="AR6" s="114">
        <v>18</v>
      </c>
      <c r="AS6" s="115"/>
      <c r="AT6" s="110" t="s">
        <v>125</v>
      </c>
      <c r="AU6" s="115"/>
      <c r="AV6" s="115"/>
      <c r="AW6" s="115"/>
      <c r="AX6" s="115"/>
      <c r="AY6" s="114">
        <v>18</v>
      </c>
      <c r="AZ6" s="114"/>
      <c r="BA6" s="114"/>
      <c r="BB6" s="114"/>
      <c r="BC6" s="114"/>
      <c r="BD6" s="114"/>
      <c r="BE6" s="114"/>
      <c r="BF6" s="114"/>
      <c r="BG6" s="116"/>
      <c r="BI6" s="116"/>
      <c r="BJ6" s="116"/>
      <c r="BK6" s="116"/>
      <c r="BL6" s="116"/>
      <c r="BM6" s="116"/>
      <c r="BN6" s="116"/>
      <c r="BO6" s="116"/>
      <c r="BP6" s="116"/>
    </row>
    <row r="7" spans="1:68" s="154" customFormat="1" ht="16.5">
      <c r="B7" s="154" t="s">
        <v>141</v>
      </c>
      <c r="C7" s="160"/>
      <c r="D7" s="122">
        <v>64.8</v>
      </c>
      <c r="E7" s="122">
        <v>0.7</v>
      </c>
      <c r="F7" s="122">
        <v>16.899999999999999</v>
      </c>
      <c r="G7" s="122">
        <v>5.66</v>
      </c>
      <c r="H7" s="122">
        <v>0.06</v>
      </c>
      <c r="I7" s="122">
        <v>2.86</v>
      </c>
      <c r="J7" s="122">
        <v>3.63</v>
      </c>
      <c r="K7" s="122">
        <v>1.1399999999999999</v>
      </c>
      <c r="L7" s="122">
        <v>3.97</v>
      </c>
      <c r="M7" s="122">
        <v>0.13</v>
      </c>
      <c r="N7" s="122">
        <v>3.28</v>
      </c>
      <c r="O7" s="122"/>
      <c r="R7" s="154" t="s">
        <v>141</v>
      </c>
      <c r="S7" s="122">
        <v>20</v>
      </c>
      <c r="T7" s="122">
        <v>14.6</v>
      </c>
      <c r="U7" s="122">
        <v>3.1</v>
      </c>
      <c r="V7" s="122">
        <v>71</v>
      </c>
      <c r="W7" s="122">
        <v>0.3</v>
      </c>
      <c r="X7" s="122">
        <v>150</v>
      </c>
      <c r="Y7" s="122">
        <v>110</v>
      </c>
      <c r="Z7" s="122">
        <v>600</v>
      </c>
      <c r="AA7" s="122">
        <v>23</v>
      </c>
      <c r="AB7" s="122">
        <v>55</v>
      </c>
      <c r="AC7" s="122">
        <v>25</v>
      </c>
      <c r="AD7" s="122">
        <v>2.6</v>
      </c>
      <c r="AE7" s="122">
        <v>650</v>
      </c>
      <c r="AF7" s="122">
        <v>200</v>
      </c>
      <c r="AG7" s="122">
        <v>210</v>
      </c>
      <c r="AH7" s="122">
        <v>5</v>
      </c>
      <c r="AI7" s="122">
        <v>19</v>
      </c>
      <c r="AJ7" s="122">
        <v>1.2</v>
      </c>
      <c r="AK7" s="154" t="s">
        <v>141</v>
      </c>
      <c r="AL7" s="155"/>
      <c r="AM7" s="155"/>
      <c r="AN7" s="155"/>
      <c r="AO7" s="130"/>
      <c r="AP7" s="130"/>
      <c r="AQ7" s="130"/>
      <c r="AR7" s="122">
        <v>20</v>
      </c>
      <c r="AS7" s="130"/>
      <c r="AT7" s="130" t="s">
        <v>141</v>
      </c>
      <c r="AU7" s="130"/>
      <c r="AV7" s="130"/>
      <c r="AW7" s="130"/>
      <c r="AX7" s="130"/>
      <c r="AY7" s="122">
        <v>20</v>
      </c>
      <c r="AZ7" s="122"/>
      <c r="BA7" s="122"/>
      <c r="BB7" s="122"/>
      <c r="BC7" s="122"/>
      <c r="BD7" s="122"/>
      <c r="BE7" s="122"/>
      <c r="BF7" s="122"/>
    </row>
    <row r="8" spans="1:68" s="153" customFormat="1" ht="18">
      <c r="B8" s="153" t="s">
        <v>140</v>
      </c>
      <c r="C8" s="157"/>
      <c r="D8" s="117">
        <v>65.447000000000003</v>
      </c>
      <c r="E8" s="117">
        <v>0.52900000000000003</v>
      </c>
      <c r="F8" s="117">
        <v>11.167</v>
      </c>
      <c r="G8" s="117">
        <v>3.835</v>
      </c>
      <c r="H8" s="117">
        <v>3.7999999999999999E-2</v>
      </c>
      <c r="I8" s="117">
        <v>1.2949999999999999</v>
      </c>
      <c r="J8" s="117">
        <v>1.29</v>
      </c>
      <c r="K8" s="117">
        <v>0.32200000000000001</v>
      </c>
      <c r="L8" s="117">
        <v>2.7250000000000001</v>
      </c>
      <c r="M8" s="117">
        <v>0.61599999999999999</v>
      </c>
      <c r="N8" s="117">
        <v>10.882</v>
      </c>
      <c r="O8" s="117"/>
      <c r="R8" s="153" t="s">
        <v>140</v>
      </c>
      <c r="S8" s="117">
        <v>26.6</v>
      </c>
      <c r="T8" s="117">
        <v>9.6150000000000002</v>
      </c>
      <c r="U8" s="117">
        <v>14.36</v>
      </c>
      <c r="V8" s="117">
        <v>77.69</v>
      </c>
      <c r="W8" s="117">
        <v>0.77100000000000002</v>
      </c>
      <c r="X8" s="117">
        <v>982.1</v>
      </c>
      <c r="Y8" s="117">
        <v>107.4</v>
      </c>
      <c r="Z8" s="117">
        <v>249.1</v>
      </c>
      <c r="AA8" s="117">
        <v>10.68</v>
      </c>
      <c r="AB8" s="117">
        <v>47.13</v>
      </c>
      <c r="AC8" s="117">
        <v>77.97</v>
      </c>
      <c r="AD8" s="117">
        <v>27.61</v>
      </c>
      <c r="AE8" s="117">
        <v>3942</v>
      </c>
      <c r="AF8" s="117">
        <v>65.28</v>
      </c>
      <c r="AG8" s="117">
        <v>78.84</v>
      </c>
      <c r="AH8" s="117">
        <v>2.206</v>
      </c>
      <c r="AI8" s="117">
        <v>7.8540000000000001</v>
      </c>
      <c r="AJ8" s="117">
        <v>0.70499999999999996</v>
      </c>
      <c r="AK8" s="153" t="s">
        <v>140</v>
      </c>
      <c r="AL8" s="107"/>
      <c r="AM8" s="107"/>
      <c r="AN8" s="107"/>
      <c r="AO8" s="107"/>
      <c r="AP8" s="107"/>
      <c r="AQ8" s="107"/>
      <c r="AR8" s="117">
        <v>26.6</v>
      </c>
      <c r="AS8" s="107"/>
      <c r="AT8" s="107" t="s">
        <v>140</v>
      </c>
      <c r="AU8" s="107"/>
      <c r="AV8" s="107"/>
      <c r="AW8" s="107"/>
      <c r="AX8" s="107"/>
      <c r="AY8" s="117">
        <v>26.6</v>
      </c>
      <c r="AZ8" s="117"/>
      <c r="BA8" s="117"/>
      <c r="BB8" s="117"/>
      <c r="BC8" s="117"/>
      <c r="BD8" s="117"/>
      <c r="BE8" s="117"/>
      <c r="BF8" s="117"/>
    </row>
    <row r="9" spans="1:68" s="1" customFormat="1" ht="15">
      <c r="C9" s="161"/>
      <c r="D9" s="17"/>
      <c r="E9" s="28"/>
      <c r="F9" s="17"/>
      <c r="G9" s="17"/>
      <c r="H9" s="17"/>
      <c r="I9" s="17"/>
      <c r="J9" s="17"/>
      <c r="K9" s="17"/>
      <c r="L9" s="17"/>
      <c r="M9" s="40"/>
      <c r="N9" s="17"/>
      <c r="O9" s="17"/>
      <c r="P9" s="87"/>
      <c r="Q9" s="87"/>
      <c r="S9" s="19"/>
      <c r="T9" s="19"/>
      <c r="U9" s="19"/>
      <c r="V9" s="27"/>
      <c r="W9" s="65"/>
      <c r="X9" s="39"/>
      <c r="Y9" s="39"/>
      <c r="Z9" s="39"/>
      <c r="AA9" s="39"/>
      <c r="AB9" s="39"/>
      <c r="AC9" s="39"/>
      <c r="AD9" s="39"/>
      <c r="AE9" s="39"/>
      <c r="AF9" s="39"/>
      <c r="AG9" s="62"/>
      <c r="AH9" s="62"/>
      <c r="AI9" s="62"/>
      <c r="AJ9" s="62"/>
      <c r="AL9" s="39"/>
      <c r="AM9" s="39"/>
      <c r="AN9" s="39"/>
      <c r="AO9" s="39"/>
      <c r="AP9" s="39"/>
      <c r="AQ9" s="39"/>
      <c r="AR9" s="39" t="s">
        <v>34</v>
      </c>
      <c r="AS9" s="39"/>
      <c r="AT9" s="38"/>
      <c r="AU9" s="34" t="s">
        <v>35</v>
      </c>
      <c r="AV9" s="36"/>
      <c r="AW9" s="36"/>
      <c r="AX9" s="36"/>
      <c r="AY9" s="19"/>
      <c r="AZ9" s="19"/>
      <c r="BA9" s="19"/>
      <c r="BB9" s="19"/>
      <c r="BC9" s="19"/>
      <c r="BD9" s="19"/>
      <c r="BE9" s="19"/>
      <c r="BF9" s="19"/>
      <c r="BG9" s="10"/>
      <c r="BI9" s="10"/>
      <c r="BJ9" s="10"/>
      <c r="BK9" s="10"/>
      <c r="BL9" s="10"/>
      <c r="BM9" s="10"/>
      <c r="BN9" s="10"/>
      <c r="BO9" s="10"/>
      <c r="BP9" s="10"/>
    </row>
    <row r="10" spans="1:68" s="1" customFormat="1" ht="18">
      <c r="B10" s="27" t="s">
        <v>32</v>
      </c>
      <c r="C10" s="158"/>
      <c r="D10" s="17" t="s">
        <v>1</v>
      </c>
      <c r="E10" s="28" t="s">
        <v>2</v>
      </c>
      <c r="F10" s="17" t="s">
        <v>3</v>
      </c>
      <c r="G10" s="17" t="s">
        <v>4</v>
      </c>
      <c r="H10" s="29" t="s">
        <v>5</v>
      </c>
      <c r="I10" s="29" t="s">
        <v>6</v>
      </c>
      <c r="J10" s="29" t="s">
        <v>7</v>
      </c>
      <c r="K10" s="29" t="s">
        <v>8</v>
      </c>
      <c r="L10" s="29" t="s">
        <v>9</v>
      </c>
      <c r="M10" s="138" t="s">
        <v>10</v>
      </c>
      <c r="N10" s="40" t="s">
        <v>11</v>
      </c>
      <c r="O10" s="40"/>
      <c r="P10" s="110" t="s">
        <v>12</v>
      </c>
      <c r="Q10" s="88" t="s">
        <v>13</v>
      </c>
      <c r="R10" s="27" t="s">
        <v>32</v>
      </c>
      <c r="S10" s="20" t="s">
        <v>14</v>
      </c>
      <c r="T10" s="20" t="s">
        <v>15</v>
      </c>
      <c r="U10" s="20" t="s">
        <v>16</v>
      </c>
      <c r="V10" s="48" t="s">
        <v>17</v>
      </c>
      <c r="W10" s="62" t="s">
        <v>25</v>
      </c>
      <c r="X10" s="31" t="s">
        <v>18</v>
      </c>
      <c r="Y10" s="31" t="s">
        <v>19</v>
      </c>
      <c r="Z10" s="31" t="s">
        <v>20</v>
      </c>
      <c r="AA10" s="30" t="s">
        <v>21</v>
      </c>
      <c r="AB10" s="31" t="s">
        <v>22</v>
      </c>
      <c r="AC10" s="30" t="s">
        <v>23</v>
      </c>
      <c r="AD10" s="30" t="s">
        <v>24</v>
      </c>
      <c r="AE10" s="30" t="s">
        <v>26</v>
      </c>
      <c r="AF10" s="30" t="s">
        <v>27</v>
      </c>
      <c r="AG10" s="65" t="s">
        <v>28</v>
      </c>
      <c r="AH10" s="65" t="s">
        <v>29</v>
      </c>
      <c r="AI10" s="65" t="s">
        <v>30</v>
      </c>
      <c r="AJ10" s="65" t="s">
        <v>31</v>
      </c>
      <c r="AK10" s="27" t="s">
        <v>32</v>
      </c>
      <c r="AL10" s="32" t="s">
        <v>116</v>
      </c>
      <c r="AM10" s="32" t="s">
        <v>117</v>
      </c>
      <c r="AN10" s="32" t="s">
        <v>118</v>
      </c>
      <c r="AO10" s="33" t="s">
        <v>119</v>
      </c>
      <c r="AP10" s="33" t="s">
        <v>120</v>
      </c>
      <c r="AQ10" s="38" t="s">
        <v>121</v>
      </c>
      <c r="AR10" s="33" t="s">
        <v>14</v>
      </c>
      <c r="AS10" s="38"/>
      <c r="AT10" s="27" t="s">
        <v>32</v>
      </c>
      <c r="AU10" s="34" t="s">
        <v>122</v>
      </c>
      <c r="AV10" s="34" t="s">
        <v>123</v>
      </c>
      <c r="AW10" s="34" t="s">
        <v>124</v>
      </c>
      <c r="AX10" s="34" t="s">
        <v>33</v>
      </c>
      <c r="AY10" s="20" t="s">
        <v>14</v>
      </c>
      <c r="AZ10" s="20" t="s">
        <v>147</v>
      </c>
      <c r="BA10" s="20" t="s">
        <v>148</v>
      </c>
      <c r="BB10" s="20"/>
      <c r="BC10" s="20"/>
      <c r="BD10" s="20"/>
      <c r="BE10" s="20"/>
      <c r="BF10" s="20"/>
    </row>
    <row r="11" spans="1:68" s="1" customFormat="1" ht="18">
      <c r="A11" s="40" t="s">
        <v>36</v>
      </c>
      <c r="B11" s="79" t="s">
        <v>126</v>
      </c>
      <c r="C11" s="158" t="s">
        <v>142</v>
      </c>
      <c r="D11" s="17"/>
      <c r="E11" s="28"/>
      <c r="F11" s="17"/>
      <c r="G11" s="17"/>
      <c r="H11" s="29"/>
      <c r="I11" s="29"/>
      <c r="J11" s="29"/>
      <c r="K11" s="29"/>
      <c r="L11" s="29"/>
      <c r="M11" s="138"/>
      <c r="N11" s="40"/>
      <c r="O11" s="40"/>
      <c r="P11" s="88"/>
      <c r="Q11" s="88"/>
      <c r="R11" s="79" t="s">
        <v>126</v>
      </c>
      <c r="S11" s="20"/>
      <c r="T11" s="20"/>
      <c r="U11" s="20"/>
      <c r="V11" s="48"/>
      <c r="W11" s="62"/>
      <c r="X11" s="31"/>
      <c r="Y11" s="31"/>
      <c r="Z11" s="31"/>
      <c r="AA11" s="30"/>
      <c r="AB11" s="31"/>
      <c r="AC11" s="30"/>
      <c r="AD11" s="30"/>
      <c r="AE11" s="30"/>
      <c r="AF11" s="30"/>
      <c r="AG11" s="65"/>
      <c r="AH11" s="65"/>
      <c r="AI11" s="65"/>
      <c r="AJ11" s="65"/>
      <c r="AK11" s="79" t="s">
        <v>126</v>
      </c>
      <c r="AL11" s="32"/>
      <c r="AM11" s="32"/>
      <c r="AN11" s="32"/>
      <c r="AO11" s="33"/>
      <c r="AP11" s="33"/>
      <c r="AQ11" s="38"/>
      <c r="AR11" s="33"/>
      <c r="AS11" s="38"/>
      <c r="AT11" s="80" t="s">
        <v>126</v>
      </c>
      <c r="AU11" s="34"/>
      <c r="AV11" s="34"/>
      <c r="AW11" s="34"/>
      <c r="AX11" s="34"/>
      <c r="AY11" s="20"/>
      <c r="AZ11" s="20"/>
      <c r="BA11" s="20"/>
      <c r="BB11" s="20"/>
      <c r="BC11" s="20"/>
      <c r="BD11" s="20"/>
      <c r="BE11" s="20"/>
      <c r="BF11" s="20"/>
    </row>
    <row r="12" spans="1:68" s="1" customFormat="1" ht="15">
      <c r="A12" s="1" t="s">
        <v>157</v>
      </c>
      <c r="B12" s="41" t="s">
        <v>37</v>
      </c>
      <c r="C12" s="172">
        <v>15</v>
      </c>
      <c r="D12" s="42">
        <v>73.656503256496705</v>
      </c>
      <c r="E12" s="42">
        <v>0.999418281352903</v>
      </c>
      <c r="F12" s="42">
        <v>10.642333652550899</v>
      </c>
      <c r="G12" s="42">
        <v>4.1282573114427201</v>
      </c>
      <c r="H12" s="43">
        <v>3.12039606131593E-2</v>
      </c>
      <c r="I12" s="43">
        <v>0.75246122164304197</v>
      </c>
      <c r="J12" s="43">
        <v>0.12570738418444199</v>
      </c>
      <c r="K12" s="43">
        <v>0.15094443995961199</v>
      </c>
      <c r="L12" s="43">
        <v>1.3649503913927701</v>
      </c>
      <c r="M12" s="139">
        <v>0.11679196686639599</v>
      </c>
      <c r="N12" s="44">
        <v>7.5170842824601296</v>
      </c>
      <c r="O12" s="44"/>
      <c r="P12" s="89">
        <f>100*F12/(F12+J12+K12+L12)</f>
        <v>86.636187023724844</v>
      </c>
      <c r="Q12" s="89">
        <f>D12/F12</f>
        <v>6.9210856999246317</v>
      </c>
      <c r="R12" s="41" t="s">
        <v>37</v>
      </c>
      <c r="S12" s="38">
        <v>25.777000000000001</v>
      </c>
      <c r="T12" s="38">
        <v>5.9652000000000003</v>
      </c>
      <c r="U12" s="38">
        <v>6.702</v>
      </c>
      <c r="V12" s="27">
        <v>71.102900000000005</v>
      </c>
      <c r="W12" s="62">
        <v>0.30880000000000002</v>
      </c>
      <c r="X12" s="38">
        <v>81.354799999999997</v>
      </c>
      <c r="Y12" s="38">
        <v>44.8962</v>
      </c>
      <c r="Z12" s="27">
        <v>2796.6959999999999</v>
      </c>
      <c r="AA12" s="38">
        <v>11.4826</v>
      </c>
      <c r="AB12" s="38">
        <v>24.571300000000001</v>
      </c>
      <c r="AC12" s="38">
        <v>34.8889</v>
      </c>
      <c r="AD12" s="38">
        <v>11.3278</v>
      </c>
      <c r="AE12" s="38">
        <v>128.18109999999999</v>
      </c>
      <c r="AF12" s="38">
        <v>8.7311999999999994</v>
      </c>
      <c r="AG12" s="62">
        <v>299.60000000000002</v>
      </c>
      <c r="AH12" s="62">
        <v>8.8759999999999994</v>
      </c>
      <c r="AI12" s="62">
        <v>18.88</v>
      </c>
      <c r="AJ12" s="62">
        <v>1.6279999999999999</v>
      </c>
      <c r="AK12" s="41" t="s">
        <v>37</v>
      </c>
      <c r="AL12" s="38">
        <v>19.0993439633225</v>
      </c>
      <c r="AM12" s="38">
        <v>15.602621153514701</v>
      </c>
      <c r="AN12" s="38">
        <v>38.568842325659702</v>
      </c>
      <c r="AO12" s="38">
        <v>2.0193762754377298</v>
      </c>
      <c r="AP12" s="38">
        <v>1.22415477406203</v>
      </c>
      <c r="AQ12" s="38">
        <f t="shared" ref="AQ12:AQ29" si="0">AR12*1.4%</f>
        <v>0.36087799999999998</v>
      </c>
      <c r="AR12" s="38">
        <v>25.777000000000001</v>
      </c>
      <c r="AS12" s="38"/>
      <c r="AT12" s="41" t="s">
        <v>37</v>
      </c>
      <c r="AU12" s="25">
        <f>AL12*AQ12</f>
        <v>6.8925330507958966</v>
      </c>
      <c r="AV12" s="25">
        <f>AM12*AQ12</f>
        <v>5.6306427166380777</v>
      </c>
      <c r="AW12" s="25">
        <f>AN12*AQ12</f>
        <v>13.918646680799421</v>
      </c>
      <c r="AX12" s="36">
        <f>SUM(AU12:AW12)</f>
        <v>26.441822448233395</v>
      </c>
      <c r="AY12" s="38">
        <v>25.777000000000001</v>
      </c>
      <c r="AZ12" s="73">
        <f t="shared" ref="AZ12:AZ30" si="1">AU12*AU178+AV12*AV178+AW12*AW178</f>
        <v>-12.751908772160949</v>
      </c>
      <c r="BA12" s="19">
        <f t="shared" ref="BA12:BA30" si="2">AY12*AY178</f>
        <v>-12.264568202574683</v>
      </c>
      <c r="BB12" s="38"/>
      <c r="BC12" s="27"/>
      <c r="BD12" s="27"/>
      <c r="BE12" s="27"/>
      <c r="BF12" s="27"/>
    </row>
    <row r="13" spans="1:68" s="1" customFormat="1" ht="15">
      <c r="A13" s="1" t="s">
        <v>157</v>
      </c>
      <c r="B13" s="41" t="s">
        <v>38</v>
      </c>
      <c r="C13" s="156">
        <v>30</v>
      </c>
      <c r="D13" s="42">
        <v>73.833970731679301</v>
      </c>
      <c r="E13" s="42">
        <v>1.0155687647645599</v>
      </c>
      <c r="F13" s="42">
        <v>10.710053521962999</v>
      </c>
      <c r="G13" s="42">
        <v>3.9395419757901098</v>
      </c>
      <c r="H13" s="43">
        <v>3.2284202331298299E-2</v>
      </c>
      <c r="I13" s="43">
        <v>0.76006236345685196</v>
      </c>
      <c r="J13" s="43">
        <v>0.13098162088698201</v>
      </c>
      <c r="K13" s="43">
        <v>0.16827991796651601</v>
      </c>
      <c r="L13" s="43">
        <v>1.48784052458241</v>
      </c>
      <c r="M13" s="139">
        <v>0.111611099488203</v>
      </c>
      <c r="N13" s="44">
        <v>7.1266110689916804</v>
      </c>
      <c r="O13" s="44"/>
      <c r="P13" s="89">
        <f t="shared" ref="P13:P27" si="3">100*F13/(F13+J13+K13+L13)</f>
        <v>85.699929466158906</v>
      </c>
      <c r="Q13" s="89">
        <f t="shared" ref="Q13:Q29" si="4">D13/F13</f>
        <v>6.8938937214710192</v>
      </c>
      <c r="R13" s="41" t="s">
        <v>38</v>
      </c>
      <c r="S13" s="38">
        <v>26.591899999999999</v>
      </c>
      <c r="T13" s="38">
        <v>9.4936000000000007</v>
      </c>
      <c r="U13" s="38">
        <v>6.6429999999999998</v>
      </c>
      <c r="V13" s="27">
        <v>52.057600000000001</v>
      </c>
      <c r="W13" s="62">
        <v>0.1532</v>
      </c>
      <c r="X13" s="38">
        <v>128.09219999999999</v>
      </c>
      <c r="Y13" s="38">
        <v>58.097299999999997</v>
      </c>
      <c r="Z13" s="27">
        <v>2344.8690000000001</v>
      </c>
      <c r="AA13" s="38">
        <v>9.5852000000000004</v>
      </c>
      <c r="AB13" s="38">
        <v>32.182400000000001</v>
      </c>
      <c r="AC13" s="38">
        <v>53.127200000000002</v>
      </c>
      <c r="AD13" s="38">
        <v>16.789100000000001</v>
      </c>
      <c r="AE13" s="38">
        <v>248.55690000000001</v>
      </c>
      <c r="AF13" s="38">
        <v>9.9425000000000008</v>
      </c>
      <c r="AG13" s="62">
        <v>206.5</v>
      </c>
      <c r="AH13" s="62">
        <v>6.3719999999999999</v>
      </c>
      <c r="AI13" s="62">
        <v>14.59</v>
      </c>
      <c r="AJ13" s="62">
        <v>1.28</v>
      </c>
      <c r="AK13" s="41" t="s">
        <v>38</v>
      </c>
      <c r="AL13" s="38">
        <v>19.504755642668901</v>
      </c>
      <c r="AM13" s="38">
        <v>15.978948531879899</v>
      </c>
      <c r="AN13" s="38">
        <v>39.107622779555598</v>
      </c>
      <c r="AO13" s="38">
        <v>2.0048894319618298</v>
      </c>
      <c r="AP13" s="38">
        <v>1.22081275712694</v>
      </c>
      <c r="AQ13" s="38">
        <f t="shared" si="0"/>
        <v>0.37228659999999997</v>
      </c>
      <c r="AR13" s="38">
        <v>26.591899999999999</v>
      </c>
      <c r="AS13" s="38"/>
      <c r="AT13" s="41" t="s">
        <v>38</v>
      </c>
      <c r="AU13" s="25">
        <f t="shared" ref="AU13:AU29" si="5">AL13*AQ13</f>
        <v>7.2613591620400193</v>
      </c>
      <c r="AV13" s="25">
        <f t="shared" ref="AV13:AV29" si="6">AM13*AQ13</f>
        <v>5.9487484205085588</v>
      </c>
      <c r="AW13" s="25">
        <f t="shared" ref="AW13:AW29" si="7">AN13*AQ13</f>
        <v>14.559243918683302</v>
      </c>
      <c r="AX13" s="36">
        <f t="shared" ref="AX13:AX29" si="8">SUM(AU13:AW13)</f>
        <v>27.769351501231881</v>
      </c>
      <c r="AY13" s="38">
        <v>26.591899999999999</v>
      </c>
      <c r="AZ13" s="73">
        <f t="shared" si="1"/>
        <v>-12.966816908463958</v>
      </c>
      <c r="BA13" s="19">
        <f t="shared" si="2"/>
        <v>-12.440302629417424</v>
      </c>
      <c r="BB13" s="38"/>
      <c r="BC13" s="27"/>
      <c r="BD13" s="27"/>
      <c r="BE13" s="27"/>
      <c r="BF13" s="27"/>
    </row>
    <row r="14" spans="1:68" s="1" customFormat="1" ht="15">
      <c r="A14" s="1" t="s">
        <v>157</v>
      </c>
      <c r="B14" s="41" t="s">
        <v>39</v>
      </c>
      <c r="C14" s="172">
        <v>45</v>
      </c>
      <c r="D14" s="42">
        <v>74.6590218929027</v>
      </c>
      <c r="E14" s="42">
        <v>0.70494717035750498</v>
      </c>
      <c r="F14" s="42">
        <v>11.512242096564099</v>
      </c>
      <c r="G14" s="42">
        <v>4.0286478161024197</v>
      </c>
      <c r="H14" s="43">
        <v>2.17927216642777E-2</v>
      </c>
      <c r="I14" s="43">
        <v>0.94845714721486896</v>
      </c>
      <c r="J14" s="43">
        <v>9.1908434844997305E-2</v>
      </c>
      <c r="K14" s="43">
        <v>0.10408441997892701</v>
      </c>
      <c r="L14" s="43">
        <v>2.2323327061320999</v>
      </c>
      <c r="M14" s="139">
        <v>8.3380848106801603E-2</v>
      </c>
      <c r="N14" s="44">
        <v>5.0151975683890599</v>
      </c>
      <c r="O14" s="44"/>
      <c r="P14" s="89">
        <f t="shared" si="3"/>
        <v>82.580870301604378</v>
      </c>
      <c r="Q14" s="89">
        <f t="shared" si="4"/>
        <v>6.4851851851851823</v>
      </c>
      <c r="R14" s="41" t="s">
        <v>39</v>
      </c>
      <c r="S14" s="38">
        <v>30.3248</v>
      </c>
      <c r="T14" s="38">
        <v>9.0928000000000004</v>
      </c>
      <c r="U14" s="38">
        <v>7.4109999999999996</v>
      </c>
      <c r="V14" s="27">
        <v>41.6492</v>
      </c>
      <c r="W14" s="62">
        <v>0.47789999999999999</v>
      </c>
      <c r="X14" s="38">
        <v>79.914699999999996</v>
      </c>
      <c r="Y14" s="38">
        <v>41.194400000000002</v>
      </c>
      <c r="Z14" s="27">
        <v>1854.761</v>
      </c>
      <c r="AA14" s="38">
        <v>6.6538000000000004</v>
      </c>
      <c r="AB14" s="38">
        <v>22.1233</v>
      </c>
      <c r="AC14" s="38">
        <v>44.2256</v>
      </c>
      <c r="AD14" s="38">
        <v>17.9419</v>
      </c>
      <c r="AE14" s="38">
        <v>150.37029999999999</v>
      </c>
      <c r="AF14" s="38">
        <v>5.5274999999999999</v>
      </c>
      <c r="AG14" s="62">
        <v>173.6</v>
      </c>
      <c r="AH14" s="62">
        <v>4.8289999999999997</v>
      </c>
      <c r="AI14" s="62">
        <v>13.42</v>
      </c>
      <c r="AJ14" s="62">
        <v>1.099</v>
      </c>
      <c r="AK14" s="41" t="s">
        <v>39</v>
      </c>
      <c r="AL14" s="38">
        <v>19.280915129325599</v>
      </c>
      <c r="AM14" s="38">
        <v>15.6226725103812</v>
      </c>
      <c r="AN14" s="38">
        <v>38.719367058816097</v>
      </c>
      <c r="AO14" s="38">
        <v>2.0081988875986099</v>
      </c>
      <c r="AP14" s="38">
        <v>1.2342533061746099</v>
      </c>
      <c r="AQ14" s="38">
        <f t="shared" si="0"/>
        <v>0.42454719999999996</v>
      </c>
      <c r="AR14" s="38">
        <v>30.3248</v>
      </c>
      <c r="AS14" s="38"/>
      <c r="AT14" s="41" t="s">
        <v>39</v>
      </c>
      <c r="AU14" s="25">
        <f t="shared" si="5"/>
        <v>8.1856585315928196</v>
      </c>
      <c r="AV14" s="25">
        <f t="shared" si="6"/>
        <v>6.632561870799309</v>
      </c>
      <c r="AW14" s="25">
        <f t="shared" si="7"/>
        <v>16.438198870592608</v>
      </c>
      <c r="AX14" s="36">
        <f t="shared" si="8"/>
        <v>31.256419272984736</v>
      </c>
      <c r="AY14" s="38">
        <v>30.3248</v>
      </c>
      <c r="AZ14" s="73">
        <f t="shared" si="1"/>
        <v>-3.9303324172312148</v>
      </c>
      <c r="BA14" s="19">
        <f t="shared" si="2"/>
        <v>-3.8120131681931335</v>
      </c>
      <c r="BB14" s="38"/>
      <c r="BC14" s="27"/>
      <c r="BD14" s="27"/>
      <c r="BE14" s="27"/>
      <c r="BF14" s="27"/>
    </row>
    <row r="15" spans="1:68" s="1" customFormat="1" ht="15">
      <c r="A15" s="1" t="s">
        <v>157</v>
      </c>
      <c r="B15" s="41" t="s">
        <v>40</v>
      </c>
      <c r="C15" s="172">
        <v>60</v>
      </c>
      <c r="D15" s="42">
        <v>69.326947836286294</v>
      </c>
      <c r="E15" s="42">
        <v>0.60598823534135404</v>
      </c>
      <c r="F15" s="42">
        <v>12.278836618604201</v>
      </c>
      <c r="G15" s="42">
        <v>8.61339577683807</v>
      </c>
      <c r="H15" s="43">
        <v>3.7874264708834598E-3</v>
      </c>
      <c r="I15" s="43">
        <v>0.96200632360439897</v>
      </c>
      <c r="J15" s="43">
        <v>6.8173676475902306E-2</v>
      </c>
      <c r="K15" s="43">
        <v>0.1</v>
      </c>
      <c r="L15" s="43">
        <v>2.4807643384286702</v>
      </c>
      <c r="M15" s="139">
        <v>6.7226819858181394E-2</v>
      </c>
      <c r="N15" s="44">
        <v>5.4135338345864001</v>
      </c>
      <c r="O15" s="44"/>
      <c r="P15" s="89">
        <f t="shared" si="3"/>
        <v>82.254970483286698</v>
      </c>
      <c r="Q15" s="89">
        <f t="shared" si="4"/>
        <v>5.6460518198642706</v>
      </c>
      <c r="R15" s="41" t="s">
        <v>40</v>
      </c>
      <c r="S15" s="38">
        <v>24.727599999999999</v>
      </c>
      <c r="T15" s="38">
        <v>12.121499999999999</v>
      </c>
      <c r="U15" s="38">
        <v>7.0350000000000001</v>
      </c>
      <c r="V15" s="27">
        <v>19.633500000000002</v>
      </c>
      <c r="W15" s="62">
        <v>9.7799999999999998E-2</v>
      </c>
      <c r="X15" s="38">
        <v>85.067499999999995</v>
      </c>
      <c r="Y15" s="38">
        <v>46.436100000000003</v>
      </c>
      <c r="Z15" s="27">
        <v>218.58199999999999</v>
      </c>
      <c r="AA15" s="38">
        <v>2.9186000000000001</v>
      </c>
      <c r="AB15" s="38">
        <v>19.417999999999999</v>
      </c>
      <c r="AC15" s="38">
        <v>85.8386</v>
      </c>
      <c r="AD15" s="38">
        <v>31.581499999999998</v>
      </c>
      <c r="AE15" s="38">
        <v>119.79089999999999</v>
      </c>
      <c r="AF15" s="38">
        <v>2.4994000000000001</v>
      </c>
      <c r="AG15" s="62">
        <v>131</v>
      </c>
      <c r="AH15" s="62">
        <v>3.6059999999999999</v>
      </c>
      <c r="AI15" s="62">
        <v>11.64</v>
      </c>
      <c r="AJ15" s="62">
        <v>0.91300000000000003</v>
      </c>
      <c r="AK15" s="41" t="s">
        <v>40</v>
      </c>
      <c r="AL15" s="38">
        <v>19.473511359999002</v>
      </c>
      <c r="AM15" s="38">
        <v>15.511142197988001</v>
      </c>
      <c r="AN15" s="38">
        <v>38.977049993409402</v>
      </c>
      <c r="AO15" s="38">
        <v>2.0015451597467702</v>
      </c>
      <c r="AP15" s="38">
        <v>1.25553113898482</v>
      </c>
      <c r="AQ15" s="38">
        <f t="shared" si="0"/>
        <v>0.34618639999999995</v>
      </c>
      <c r="AR15" s="38">
        <v>24.727599999999999</v>
      </c>
      <c r="AS15" s="38"/>
      <c r="AT15" s="41" t="s">
        <v>40</v>
      </c>
      <c r="AU15" s="25">
        <f t="shared" si="5"/>
        <v>6.7414647930771574</v>
      </c>
      <c r="AV15" s="25">
        <f t="shared" si="6"/>
        <v>5.369746477409552</v>
      </c>
      <c r="AW15" s="25">
        <f t="shared" si="7"/>
        <v>13.493324619838422</v>
      </c>
      <c r="AX15" s="36">
        <f t="shared" si="8"/>
        <v>25.604535890325131</v>
      </c>
      <c r="AY15" s="38">
        <v>24.727599999999999</v>
      </c>
      <c r="AZ15" s="73">
        <f t="shared" si="1"/>
        <v>-4.5616174795014492</v>
      </c>
      <c r="BA15" s="19">
        <f t="shared" si="2"/>
        <v>-4.2199544784027294</v>
      </c>
      <c r="BB15" s="38"/>
      <c r="BC15" s="27"/>
      <c r="BD15" s="27"/>
      <c r="BE15" s="27"/>
      <c r="BF15" s="27"/>
    </row>
    <row r="16" spans="1:68" s="1" customFormat="1" ht="15">
      <c r="A16" s="1" t="s">
        <v>157</v>
      </c>
      <c r="B16" s="41" t="s">
        <v>41</v>
      </c>
      <c r="C16" s="172">
        <v>75</v>
      </c>
      <c r="D16" s="42">
        <v>77.584522920916299</v>
      </c>
      <c r="E16" s="42">
        <v>0.62400674826078295</v>
      </c>
      <c r="F16" s="42">
        <v>11.4066157569616</v>
      </c>
      <c r="G16" s="42">
        <v>2.3714955738845802</v>
      </c>
      <c r="H16" s="43">
        <v>3.79335409277072E-3</v>
      </c>
      <c r="I16" s="43">
        <v>1.03179231323364</v>
      </c>
      <c r="J16" s="43">
        <v>8.3453790040955794E-2</v>
      </c>
      <c r="K16" s="43">
        <v>0.1</v>
      </c>
      <c r="L16" s="43">
        <v>2.60887927730306</v>
      </c>
      <c r="M16" s="139">
        <v>3.5088525358129202E-2</v>
      </c>
      <c r="N16" s="44">
        <v>3.6529680365296802</v>
      </c>
      <c r="O16" s="44"/>
      <c r="P16" s="89">
        <f t="shared" si="3"/>
        <v>80.334226836819582</v>
      </c>
      <c r="Q16" s="89">
        <f t="shared" si="4"/>
        <v>6.8017126704356201</v>
      </c>
      <c r="R16" s="41" t="s">
        <v>41</v>
      </c>
      <c r="S16" s="38">
        <v>32.445500000000003</v>
      </c>
      <c r="T16" s="38">
        <v>11.9778</v>
      </c>
      <c r="U16" s="38">
        <v>6.6520000000000001</v>
      </c>
      <c r="V16" s="27">
        <v>14.319100000000001</v>
      </c>
      <c r="W16" s="62">
        <v>5.2200000000000003E-2</v>
      </c>
      <c r="X16" s="38">
        <v>187.75319999999999</v>
      </c>
      <c r="Y16" s="38">
        <v>55.898000000000003</v>
      </c>
      <c r="Z16" s="27">
        <v>232.346</v>
      </c>
      <c r="AA16" s="38">
        <v>3.4897999999999998</v>
      </c>
      <c r="AB16" s="38">
        <v>22.171500000000002</v>
      </c>
      <c r="AC16" s="38">
        <v>21.479900000000001</v>
      </c>
      <c r="AD16" s="38">
        <v>20.4255</v>
      </c>
      <c r="AE16" s="38">
        <v>352.59730000000002</v>
      </c>
      <c r="AF16" s="38">
        <v>4.9184000000000001</v>
      </c>
      <c r="AG16" s="62">
        <v>142.1</v>
      </c>
      <c r="AH16" s="62">
        <v>4.0259999999999998</v>
      </c>
      <c r="AI16" s="62">
        <v>11.79</v>
      </c>
      <c r="AJ16" s="62">
        <v>0.96499999999999997</v>
      </c>
      <c r="AK16" s="41" t="s">
        <v>41</v>
      </c>
      <c r="AL16" s="38">
        <v>19.504104523004099</v>
      </c>
      <c r="AM16" s="38">
        <v>15.3946308306178</v>
      </c>
      <c r="AN16" s="38">
        <v>38.5505910287362</v>
      </c>
      <c r="AO16" s="38">
        <v>1.9766053317088199</v>
      </c>
      <c r="AP16" s="38">
        <v>1.2669640254763801</v>
      </c>
      <c r="AQ16" s="38">
        <f t="shared" si="0"/>
        <v>0.454237</v>
      </c>
      <c r="AR16" s="38">
        <v>32.445500000000003</v>
      </c>
      <c r="AS16" s="38"/>
      <c r="AT16" s="41" t="s">
        <v>41</v>
      </c>
      <c r="AU16" s="25">
        <f t="shared" si="5"/>
        <v>8.8594859262158128</v>
      </c>
      <c r="AV16" s="25">
        <f t="shared" si="6"/>
        <v>6.9928109246073378</v>
      </c>
      <c r="AW16" s="25">
        <f t="shared" si="7"/>
        <v>17.511104817120046</v>
      </c>
      <c r="AX16" s="36">
        <f t="shared" si="8"/>
        <v>33.363401667943194</v>
      </c>
      <c r="AY16" s="38">
        <v>32.445500000000003</v>
      </c>
      <c r="AZ16" s="73">
        <f t="shared" si="1"/>
        <v>1.7872229399962167</v>
      </c>
      <c r="BA16" s="19">
        <f t="shared" si="2"/>
        <v>1.8419918373840585</v>
      </c>
      <c r="BB16" s="38"/>
      <c r="BC16" s="27"/>
      <c r="BD16" s="27"/>
      <c r="BE16" s="27"/>
      <c r="BF16" s="27"/>
    </row>
    <row r="17" spans="1:58" s="1" customFormat="1" ht="15">
      <c r="A17" s="1" t="s">
        <v>157</v>
      </c>
      <c r="B17" s="41" t="s">
        <v>42</v>
      </c>
      <c r="C17" s="172">
        <v>90</v>
      </c>
      <c r="D17" s="42">
        <v>57.720496499749899</v>
      </c>
      <c r="E17" s="42">
        <v>0.46145633444170497</v>
      </c>
      <c r="F17" s="42">
        <v>10.1314705676164</v>
      </c>
      <c r="G17" s="42">
        <v>21.5614012145499</v>
      </c>
      <c r="H17" s="43">
        <v>2.6828856653587502E-3</v>
      </c>
      <c r="I17" s="43">
        <v>0.820068718377991</v>
      </c>
      <c r="J17" s="43">
        <v>6.8860732077541204E-2</v>
      </c>
      <c r="K17" s="43">
        <v>0.1</v>
      </c>
      <c r="L17" s="43">
        <v>1.97102666881689</v>
      </c>
      <c r="M17" s="139">
        <v>5.0974827641816198E-2</v>
      </c>
      <c r="N17" s="44">
        <v>6.9148936170213098</v>
      </c>
      <c r="O17" s="44"/>
      <c r="P17" s="89">
        <f t="shared" si="3"/>
        <v>82.561934821023613</v>
      </c>
      <c r="Q17" s="89">
        <f t="shared" si="4"/>
        <v>5.6971489098773169</v>
      </c>
      <c r="R17" s="41" t="s">
        <v>42</v>
      </c>
      <c r="S17" s="38">
        <v>17.955400000000001</v>
      </c>
      <c r="T17" s="38">
        <v>11.2484</v>
      </c>
      <c r="U17" s="38">
        <v>10.69</v>
      </c>
      <c r="V17" s="27">
        <v>25.2835</v>
      </c>
      <c r="W17" s="62">
        <v>0.14530000000000001</v>
      </c>
      <c r="X17" s="38">
        <v>123.82129999999999</v>
      </c>
      <c r="Y17" s="38">
        <v>66.344300000000004</v>
      </c>
      <c r="Z17" s="27">
        <v>190.20400000000001</v>
      </c>
      <c r="AA17" s="38">
        <v>2.1631</v>
      </c>
      <c r="AB17" s="38">
        <v>13.7996</v>
      </c>
      <c r="AC17" s="38">
        <v>336.77499999999998</v>
      </c>
      <c r="AD17" s="38">
        <v>63.064999999999998</v>
      </c>
      <c r="AE17" s="38">
        <v>166.6114</v>
      </c>
      <c r="AF17" s="38">
        <v>2.3565999999999998</v>
      </c>
      <c r="AG17" s="62">
        <v>90.44</v>
      </c>
      <c r="AH17" s="62">
        <v>2.83</v>
      </c>
      <c r="AI17" s="62">
        <v>8.7710000000000008</v>
      </c>
      <c r="AJ17" s="62">
        <v>0.75900000000000001</v>
      </c>
      <c r="AK17" s="41" t="s">
        <v>42</v>
      </c>
      <c r="AL17" s="38">
        <v>19.384648900141102</v>
      </c>
      <c r="AM17" s="38">
        <v>15.720864913740799</v>
      </c>
      <c r="AN17" s="38">
        <v>38.775168626444902</v>
      </c>
      <c r="AO17" s="38">
        <v>2.0002659554124</v>
      </c>
      <c r="AP17" s="38">
        <v>1.2330656305672101</v>
      </c>
      <c r="AQ17" s="38">
        <f t="shared" si="0"/>
        <v>0.25137559999999998</v>
      </c>
      <c r="AR17" s="38">
        <v>17.955400000000001</v>
      </c>
      <c r="AS17" s="38"/>
      <c r="AT17" s="41" t="s">
        <v>42</v>
      </c>
      <c r="AU17" s="25">
        <f t="shared" si="5"/>
        <v>4.872827748062309</v>
      </c>
      <c r="AV17" s="25">
        <f t="shared" si="6"/>
        <v>3.9518418502105415</v>
      </c>
      <c r="AW17" s="25">
        <f t="shared" si="7"/>
        <v>9.7471312785737627</v>
      </c>
      <c r="AX17" s="36">
        <f t="shared" si="8"/>
        <v>18.571800876846613</v>
      </c>
      <c r="AY17" s="38">
        <v>17.955400000000001</v>
      </c>
      <c r="AZ17" s="73">
        <f t="shared" si="1"/>
        <v>-3.8913946057606017</v>
      </c>
      <c r="BA17" s="19">
        <f t="shared" si="2"/>
        <v>-3.7558160972575418</v>
      </c>
      <c r="BB17" s="38"/>
      <c r="BC17" s="27"/>
      <c r="BD17" s="27"/>
      <c r="BE17" s="27"/>
      <c r="BF17" s="27"/>
    </row>
    <row r="18" spans="1:58" s="1" customFormat="1" ht="15">
      <c r="A18" s="1" t="s">
        <v>157</v>
      </c>
      <c r="B18" s="41" t="s">
        <v>43</v>
      </c>
      <c r="C18" s="172">
        <v>110</v>
      </c>
      <c r="D18" s="42">
        <v>77.787881460289</v>
      </c>
      <c r="E18" s="42">
        <v>0.600667595103069</v>
      </c>
      <c r="F18" s="42">
        <v>11.28988538498</v>
      </c>
      <c r="G18" s="42">
        <v>2.3140891500243099</v>
      </c>
      <c r="H18" s="43">
        <v>2.85578888321586E-3</v>
      </c>
      <c r="I18" s="43">
        <v>1.0318917164686601</v>
      </c>
      <c r="J18" s="43">
        <v>6.56831443139647E-2</v>
      </c>
      <c r="K18" s="43">
        <v>0.1</v>
      </c>
      <c r="L18" s="43">
        <v>2.8957699275808801</v>
      </c>
      <c r="M18" s="139">
        <v>3.7125255481806202E-2</v>
      </c>
      <c r="N18" s="44">
        <v>3.4194528875379402</v>
      </c>
      <c r="O18" s="44"/>
      <c r="P18" s="89">
        <f t="shared" si="3"/>
        <v>78.667821951977643</v>
      </c>
      <c r="Q18" s="89">
        <f t="shared" si="4"/>
        <v>6.8900505902192384</v>
      </c>
      <c r="R18" s="41" t="s">
        <v>43</v>
      </c>
      <c r="S18" s="38">
        <v>40.553600000000003</v>
      </c>
      <c r="T18" s="38">
        <v>13.175000000000001</v>
      </c>
      <c r="U18" s="38">
        <v>10.26</v>
      </c>
      <c r="V18" s="27">
        <v>12.494</v>
      </c>
      <c r="W18" s="62">
        <v>4.8599999999999997E-2</v>
      </c>
      <c r="X18" s="38">
        <v>98.356899999999996</v>
      </c>
      <c r="Y18" s="38">
        <v>36.309899999999999</v>
      </c>
      <c r="Z18" s="27">
        <v>109.47199999999999</v>
      </c>
      <c r="AA18" s="38">
        <v>1.9369000000000001</v>
      </c>
      <c r="AB18" s="38">
        <v>12.299200000000001</v>
      </c>
      <c r="AC18" s="38">
        <v>39.872100000000003</v>
      </c>
      <c r="AD18" s="38">
        <v>28.181699999999999</v>
      </c>
      <c r="AE18" s="38">
        <v>198.94069999999999</v>
      </c>
      <c r="AF18" s="38">
        <v>3.1518000000000002</v>
      </c>
      <c r="AG18" s="62">
        <v>121.7</v>
      </c>
      <c r="AH18" s="62">
        <v>3.9369999999999998</v>
      </c>
      <c r="AI18" s="62">
        <v>10.59</v>
      </c>
      <c r="AJ18" s="62">
        <v>1.0109999999999999</v>
      </c>
      <c r="AK18" s="41" t="s">
        <v>43</v>
      </c>
      <c r="AL18" s="38">
        <v>19.590824995630602</v>
      </c>
      <c r="AM18" s="38">
        <v>15.7627398055679</v>
      </c>
      <c r="AN18" s="38">
        <v>39.056023468687101</v>
      </c>
      <c r="AO18" s="38">
        <v>1.9936423571697699</v>
      </c>
      <c r="AP18" s="38">
        <v>1.2428574690210901</v>
      </c>
      <c r="AQ18" s="38">
        <f t="shared" si="0"/>
        <v>0.56775039999999999</v>
      </c>
      <c r="AR18" s="38">
        <v>40.553600000000003</v>
      </c>
      <c r="AS18" s="38"/>
      <c r="AT18" s="41" t="s">
        <v>43</v>
      </c>
      <c r="AU18" s="25">
        <f t="shared" si="5"/>
        <v>11.122698727599271</v>
      </c>
      <c r="AV18" s="25">
        <f t="shared" si="6"/>
        <v>8.9493018297070979</v>
      </c>
      <c r="AW18" s="25">
        <f t="shared" si="7"/>
        <v>22.174072946756489</v>
      </c>
      <c r="AX18" s="36">
        <f t="shared" si="8"/>
        <v>42.246073504062856</v>
      </c>
      <c r="AY18" s="38">
        <v>40.553600000000003</v>
      </c>
      <c r="AZ18" s="73">
        <f t="shared" si="1"/>
        <v>15.991167455148926</v>
      </c>
      <c r="BA18" s="19">
        <f t="shared" si="2"/>
        <v>15.093262688715615</v>
      </c>
      <c r="BB18" s="38"/>
      <c r="BC18" s="27"/>
      <c r="BD18" s="27"/>
      <c r="BE18" s="27"/>
      <c r="BF18" s="27"/>
    </row>
    <row r="19" spans="1:58" s="1" customFormat="1" ht="15">
      <c r="A19" s="1" t="s">
        <v>157</v>
      </c>
      <c r="B19" s="41" t="s">
        <v>44</v>
      </c>
      <c r="C19" s="172">
        <v>150</v>
      </c>
      <c r="D19" s="42">
        <v>68.044085921671893</v>
      </c>
      <c r="E19" s="42">
        <v>0.57493786901033295</v>
      </c>
      <c r="F19" s="42">
        <v>14.895429790544</v>
      </c>
      <c r="G19" s="42">
        <v>6.1942807579643402</v>
      </c>
      <c r="H19" s="43">
        <v>1.3238700931159E-2</v>
      </c>
      <c r="I19" s="43">
        <v>1.2709152893912601</v>
      </c>
      <c r="J19" s="43">
        <v>7.1867233626291604E-2</v>
      </c>
      <c r="K19" s="43">
        <v>0.1</v>
      </c>
      <c r="L19" s="43">
        <v>2.9910007889468502</v>
      </c>
      <c r="M19" s="139">
        <v>2.3640537377069601E-2</v>
      </c>
      <c r="N19" s="44">
        <v>5.8122205663188504</v>
      </c>
      <c r="O19" s="44"/>
      <c r="P19" s="89">
        <f t="shared" si="3"/>
        <v>82.485237228307838</v>
      </c>
      <c r="Q19" s="89">
        <f t="shared" si="4"/>
        <v>4.5681183341797915</v>
      </c>
      <c r="R19" s="41" t="s">
        <v>44</v>
      </c>
      <c r="S19" s="38">
        <v>16.875299999999999</v>
      </c>
      <c r="T19" s="38">
        <v>12.4025</v>
      </c>
      <c r="U19" s="38">
        <v>10.28</v>
      </c>
      <c r="V19" s="27">
        <v>37.250999999999998</v>
      </c>
      <c r="W19" s="62">
        <v>6.9099999999999995E-2</v>
      </c>
      <c r="X19" s="38">
        <v>177.7474</v>
      </c>
      <c r="Y19" s="38">
        <v>62.745199999999997</v>
      </c>
      <c r="Z19" s="27">
        <v>1311.1559999999999</v>
      </c>
      <c r="AA19" s="38">
        <v>29.5077</v>
      </c>
      <c r="AB19" s="38">
        <v>58.5017</v>
      </c>
      <c r="AC19" s="38">
        <v>81.9803</v>
      </c>
      <c r="AD19" s="38">
        <v>30.4893</v>
      </c>
      <c r="AE19" s="38">
        <v>239.84729999999999</v>
      </c>
      <c r="AF19" s="38">
        <v>2.2265999999999999</v>
      </c>
      <c r="AG19" s="62">
        <v>123</v>
      </c>
      <c r="AH19" s="62">
        <v>3.754</v>
      </c>
      <c r="AI19" s="62">
        <v>11.17</v>
      </c>
      <c r="AJ19" s="62">
        <v>0.96599999999999997</v>
      </c>
      <c r="AK19" s="41" t="s">
        <v>44</v>
      </c>
      <c r="AL19" s="38">
        <v>19.741025778123301</v>
      </c>
      <c r="AM19" s="38">
        <v>15.723212724728301</v>
      </c>
      <c r="AN19" s="38">
        <v>39.298723942898903</v>
      </c>
      <c r="AO19" s="38">
        <v>1.9908020410885301</v>
      </c>
      <c r="AP19" s="46">
        <v>1.25549998784943</v>
      </c>
      <c r="AQ19" s="38">
        <f t="shared" si="0"/>
        <v>0.23625419999999997</v>
      </c>
      <c r="AR19" s="38">
        <v>16.875299999999999</v>
      </c>
      <c r="AS19" s="38"/>
      <c r="AT19" s="41" t="s">
        <v>44</v>
      </c>
      <c r="AU19" s="25">
        <f t="shared" si="5"/>
        <v>4.6639002523898974</v>
      </c>
      <c r="AV19" s="25">
        <f t="shared" si="6"/>
        <v>3.7146750437105043</v>
      </c>
      <c r="AW19" s="25">
        <f t="shared" si="7"/>
        <v>9.2844885861504256</v>
      </c>
      <c r="AX19" s="36">
        <f t="shared" si="8"/>
        <v>17.663063882250825</v>
      </c>
      <c r="AY19" s="38">
        <v>16.875299999999999</v>
      </c>
      <c r="AZ19" s="73">
        <f t="shared" si="1"/>
        <v>-6.9468424051738822</v>
      </c>
      <c r="BA19" s="19">
        <f t="shared" si="2"/>
        <v>-6.808344459017559</v>
      </c>
      <c r="BB19" s="38"/>
      <c r="BC19" s="27"/>
      <c r="BD19" s="27"/>
      <c r="BE19" s="27"/>
      <c r="BF19" s="27"/>
    </row>
    <row r="20" spans="1:58" s="1" customFormat="1" ht="15">
      <c r="A20" s="1" t="s">
        <v>157</v>
      </c>
      <c r="B20" s="41" t="s">
        <v>45</v>
      </c>
      <c r="C20" s="172">
        <v>175</v>
      </c>
      <c r="D20" s="42">
        <v>80.711722066902098</v>
      </c>
      <c r="E20" s="42">
        <v>0.54823645485265504</v>
      </c>
      <c r="F20" s="42">
        <v>10.319917181292199</v>
      </c>
      <c r="G20" s="42">
        <v>1.3798982851086601</v>
      </c>
      <c r="H20" s="43">
        <v>2.9265291184305499E-3</v>
      </c>
      <c r="I20" s="43">
        <v>1.08574230293773</v>
      </c>
      <c r="J20" s="43">
        <v>7.0236698842333106E-2</v>
      </c>
      <c r="K20" s="43">
        <v>0.1</v>
      </c>
      <c r="L20" s="43">
        <v>2.7958108178073098</v>
      </c>
      <c r="M20" s="139">
        <v>2.14612135351573E-2</v>
      </c>
      <c r="N20" s="44">
        <v>3.0724213606438</v>
      </c>
      <c r="O20" s="44"/>
      <c r="P20" s="89">
        <f t="shared" si="3"/>
        <v>77.675331945529564</v>
      </c>
      <c r="Q20" s="89">
        <f t="shared" si="4"/>
        <v>7.8209660648454786</v>
      </c>
      <c r="R20" s="41" t="s">
        <v>45</v>
      </c>
      <c r="S20" s="38">
        <v>24.686199999999999</v>
      </c>
      <c r="T20" s="38">
        <v>10.793699999999999</v>
      </c>
      <c r="U20" s="38">
        <v>6.52</v>
      </c>
      <c r="V20" s="27">
        <v>8.9796999999999993</v>
      </c>
      <c r="W20" s="62">
        <v>2.47E-2</v>
      </c>
      <c r="X20" s="38">
        <v>73.188400000000001</v>
      </c>
      <c r="Y20" s="38">
        <v>28.093</v>
      </c>
      <c r="Z20" s="27">
        <v>76.108999999999995</v>
      </c>
      <c r="AA20" s="38">
        <v>1.2495000000000001</v>
      </c>
      <c r="AB20" s="38">
        <v>11.400600000000001</v>
      </c>
      <c r="AC20" s="38">
        <v>22.177600000000002</v>
      </c>
      <c r="AD20" s="38">
        <v>20.740100000000002</v>
      </c>
      <c r="AE20" s="38">
        <v>130.3537</v>
      </c>
      <c r="AF20" s="38">
        <v>1.8816999999999999</v>
      </c>
      <c r="AG20" s="62">
        <v>114.8</v>
      </c>
      <c r="AH20" s="62">
        <v>3.3889999999999998</v>
      </c>
      <c r="AI20" s="62">
        <v>10.15</v>
      </c>
      <c r="AJ20" s="62">
        <v>0.83599999999999997</v>
      </c>
      <c r="AK20" s="41" t="s">
        <v>45</v>
      </c>
      <c r="AL20" s="38">
        <v>19.890228930074201</v>
      </c>
      <c r="AM20" s="38">
        <v>16.004798891094602</v>
      </c>
      <c r="AN20" s="38">
        <v>39.764841694981698</v>
      </c>
      <c r="AO20" s="38">
        <v>1.99925539770227</v>
      </c>
      <c r="AP20" s="38">
        <v>1.2428042873424501</v>
      </c>
      <c r="AQ20" s="38">
        <f t="shared" si="0"/>
        <v>0.34560679999999994</v>
      </c>
      <c r="AR20" s="38">
        <v>24.686199999999999</v>
      </c>
      <c r="AS20" s="38"/>
      <c r="AT20" s="41" t="s">
        <v>45</v>
      </c>
      <c r="AU20" s="25">
        <f t="shared" si="5"/>
        <v>6.8741983717903672</v>
      </c>
      <c r="AV20" s="25">
        <f t="shared" si="6"/>
        <v>5.5313673293947527</v>
      </c>
      <c r="AW20" s="25">
        <f t="shared" si="7"/>
        <v>13.742999690709198</v>
      </c>
      <c r="AX20" s="36">
        <f t="shared" si="8"/>
        <v>26.148565391894316</v>
      </c>
      <c r="AY20" s="38">
        <v>24.686199999999999</v>
      </c>
      <c r="AZ20" s="73">
        <f t="shared" si="1"/>
        <v>9.6176760167829123</v>
      </c>
      <c r="BA20" s="19">
        <f t="shared" si="2"/>
        <v>-2.0940981624019743</v>
      </c>
      <c r="BB20" s="38"/>
      <c r="BC20" s="27"/>
      <c r="BD20" s="27"/>
      <c r="BE20" s="27"/>
      <c r="BF20" s="27"/>
    </row>
    <row r="21" spans="1:58" s="1" customFormat="1" ht="15">
      <c r="A21" s="1" t="s">
        <v>157</v>
      </c>
      <c r="B21" s="41" t="s">
        <v>46</v>
      </c>
      <c r="C21" s="172">
        <v>190</v>
      </c>
      <c r="D21" s="42">
        <v>73.446613213807197</v>
      </c>
      <c r="E21" s="42">
        <v>0.48826427895434799</v>
      </c>
      <c r="F21" s="42">
        <v>11.667540631198101</v>
      </c>
      <c r="G21" s="42">
        <v>5.5130439794591304</v>
      </c>
      <c r="H21" s="43">
        <v>1.0348568532751099E-2</v>
      </c>
      <c r="I21" s="43">
        <v>1.2625253609956399</v>
      </c>
      <c r="J21" s="43">
        <v>7.1499200771734994E-2</v>
      </c>
      <c r="K21" s="43">
        <v>0.1</v>
      </c>
      <c r="L21" s="43">
        <v>2.22306067662644</v>
      </c>
      <c r="M21" s="139">
        <v>4.70389478761414E-2</v>
      </c>
      <c r="N21" s="44">
        <v>5.1608077786087696</v>
      </c>
      <c r="O21" s="44"/>
      <c r="P21" s="89">
        <f t="shared" si="3"/>
        <v>82.971534900249353</v>
      </c>
      <c r="Q21" s="89">
        <f t="shared" si="4"/>
        <v>6.2949524270279067</v>
      </c>
      <c r="R21" s="41" t="s">
        <v>46</v>
      </c>
      <c r="S21" s="38">
        <v>23.616900000000001</v>
      </c>
      <c r="T21" s="38">
        <v>9.4605999999999995</v>
      </c>
      <c r="U21" s="38">
        <v>10.29</v>
      </c>
      <c r="V21" s="27">
        <v>21.5075</v>
      </c>
      <c r="W21" s="62">
        <v>5.45E-2</v>
      </c>
      <c r="X21" s="38">
        <v>110.9157</v>
      </c>
      <c r="Y21" s="38">
        <v>45.214700000000001</v>
      </c>
      <c r="Z21" s="27">
        <v>822.61199999999997</v>
      </c>
      <c r="AA21" s="38">
        <v>7.4061000000000003</v>
      </c>
      <c r="AB21" s="38">
        <v>50.665900000000001</v>
      </c>
      <c r="AC21" s="38">
        <v>118.6859</v>
      </c>
      <c r="AD21" s="38">
        <v>30.008800000000001</v>
      </c>
      <c r="AE21" s="38">
        <v>208.9494</v>
      </c>
      <c r="AF21" s="38">
        <v>2.6286999999999998</v>
      </c>
      <c r="AG21" s="62">
        <v>98.16</v>
      </c>
      <c r="AH21" s="62">
        <v>2.8690000000000002</v>
      </c>
      <c r="AI21" s="62">
        <v>9.1489999999999991</v>
      </c>
      <c r="AJ21" s="62">
        <v>0.746</v>
      </c>
      <c r="AK21" s="41" t="s">
        <v>46</v>
      </c>
      <c r="AL21" s="38">
        <v>19.470144810298901</v>
      </c>
      <c r="AM21" s="38">
        <v>15.6894067358479</v>
      </c>
      <c r="AN21" s="38">
        <v>38.900066036574003</v>
      </c>
      <c r="AO21" s="38">
        <v>1.9980897452105699</v>
      </c>
      <c r="AP21" s="38">
        <v>1.2411245458920801</v>
      </c>
      <c r="AQ21" s="38">
        <f t="shared" si="0"/>
        <v>0.3306366</v>
      </c>
      <c r="AR21" s="38">
        <v>23.616900000000001</v>
      </c>
      <c r="AS21" s="38"/>
      <c r="AT21" s="41" t="s">
        <v>46</v>
      </c>
      <c r="AU21" s="25">
        <f t="shared" si="5"/>
        <v>6.4375424815848739</v>
      </c>
      <c r="AV21" s="25">
        <f t="shared" si="6"/>
        <v>5.1874920991578479</v>
      </c>
      <c r="AW21" s="25">
        <f t="shared" si="7"/>
        <v>12.861785574108303</v>
      </c>
      <c r="AX21" s="36">
        <f t="shared" si="8"/>
        <v>24.486820154851024</v>
      </c>
      <c r="AY21" s="38">
        <v>23.616900000000001</v>
      </c>
      <c r="AZ21" s="73">
        <f t="shared" si="1"/>
        <v>-0.52871317664844719</v>
      </c>
      <c r="BA21" s="19">
        <f t="shared" si="2"/>
        <v>-0.39985785709884458</v>
      </c>
      <c r="BB21" s="38"/>
      <c r="BC21" s="27"/>
      <c r="BD21" s="27"/>
      <c r="BE21" s="27"/>
      <c r="BF21" s="27"/>
    </row>
    <row r="22" spans="1:58" s="1" customFormat="1" ht="15">
      <c r="A22" s="1" t="s">
        <v>157</v>
      </c>
      <c r="B22" s="41" t="s">
        <v>47</v>
      </c>
      <c r="C22" s="172">
        <v>220</v>
      </c>
      <c r="D22" s="42">
        <v>81.632141119834401</v>
      </c>
      <c r="E22" s="42">
        <v>0.61918876330153105</v>
      </c>
      <c r="F22" s="42">
        <v>10.1037265022614</v>
      </c>
      <c r="G22" s="42">
        <v>0.97087839275065502</v>
      </c>
      <c r="H22" s="43">
        <v>5.8139789981364398E-3</v>
      </c>
      <c r="I22" s="43">
        <v>1.0843070831524499</v>
      </c>
      <c r="J22" s="43">
        <v>7.55817269757737E-2</v>
      </c>
      <c r="K22" s="43">
        <v>0.104465026477288</v>
      </c>
      <c r="L22" s="43">
        <v>2.8488497090868599</v>
      </c>
      <c r="M22" s="139">
        <v>3.0038891490371599E-2</v>
      </c>
      <c r="N22" s="44">
        <v>2.7671022290545202</v>
      </c>
      <c r="O22" s="44"/>
      <c r="P22" s="89">
        <f t="shared" si="3"/>
        <v>76.936089076355032</v>
      </c>
      <c r="Q22" s="89">
        <f t="shared" si="4"/>
        <v>8.0794092260477974</v>
      </c>
      <c r="R22" s="41" t="s">
        <v>47</v>
      </c>
      <c r="S22" s="38">
        <v>29.276299999999999</v>
      </c>
      <c r="T22" s="38">
        <v>14.495799999999999</v>
      </c>
      <c r="U22" s="38">
        <v>7.7770000000000001</v>
      </c>
      <c r="V22" s="27">
        <v>11.6242</v>
      </c>
      <c r="W22" s="62">
        <v>3.4500000000000003E-2</v>
      </c>
      <c r="X22" s="38">
        <v>73.805800000000005</v>
      </c>
      <c r="Y22" s="38">
        <v>30.706600000000002</v>
      </c>
      <c r="Z22" s="27">
        <v>361.11399999999998</v>
      </c>
      <c r="AA22" s="38">
        <v>3.1456</v>
      </c>
      <c r="AB22" s="38">
        <v>10.886200000000001</v>
      </c>
      <c r="AC22" s="38">
        <v>20.796700000000001</v>
      </c>
      <c r="AD22" s="38">
        <v>25.507899999999999</v>
      </c>
      <c r="AE22" s="38">
        <v>217.3989</v>
      </c>
      <c r="AF22" s="38">
        <v>4.5579000000000001</v>
      </c>
      <c r="AG22" s="62">
        <v>133.9</v>
      </c>
      <c r="AH22" s="62">
        <v>3.9580000000000002</v>
      </c>
      <c r="AI22" s="62">
        <v>11.17</v>
      </c>
      <c r="AJ22" s="62">
        <v>0.94099999999999995</v>
      </c>
      <c r="AK22" s="41" t="s">
        <v>47</v>
      </c>
      <c r="AL22" s="38">
        <v>19.758347963347902</v>
      </c>
      <c r="AM22" s="38">
        <v>15.689903359375201</v>
      </c>
      <c r="AN22" s="38">
        <v>39.418251658851297</v>
      </c>
      <c r="AO22" s="38">
        <v>1.99497846533526</v>
      </c>
      <c r="AP22" s="38">
        <v>1.2592971971818301</v>
      </c>
      <c r="AQ22" s="38">
        <f t="shared" si="0"/>
        <v>0.40986819999999996</v>
      </c>
      <c r="AR22" s="38">
        <v>29.276299999999999</v>
      </c>
      <c r="AS22" s="38"/>
      <c r="AT22" s="41" t="s">
        <v>47</v>
      </c>
      <c r="AU22" s="25">
        <f t="shared" si="5"/>
        <v>8.0983185147110692</v>
      </c>
      <c r="AV22" s="25">
        <f t="shared" si="6"/>
        <v>6.4307924480810659</v>
      </c>
      <c r="AW22" s="25">
        <f t="shared" si="7"/>
        <v>16.156287854560393</v>
      </c>
      <c r="AX22" s="36">
        <f t="shared" si="8"/>
        <v>30.685398817352528</v>
      </c>
      <c r="AY22" s="38">
        <v>29.276299999999999</v>
      </c>
      <c r="AZ22" s="73">
        <f t="shared" si="1"/>
        <v>-0.95037319952712174</v>
      </c>
      <c r="BA22" s="19">
        <f t="shared" si="2"/>
        <v>-1.1426958598990355</v>
      </c>
      <c r="BB22" s="38"/>
      <c r="BC22" s="27"/>
      <c r="BD22" s="27"/>
      <c r="BE22" s="27"/>
      <c r="BF22" s="27"/>
    </row>
    <row r="23" spans="1:58" s="1" customFormat="1" ht="15">
      <c r="A23" s="1" t="s">
        <v>157</v>
      </c>
      <c r="B23" s="41" t="s">
        <v>48</v>
      </c>
      <c r="C23" s="172">
        <v>250</v>
      </c>
      <c r="D23" s="42">
        <v>61.135953879396901</v>
      </c>
      <c r="E23" s="42">
        <v>0.52391460092137998</v>
      </c>
      <c r="F23" s="42">
        <v>12.352967110652401</v>
      </c>
      <c r="G23" s="42">
        <v>14.104801957948901</v>
      </c>
      <c r="H23" s="43">
        <v>9.2076379775286408E-3</v>
      </c>
      <c r="I23" s="43">
        <v>1.6260688668315599</v>
      </c>
      <c r="J23" s="43">
        <v>7.9185686606746297E-2</v>
      </c>
      <c r="K23" s="43">
        <v>0.21824126630919599</v>
      </c>
      <c r="L23" s="43">
        <v>2.66469043069679</v>
      </c>
      <c r="M23" s="139">
        <v>0.24124011501125001</v>
      </c>
      <c r="N23" s="44">
        <v>7.9207920792079403</v>
      </c>
      <c r="O23" s="44"/>
      <c r="P23" s="89">
        <f t="shared" si="3"/>
        <v>80.65882441117499</v>
      </c>
      <c r="Q23" s="89">
        <f t="shared" si="4"/>
        <v>4.9490906380441348</v>
      </c>
      <c r="R23" s="41" t="s">
        <v>48</v>
      </c>
      <c r="S23" s="38">
        <v>24.794899999999998</v>
      </c>
      <c r="T23" s="38">
        <v>10.806800000000001</v>
      </c>
      <c r="U23" s="38">
        <v>8.9939999999999998</v>
      </c>
      <c r="V23" s="27">
        <v>51.101100000000002</v>
      </c>
      <c r="W23" s="62">
        <v>0.21360000000000001</v>
      </c>
      <c r="X23" s="38">
        <v>157.2458</v>
      </c>
      <c r="Y23" s="38">
        <v>50.553699999999999</v>
      </c>
      <c r="Z23" s="27">
        <v>757.97400000000005</v>
      </c>
      <c r="AA23" s="38">
        <v>18.804500000000001</v>
      </c>
      <c r="AB23" s="38">
        <v>103.7535</v>
      </c>
      <c r="AC23" s="38">
        <v>264.82760000000002</v>
      </c>
      <c r="AD23" s="38">
        <v>37.645699999999998</v>
      </c>
      <c r="AE23" s="38">
        <v>354.23480000000001</v>
      </c>
      <c r="AF23" s="38">
        <v>5.3753000000000002</v>
      </c>
      <c r="AG23" s="62">
        <v>115.6</v>
      </c>
      <c r="AH23" s="62">
        <v>3.5230000000000001</v>
      </c>
      <c r="AI23" s="62">
        <v>10.07</v>
      </c>
      <c r="AJ23" s="62">
        <v>0.89800000000000002</v>
      </c>
      <c r="AK23" s="41" t="s">
        <v>48</v>
      </c>
      <c r="AL23" s="38">
        <v>19.754117851242899</v>
      </c>
      <c r="AM23" s="38">
        <v>15.585598061529501</v>
      </c>
      <c r="AN23" s="38">
        <v>38.8474179709279</v>
      </c>
      <c r="AO23" s="38">
        <v>1.96659150360651</v>
      </c>
      <c r="AP23" s="38">
        <v>1.26747239029307</v>
      </c>
      <c r="AQ23" s="38">
        <f t="shared" si="0"/>
        <v>0.34712859999999995</v>
      </c>
      <c r="AR23" s="38">
        <v>24.794899999999998</v>
      </c>
      <c r="AS23" s="38"/>
      <c r="AT23" s="41" t="s">
        <v>48</v>
      </c>
      <c r="AU23" s="25">
        <f t="shared" si="5"/>
        <v>6.8572192739369546</v>
      </c>
      <c r="AV23" s="25">
        <f t="shared" si="6"/>
        <v>5.410206835261449</v>
      </c>
      <c r="AW23" s="25">
        <f t="shared" si="7"/>
        <v>13.485049813863041</v>
      </c>
      <c r="AX23" s="36">
        <f t="shared" si="8"/>
        <v>25.752475923061446</v>
      </c>
      <c r="AY23" s="38">
        <v>24.794899999999998</v>
      </c>
      <c r="AZ23" s="73">
        <f t="shared" si="1"/>
        <v>-0.78284409523080689</v>
      </c>
      <c r="BA23" s="19">
        <f t="shared" si="2"/>
        <v>-0.94534493135214404</v>
      </c>
      <c r="BB23" s="38"/>
      <c r="BC23" s="27"/>
      <c r="BD23" s="27"/>
      <c r="BE23" s="27"/>
      <c r="BF23" s="27"/>
    </row>
    <row r="24" spans="1:58" s="1" customFormat="1" ht="15">
      <c r="A24" s="1" t="s">
        <v>157</v>
      </c>
      <c r="B24" s="41" t="s">
        <v>49</v>
      </c>
      <c r="C24" s="172">
        <v>275</v>
      </c>
      <c r="D24" s="42">
        <v>71.610845455609095</v>
      </c>
      <c r="E24" s="42">
        <v>0.47961926374184399</v>
      </c>
      <c r="F24" s="42">
        <v>9.7842329803336092</v>
      </c>
      <c r="G24" s="42">
        <v>6.4564584897887496</v>
      </c>
      <c r="H24" s="43">
        <v>7.37875790372067E-3</v>
      </c>
      <c r="I24" s="43">
        <v>1.89910781547011</v>
      </c>
      <c r="J24" s="43">
        <v>6.8253510609416201E-2</v>
      </c>
      <c r="K24" s="43">
        <v>0.16925574748731001</v>
      </c>
      <c r="L24" s="43">
        <v>2.3233863949340501</v>
      </c>
      <c r="M24" s="139">
        <v>8.3933371154822606E-2</v>
      </c>
      <c r="N24" s="44">
        <v>7.1810542398777804</v>
      </c>
      <c r="O24" s="44"/>
      <c r="P24" s="89">
        <f t="shared" si="3"/>
        <v>79.255820420456303</v>
      </c>
      <c r="Q24" s="89">
        <f t="shared" si="4"/>
        <v>7.3190045248868767</v>
      </c>
      <c r="R24" s="41" t="s">
        <v>49</v>
      </c>
      <c r="S24" s="38">
        <v>18.817299999999999</v>
      </c>
      <c r="T24" s="38">
        <v>9.2863000000000007</v>
      </c>
      <c r="U24" s="38">
        <v>7.0890000000000004</v>
      </c>
      <c r="V24" s="27">
        <v>36.852200000000003</v>
      </c>
      <c r="W24" s="62">
        <v>0.14630000000000001</v>
      </c>
      <c r="X24" s="38">
        <v>125.2876</v>
      </c>
      <c r="Y24" s="38">
        <v>50.521000000000001</v>
      </c>
      <c r="Z24" s="27">
        <v>622.26499999999999</v>
      </c>
      <c r="AA24" s="38">
        <v>9.7771000000000008</v>
      </c>
      <c r="AB24" s="38">
        <v>67.084299999999999</v>
      </c>
      <c r="AC24" s="38">
        <v>125.2597</v>
      </c>
      <c r="AD24" s="38">
        <v>21.454499999999999</v>
      </c>
      <c r="AE24" s="38">
        <v>254.6285</v>
      </c>
      <c r="AF24" s="38">
        <v>3.0809000000000002</v>
      </c>
      <c r="AG24" s="62">
        <v>103.1</v>
      </c>
      <c r="AH24" s="62">
        <v>2.8969999999999998</v>
      </c>
      <c r="AI24" s="62">
        <v>9.4600000000000009</v>
      </c>
      <c r="AJ24" s="62">
        <v>0.755</v>
      </c>
      <c r="AK24" s="41" t="s">
        <v>49</v>
      </c>
      <c r="AL24" s="38">
        <v>19.317435544242901</v>
      </c>
      <c r="AM24" s="38">
        <v>15.490416730677101</v>
      </c>
      <c r="AN24" s="38">
        <v>38.524485053992201</v>
      </c>
      <c r="AO24" s="38">
        <v>1.9942755014465701</v>
      </c>
      <c r="AP24" s="38">
        <v>1.2470866320229601</v>
      </c>
      <c r="AQ24" s="38">
        <f t="shared" si="0"/>
        <v>0.26344219999999996</v>
      </c>
      <c r="AR24" s="38">
        <v>18.817299999999999</v>
      </c>
      <c r="AS24" s="38"/>
      <c r="AT24" s="41" t="s">
        <v>49</v>
      </c>
      <c r="AU24" s="25">
        <f t="shared" si="5"/>
        <v>5.0890277181335462</v>
      </c>
      <c r="AV24" s="25">
        <f t="shared" si="6"/>
        <v>4.0808294624463821</v>
      </c>
      <c r="AW24" s="25">
        <f t="shared" si="7"/>
        <v>10.148975096490823</v>
      </c>
      <c r="AX24" s="36">
        <f t="shared" si="8"/>
        <v>19.318832277070751</v>
      </c>
      <c r="AY24" s="38">
        <v>18.817299999999999</v>
      </c>
      <c r="AZ24" s="73">
        <f t="shared" si="1"/>
        <v>-4.0957676459677206</v>
      </c>
      <c r="BA24" s="19">
        <f t="shared" si="2"/>
        <v>-3.8123669948154579</v>
      </c>
      <c r="BB24" s="38"/>
      <c r="BC24" s="27"/>
      <c r="BD24" s="27"/>
      <c r="BE24" s="27"/>
      <c r="BF24" s="27"/>
    </row>
    <row r="25" spans="1:58" s="1" customFormat="1" ht="15">
      <c r="A25" s="1" t="s">
        <v>157</v>
      </c>
      <c r="B25" s="41" t="s">
        <v>50</v>
      </c>
      <c r="C25" s="172">
        <v>290</v>
      </c>
      <c r="D25" s="42">
        <v>70.785274105225497</v>
      </c>
      <c r="E25" s="42">
        <v>0.54923311950166598</v>
      </c>
      <c r="F25" s="42">
        <v>10.332162477680299</v>
      </c>
      <c r="G25" s="42">
        <v>5.1059415365092802</v>
      </c>
      <c r="H25" s="43">
        <v>9.1386542346367002E-3</v>
      </c>
      <c r="I25" s="43">
        <v>2.34132321491392</v>
      </c>
      <c r="J25" s="43">
        <v>7.4936964724020894E-2</v>
      </c>
      <c r="K25" s="43">
        <v>0.39950787810184502</v>
      </c>
      <c r="L25" s="43">
        <v>2.5551677240044199</v>
      </c>
      <c r="M25" s="139">
        <v>4.3865540326256197E-2</v>
      </c>
      <c r="N25" s="44">
        <v>7.7490774907749103</v>
      </c>
      <c r="O25" s="44"/>
      <c r="P25" s="89">
        <f t="shared" si="3"/>
        <v>77.32627172109936</v>
      </c>
      <c r="Q25" s="89">
        <f t="shared" si="4"/>
        <v>6.8509640898637594</v>
      </c>
      <c r="R25" s="41" t="s">
        <v>50</v>
      </c>
      <c r="S25" s="38">
        <v>23.122800000000002</v>
      </c>
      <c r="T25" s="38">
        <v>11.138199999999999</v>
      </c>
      <c r="U25" s="38">
        <v>7.22</v>
      </c>
      <c r="V25" s="27">
        <v>35.674999999999997</v>
      </c>
      <c r="W25" s="62">
        <v>0.1583</v>
      </c>
      <c r="X25" s="38">
        <v>165.02459999999999</v>
      </c>
      <c r="Y25" s="38">
        <v>64.086299999999994</v>
      </c>
      <c r="Z25" s="27">
        <v>869.65599999999995</v>
      </c>
      <c r="AA25" s="38">
        <v>19.020900000000001</v>
      </c>
      <c r="AB25" s="38">
        <v>80.648300000000006</v>
      </c>
      <c r="AC25" s="38">
        <v>44.407200000000003</v>
      </c>
      <c r="AD25" s="38">
        <v>23.680299999999999</v>
      </c>
      <c r="AE25" s="38">
        <v>352.33949999999999</v>
      </c>
      <c r="AF25" s="38">
        <v>4.9923999999999999</v>
      </c>
      <c r="AG25" s="62">
        <v>125.4</v>
      </c>
      <c r="AH25" s="62">
        <v>3.4279999999999999</v>
      </c>
      <c r="AI25" s="62">
        <v>10.84</v>
      </c>
      <c r="AJ25" s="62">
        <v>0.86199999999999999</v>
      </c>
      <c r="AK25" s="41" t="s">
        <v>50</v>
      </c>
      <c r="AL25" s="38">
        <v>19.618483787572401</v>
      </c>
      <c r="AM25" s="38">
        <v>15.691158200333801</v>
      </c>
      <c r="AN25" s="38">
        <v>39.167144641809799</v>
      </c>
      <c r="AO25" s="38">
        <v>1.9964957341616001</v>
      </c>
      <c r="AP25" s="38">
        <v>1.25031460935217</v>
      </c>
      <c r="AQ25" s="38">
        <f t="shared" si="0"/>
        <v>0.32371919999999998</v>
      </c>
      <c r="AR25" s="38">
        <v>23.122800000000002</v>
      </c>
      <c r="AS25" s="38"/>
      <c r="AT25" s="41" t="s">
        <v>50</v>
      </c>
      <c r="AU25" s="25">
        <f t="shared" si="5"/>
        <v>6.3508798769259078</v>
      </c>
      <c r="AV25" s="25">
        <f t="shared" si="6"/>
        <v>5.0795291796854976</v>
      </c>
      <c r="AW25" s="25">
        <f t="shared" si="7"/>
        <v>12.679156729730954</v>
      </c>
      <c r="AX25" s="36">
        <f t="shared" si="8"/>
        <v>24.109565786342358</v>
      </c>
      <c r="AY25" s="38">
        <v>23.122800000000002</v>
      </c>
      <c r="AZ25" s="73">
        <f t="shared" si="1"/>
        <v>-3.4175428696065913</v>
      </c>
      <c r="BA25" s="19">
        <f t="shared" si="2"/>
        <v>-3.3376116596974703</v>
      </c>
      <c r="BB25" s="38"/>
      <c r="BC25" s="27"/>
      <c r="BD25" s="27"/>
      <c r="BE25" s="27"/>
      <c r="BF25" s="27"/>
    </row>
    <row r="26" spans="1:58" s="1" customFormat="1" ht="15">
      <c r="A26" s="1" t="s">
        <v>157</v>
      </c>
      <c r="B26" s="41" t="s">
        <v>51</v>
      </c>
      <c r="C26" s="172">
        <v>320</v>
      </c>
      <c r="D26" s="42">
        <v>70.947411698669399</v>
      </c>
      <c r="E26" s="42">
        <v>0.56686248683181295</v>
      </c>
      <c r="F26" s="42">
        <v>10.722843944457299</v>
      </c>
      <c r="G26" s="42">
        <v>3.70549599085916</v>
      </c>
      <c r="H26" s="43">
        <v>1.0057237669596699E-2</v>
      </c>
      <c r="I26" s="43">
        <v>2.69351110678471</v>
      </c>
      <c r="J26" s="43">
        <v>0.12800120670395801</v>
      </c>
      <c r="K26" s="43">
        <v>0.66007127624235296</v>
      </c>
      <c r="L26" s="43">
        <v>2.7236828197934999</v>
      </c>
      <c r="M26" s="139">
        <v>6.7657780686377705E-2</v>
      </c>
      <c r="N26" s="44">
        <v>7.2188449848024296</v>
      </c>
      <c r="O26" s="44"/>
      <c r="P26" s="89">
        <f t="shared" si="3"/>
        <v>75.329440318235172</v>
      </c>
      <c r="Q26" s="89">
        <f t="shared" si="4"/>
        <v>6.6164733969986136</v>
      </c>
      <c r="R26" s="41" t="s">
        <v>51</v>
      </c>
      <c r="S26" s="38">
        <v>21.564800000000002</v>
      </c>
      <c r="T26" s="38">
        <v>11.728899999999999</v>
      </c>
      <c r="U26" s="38">
        <v>6.0140000000000002</v>
      </c>
      <c r="V26" s="27">
        <v>24.087700000000002</v>
      </c>
      <c r="W26" s="62">
        <v>6.4299999999999996E-2</v>
      </c>
      <c r="X26" s="38">
        <v>88.483099999999993</v>
      </c>
      <c r="Y26" s="38">
        <v>55.7988</v>
      </c>
      <c r="Z26" s="27">
        <v>879.77</v>
      </c>
      <c r="AA26" s="38">
        <v>7.4646999999999997</v>
      </c>
      <c r="AB26" s="38">
        <v>18.7653</v>
      </c>
      <c r="AC26" s="38">
        <v>21.627700000000001</v>
      </c>
      <c r="AD26" s="38">
        <v>35.9617</v>
      </c>
      <c r="AE26" s="38">
        <v>302.565</v>
      </c>
      <c r="AF26" s="38">
        <v>5.7034000000000002</v>
      </c>
      <c r="AG26" s="62">
        <v>134.6</v>
      </c>
      <c r="AH26" s="62">
        <v>3.3439999999999999</v>
      </c>
      <c r="AI26" s="62">
        <v>12.35</v>
      </c>
      <c r="AJ26" s="62">
        <v>0.82699999999999996</v>
      </c>
      <c r="AK26" s="41" t="s">
        <v>51</v>
      </c>
      <c r="AL26" s="38">
        <v>19.628348748394401</v>
      </c>
      <c r="AM26" s="38">
        <v>15.715663541532599</v>
      </c>
      <c r="AN26" s="38">
        <v>39.408095669814699</v>
      </c>
      <c r="AO26" s="38">
        <v>2.0076758626417401</v>
      </c>
      <c r="AP26" s="38">
        <v>1.24899350440313</v>
      </c>
      <c r="AQ26" s="38">
        <f t="shared" si="0"/>
        <v>0.30190719999999999</v>
      </c>
      <c r="AR26" s="38">
        <v>21.564800000000002</v>
      </c>
      <c r="AS26" s="38"/>
      <c r="AT26" s="41" t="s">
        <v>51</v>
      </c>
      <c r="AU26" s="25">
        <f t="shared" si="5"/>
        <v>5.9259398112512578</v>
      </c>
      <c r="AV26" s="25">
        <f t="shared" si="6"/>
        <v>4.7446719759661908</v>
      </c>
      <c r="AW26" s="25">
        <f t="shared" si="7"/>
        <v>11.89758782100588</v>
      </c>
      <c r="AX26" s="36">
        <f t="shared" si="8"/>
        <v>22.568199608223331</v>
      </c>
      <c r="AY26" s="38">
        <v>21.564800000000002</v>
      </c>
      <c r="AZ26" s="73">
        <f t="shared" si="1"/>
        <v>-5.0728028165981254</v>
      </c>
      <c r="BA26" s="19">
        <f t="shared" si="2"/>
        <v>-4.8912063637079477</v>
      </c>
      <c r="BB26" s="38"/>
      <c r="BC26" s="27"/>
      <c r="BD26" s="27"/>
      <c r="BE26" s="27"/>
      <c r="BF26" s="27"/>
    </row>
    <row r="27" spans="1:58" s="2" customFormat="1" ht="15">
      <c r="A27" s="1" t="s">
        <v>157</v>
      </c>
      <c r="B27" s="66" t="s">
        <v>52</v>
      </c>
      <c r="C27" s="172">
        <v>370</v>
      </c>
      <c r="D27" s="42">
        <v>71.729216735558495</v>
      </c>
      <c r="E27" s="42">
        <v>0.46593021310376898</v>
      </c>
      <c r="F27" s="42">
        <v>9.6948613984508505</v>
      </c>
      <c r="G27" s="42">
        <v>4.70730289628212</v>
      </c>
      <c r="H27" s="43">
        <v>9.2446470853922505E-3</v>
      </c>
      <c r="I27" s="43">
        <v>1.7324468638025099</v>
      </c>
      <c r="J27" s="43">
        <v>0.14698988865773699</v>
      </c>
      <c r="K27" s="43">
        <v>0.67145609503599701</v>
      </c>
      <c r="L27" s="43">
        <v>2.6282531663770201</v>
      </c>
      <c r="M27" s="43">
        <v>8.3201823768530206E-2</v>
      </c>
      <c r="N27" s="63">
        <v>8.0324244657331505</v>
      </c>
      <c r="O27" s="63"/>
      <c r="P27" s="181">
        <f t="shared" si="3"/>
        <v>73.772527719636003</v>
      </c>
      <c r="Q27" s="181">
        <f t="shared" si="4"/>
        <v>7.3986840850576945</v>
      </c>
      <c r="R27" s="66" t="s">
        <v>52</v>
      </c>
      <c r="S27" s="27">
        <v>24.219899999999999</v>
      </c>
      <c r="T27" s="27">
        <v>9.1065000000000005</v>
      </c>
      <c r="U27" s="27">
        <v>10.45</v>
      </c>
      <c r="V27" s="27">
        <v>26.7</v>
      </c>
      <c r="W27" s="27">
        <v>0.1173</v>
      </c>
      <c r="X27" s="27">
        <v>113.4128</v>
      </c>
      <c r="Y27" s="27">
        <v>46.991599999999998</v>
      </c>
      <c r="Z27" s="27">
        <v>706.851</v>
      </c>
      <c r="AA27" s="27">
        <v>11.088100000000001</v>
      </c>
      <c r="AB27" s="27">
        <v>39.252299999999998</v>
      </c>
      <c r="AC27" s="27">
        <v>53.322400000000002</v>
      </c>
      <c r="AD27" s="27">
        <v>42.206200000000003</v>
      </c>
      <c r="AE27" s="27">
        <v>283.40969999999999</v>
      </c>
      <c r="AF27" s="27">
        <v>5.3292999999999999</v>
      </c>
      <c r="AG27" s="27">
        <v>110.8</v>
      </c>
      <c r="AH27" s="27">
        <v>3.0369999999999999</v>
      </c>
      <c r="AI27" s="27">
        <v>9.8610000000000007</v>
      </c>
      <c r="AJ27" s="27">
        <v>0.76200000000000001</v>
      </c>
      <c r="AK27" s="66" t="s">
        <v>52</v>
      </c>
      <c r="AL27" s="27">
        <v>20.228054780682701</v>
      </c>
      <c r="AM27" s="27">
        <v>15.7220342537556</v>
      </c>
      <c r="AN27" s="27">
        <v>38.844881376946901</v>
      </c>
      <c r="AO27" s="27">
        <v>1.9205488665757999</v>
      </c>
      <c r="AP27" s="27">
        <v>1.2865581183636099</v>
      </c>
      <c r="AQ27" s="27">
        <f t="shared" si="0"/>
        <v>0.33907859999999995</v>
      </c>
      <c r="AR27" s="27">
        <v>24.219899999999999</v>
      </c>
      <c r="AS27" s="27"/>
      <c r="AT27" s="66" t="s">
        <v>52</v>
      </c>
      <c r="AU27" s="54">
        <f t="shared" si="5"/>
        <v>6.8589004957571964</v>
      </c>
      <c r="AV27" s="54">
        <f t="shared" si="6"/>
        <v>5.3310053639154926</v>
      </c>
      <c r="AW27" s="54">
        <f t="shared" si="7"/>
        <v>13.171467994461226</v>
      </c>
      <c r="AX27" s="54">
        <f t="shared" si="8"/>
        <v>25.361373854133916</v>
      </c>
      <c r="AY27" s="27">
        <v>24.219899999999999</v>
      </c>
      <c r="AZ27" s="73">
        <f t="shared" si="1"/>
        <v>1.4347756349134917</v>
      </c>
      <c r="BA27" s="19">
        <f t="shared" si="2"/>
        <v>1.368308418081964</v>
      </c>
      <c r="BB27" s="27"/>
      <c r="BC27" s="27"/>
      <c r="BD27" s="27"/>
      <c r="BE27" s="27"/>
      <c r="BF27" s="27"/>
    </row>
    <row r="28" spans="1:58" s="2" customFormat="1" ht="15">
      <c r="A28" s="1" t="s">
        <v>157</v>
      </c>
      <c r="B28" s="41" t="s">
        <v>53</v>
      </c>
      <c r="C28" s="172">
        <v>400</v>
      </c>
      <c r="D28" s="143">
        <v>68.764137593398601</v>
      </c>
      <c r="E28" s="42">
        <v>0.51817874470508296</v>
      </c>
      <c r="F28" s="143">
        <v>10.272666342399001</v>
      </c>
      <c r="G28" s="143">
        <v>3.9867867840257598</v>
      </c>
      <c r="H28" s="54">
        <v>1.9090795857555701E-2</v>
      </c>
      <c r="I28" s="54">
        <v>2.58907555249136</v>
      </c>
      <c r="J28" s="54">
        <v>1.4954456755085299</v>
      </c>
      <c r="K28" s="123">
        <v>0.72439674980545399</v>
      </c>
      <c r="L28" s="54">
        <v>2.7163475248750699</v>
      </c>
      <c r="M28" s="123">
        <v>7.7272268947249201E-2</v>
      </c>
      <c r="N28" s="44">
        <v>8.2150858849888504</v>
      </c>
      <c r="O28" s="44"/>
      <c r="P28" s="89">
        <f>100*F28/(F28+K28+K28+L28)</f>
        <v>71.15115253553472</v>
      </c>
      <c r="Q28" s="89">
        <f t="shared" si="4"/>
        <v>6.6938938053097461</v>
      </c>
      <c r="R28" s="41" t="s">
        <v>53</v>
      </c>
      <c r="S28" s="27">
        <v>25.4955</v>
      </c>
      <c r="T28" s="27">
        <v>9.8229000000000006</v>
      </c>
      <c r="U28" s="27">
        <v>8.3149999999999995</v>
      </c>
      <c r="V28" s="27">
        <v>24.275099999999998</v>
      </c>
      <c r="W28" s="62">
        <v>0.1847</v>
      </c>
      <c r="X28" s="27">
        <v>93.413799999999995</v>
      </c>
      <c r="Y28" s="27">
        <v>49.494900000000001</v>
      </c>
      <c r="Z28" s="27">
        <v>1738.597</v>
      </c>
      <c r="AA28" s="27">
        <v>21.008099999999999</v>
      </c>
      <c r="AB28" s="27">
        <v>55.134</v>
      </c>
      <c r="AC28" s="27">
        <v>90.965599999999995</v>
      </c>
      <c r="AD28" s="27">
        <v>34.757199999999997</v>
      </c>
      <c r="AE28" s="27">
        <v>285.62099999999998</v>
      </c>
      <c r="AF28" s="27">
        <v>33.012500000000003</v>
      </c>
      <c r="AG28" s="62">
        <v>112.9</v>
      </c>
      <c r="AH28" s="62">
        <v>3.2519999999999998</v>
      </c>
      <c r="AI28" s="62">
        <v>10.93</v>
      </c>
      <c r="AJ28" s="62">
        <v>0.83499999999999996</v>
      </c>
      <c r="AK28" s="41" t="s">
        <v>53</v>
      </c>
      <c r="AL28" s="27">
        <v>19.748839065507202</v>
      </c>
      <c r="AM28" s="27">
        <v>15.777891342129401</v>
      </c>
      <c r="AN28" s="27">
        <v>38.885489675941898</v>
      </c>
      <c r="AO28" s="27">
        <v>1.9690506736462401</v>
      </c>
      <c r="AP28" s="27">
        <v>1.2517663299073101</v>
      </c>
      <c r="AQ28" s="27">
        <f t="shared" si="0"/>
        <v>0.35693699999999995</v>
      </c>
      <c r="AR28" s="27">
        <v>25.4955</v>
      </c>
      <c r="AS28" s="27"/>
      <c r="AT28" s="41" t="s">
        <v>53</v>
      </c>
      <c r="AU28" s="54">
        <f t="shared" si="5"/>
        <v>7.0490913695249429</v>
      </c>
      <c r="AV28" s="54">
        <f t="shared" si="6"/>
        <v>5.6317132019856411</v>
      </c>
      <c r="AW28" s="54">
        <f t="shared" si="7"/>
        <v>13.879670028461671</v>
      </c>
      <c r="AX28" s="54">
        <f t="shared" si="8"/>
        <v>26.560474599972256</v>
      </c>
      <c r="AY28" s="27">
        <v>25.4955</v>
      </c>
      <c r="AZ28" s="184">
        <f t="shared" si="1"/>
        <v>0</v>
      </c>
      <c r="BA28" s="20">
        <f t="shared" si="2"/>
        <v>0</v>
      </c>
      <c r="BB28" s="27"/>
      <c r="BC28" s="27"/>
      <c r="BD28" s="27"/>
      <c r="BE28" s="27"/>
      <c r="BF28" s="27"/>
    </row>
    <row r="29" spans="1:58" s="2" customFormat="1" ht="15">
      <c r="A29" s="1" t="s">
        <v>157</v>
      </c>
      <c r="B29" s="41" t="s">
        <v>54</v>
      </c>
      <c r="C29" s="172">
        <v>420</v>
      </c>
      <c r="D29" s="42">
        <v>57.114009953514298</v>
      </c>
      <c r="E29" s="42">
        <v>0.46466697110086902</v>
      </c>
      <c r="F29" s="42">
        <v>8.8130095193063696</v>
      </c>
      <c r="G29" s="42">
        <v>3.5353958791900899</v>
      </c>
      <c r="H29" s="43">
        <v>4.9599283432115303E-2</v>
      </c>
      <c r="I29" s="43">
        <v>5.98498020080857</v>
      </c>
      <c r="J29" s="43">
        <v>6.9787061951853397</v>
      </c>
      <c r="K29" s="139">
        <v>0.86474772853533599</v>
      </c>
      <c r="L29" s="43">
        <v>2.4277543995719602</v>
      </c>
      <c r="M29" s="139">
        <v>9.2237263926389798E-2</v>
      </c>
      <c r="N29" s="44">
        <v>13.625685199686799</v>
      </c>
      <c r="O29" s="44"/>
      <c r="P29" s="89">
        <f>100*F29/(F29+K29+K29+L29)</f>
        <v>67.947827902721059</v>
      </c>
      <c r="Q29" s="89">
        <f t="shared" si="4"/>
        <v>6.480647709320694</v>
      </c>
      <c r="R29" s="41" t="s">
        <v>54</v>
      </c>
      <c r="S29" s="27">
        <v>17.1691</v>
      </c>
      <c r="T29" s="27">
        <v>8.7156000000000002</v>
      </c>
      <c r="U29" s="27">
        <v>5.5419999999999998</v>
      </c>
      <c r="V29" s="27">
        <v>18.993300000000001</v>
      </c>
      <c r="W29" s="62">
        <v>0.15820000000000001</v>
      </c>
      <c r="X29" s="27">
        <v>32.851100000000002</v>
      </c>
      <c r="Y29" s="27">
        <v>26.259899999999998</v>
      </c>
      <c r="Z29" s="27">
        <v>4541.4840000000004</v>
      </c>
      <c r="AA29" s="27">
        <v>14.2516</v>
      </c>
      <c r="AB29" s="27">
        <v>38.536299999999997</v>
      </c>
      <c r="AC29" s="27">
        <v>40.304099999999998</v>
      </c>
      <c r="AD29" s="27">
        <v>21.594000000000001</v>
      </c>
      <c r="AE29" s="27">
        <v>141.5752</v>
      </c>
      <c r="AF29" s="27">
        <v>81.875</v>
      </c>
      <c r="AG29" s="62">
        <v>144.9</v>
      </c>
      <c r="AH29" s="62">
        <v>3.7280000000000002</v>
      </c>
      <c r="AI29" s="62">
        <v>10.25</v>
      </c>
      <c r="AJ29" s="62">
        <v>0.76800000000000002</v>
      </c>
      <c r="AK29" s="41" t="s">
        <v>54</v>
      </c>
      <c r="AL29" s="27">
        <v>20.392712119978</v>
      </c>
      <c r="AM29" s="27">
        <v>15.592029266351901</v>
      </c>
      <c r="AN29" s="27">
        <v>39.2375266333461</v>
      </c>
      <c r="AO29" s="27">
        <v>1.9243245132673701</v>
      </c>
      <c r="AP29" s="27">
        <v>1.30792426620763</v>
      </c>
      <c r="AQ29" s="38">
        <f t="shared" si="0"/>
        <v>0.24036739999999998</v>
      </c>
      <c r="AR29" s="27">
        <v>17.1691</v>
      </c>
      <c r="AS29" s="27"/>
      <c r="AT29" s="41" t="s">
        <v>54</v>
      </c>
      <c r="AU29" s="25">
        <f t="shared" si="5"/>
        <v>4.9017431912275997</v>
      </c>
      <c r="AV29" s="25">
        <f t="shared" si="6"/>
        <v>3.7478155354769136</v>
      </c>
      <c r="AW29" s="25">
        <f t="shared" si="7"/>
        <v>9.4314222592881549</v>
      </c>
      <c r="AX29" s="36">
        <f t="shared" si="8"/>
        <v>18.080980985992667</v>
      </c>
      <c r="AY29" s="27">
        <v>17.1691</v>
      </c>
      <c r="AZ29" s="184">
        <f t="shared" si="1"/>
        <v>-4.3517515038764127</v>
      </c>
      <c r="BA29" s="20">
        <f t="shared" si="2"/>
        <v>-4.2756447331310588</v>
      </c>
      <c r="BB29" s="27"/>
      <c r="BC29" s="27"/>
      <c r="BD29" s="27"/>
      <c r="BE29" s="27"/>
      <c r="BF29" s="27"/>
    </row>
    <row r="30" spans="1:58" s="3" customFormat="1" ht="14.25">
      <c r="B30" s="173" t="s">
        <v>222</v>
      </c>
      <c r="D30" s="28">
        <f>AVERAGE(D15:D26)</f>
        <v>71.727824681529839</v>
      </c>
      <c r="E30" s="28">
        <f t="shared" ref="E30:N30" si="9">AVERAGE(E15:E26)</f>
        <v>0.55353131252187338</v>
      </c>
      <c r="F30" s="28">
        <f t="shared" si="9"/>
        <v>11.273802412215126</v>
      </c>
      <c r="G30" s="28">
        <f>AVERAGE(G15:G26)</f>
        <v>6.5242650921404781</v>
      </c>
      <c r="H30" s="28">
        <f t="shared" si="9"/>
        <v>6.7691267065157143E-3</v>
      </c>
      <c r="I30" s="28">
        <f t="shared" si="9"/>
        <v>1.4257716760135057</v>
      </c>
      <c r="J30" s="28">
        <f>AVERAGE(J15:J26)</f>
        <v>7.7144464314053238E-2</v>
      </c>
      <c r="K30" s="28">
        <f t="shared" si="9"/>
        <v>0.18762843288483266</v>
      </c>
      <c r="L30" s="28">
        <f t="shared" si="9"/>
        <v>2.5901741311688098</v>
      </c>
      <c r="M30" s="28">
        <f>AVERAGE(M15:M26)</f>
        <v>6.2440985483114948E-2</v>
      </c>
      <c r="N30" s="28">
        <f t="shared" si="9"/>
        <v>5.5235974254136941</v>
      </c>
      <c r="O30" s="240"/>
      <c r="P30" s="97"/>
      <c r="Q30" s="97"/>
      <c r="R30" s="75" t="s">
        <v>145</v>
      </c>
      <c r="S30" s="48"/>
      <c r="T30" s="48"/>
      <c r="U30" s="48"/>
      <c r="V30" s="48"/>
      <c r="W30" s="65"/>
      <c r="X30" s="48"/>
      <c r="Y30" s="48"/>
      <c r="Z30" s="48"/>
      <c r="AA30" s="48"/>
      <c r="AB30" s="48"/>
      <c r="AC30" s="48"/>
      <c r="AD30" s="48"/>
      <c r="AE30" s="48"/>
      <c r="AF30" s="48"/>
      <c r="AG30" s="65"/>
      <c r="AH30" s="65"/>
      <c r="AI30" s="65"/>
      <c r="AJ30" s="65"/>
      <c r="AK30" s="75" t="s">
        <v>145</v>
      </c>
      <c r="AL30" s="48"/>
      <c r="AM30" s="48"/>
      <c r="AN30" s="48"/>
      <c r="AO30" s="48"/>
      <c r="AP30" s="48"/>
      <c r="AQ30" s="48"/>
      <c r="AR30" s="48"/>
      <c r="AS30" s="48"/>
      <c r="AT30" s="75" t="s">
        <v>145</v>
      </c>
      <c r="AU30" s="142"/>
      <c r="AV30" s="142"/>
      <c r="AW30" s="142"/>
      <c r="AX30" s="34"/>
      <c r="AY30" s="48"/>
      <c r="AZ30" s="184">
        <f t="shared" si="1"/>
        <v>0</v>
      </c>
      <c r="BA30" s="20">
        <f t="shared" si="2"/>
        <v>0</v>
      </c>
      <c r="BB30" s="48"/>
      <c r="BC30" s="48"/>
      <c r="BD30" s="48"/>
      <c r="BE30" s="48"/>
      <c r="BF30" s="48"/>
    </row>
    <row r="31" spans="1:58" s="4" customFormat="1" ht="15">
      <c r="A31" s="4" t="s">
        <v>129</v>
      </c>
      <c r="B31" s="54" t="s">
        <v>55</v>
      </c>
      <c r="C31" s="158"/>
      <c r="D31" s="36">
        <f>MIN(D12:D29)</f>
        <v>57.114009953514298</v>
      </c>
      <c r="E31" s="36">
        <f t="shared" ref="E31:S31" si="10">MIN(E12:E29)</f>
        <v>0.46145633444170497</v>
      </c>
      <c r="F31" s="36">
        <f t="shared" si="10"/>
        <v>8.8130095193063696</v>
      </c>
      <c r="G31" s="36">
        <f t="shared" si="10"/>
        <v>0.97087839275065502</v>
      </c>
      <c r="H31" s="36">
        <f t="shared" si="10"/>
        <v>2.6828856653587502E-3</v>
      </c>
      <c r="I31" s="36">
        <f t="shared" si="10"/>
        <v>0.75246122164304197</v>
      </c>
      <c r="J31" s="36">
        <f t="shared" si="10"/>
        <v>6.56831443139647E-2</v>
      </c>
      <c r="K31" s="36">
        <f t="shared" si="10"/>
        <v>0.1</v>
      </c>
      <c r="L31" s="36">
        <f t="shared" si="10"/>
        <v>1.3649503913927701</v>
      </c>
      <c r="M31" s="123">
        <f t="shared" si="10"/>
        <v>2.14612135351573E-2</v>
      </c>
      <c r="N31" s="36">
        <f t="shared" si="10"/>
        <v>2.7671022290545202</v>
      </c>
      <c r="O31" s="36"/>
      <c r="P31" s="36">
        <f t="shared" si="10"/>
        <v>67.947827902721059</v>
      </c>
      <c r="Q31" s="36">
        <f t="shared" si="10"/>
        <v>4.5681183341797915</v>
      </c>
      <c r="R31" s="54" t="s">
        <v>55</v>
      </c>
      <c r="S31" s="36">
        <f t="shared" si="10"/>
        <v>16.875299999999999</v>
      </c>
      <c r="T31" s="36">
        <f t="shared" ref="T31:AY31" si="11">MIN(T12:T29)</f>
        <v>5.9652000000000003</v>
      </c>
      <c r="U31" s="36">
        <f t="shared" si="11"/>
        <v>5.5419999999999998</v>
      </c>
      <c r="V31" s="36">
        <f t="shared" si="11"/>
        <v>8.9796999999999993</v>
      </c>
      <c r="W31" s="36">
        <f t="shared" si="11"/>
        <v>2.47E-2</v>
      </c>
      <c r="X31" s="36">
        <f t="shared" si="11"/>
        <v>32.851100000000002</v>
      </c>
      <c r="Y31" s="36">
        <f t="shared" si="11"/>
        <v>26.259899999999998</v>
      </c>
      <c r="Z31" s="36">
        <f t="shared" si="11"/>
        <v>76.108999999999995</v>
      </c>
      <c r="AA31" s="36">
        <f t="shared" si="11"/>
        <v>1.2495000000000001</v>
      </c>
      <c r="AB31" s="36">
        <f t="shared" si="11"/>
        <v>10.886200000000001</v>
      </c>
      <c r="AC31" s="36">
        <f t="shared" si="11"/>
        <v>20.796700000000001</v>
      </c>
      <c r="AD31" s="36">
        <f t="shared" si="11"/>
        <v>11.3278</v>
      </c>
      <c r="AE31" s="36">
        <f t="shared" si="11"/>
        <v>119.79089999999999</v>
      </c>
      <c r="AF31" s="36">
        <f t="shared" si="11"/>
        <v>1.8816999999999999</v>
      </c>
      <c r="AG31" s="36">
        <f t="shared" si="11"/>
        <v>90.44</v>
      </c>
      <c r="AH31" s="36">
        <f t="shared" si="11"/>
        <v>2.83</v>
      </c>
      <c r="AI31" s="36">
        <f t="shared" si="11"/>
        <v>8.7710000000000008</v>
      </c>
      <c r="AJ31" s="36">
        <f t="shared" si="11"/>
        <v>0.746</v>
      </c>
      <c r="AK31" s="54" t="s">
        <v>55</v>
      </c>
      <c r="AL31" s="193">
        <f t="shared" si="11"/>
        <v>19.0993439633225</v>
      </c>
      <c r="AM31" s="193">
        <f t="shared" si="11"/>
        <v>15.3946308306178</v>
      </c>
      <c r="AN31" s="193">
        <f t="shared" si="11"/>
        <v>38.524485053992201</v>
      </c>
      <c r="AO31" s="193">
        <f t="shared" si="11"/>
        <v>1.9205488665757999</v>
      </c>
      <c r="AP31" s="193">
        <f t="shared" si="11"/>
        <v>1.22081275712694</v>
      </c>
      <c r="AQ31" s="193">
        <f t="shared" si="11"/>
        <v>0.23625419999999997</v>
      </c>
      <c r="AR31" s="54">
        <f t="shared" si="11"/>
        <v>16.875299999999999</v>
      </c>
      <c r="AS31" s="36"/>
      <c r="AT31" s="54" t="s">
        <v>55</v>
      </c>
      <c r="AU31" s="36">
        <f t="shared" si="11"/>
        <v>4.6639002523898974</v>
      </c>
      <c r="AV31" s="36">
        <f t="shared" si="11"/>
        <v>3.7146750437105043</v>
      </c>
      <c r="AW31" s="36">
        <f t="shared" si="11"/>
        <v>9.2844885861504256</v>
      </c>
      <c r="AX31" s="36">
        <f t="shared" si="11"/>
        <v>17.663063882250825</v>
      </c>
      <c r="AY31" s="36">
        <f t="shared" si="11"/>
        <v>16.875299999999999</v>
      </c>
      <c r="AZ31" s="36">
        <f t="shared" ref="AZ31:BA31" si="12">MIN(AZ12:AZ29)</f>
        <v>-12.966816908463958</v>
      </c>
      <c r="BA31" s="36">
        <f t="shared" si="12"/>
        <v>-12.440302629417424</v>
      </c>
      <c r="BB31" s="36"/>
      <c r="BC31" s="36"/>
      <c r="BD31" s="36"/>
      <c r="BE31" s="36"/>
      <c r="BF31" s="36"/>
    </row>
    <row r="32" spans="1:58" s="4" customFormat="1" ht="15">
      <c r="B32" s="54" t="s">
        <v>56</v>
      </c>
      <c r="C32" s="158"/>
      <c r="D32" s="36">
        <f>MAX(D12:D29)</f>
        <v>81.632141119834401</v>
      </c>
      <c r="E32" s="36">
        <f t="shared" ref="E32:S32" si="13">MAX(E12:E29)</f>
        <v>1.0155687647645599</v>
      </c>
      <c r="F32" s="36">
        <f t="shared" si="13"/>
        <v>14.895429790544</v>
      </c>
      <c r="G32" s="36">
        <f t="shared" si="13"/>
        <v>21.5614012145499</v>
      </c>
      <c r="H32" s="36">
        <f t="shared" si="13"/>
        <v>4.9599283432115303E-2</v>
      </c>
      <c r="I32" s="36">
        <f t="shared" si="13"/>
        <v>5.98498020080857</v>
      </c>
      <c r="J32" s="36">
        <f t="shared" si="13"/>
        <v>6.9787061951853397</v>
      </c>
      <c r="K32" s="36">
        <f t="shared" si="13"/>
        <v>0.86474772853533599</v>
      </c>
      <c r="L32" s="36">
        <f t="shared" si="13"/>
        <v>2.9910007889468502</v>
      </c>
      <c r="M32" s="123">
        <f t="shared" si="13"/>
        <v>0.24124011501125001</v>
      </c>
      <c r="N32" s="36">
        <f t="shared" si="13"/>
        <v>13.625685199686799</v>
      </c>
      <c r="O32" s="36"/>
      <c r="P32" s="36">
        <f t="shared" si="13"/>
        <v>86.636187023724844</v>
      </c>
      <c r="Q32" s="36">
        <f t="shared" si="13"/>
        <v>8.0794092260477974</v>
      </c>
      <c r="R32" s="54" t="s">
        <v>56</v>
      </c>
      <c r="S32" s="36">
        <f t="shared" si="13"/>
        <v>40.553600000000003</v>
      </c>
      <c r="T32" s="36">
        <f t="shared" ref="T32:AY32" si="14">MAX(T12:T29)</f>
        <v>14.495799999999999</v>
      </c>
      <c r="U32" s="36">
        <f t="shared" si="14"/>
        <v>10.69</v>
      </c>
      <c r="V32" s="36">
        <f t="shared" si="14"/>
        <v>71.102900000000005</v>
      </c>
      <c r="W32" s="36">
        <f t="shared" si="14"/>
        <v>0.47789999999999999</v>
      </c>
      <c r="X32" s="36">
        <f t="shared" si="14"/>
        <v>187.75319999999999</v>
      </c>
      <c r="Y32" s="36">
        <f t="shared" si="14"/>
        <v>66.344300000000004</v>
      </c>
      <c r="Z32" s="36">
        <f t="shared" si="14"/>
        <v>4541.4840000000004</v>
      </c>
      <c r="AA32" s="36">
        <f t="shared" si="14"/>
        <v>29.5077</v>
      </c>
      <c r="AB32" s="36">
        <f t="shared" si="14"/>
        <v>103.7535</v>
      </c>
      <c r="AC32" s="36">
        <f t="shared" si="14"/>
        <v>336.77499999999998</v>
      </c>
      <c r="AD32" s="36">
        <f t="shared" si="14"/>
        <v>63.064999999999998</v>
      </c>
      <c r="AE32" s="36">
        <f t="shared" si="14"/>
        <v>354.23480000000001</v>
      </c>
      <c r="AF32" s="36">
        <f t="shared" si="14"/>
        <v>81.875</v>
      </c>
      <c r="AG32" s="36">
        <f t="shared" si="14"/>
        <v>299.60000000000002</v>
      </c>
      <c r="AH32" s="36">
        <f t="shared" si="14"/>
        <v>8.8759999999999994</v>
      </c>
      <c r="AI32" s="36">
        <f t="shared" si="14"/>
        <v>18.88</v>
      </c>
      <c r="AJ32" s="36">
        <f t="shared" si="14"/>
        <v>1.6279999999999999</v>
      </c>
      <c r="AK32" s="54" t="s">
        <v>56</v>
      </c>
      <c r="AL32" s="193">
        <f t="shared" si="14"/>
        <v>20.392712119978</v>
      </c>
      <c r="AM32" s="193">
        <f t="shared" si="14"/>
        <v>16.004798891094602</v>
      </c>
      <c r="AN32" s="193">
        <f t="shared" si="14"/>
        <v>39.764841694981698</v>
      </c>
      <c r="AO32" s="193">
        <f t="shared" si="14"/>
        <v>2.0193762754377298</v>
      </c>
      <c r="AP32" s="193">
        <f t="shared" si="14"/>
        <v>1.30792426620763</v>
      </c>
      <c r="AQ32" s="193">
        <f t="shared" si="14"/>
        <v>0.56775039999999999</v>
      </c>
      <c r="AR32" s="54">
        <f t="shared" si="14"/>
        <v>40.553600000000003</v>
      </c>
      <c r="AS32" s="36"/>
      <c r="AT32" s="54" t="s">
        <v>56</v>
      </c>
      <c r="AU32" s="36">
        <f t="shared" si="14"/>
        <v>11.122698727599271</v>
      </c>
      <c r="AV32" s="36">
        <f t="shared" si="14"/>
        <v>8.9493018297070979</v>
      </c>
      <c r="AW32" s="36">
        <f t="shared" si="14"/>
        <v>22.174072946756489</v>
      </c>
      <c r="AX32" s="36">
        <f t="shared" si="14"/>
        <v>42.246073504062856</v>
      </c>
      <c r="AY32" s="36">
        <f t="shared" si="14"/>
        <v>40.553600000000003</v>
      </c>
      <c r="AZ32" s="36">
        <f t="shared" ref="AZ32:BA32" si="15">MAX(AZ12:AZ29)</f>
        <v>15.991167455148926</v>
      </c>
      <c r="BA32" s="36">
        <f t="shared" si="15"/>
        <v>15.093262688715615</v>
      </c>
      <c r="BB32" s="36"/>
      <c r="BC32" s="36"/>
      <c r="BD32" s="36"/>
      <c r="BE32" s="36"/>
      <c r="BF32" s="36"/>
    </row>
    <row r="33" spans="1:69" s="4" customFormat="1" ht="15">
      <c r="B33" s="51" t="s">
        <v>135</v>
      </c>
      <c r="C33" s="163"/>
      <c r="D33" s="34">
        <f>AVERAGE(D12:D29)</f>
        <v>71.138375352328239</v>
      </c>
      <c r="E33" s="34">
        <f t="shared" ref="E33:S33" si="16">AVERAGE(E12:E29)</f>
        <v>0.60061588309150937</v>
      </c>
      <c r="F33" s="34">
        <f t="shared" si="16"/>
        <v>10.940599748767541</v>
      </c>
      <c r="G33" s="34">
        <f t="shared" si="16"/>
        <v>5.7009507649177191</v>
      </c>
      <c r="H33" s="34">
        <f t="shared" si="16"/>
        <v>1.3580285081221506E-2</v>
      </c>
      <c r="I33" s="34">
        <f t="shared" si="16"/>
        <v>1.6598190811988485</v>
      </c>
      <c r="J33" s="34">
        <f t="shared" si="16"/>
        <v>0.54974848727981485</v>
      </c>
      <c r="K33" s="34">
        <f t="shared" si="16"/>
        <v>0.27419169699443519</v>
      </c>
      <c r="L33" s="34">
        <f t="shared" si="16"/>
        <v>2.4410871270531693</v>
      </c>
      <c r="M33" s="52">
        <f t="shared" si="16"/>
        <v>7.298817205005273E-2</v>
      </c>
      <c r="N33" s="34">
        <f t="shared" si="16"/>
        <v>6.4341809764007785</v>
      </c>
      <c r="O33" s="34"/>
      <c r="P33" s="90">
        <f t="shared" si="16"/>
        <v>79.124777725771935</v>
      </c>
      <c r="Q33" s="90">
        <f t="shared" si="16"/>
        <v>6.5781851610310991</v>
      </c>
      <c r="R33" s="51" t="s">
        <v>135</v>
      </c>
      <c r="S33" s="34">
        <f t="shared" si="16"/>
        <v>24.889711111111108</v>
      </c>
      <c r="T33" s="34">
        <f t="shared" ref="T33:AY33" si="17">AVERAGE(T12:T29)</f>
        <v>10.601783333333337</v>
      </c>
      <c r="U33" s="34">
        <f t="shared" si="17"/>
        <v>7.9935555555555533</v>
      </c>
      <c r="V33" s="34">
        <f t="shared" si="17"/>
        <v>29.643699999999992</v>
      </c>
      <c r="W33" s="34">
        <f t="shared" si="17"/>
        <v>0.13940555555555553</v>
      </c>
      <c r="X33" s="34">
        <f t="shared" si="17"/>
        <v>110.8742611111111</v>
      </c>
      <c r="Y33" s="34">
        <f t="shared" si="17"/>
        <v>47.757883333333339</v>
      </c>
      <c r="Z33" s="34">
        <f t="shared" si="17"/>
        <v>1135.251</v>
      </c>
      <c r="AA33" s="34">
        <f t="shared" si="17"/>
        <v>10.052994444444444</v>
      </c>
      <c r="AB33" s="34">
        <f t="shared" si="17"/>
        <v>37.844094444444437</v>
      </c>
      <c r="AC33" s="34">
        <f t="shared" si="17"/>
        <v>83.364561111111115</v>
      </c>
      <c r="AD33" s="34">
        <f t="shared" si="17"/>
        <v>28.5199</v>
      </c>
      <c r="AE33" s="34">
        <f t="shared" si="17"/>
        <v>229.77620000000005</v>
      </c>
      <c r="AF33" s="34">
        <f t="shared" si="17"/>
        <v>10.43283888888889</v>
      </c>
      <c r="AG33" s="34">
        <f t="shared" si="17"/>
        <v>137.89444444444447</v>
      </c>
      <c r="AH33" s="34">
        <f t="shared" si="17"/>
        <v>3.9808333333333326</v>
      </c>
      <c r="AI33" s="34">
        <f t="shared" si="17"/>
        <v>11.393388888888888</v>
      </c>
      <c r="AJ33" s="34">
        <f t="shared" si="17"/>
        <v>0.93616666666666681</v>
      </c>
      <c r="AK33" s="51" t="s">
        <v>135</v>
      </c>
      <c r="AL33" s="195">
        <f t="shared" si="17"/>
        <v>19.632546882975369</v>
      </c>
      <c r="AM33" s="195">
        <f t="shared" si="17"/>
        <v>15.681985169502569</v>
      </c>
      <c r="AN33" s="195">
        <f t="shared" si="17"/>
        <v>39.00286609096635</v>
      </c>
      <c r="AO33" s="195">
        <f t="shared" si="17"/>
        <v>1.9870339835399105</v>
      </c>
      <c r="AP33" s="195">
        <f t="shared" si="17"/>
        <v>1.252026720568264</v>
      </c>
      <c r="AQ33" s="195">
        <f t="shared" si="17"/>
        <v>0.34845595555555553</v>
      </c>
      <c r="AR33" s="51">
        <f t="shared" si="17"/>
        <v>24.889711111111108</v>
      </c>
      <c r="AS33" s="34"/>
      <c r="AT33" s="51" t="s">
        <v>135</v>
      </c>
      <c r="AU33" s="34">
        <f t="shared" si="17"/>
        <v>6.8357105164787155</v>
      </c>
      <c r="AV33" s="34">
        <f t="shared" si="17"/>
        <v>5.4647640313867898</v>
      </c>
      <c r="AW33" s="34">
        <f t="shared" si="17"/>
        <v>13.587811921177453</v>
      </c>
      <c r="AX33" s="34">
        <f t="shared" si="17"/>
        <v>25.888286469042956</v>
      </c>
      <c r="AY33" s="34">
        <f t="shared" si="17"/>
        <v>24.889711111111108</v>
      </c>
      <c r="AZ33" s="34">
        <f t="shared" ref="AZ33:BA33" si="18">AVERAGE(AZ12:AZ29)</f>
        <v>-1.9676592138280964</v>
      </c>
      <c r="BA33" s="34">
        <f t="shared" si="18"/>
        <v>-2.5497923695991869</v>
      </c>
      <c r="BB33" s="34"/>
      <c r="BC33" s="34"/>
      <c r="BD33" s="34"/>
      <c r="BE33" s="34"/>
      <c r="BF33" s="34"/>
    </row>
    <row r="34" spans="1:69" s="4" customFormat="1" ht="15">
      <c r="B34" s="54" t="s">
        <v>58</v>
      </c>
      <c r="C34" s="158"/>
      <c r="D34" s="36">
        <f>STDEV(D12:D29)</f>
        <v>6.9233792234088014</v>
      </c>
      <c r="E34" s="36">
        <f t="shared" ref="E34:S34" si="19">STDEV(E12:E29)</f>
        <v>0.16199989259235459</v>
      </c>
      <c r="F34" s="36">
        <f t="shared" si="19"/>
        <v>1.3456372717799248</v>
      </c>
      <c r="G34" s="36">
        <f t="shared" si="19"/>
        <v>4.9493631082405747</v>
      </c>
      <c r="H34" s="36">
        <f t="shared" si="19"/>
        <v>1.2773953648037283E-2</v>
      </c>
      <c r="I34" s="36">
        <f t="shared" si="19"/>
        <v>1.2427856039493901</v>
      </c>
      <c r="J34" s="36">
        <f t="shared" si="19"/>
        <v>1.6384391481853486</v>
      </c>
      <c r="K34" s="36">
        <f t="shared" si="19"/>
        <v>0.26396961365150218</v>
      </c>
      <c r="L34" s="36">
        <f t="shared" si="19"/>
        <v>0.45228134844768836</v>
      </c>
      <c r="M34" s="123">
        <f t="shared" si="19"/>
        <v>5.0970173967385971E-2</v>
      </c>
      <c r="N34" s="36">
        <f t="shared" si="19"/>
        <v>2.5561415954247311</v>
      </c>
      <c r="O34" s="36"/>
      <c r="P34" s="91">
        <f t="shared" si="19"/>
        <v>4.8810729571965661</v>
      </c>
      <c r="Q34" s="91">
        <f t="shared" si="19"/>
        <v>0.90462043910350709</v>
      </c>
      <c r="R34" s="54" t="s">
        <v>58</v>
      </c>
      <c r="S34" s="36">
        <f t="shared" si="19"/>
        <v>5.8430515866775687</v>
      </c>
      <c r="T34" s="36">
        <f t="shared" ref="T34:AY34" si="20">STDEV(T12:T29)</f>
        <v>1.9662069124705512</v>
      </c>
      <c r="U34" s="36">
        <f t="shared" si="20"/>
        <v>1.7177469245299379</v>
      </c>
      <c r="V34" s="36">
        <f t="shared" si="20"/>
        <v>16.485055139018204</v>
      </c>
      <c r="W34" s="36">
        <f t="shared" si="20"/>
        <v>0.11162898354513612</v>
      </c>
      <c r="X34" s="36">
        <f t="shared" si="20"/>
        <v>40.933192989986267</v>
      </c>
      <c r="Y34" s="36">
        <f t="shared" si="20"/>
        <v>11.94035639000333</v>
      </c>
      <c r="Z34" s="36">
        <f t="shared" si="20"/>
        <v>1160.2018415745347</v>
      </c>
      <c r="AA34" s="36">
        <f t="shared" si="20"/>
        <v>7.8557604249045649</v>
      </c>
      <c r="AB34" s="36">
        <f t="shared" si="20"/>
        <v>26.551792214716823</v>
      </c>
      <c r="AC34" s="36">
        <f t="shared" si="20"/>
        <v>86.254098342794109</v>
      </c>
      <c r="AD34" s="36">
        <f t="shared" si="20"/>
        <v>11.820537695095611</v>
      </c>
      <c r="AE34" s="36">
        <f t="shared" si="20"/>
        <v>80.395112815599177</v>
      </c>
      <c r="AF34" s="36">
        <f t="shared" si="20"/>
        <v>19.168195307826633</v>
      </c>
      <c r="AG34" s="36">
        <f t="shared" si="20"/>
        <v>48.714201724683903</v>
      </c>
      <c r="AH34" s="36">
        <f t="shared" si="20"/>
        <v>1.4770488561755228</v>
      </c>
      <c r="AI34" s="36">
        <f t="shared" si="20"/>
        <v>2.3686602850032461</v>
      </c>
      <c r="AJ34" s="36">
        <f t="shared" si="20"/>
        <v>0.22087799400414193</v>
      </c>
      <c r="AK34" s="54" t="s">
        <v>58</v>
      </c>
      <c r="AL34" s="54">
        <f t="shared" si="20"/>
        <v>0.31714976307450266</v>
      </c>
      <c r="AM34" s="54">
        <f t="shared" si="20"/>
        <v>0.15144872042810428</v>
      </c>
      <c r="AN34" s="54">
        <f t="shared" si="20"/>
        <v>0.33684330454889438</v>
      </c>
      <c r="AO34" s="54">
        <f t="shared" si="20"/>
        <v>2.6966079958208551E-2</v>
      </c>
      <c r="AP34" s="54">
        <f t="shared" si="20"/>
        <v>2.1153518927211339E-2</v>
      </c>
      <c r="AQ34" s="54">
        <f t="shared" si="20"/>
        <v>8.1802722213485668E-2</v>
      </c>
      <c r="AR34" s="54">
        <f t="shared" si="20"/>
        <v>5.8430515866775687</v>
      </c>
      <c r="AS34" s="36"/>
      <c r="AT34" s="54" t="s">
        <v>58</v>
      </c>
      <c r="AU34" s="36">
        <f t="shared" si="20"/>
        <v>1.5851118838154414</v>
      </c>
      <c r="AV34" s="36">
        <f t="shared" si="20"/>
        <v>1.2846744776787264</v>
      </c>
      <c r="AW34" s="36">
        <f t="shared" si="20"/>
        <v>3.1787282467354534</v>
      </c>
      <c r="AX34" s="36">
        <f t="shared" si="20"/>
        <v>6.0462559796178708</v>
      </c>
      <c r="AY34" s="36">
        <f t="shared" si="20"/>
        <v>5.8430515866775687</v>
      </c>
      <c r="AZ34" s="36">
        <f t="shared" ref="AZ34:BA34" si="21">STDEV(AZ12:AZ29)</f>
        <v>6.8130847940382013</v>
      </c>
      <c r="BA34" s="36">
        <f t="shared" si="21"/>
        <v>5.8844219438693184</v>
      </c>
      <c r="BB34" s="36"/>
      <c r="BC34" s="36"/>
      <c r="BD34" s="36"/>
      <c r="BE34" s="36"/>
      <c r="BF34" s="36"/>
    </row>
    <row r="35" spans="1:69" s="4" customFormat="1" ht="15">
      <c r="B35" s="54" t="s">
        <v>59</v>
      </c>
      <c r="C35" s="158"/>
      <c r="D35" s="36">
        <f>D34/D33*100</f>
        <v>9.7322706473394476</v>
      </c>
      <c r="E35" s="36">
        <f t="shared" ref="E35:S35" si="22">E34/E33*100</f>
        <v>26.972295797191297</v>
      </c>
      <c r="F35" s="36">
        <f t="shared" si="22"/>
        <v>12.29948359943897</v>
      </c>
      <c r="G35" s="36">
        <f t="shared" si="22"/>
        <v>86.816450664646425</v>
      </c>
      <c r="H35" s="36">
        <f t="shared" si="22"/>
        <v>94.06248522500313</v>
      </c>
      <c r="I35" s="36">
        <f t="shared" si="22"/>
        <v>74.874763040545062</v>
      </c>
      <c r="J35" s="36">
        <f t="shared" si="22"/>
        <v>298.03431680047612</v>
      </c>
      <c r="K35" s="36">
        <f t="shared" si="22"/>
        <v>96.27192090242599</v>
      </c>
      <c r="L35" s="36">
        <f t="shared" si="22"/>
        <v>18.527865860882777</v>
      </c>
      <c r="M35" s="123">
        <f t="shared" si="22"/>
        <v>69.833471007374186</v>
      </c>
      <c r="N35" s="36">
        <f t="shared" si="22"/>
        <v>39.727536492991419</v>
      </c>
      <c r="O35" s="36"/>
      <c r="P35" s="91">
        <f t="shared" si="22"/>
        <v>6.1688299133214999</v>
      </c>
      <c r="Q35" s="91">
        <f t="shared" si="22"/>
        <v>13.7518238991271</v>
      </c>
      <c r="R35" s="54" t="s">
        <v>59</v>
      </c>
      <c r="S35" s="36">
        <f t="shared" si="22"/>
        <v>23.475771014751352</v>
      </c>
      <c r="T35" s="36">
        <f t="shared" ref="T35:AY35" si="23">T34/T33*100</f>
        <v>18.546001655104099</v>
      </c>
      <c r="U35" s="36">
        <f t="shared" si="23"/>
        <v>21.489147258582534</v>
      </c>
      <c r="V35" s="36">
        <f t="shared" si="23"/>
        <v>55.610652985350043</v>
      </c>
      <c r="W35" s="36">
        <f t="shared" si="23"/>
        <v>80.074989192701167</v>
      </c>
      <c r="X35" s="36">
        <f t="shared" si="23"/>
        <v>36.918571163207694</v>
      </c>
      <c r="Y35" s="36">
        <f t="shared" si="23"/>
        <v>25.001854262811051</v>
      </c>
      <c r="Z35" s="36">
        <f t="shared" si="23"/>
        <v>102.19782599394624</v>
      </c>
      <c r="AA35" s="36">
        <f t="shared" si="23"/>
        <v>78.14348718003987</v>
      </c>
      <c r="AB35" s="36">
        <f t="shared" si="23"/>
        <v>70.160992367501777</v>
      </c>
      <c r="AC35" s="36">
        <f t="shared" si="23"/>
        <v>103.46614579765101</v>
      </c>
      <c r="AD35" s="36">
        <f t="shared" si="23"/>
        <v>41.446630931719994</v>
      </c>
      <c r="AE35" s="36">
        <f t="shared" si="23"/>
        <v>34.988442151797777</v>
      </c>
      <c r="AF35" s="36">
        <f t="shared" si="23"/>
        <v>183.72942889246579</v>
      </c>
      <c r="AG35" s="36">
        <f t="shared" si="23"/>
        <v>35.327167762955163</v>
      </c>
      <c r="AH35" s="36">
        <f t="shared" si="23"/>
        <v>37.104011459297212</v>
      </c>
      <c r="AI35" s="36">
        <f t="shared" si="23"/>
        <v>20.789778248622952</v>
      </c>
      <c r="AJ35" s="36">
        <f t="shared" si="23"/>
        <v>23.593875093908697</v>
      </c>
      <c r="AK35" s="54" t="s">
        <v>59</v>
      </c>
      <c r="AL35" s="54">
        <f t="shared" si="23"/>
        <v>1.6154285277654088</v>
      </c>
      <c r="AM35" s="54">
        <f t="shared" si="23"/>
        <v>0.96574967257737954</v>
      </c>
      <c r="AN35" s="54">
        <f t="shared" si="23"/>
        <v>0.86363731260998888</v>
      </c>
      <c r="AO35" s="54">
        <f t="shared" si="23"/>
        <v>1.3571021020067484</v>
      </c>
      <c r="AP35" s="54">
        <f t="shared" si="23"/>
        <v>1.6895421303476876</v>
      </c>
      <c r="AQ35" s="54">
        <f t="shared" si="23"/>
        <v>23.475771014751267</v>
      </c>
      <c r="AR35" s="54">
        <f t="shared" si="23"/>
        <v>23.475771014751352</v>
      </c>
      <c r="AS35" s="36"/>
      <c r="AT35" s="54" t="s">
        <v>59</v>
      </c>
      <c r="AU35" s="36">
        <f t="shared" si="23"/>
        <v>23.188692382368195</v>
      </c>
      <c r="AV35" s="36">
        <f t="shared" si="23"/>
        <v>23.508324793169805</v>
      </c>
      <c r="AW35" s="36">
        <f t="shared" si="23"/>
        <v>23.393967072661692</v>
      </c>
      <c r="AX35" s="36">
        <f t="shared" si="23"/>
        <v>23.355180293017632</v>
      </c>
      <c r="AY35" s="36">
        <f t="shared" si="23"/>
        <v>23.475771014751352</v>
      </c>
      <c r="AZ35" s="36">
        <f t="shared" ref="AZ35:BA35" si="24">AZ34/AZ33*100</f>
        <v>-346.25329153330836</v>
      </c>
      <c r="BA35" s="36">
        <f t="shared" si="24"/>
        <v>-230.78043585150095</v>
      </c>
      <c r="BB35" s="36"/>
      <c r="BC35" s="36"/>
      <c r="BD35" s="36"/>
      <c r="BE35" s="36"/>
      <c r="BF35" s="36"/>
    </row>
    <row r="36" spans="1:69" s="4" customFormat="1" ht="15">
      <c r="B36" s="54"/>
      <c r="C36" s="158"/>
      <c r="D36" s="36"/>
      <c r="E36" s="36"/>
      <c r="F36" s="36"/>
      <c r="G36" s="36"/>
      <c r="H36" s="36"/>
      <c r="I36" s="36"/>
      <c r="J36" s="36"/>
      <c r="K36" s="36"/>
      <c r="L36" s="36"/>
      <c r="M36" s="123"/>
      <c r="N36" s="36"/>
      <c r="O36" s="36"/>
      <c r="P36" s="91"/>
      <c r="Q36" s="91"/>
      <c r="R36" s="54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54"/>
      <c r="AL36" s="54"/>
      <c r="AM36" s="54"/>
      <c r="AN36" s="54"/>
      <c r="AO36" s="54"/>
      <c r="AP36" s="54"/>
      <c r="AQ36" s="54"/>
      <c r="AR36" s="54"/>
      <c r="AS36" s="36"/>
      <c r="AT36" s="54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  <c r="BF36" s="36"/>
    </row>
    <row r="37" spans="1:69" s="1" customFormat="1" ht="18">
      <c r="A37" s="1" t="s">
        <v>153</v>
      </c>
      <c r="B37" s="80" t="s">
        <v>154</v>
      </c>
      <c r="C37" s="166"/>
      <c r="D37" s="59" t="s">
        <v>1</v>
      </c>
      <c r="E37" s="59" t="s">
        <v>2</v>
      </c>
      <c r="F37" s="59" t="s">
        <v>3</v>
      </c>
      <c r="G37" s="59" t="s">
        <v>61</v>
      </c>
      <c r="H37" s="59" t="s">
        <v>5</v>
      </c>
      <c r="I37" s="59" t="s">
        <v>6</v>
      </c>
      <c r="J37" s="59" t="s">
        <v>7</v>
      </c>
      <c r="K37" s="59" t="s">
        <v>8</v>
      </c>
      <c r="L37" s="59" t="s">
        <v>9</v>
      </c>
      <c r="M37" s="133" t="s">
        <v>10</v>
      </c>
      <c r="N37" s="59" t="s">
        <v>11</v>
      </c>
      <c r="O37" s="59"/>
      <c r="P37" s="93"/>
      <c r="Q37" s="88"/>
      <c r="R37" s="80" t="s">
        <v>154</v>
      </c>
      <c r="S37" s="20" t="s">
        <v>14</v>
      </c>
      <c r="T37" s="20" t="s">
        <v>15</v>
      </c>
      <c r="U37" s="20" t="s">
        <v>16</v>
      </c>
      <c r="V37" s="48" t="s">
        <v>17</v>
      </c>
      <c r="W37" s="62" t="s">
        <v>25</v>
      </c>
      <c r="X37" s="31" t="s">
        <v>18</v>
      </c>
      <c r="Y37" s="31" t="s">
        <v>19</v>
      </c>
      <c r="Z37" s="31" t="s">
        <v>20</v>
      </c>
      <c r="AA37" s="30" t="s">
        <v>21</v>
      </c>
      <c r="AB37" s="31" t="s">
        <v>22</v>
      </c>
      <c r="AC37" s="30" t="s">
        <v>23</v>
      </c>
      <c r="AD37" s="30" t="s">
        <v>24</v>
      </c>
      <c r="AE37" s="30" t="s">
        <v>26</v>
      </c>
      <c r="AF37" s="30" t="s">
        <v>27</v>
      </c>
      <c r="AG37" s="62"/>
      <c r="AH37" s="62"/>
      <c r="AI37" s="62"/>
      <c r="AJ37" s="62"/>
      <c r="AK37" s="80" t="s">
        <v>154</v>
      </c>
      <c r="AL37" s="32" t="s">
        <v>116</v>
      </c>
      <c r="AM37" s="32" t="s">
        <v>117</v>
      </c>
      <c r="AN37" s="32" t="s">
        <v>118</v>
      </c>
      <c r="AO37" s="33" t="s">
        <v>119</v>
      </c>
      <c r="AP37" s="33" t="s">
        <v>120</v>
      </c>
      <c r="AQ37" s="38"/>
      <c r="AR37" s="33" t="s">
        <v>14</v>
      </c>
      <c r="AS37" s="30"/>
      <c r="AT37" s="80" t="s">
        <v>154</v>
      </c>
      <c r="AU37" s="34" t="s">
        <v>122</v>
      </c>
      <c r="AV37" s="34" t="s">
        <v>123</v>
      </c>
      <c r="AW37" s="34" t="s">
        <v>124</v>
      </c>
      <c r="AX37" s="34" t="s">
        <v>33</v>
      </c>
      <c r="AY37" s="20" t="s">
        <v>14</v>
      </c>
      <c r="AZ37" s="184"/>
      <c r="BA37" s="20"/>
      <c r="BB37" s="20"/>
      <c r="BC37" s="20"/>
      <c r="BD37" s="20"/>
      <c r="BE37" s="20"/>
      <c r="BF37" s="20"/>
      <c r="BG37" s="60"/>
      <c r="BI37" s="60"/>
      <c r="BJ37" s="60"/>
      <c r="BK37" s="61"/>
      <c r="BL37" s="60"/>
      <c r="BM37" s="60"/>
      <c r="BN37" s="60"/>
      <c r="BO37" s="61"/>
      <c r="BP37" s="61"/>
      <c r="BQ37" s="61"/>
    </row>
    <row r="38" spans="1:69" s="1" customFormat="1" ht="15">
      <c r="A38" s="40"/>
      <c r="B38" s="41" t="s">
        <v>37</v>
      </c>
      <c r="C38" s="172">
        <v>15</v>
      </c>
      <c r="D38" s="42">
        <v>73.656503256496705</v>
      </c>
      <c r="E38" s="42">
        <v>0.999418281352903</v>
      </c>
      <c r="F38" s="42">
        <v>10.642333652550899</v>
      </c>
      <c r="G38" s="42">
        <v>4.1282573114427201</v>
      </c>
      <c r="H38" s="43">
        <v>3.12039606131593E-2</v>
      </c>
      <c r="I38" s="43">
        <v>0.75246122164304197</v>
      </c>
      <c r="J38" s="43">
        <v>0.12570738418444199</v>
      </c>
      <c r="K38" s="43">
        <v>0.15094443995961199</v>
      </c>
      <c r="L38" s="43">
        <v>1.3649503913927701</v>
      </c>
      <c r="M38" s="139">
        <v>0.11679196686639599</v>
      </c>
      <c r="N38" s="44">
        <v>7.5170842824601296</v>
      </c>
      <c r="O38" s="44"/>
      <c r="P38" s="89">
        <f>100*F38/(F38+J38+K38+L38)</f>
        <v>86.636187023724844</v>
      </c>
      <c r="Q38" s="89">
        <f>D38/F38</f>
        <v>6.9210856999246317</v>
      </c>
      <c r="R38" s="41" t="s">
        <v>37</v>
      </c>
      <c r="S38" s="38">
        <v>25.777000000000001</v>
      </c>
      <c r="T38" s="38">
        <v>5.9652000000000003</v>
      </c>
      <c r="U38" s="38">
        <v>6.702</v>
      </c>
      <c r="V38" s="27">
        <v>71.102900000000005</v>
      </c>
      <c r="W38" s="62">
        <v>0.30880000000000002</v>
      </c>
      <c r="X38" s="38">
        <v>81.354799999999997</v>
      </c>
      <c r="Y38" s="38">
        <v>44.8962</v>
      </c>
      <c r="Z38" s="27">
        <v>2796.6959999999999</v>
      </c>
      <c r="AA38" s="38">
        <v>11.4826</v>
      </c>
      <c r="AB38" s="38">
        <v>24.571300000000001</v>
      </c>
      <c r="AC38" s="38">
        <v>34.8889</v>
      </c>
      <c r="AD38" s="38">
        <v>11.3278</v>
      </c>
      <c r="AE38" s="38">
        <v>128.18109999999999</v>
      </c>
      <c r="AF38" s="38">
        <v>8.7311999999999994</v>
      </c>
      <c r="AG38" s="62">
        <v>299.60000000000002</v>
      </c>
      <c r="AH38" s="62">
        <v>8.8759999999999994</v>
      </c>
      <c r="AI38" s="62">
        <v>18.88</v>
      </c>
      <c r="AJ38" s="62">
        <v>1.6279999999999999</v>
      </c>
      <c r="AK38" s="41" t="s">
        <v>37</v>
      </c>
      <c r="AL38" s="38">
        <v>19.0993439633225</v>
      </c>
      <c r="AM38" s="38">
        <v>15.602621153514701</v>
      </c>
      <c r="AN38" s="38">
        <v>38.568842325659702</v>
      </c>
      <c r="AO38" s="38">
        <v>2.0193762754377298</v>
      </c>
      <c r="AP38" s="38">
        <v>1.22415477406203</v>
      </c>
      <c r="AQ38" s="38">
        <f t="shared" ref="AQ38:AQ42" si="25">AR38*1.4%</f>
        <v>0.36087799999999998</v>
      </c>
      <c r="AR38" s="38">
        <v>25.777000000000001</v>
      </c>
      <c r="AS38" s="38"/>
      <c r="AT38" s="41" t="s">
        <v>37</v>
      </c>
      <c r="AU38" s="25">
        <f>AL38*AQ38</f>
        <v>6.8925330507958966</v>
      </c>
      <c r="AV38" s="25">
        <f>AM38*AQ38</f>
        <v>5.6306427166380777</v>
      </c>
      <c r="AW38" s="25">
        <f>AN38*AQ38</f>
        <v>13.918646680799421</v>
      </c>
      <c r="AX38" s="36">
        <f>SUM(AU38:AW38)</f>
        <v>26.441822448233395</v>
      </c>
      <c r="AY38" s="38">
        <v>25.777000000000001</v>
      </c>
      <c r="AZ38" s="184" t="e">
        <f>AU38*AU203+AV38*AV203+AW38*AW203</f>
        <v>#VALUE!</v>
      </c>
      <c r="BA38" s="20" t="e">
        <f>AY38*AY203</f>
        <v>#VALUE!</v>
      </c>
      <c r="BB38" s="38"/>
      <c r="BC38" s="27"/>
      <c r="BD38" s="27"/>
      <c r="BE38" s="27"/>
      <c r="BF38" s="27"/>
    </row>
    <row r="39" spans="1:69" s="1" customFormat="1" ht="15">
      <c r="B39" s="41" t="s">
        <v>38</v>
      </c>
      <c r="C39" s="156">
        <v>30</v>
      </c>
      <c r="D39" s="42">
        <v>73.833970731679301</v>
      </c>
      <c r="E39" s="42">
        <v>1.0155687647645599</v>
      </c>
      <c r="F39" s="42">
        <v>10.710053521962999</v>
      </c>
      <c r="G39" s="42">
        <v>3.9395419757901098</v>
      </c>
      <c r="H39" s="43">
        <v>3.2284202331298299E-2</v>
      </c>
      <c r="I39" s="43">
        <v>0.76006236345685196</v>
      </c>
      <c r="J39" s="43">
        <v>0.13098162088698201</v>
      </c>
      <c r="K39" s="43">
        <v>0.16827991796651601</v>
      </c>
      <c r="L39" s="43">
        <v>1.48784052458241</v>
      </c>
      <c r="M39" s="139">
        <v>0.111611099488203</v>
      </c>
      <c r="N39" s="44">
        <v>7.1266110689916804</v>
      </c>
      <c r="O39" s="44"/>
      <c r="P39" s="89">
        <f t="shared" ref="P39" si="26">100*F39/(F39+J39+K39+L39)</f>
        <v>85.699929466158906</v>
      </c>
      <c r="Q39" s="89">
        <f t="shared" ref="Q39" si="27">D39/F39</f>
        <v>6.8938937214710192</v>
      </c>
      <c r="R39" s="41" t="s">
        <v>38</v>
      </c>
      <c r="S39" s="38">
        <v>26.591899999999999</v>
      </c>
      <c r="T39" s="38">
        <v>9.4936000000000007</v>
      </c>
      <c r="U39" s="38">
        <v>6.6429999999999998</v>
      </c>
      <c r="V39" s="27">
        <v>52.057600000000001</v>
      </c>
      <c r="W39" s="62">
        <v>0.1532</v>
      </c>
      <c r="X39" s="38">
        <v>128.09219999999999</v>
      </c>
      <c r="Y39" s="38">
        <v>58.097299999999997</v>
      </c>
      <c r="Z39" s="27">
        <v>2344.8690000000001</v>
      </c>
      <c r="AA39" s="38">
        <v>9.5852000000000004</v>
      </c>
      <c r="AB39" s="38">
        <v>32.182400000000001</v>
      </c>
      <c r="AC39" s="38">
        <v>53.127200000000002</v>
      </c>
      <c r="AD39" s="38">
        <v>16.789100000000001</v>
      </c>
      <c r="AE39" s="38">
        <v>248.55690000000001</v>
      </c>
      <c r="AF39" s="38">
        <v>9.9425000000000008</v>
      </c>
      <c r="AG39" s="62">
        <v>206.5</v>
      </c>
      <c r="AH39" s="62">
        <v>6.3719999999999999</v>
      </c>
      <c r="AI39" s="62">
        <v>14.59</v>
      </c>
      <c r="AJ39" s="62">
        <v>1.28</v>
      </c>
      <c r="AK39" s="41" t="s">
        <v>38</v>
      </c>
      <c r="AL39" s="38">
        <v>19.504755642668901</v>
      </c>
      <c r="AM39" s="38">
        <v>15.978948531879899</v>
      </c>
      <c r="AN39" s="38">
        <v>39.107622779555598</v>
      </c>
      <c r="AO39" s="38">
        <v>2.0048894319618298</v>
      </c>
      <c r="AP39" s="38">
        <v>1.22081275712694</v>
      </c>
      <c r="AQ39" s="38">
        <f t="shared" si="25"/>
        <v>0.37228659999999997</v>
      </c>
      <c r="AR39" s="38">
        <v>26.591899999999999</v>
      </c>
      <c r="AS39" s="38"/>
      <c r="AT39" s="41" t="s">
        <v>38</v>
      </c>
      <c r="AU39" s="25">
        <f t="shared" ref="AU39" si="28">AL39*AQ39</f>
        <v>7.2613591620400193</v>
      </c>
      <c r="AV39" s="25">
        <f t="shared" ref="AV39" si="29">AM39*AQ39</f>
        <v>5.9487484205085588</v>
      </c>
      <c r="AW39" s="25">
        <f t="shared" ref="AW39" si="30">AN39*AQ39</f>
        <v>14.559243918683302</v>
      </c>
      <c r="AX39" s="36">
        <f t="shared" ref="AX39" si="31">SUM(AU39:AW39)</f>
        <v>27.769351501231881</v>
      </c>
      <c r="AY39" s="38">
        <v>26.591899999999999</v>
      </c>
      <c r="AZ39" s="184">
        <f>AU39*AU204+AV39*AV204+AW39*AW204</f>
        <v>0</v>
      </c>
      <c r="BA39" s="20">
        <f>AY39*AY204</f>
        <v>24.005043401871241</v>
      </c>
      <c r="BB39" s="38"/>
      <c r="BC39" s="27"/>
      <c r="BD39" s="27"/>
      <c r="BE39" s="27"/>
      <c r="BF39" s="27"/>
    </row>
    <row r="40" spans="1:69" s="56" customFormat="1" ht="15">
      <c r="B40" s="57" t="s">
        <v>160</v>
      </c>
      <c r="C40" s="164"/>
      <c r="R40" s="57" t="s">
        <v>160</v>
      </c>
      <c r="S40" s="202">
        <v>124.78</v>
      </c>
      <c r="T40" s="202"/>
      <c r="U40" s="202">
        <v>110.578</v>
      </c>
      <c r="V40" s="202">
        <v>3345.3009999999999</v>
      </c>
      <c r="W40" s="202">
        <v>3.492</v>
      </c>
      <c r="X40" s="202">
        <v>640.28800000000001</v>
      </c>
      <c r="Y40" s="202">
        <v>336.91</v>
      </c>
      <c r="Z40" s="202">
        <v>27743.556</v>
      </c>
      <c r="AA40" s="202">
        <v>435.58600000000001</v>
      </c>
      <c r="AB40" s="202">
        <v>739.64099999999996</v>
      </c>
      <c r="AC40" s="202">
        <v>361.86900000000003</v>
      </c>
      <c r="AD40" s="202">
        <v>14.77</v>
      </c>
      <c r="AE40" s="202">
        <v>4184.8239999999996</v>
      </c>
      <c r="AF40" s="202">
        <v>57.097000000000001</v>
      </c>
      <c r="AK40" s="57" t="s">
        <v>160</v>
      </c>
      <c r="AL40" s="198">
        <v>18.683902250174476</v>
      </c>
      <c r="AM40" s="198">
        <v>15.685910221785129</v>
      </c>
      <c r="AN40" s="198">
        <v>38.669451046181486</v>
      </c>
      <c r="AO40" s="198">
        <v>2.069748337998492</v>
      </c>
      <c r="AP40" s="193">
        <v>1.1910632000000001</v>
      </c>
      <c r="AQ40" s="191">
        <f t="shared" si="25"/>
        <v>1.7469199999999998</v>
      </c>
      <c r="AR40" s="202">
        <v>124.78</v>
      </c>
      <c r="AT40" s="57" t="s">
        <v>160</v>
      </c>
      <c r="AU40" s="25">
        <f t="shared" ref="AU40:AU42" si="32">AL40*AQ40</f>
        <v>32.639282518874793</v>
      </c>
      <c r="AV40" s="25">
        <f t="shared" ref="AV40:AV42" si="33">AM40*AQ40</f>
        <v>27.402030284640873</v>
      </c>
      <c r="AW40" s="25">
        <f t="shared" ref="AW40:AW42" si="34">AN40*AQ40</f>
        <v>67.552437421595357</v>
      </c>
      <c r="AX40" s="36">
        <f t="shared" ref="AX40:AX42" si="35">SUM(AU40:AW40)</f>
        <v>127.59375022511102</v>
      </c>
      <c r="AY40" s="202">
        <v>124.78</v>
      </c>
    </row>
    <row r="41" spans="1:69" s="56" customFormat="1" ht="15">
      <c r="B41" s="57" t="s">
        <v>161</v>
      </c>
      <c r="C41" s="164"/>
      <c r="R41" s="57" t="s">
        <v>161</v>
      </c>
      <c r="S41" s="202">
        <v>213.446</v>
      </c>
      <c r="T41" s="202"/>
      <c r="U41" s="202">
        <v>103.169</v>
      </c>
      <c r="V41" s="202">
        <v>1264.1089999999999</v>
      </c>
      <c r="W41" s="202">
        <v>1.8480000000000001</v>
      </c>
      <c r="X41" s="202">
        <v>892.202</v>
      </c>
      <c r="Y41" s="202">
        <v>557.89099999999996</v>
      </c>
      <c r="Z41" s="202">
        <v>4747.3379999999997</v>
      </c>
      <c r="AA41" s="202">
        <v>169.322</v>
      </c>
      <c r="AB41" s="202">
        <v>347.38499999999999</v>
      </c>
      <c r="AC41" s="202">
        <v>229.69900000000001</v>
      </c>
      <c r="AD41" s="202">
        <v>18.904</v>
      </c>
      <c r="AE41" s="202">
        <v>3808.6089999999999</v>
      </c>
      <c r="AF41" s="202">
        <v>128.75200000000001</v>
      </c>
      <c r="AK41" s="57" t="s">
        <v>161</v>
      </c>
      <c r="AL41" s="198">
        <v>18.89614425369972</v>
      </c>
      <c r="AM41" s="198">
        <v>15.640740925133374</v>
      </c>
      <c r="AN41" s="198">
        <v>39.048970006319372</v>
      </c>
      <c r="AO41" s="198">
        <v>2.0665280910472612</v>
      </c>
      <c r="AP41" s="193">
        <v>1.2080556</v>
      </c>
      <c r="AQ41" s="191">
        <f t="shared" si="25"/>
        <v>2.9882439999999995</v>
      </c>
      <c r="AR41" s="202">
        <v>213.446</v>
      </c>
      <c r="AT41" s="57" t="s">
        <v>161</v>
      </c>
      <c r="AU41" s="25">
        <f t="shared" si="32"/>
        <v>56.466289689252655</v>
      </c>
      <c r="AV41" s="25">
        <f t="shared" si="33"/>
        <v>46.738350225084247</v>
      </c>
      <c r="AW41" s="25">
        <f t="shared" si="34"/>
        <v>116.68785032756381</v>
      </c>
      <c r="AX41" s="36">
        <f t="shared" si="35"/>
        <v>219.8924902419007</v>
      </c>
      <c r="AY41" s="202">
        <v>213.446</v>
      </c>
    </row>
    <row r="42" spans="1:69" s="56" customFormat="1" ht="15">
      <c r="B42" s="57" t="s">
        <v>163</v>
      </c>
      <c r="C42" s="164"/>
      <c r="R42" s="57" t="s">
        <v>163</v>
      </c>
      <c r="S42" s="202">
        <v>394.14299999999997</v>
      </c>
      <c r="T42" s="202"/>
      <c r="U42" s="202">
        <v>142.251</v>
      </c>
      <c r="V42" s="202">
        <v>1800.2739999999999</v>
      </c>
      <c r="W42" s="202">
        <v>3.5960000000000001</v>
      </c>
      <c r="X42" s="202">
        <v>1095.115</v>
      </c>
      <c r="Y42" s="202">
        <v>502.32</v>
      </c>
      <c r="Z42" s="202">
        <v>6871.3559999999998</v>
      </c>
      <c r="AA42" s="202">
        <v>242.77099999999999</v>
      </c>
      <c r="AB42" s="202">
        <v>447.51900000000001</v>
      </c>
      <c r="AC42" s="202">
        <v>454.16899999999998</v>
      </c>
      <c r="AD42" s="202">
        <v>26.038</v>
      </c>
      <c r="AE42" s="202">
        <v>6623.7730000000001</v>
      </c>
      <c r="AF42" s="202">
        <v>98.338999999999999</v>
      </c>
      <c r="AK42" s="57" t="s">
        <v>163</v>
      </c>
      <c r="AL42" s="198">
        <v>18.967454542825259</v>
      </c>
      <c r="AM42" s="198">
        <v>15.855473694999429</v>
      </c>
      <c r="AN42" s="198">
        <v>38.786530018381391</v>
      </c>
      <c r="AO42" s="198">
        <v>2.0449270991873867</v>
      </c>
      <c r="AP42" s="193">
        <v>1.1962854000000001</v>
      </c>
      <c r="AQ42" s="191">
        <f t="shared" si="25"/>
        <v>5.5180019999999992</v>
      </c>
      <c r="AR42" s="202">
        <v>394.14299999999997</v>
      </c>
      <c r="AT42" s="57" t="s">
        <v>163</v>
      </c>
      <c r="AU42" s="25">
        <f t="shared" si="32"/>
        <v>104.66245210221885</v>
      </c>
      <c r="AV42" s="25">
        <f t="shared" si="33"/>
        <v>87.490535559954225</v>
      </c>
      <c r="AW42" s="25">
        <f t="shared" si="34"/>
        <v>214.02415021448851</v>
      </c>
      <c r="AX42" s="36">
        <f t="shared" si="35"/>
        <v>406.17713787666162</v>
      </c>
      <c r="AY42" s="202">
        <v>394.14299999999997</v>
      </c>
    </row>
    <row r="43" spans="1:69" s="148" customFormat="1" ht="15">
      <c r="A43" s="148" t="s">
        <v>162</v>
      </c>
      <c r="B43" s="57" t="s">
        <v>144</v>
      </c>
      <c r="C43" s="164"/>
      <c r="D43" s="56">
        <f>MIN(D38:D42)</f>
        <v>73.656503256496705</v>
      </c>
      <c r="E43" s="56">
        <f t="shared" ref="E43:AX43" si="36">MIN(E38:E42)</f>
        <v>0.999418281352903</v>
      </c>
      <c r="F43" s="56">
        <f t="shared" si="36"/>
        <v>10.642333652550899</v>
      </c>
      <c r="G43" s="56">
        <f t="shared" si="36"/>
        <v>3.9395419757901098</v>
      </c>
      <c r="H43" s="56">
        <f t="shared" si="36"/>
        <v>3.12039606131593E-2</v>
      </c>
      <c r="I43" s="56">
        <f t="shared" si="36"/>
        <v>0.75246122164304197</v>
      </c>
      <c r="J43" s="56">
        <f t="shared" si="36"/>
        <v>0.12570738418444199</v>
      </c>
      <c r="K43" s="56">
        <f t="shared" si="36"/>
        <v>0.15094443995961199</v>
      </c>
      <c r="L43" s="56">
        <f t="shared" si="36"/>
        <v>1.3649503913927701</v>
      </c>
      <c r="M43" s="56">
        <f t="shared" si="36"/>
        <v>0.111611099488203</v>
      </c>
      <c r="N43" s="56">
        <f t="shared" si="36"/>
        <v>7.1266110689916804</v>
      </c>
      <c r="O43" s="56">
        <f t="shared" si="36"/>
        <v>0</v>
      </c>
      <c r="P43" s="56">
        <f t="shared" si="36"/>
        <v>85.699929466158906</v>
      </c>
      <c r="Q43" s="56">
        <f t="shared" si="36"/>
        <v>6.8938937214710192</v>
      </c>
      <c r="R43" s="57" t="s">
        <v>144</v>
      </c>
      <c r="S43" s="56">
        <f t="shared" si="36"/>
        <v>25.777000000000001</v>
      </c>
      <c r="T43" s="56">
        <f t="shared" si="36"/>
        <v>5.9652000000000003</v>
      </c>
      <c r="U43" s="56">
        <f t="shared" si="36"/>
        <v>6.6429999999999998</v>
      </c>
      <c r="V43" s="56">
        <f t="shared" si="36"/>
        <v>52.057600000000001</v>
      </c>
      <c r="W43" s="56">
        <f t="shared" si="36"/>
        <v>0.1532</v>
      </c>
      <c r="X43" s="56">
        <f t="shared" si="36"/>
        <v>81.354799999999997</v>
      </c>
      <c r="Y43" s="56">
        <f t="shared" si="36"/>
        <v>44.8962</v>
      </c>
      <c r="Z43" s="56">
        <f t="shared" si="36"/>
        <v>2344.8690000000001</v>
      </c>
      <c r="AA43" s="56">
        <f t="shared" si="36"/>
        <v>9.5852000000000004</v>
      </c>
      <c r="AB43" s="56">
        <f t="shared" si="36"/>
        <v>24.571300000000001</v>
      </c>
      <c r="AC43" s="56">
        <f t="shared" si="36"/>
        <v>34.8889</v>
      </c>
      <c r="AD43" s="56">
        <f t="shared" si="36"/>
        <v>11.3278</v>
      </c>
      <c r="AE43" s="56">
        <f t="shared" si="36"/>
        <v>128.18109999999999</v>
      </c>
      <c r="AF43" s="56">
        <f t="shared" si="36"/>
        <v>8.7311999999999994</v>
      </c>
      <c r="AG43" s="56"/>
      <c r="AH43" s="56"/>
      <c r="AI43" s="56"/>
      <c r="AJ43" s="56"/>
      <c r="AK43" s="57" t="s">
        <v>144</v>
      </c>
      <c r="AL43" s="193">
        <v>15.602600000000001</v>
      </c>
      <c r="AM43" s="193">
        <f t="shared" si="36"/>
        <v>15.602621153514701</v>
      </c>
      <c r="AN43" s="193">
        <f t="shared" si="36"/>
        <v>38.568842325659702</v>
      </c>
      <c r="AO43" s="193">
        <f t="shared" si="36"/>
        <v>2.0048894319618298</v>
      </c>
      <c r="AP43" s="193">
        <f t="shared" si="36"/>
        <v>1.1910632000000001</v>
      </c>
      <c r="AQ43" s="193">
        <f t="shared" si="36"/>
        <v>0.36087799999999998</v>
      </c>
      <c r="AR43" s="56"/>
      <c r="AS43" s="56"/>
      <c r="AT43" s="57" t="s">
        <v>144</v>
      </c>
      <c r="AU43" s="56">
        <f t="shared" si="36"/>
        <v>6.8925330507958966</v>
      </c>
      <c r="AV43" s="56">
        <f t="shared" si="36"/>
        <v>5.6306427166380777</v>
      </c>
      <c r="AW43" s="56">
        <f t="shared" si="36"/>
        <v>13.918646680799421</v>
      </c>
      <c r="AX43" s="56">
        <f t="shared" si="36"/>
        <v>26.441822448233395</v>
      </c>
      <c r="AY43" s="56"/>
      <c r="AZ43" s="56"/>
      <c r="BA43" s="56"/>
      <c r="BB43" s="56"/>
      <c r="BC43" s="56"/>
      <c r="BD43" s="56"/>
      <c r="BE43" s="56"/>
      <c r="BF43" s="56"/>
    </row>
    <row r="44" spans="1:69" s="148" customFormat="1" ht="15">
      <c r="B44" s="57" t="s">
        <v>146</v>
      </c>
      <c r="C44" s="164"/>
      <c r="D44" s="56">
        <f>MAX(D38:D42)</f>
        <v>73.833970731679301</v>
      </c>
      <c r="E44" s="56">
        <f t="shared" ref="E44:AX44" si="37">MAX(E38:E42)</f>
        <v>1.0155687647645599</v>
      </c>
      <c r="F44" s="56">
        <f t="shared" si="37"/>
        <v>10.710053521962999</v>
      </c>
      <c r="G44" s="56">
        <f t="shared" si="37"/>
        <v>4.1282573114427201</v>
      </c>
      <c r="H44" s="56">
        <f t="shared" si="37"/>
        <v>3.2284202331298299E-2</v>
      </c>
      <c r="I44" s="56">
        <f t="shared" si="37"/>
        <v>0.76006236345685196</v>
      </c>
      <c r="J44" s="56">
        <f t="shared" si="37"/>
        <v>0.13098162088698201</v>
      </c>
      <c r="K44" s="56">
        <f t="shared" si="37"/>
        <v>0.16827991796651601</v>
      </c>
      <c r="L44" s="56">
        <f t="shared" si="37"/>
        <v>1.48784052458241</v>
      </c>
      <c r="M44" s="56">
        <f t="shared" si="37"/>
        <v>0.11679196686639599</v>
      </c>
      <c r="N44" s="56">
        <f t="shared" si="37"/>
        <v>7.5170842824601296</v>
      </c>
      <c r="O44" s="56">
        <f t="shared" si="37"/>
        <v>0</v>
      </c>
      <c r="P44" s="56">
        <f t="shared" si="37"/>
        <v>86.636187023724844</v>
      </c>
      <c r="Q44" s="56">
        <f t="shared" si="37"/>
        <v>6.9210856999246317</v>
      </c>
      <c r="R44" s="57" t="s">
        <v>146</v>
      </c>
      <c r="S44" s="56">
        <f t="shared" si="37"/>
        <v>394.14299999999997</v>
      </c>
      <c r="T44" s="56">
        <f t="shared" si="37"/>
        <v>9.4936000000000007</v>
      </c>
      <c r="U44" s="56">
        <f t="shared" si="37"/>
        <v>142.251</v>
      </c>
      <c r="V44" s="56">
        <f t="shared" si="37"/>
        <v>3345.3009999999999</v>
      </c>
      <c r="W44" s="56">
        <f t="shared" si="37"/>
        <v>3.5960000000000001</v>
      </c>
      <c r="X44" s="56">
        <f t="shared" si="37"/>
        <v>1095.115</v>
      </c>
      <c r="Y44" s="56">
        <f t="shared" si="37"/>
        <v>557.89099999999996</v>
      </c>
      <c r="Z44" s="56">
        <f t="shared" si="37"/>
        <v>27743.556</v>
      </c>
      <c r="AA44" s="56">
        <f t="shared" si="37"/>
        <v>435.58600000000001</v>
      </c>
      <c r="AB44" s="56">
        <f t="shared" si="37"/>
        <v>739.64099999999996</v>
      </c>
      <c r="AC44" s="56">
        <f t="shared" si="37"/>
        <v>454.16899999999998</v>
      </c>
      <c r="AD44" s="56">
        <f t="shared" si="37"/>
        <v>26.038</v>
      </c>
      <c r="AE44" s="56">
        <f t="shared" si="37"/>
        <v>6623.7730000000001</v>
      </c>
      <c r="AF44" s="56">
        <f t="shared" si="37"/>
        <v>128.75200000000001</v>
      </c>
      <c r="AG44" s="56"/>
      <c r="AH44" s="56"/>
      <c r="AI44" s="56"/>
      <c r="AJ44" s="56"/>
      <c r="AK44" s="57" t="s">
        <v>146</v>
      </c>
      <c r="AL44" s="193">
        <f t="shared" si="37"/>
        <v>19.504755642668901</v>
      </c>
      <c r="AM44" s="193">
        <f t="shared" si="37"/>
        <v>15.978948531879899</v>
      </c>
      <c r="AN44" s="193">
        <f t="shared" si="37"/>
        <v>39.107622779555598</v>
      </c>
      <c r="AO44" s="193">
        <f t="shared" si="37"/>
        <v>2.069748337998492</v>
      </c>
      <c r="AP44" s="193">
        <f t="shared" si="37"/>
        <v>1.22415477406203</v>
      </c>
      <c r="AQ44" s="193">
        <f t="shared" si="37"/>
        <v>5.5180019999999992</v>
      </c>
      <c r="AR44" s="56"/>
      <c r="AS44" s="56"/>
      <c r="AT44" s="57" t="s">
        <v>146</v>
      </c>
      <c r="AU44" s="56">
        <f t="shared" si="37"/>
        <v>104.66245210221885</v>
      </c>
      <c r="AV44" s="56">
        <f t="shared" si="37"/>
        <v>87.490535559954225</v>
      </c>
      <c r="AW44" s="56">
        <f t="shared" si="37"/>
        <v>214.02415021448851</v>
      </c>
      <c r="AX44" s="56">
        <f t="shared" si="37"/>
        <v>406.17713787666162</v>
      </c>
      <c r="AY44" s="56"/>
      <c r="AZ44" s="56"/>
      <c r="BA44" s="56"/>
      <c r="BB44" s="56"/>
      <c r="BC44" s="56"/>
      <c r="BD44" s="56"/>
      <c r="BE44" s="56"/>
      <c r="BF44" s="56"/>
    </row>
    <row r="45" spans="1:69" s="148" customFormat="1" ht="15">
      <c r="B45" s="57" t="s">
        <v>149</v>
      </c>
      <c r="C45" s="164"/>
      <c r="D45" s="56">
        <f>AVERAGE(D37:D42)</f>
        <v>73.745236994088003</v>
      </c>
      <c r="E45" s="56">
        <f t="shared" ref="E45:Q45" si="38">AVERAGE(E37:E42)</f>
        <v>1.0074935230587314</v>
      </c>
      <c r="F45" s="56">
        <f t="shared" si="38"/>
        <v>10.67619358725695</v>
      </c>
      <c r="G45" s="56">
        <f t="shared" si="38"/>
        <v>4.0338996436164152</v>
      </c>
      <c r="H45" s="56">
        <f t="shared" si="38"/>
        <v>3.1744081472228798E-2</v>
      </c>
      <c r="I45" s="56">
        <f t="shared" si="38"/>
        <v>0.75626179254994697</v>
      </c>
      <c r="J45" s="56">
        <f t="shared" si="38"/>
        <v>0.128344502535712</v>
      </c>
      <c r="K45" s="56">
        <f t="shared" si="38"/>
        <v>0.15961217896306401</v>
      </c>
      <c r="L45" s="56">
        <f t="shared" si="38"/>
        <v>1.4263954579875899</v>
      </c>
      <c r="M45" s="56">
        <f t="shared" si="38"/>
        <v>0.1142015331772995</v>
      </c>
      <c r="N45" s="56">
        <f t="shared" si="38"/>
        <v>7.3218476757259054</v>
      </c>
      <c r="O45" s="56" t="e">
        <f t="shared" si="38"/>
        <v>#DIV/0!</v>
      </c>
      <c r="P45" s="56">
        <f t="shared" si="38"/>
        <v>86.168058244941875</v>
      </c>
      <c r="Q45" s="56">
        <f t="shared" si="38"/>
        <v>6.9074897106978259</v>
      </c>
      <c r="R45" s="57" t="s">
        <v>149</v>
      </c>
      <c r="S45" s="56">
        <f t="shared" ref="S45:AX45" si="39">AVERAGE(S42:S42)</f>
        <v>394.14299999999997</v>
      </c>
      <c r="T45" s="56" t="e">
        <f t="shared" si="39"/>
        <v>#DIV/0!</v>
      </c>
      <c r="U45" s="56">
        <f t="shared" si="39"/>
        <v>142.251</v>
      </c>
      <c r="V45" s="56">
        <f t="shared" si="39"/>
        <v>1800.2739999999999</v>
      </c>
      <c r="W45" s="56">
        <f t="shared" si="39"/>
        <v>3.5960000000000001</v>
      </c>
      <c r="X45" s="56">
        <f t="shared" si="39"/>
        <v>1095.115</v>
      </c>
      <c r="Y45" s="56">
        <f t="shared" si="39"/>
        <v>502.32</v>
      </c>
      <c r="Z45" s="56">
        <f t="shared" si="39"/>
        <v>6871.3559999999998</v>
      </c>
      <c r="AA45" s="56">
        <f t="shared" si="39"/>
        <v>242.77099999999999</v>
      </c>
      <c r="AB45" s="56">
        <f t="shared" si="39"/>
        <v>447.51900000000001</v>
      </c>
      <c r="AC45" s="56">
        <f t="shared" si="39"/>
        <v>454.16899999999998</v>
      </c>
      <c r="AD45" s="56">
        <f t="shared" si="39"/>
        <v>26.038</v>
      </c>
      <c r="AE45" s="56">
        <f t="shared" si="39"/>
        <v>6623.7730000000001</v>
      </c>
      <c r="AF45" s="56">
        <f t="shared" si="39"/>
        <v>98.338999999999999</v>
      </c>
      <c r="AG45" s="56"/>
      <c r="AH45" s="56"/>
      <c r="AI45" s="56"/>
      <c r="AJ45" s="56"/>
      <c r="AK45" s="57" t="s">
        <v>149</v>
      </c>
      <c r="AL45" s="193">
        <f t="shared" si="39"/>
        <v>18.967454542825259</v>
      </c>
      <c r="AM45" s="193">
        <f t="shared" si="39"/>
        <v>15.855473694999429</v>
      </c>
      <c r="AN45" s="193">
        <f t="shared" si="39"/>
        <v>38.786530018381391</v>
      </c>
      <c r="AO45" s="193">
        <f t="shared" si="39"/>
        <v>2.0449270991873867</v>
      </c>
      <c r="AP45" s="193">
        <f t="shared" si="39"/>
        <v>1.1962854000000001</v>
      </c>
      <c r="AQ45" s="193">
        <f t="shared" si="39"/>
        <v>5.5180019999999992</v>
      </c>
      <c r="AR45" s="56"/>
      <c r="AS45" s="56"/>
      <c r="AT45" s="57" t="s">
        <v>149</v>
      </c>
      <c r="AU45" s="56">
        <f t="shared" si="39"/>
        <v>104.66245210221885</v>
      </c>
      <c r="AV45" s="56">
        <f t="shared" si="39"/>
        <v>87.490535559954225</v>
      </c>
      <c r="AW45" s="56">
        <f t="shared" si="39"/>
        <v>214.02415021448851</v>
      </c>
      <c r="AX45" s="56">
        <f t="shared" si="39"/>
        <v>406.17713787666162</v>
      </c>
      <c r="AY45" s="56"/>
      <c r="AZ45" s="56"/>
      <c r="BA45" s="56"/>
      <c r="BB45" s="56"/>
      <c r="BC45" s="56"/>
      <c r="BD45" s="56"/>
      <c r="BE45" s="56"/>
      <c r="BF45" s="56"/>
    </row>
    <row r="46" spans="1:69" s="148" customFormat="1" ht="15">
      <c r="B46" s="57" t="s">
        <v>151</v>
      </c>
      <c r="C46" s="164"/>
      <c r="D46" s="56">
        <f>STDEV(D38:D42)</f>
        <v>0.12548845514166865</v>
      </c>
      <c r="E46" s="56">
        <f t="shared" ref="E46:AX46" si="40">STDEV(E38:E42)</f>
        <v>1.1420116339823459E-2</v>
      </c>
      <c r="F46" s="56">
        <f t="shared" si="40"/>
        <v>4.7885178882363336E-2</v>
      </c>
      <c r="G46" s="56">
        <f t="shared" si="40"/>
        <v>0.13344189355382238</v>
      </c>
      <c r="H46" s="56">
        <f t="shared" si="40"/>
        <v>7.6384624421669319E-4</v>
      </c>
      <c r="I46" s="56">
        <f t="shared" si="40"/>
        <v>5.3748189213056628E-3</v>
      </c>
      <c r="J46" s="56">
        <f t="shared" si="40"/>
        <v>3.7294485379490198E-3</v>
      </c>
      <c r="K46" s="56">
        <f t="shared" si="40"/>
        <v>1.2258034053792088E-2</v>
      </c>
      <c r="L46" s="56">
        <f t="shared" si="40"/>
        <v>8.6896446519315163E-2</v>
      </c>
      <c r="M46" s="56">
        <f t="shared" si="40"/>
        <v>3.6634264555484371E-3</v>
      </c>
      <c r="N46" s="56">
        <f t="shared" si="40"/>
        <v>0.27610625711522813</v>
      </c>
      <c r="O46" s="56" t="e">
        <f t="shared" si="40"/>
        <v>#DIV/0!</v>
      </c>
      <c r="P46" s="56">
        <f t="shared" si="40"/>
        <v>0.66203406789294283</v>
      </c>
      <c r="Q46" s="56">
        <f t="shared" si="40"/>
        <v>1.9227632358427917E-2</v>
      </c>
      <c r="R46" s="57" t="s">
        <v>151</v>
      </c>
      <c r="S46" s="56">
        <f t="shared" si="40"/>
        <v>153.85611484462359</v>
      </c>
      <c r="T46" s="56">
        <f t="shared" si="40"/>
        <v>2.4949555667386205</v>
      </c>
      <c r="U46" s="56">
        <f t="shared" si="40"/>
        <v>63.073131302480938</v>
      </c>
      <c r="V46" s="56">
        <f t="shared" si="40"/>
        <v>1369.5027367103107</v>
      </c>
      <c r="W46" s="56">
        <f t="shared" si="40"/>
        <v>1.6579151727395463</v>
      </c>
      <c r="X46" s="56">
        <f t="shared" si="40"/>
        <v>452.36141524672524</v>
      </c>
      <c r="Y46" s="56">
        <f t="shared" si="40"/>
        <v>241.03856579429359</v>
      </c>
      <c r="Z46" s="56">
        <f t="shared" si="40"/>
        <v>10684.798314929112</v>
      </c>
      <c r="AA46" s="56">
        <f t="shared" si="40"/>
        <v>177.92019782809376</v>
      </c>
      <c r="AB46" s="56">
        <f t="shared" si="40"/>
        <v>301.33517368377017</v>
      </c>
      <c r="AC46" s="56">
        <f t="shared" si="40"/>
        <v>185.02756598283409</v>
      </c>
      <c r="AD46" s="56">
        <f t="shared" si="40"/>
        <v>5.4977576476232617</v>
      </c>
      <c r="AE46" s="56">
        <f t="shared" si="40"/>
        <v>2784.2037808543046</v>
      </c>
      <c r="AF46" s="56">
        <f t="shared" si="40"/>
        <v>53.239433525141862</v>
      </c>
      <c r="AG46" s="56"/>
      <c r="AH46" s="56"/>
      <c r="AI46" s="56"/>
      <c r="AJ46" s="56"/>
      <c r="AK46" s="57" t="s">
        <v>151</v>
      </c>
      <c r="AL46" s="54">
        <f t="shared" si="40"/>
        <v>0.30488273997641169</v>
      </c>
      <c r="AM46" s="54">
        <f t="shared" si="40"/>
        <v>0.15911488936844898</v>
      </c>
      <c r="AN46" s="54">
        <f t="shared" si="40"/>
        <v>0.23489030041326803</v>
      </c>
      <c r="AO46" s="54">
        <f t="shared" si="40"/>
        <v>2.8570470024961173E-2</v>
      </c>
      <c r="AP46" s="54">
        <f t="shared" si="40"/>
        <v>1.4570569413494232E-2</v>
      </c>
      <c r="AQ46" s="54">
        <f t="shared" si="40"/>
        <v>2.1539856078247293</v>
      </c>
      <c r="AR46" s="56"/>
      <c r="AS46" s="56"/>
      <c r="AT46" s="57" t="s">
        <v>151</v>
      </c>
      <c r="AU46" s="56">
        <f t="shared" si="40"/>
        <v>40.810302587914634</v>
      </c>
      <c r="AV46" s="56">
        <f t="shared" si="40"/>
        <v>34.11989192057527</v>
      </c>
      <c r="AW46" s="56">
        <f t="shared" si="40"/>
        <v>83.620602129667375</v>
      </c>
      <c r="AX46" s="56">
        <f t="shared" si="40"/>
        <v>158.54872130009758</v>
      </c>
      <c r="AY46" s="56"/>
      <c r="AZ46" s="56"/>
      <c r="BA46" s="56"/>
      <c r="BB46" s="56"/>
      <c r="BC46" s="56"/>
      <c r="BD46" s="56"/>
      <c r="BE46" s="56"/>
      <c r="BF46" s="56"/>
    </row>
    <row r="47" spans="1:69" s="148" customFormat="1" ht="15">
      <c r="B47" s="57" t="s">
        <v>152</v>
      </c>
      <c r="C47" s="164"/>
      <c r="D47" s="56">
        <f>D46/D45</f>
        <v>1.7016482725756078E-3</v>
      </c>
      <c r="E47" s="56">
        <f t="shared" ref="E47:AX47" si="41">E46/E45</f>
        <v>1.133517593756057E-2</v>
      </c>
      <c r="F47" s="56">
        <f t="shared" si="41"/>
        <v>4.4852295428137274E-3</v>
      </c>
      <c r="G47" s="56">
        <f t="shared" si="41"/>
        <v>3.3080122299272402E-2</v>
      </c>
      <c r="H47" s="56">
        <f t="shared" si="41"/>
        <v>2.4062634947712741E-2</v>
      </c>
      <c r="I47" s="56">
        <f t="shared" si="41"/>
        <v>7.1070877495780478E-3</v>
      </c>
      <c r="J47" s="56">
        <f t="shared" si="41"/>
        <v>2.905810895103432E-2</v>
      </c>
      <c r="K47" s="56">
        <f t="shared" si="41"/>
        <v>7.6798864180838797E-2</v>
      </c>
      <c r="L47" s="56">
        <f t="shared" si="41"/>
        <v>6.0920305117847053E-2</v>
      </c>
      <c r="M47" s="56">
        <f t="shared" si="41"/>
        <v>3.2078610099401342E-2</v>
      </c>
      <c r="N47" s="56">
        <f t="shared" si="41"/>
        <v>3.7709915494500409E-2</v>
      </c>
      <c r="O47" s="56" t="e">
        <f t="shared" si="41"/>
        <v>#DIV/0!</v>
      </c>
      <c r="P47" s="56">
        <f t="shared" si="41"/>
        <v>7.6830565917017715E-3</v>
      </c>
      <c r="Q47" s="56">
        <f t="shared" si="41"/>
        <v>2.7835918928188247E-3</v>
      </c>
      <c r="R47" s="57" t="s">
        <v>152</v>
      </c>
      <c r="S47" s="56">
        <f t="shared" si="41"/>
        <v>0.39035607595371125</v>
      </c>
      <c r="T47" s="56" t="e">
        <f t="shared" si="41"/>
        <v>#DIV/0!</v>
      </c>
      <c r="U47" s="56">
        <f t="shared" si="41"/>
        <v>0.44339323662034669</v>
      </c>
      <c r="V47" s="56">
        <f t="shared" si="41"/>
        <v>0.76071905538285334</v>
      </c>
      <c r="W47" s="56">
        <f t="shared" si="41"/>
        <v>0.46104426383190938</v>
      </c>
      <c r="X47" s="56">
        <f t="shared" si="41"/>
        <v>0.41307206571613503</v>
      </c>
      <c r="Y47" s="56">
        <f t="shared" si="41"/>
        <v>0.47985062469002548</v>
      </c>
      <c r="Z47" s="56">
        <f t="shared" si="41"/>
        <v>1.5549766763545816</v>
      </c>
      <c r="AA47" s="56">
        <f t="shared" si="41"/>
        <v>0.73287253349079495</v>
      </c>
      <c r="AB47" s="56">
        <f t="shared" si="41"/>
        <v>0.67334610079967594</v>
      </c>
      <c r="AC47" s="56">
        <f t="shared" si="41"/>
        <v>0.40739805222909115</v>
      </c>
      <c r="AD47" s="56">
        <f t="shared" si="41"/>
        <v>0.21114362269080811</v>
      </c>
      <c r="AE47" s="56">
        <f t="shared" si="41"/>
        <v>0.42033502368730097</v>
      </c>
      <c r="AF47" s="56">
        <f t="shared" si="41"/>
        <v>0.54138676949269227</v>
      </c>
      <c r="AG47" s="56"/>
      <c r="AH47" s="56"/>
      <c r="AI47" s="56"/>
      <c r="AJ47" s="56"/>
      <c r="AK47" s="57" t="s">
        <v>152</v>
      </c>
      <c r="AL47" s="54">
        <f t="shared" si="41"/>
        <v>1.6073993444298957E-2</v>
      </c>
      <c r="AM47" s="54">
        <f t="shared" si="41"/>
        <v>1.0035328646070749E-2</v>
      </c>
      <c r="AN47" s="54">
        <f t="shared" si="41"/>
        <v>6.0559761417675355E-3</v>
      </c>
      <c r="AO47" s="54">
        <f t="shared" si="41"/>
        <v>1.3971388044255713E-2</v>
      </c>
      <c r="AP47" s="54">
        <f t="shared" si="41"/>
        <v>1.2179843884656814E-2</v>
      </c>
      <c r="AQ47" s="54">
        <f t="shared" si="41"/>
        <v>0.39035607595371108</v>
      </c>
      <c r="AR47" s="56"/>
      <c r="AS47" s="56"/>
      <c r="AT47" s="57" t="s">
        <v>152</v>
      </c>
      <c r="AU47" s="56">
        <f t="shared" si="41"/>
        <v>0.38992305041790104</v>
      </c>
      <c r="AV47" s="56">
        <f t="shared" si="41"/>
        <v>0.38998380455899817</v>
      </c>
      <c r="AW47" s="56">
        <f t="shared" si="41"/>
        <v>0.39070638545166675</v>
      </c>
      <c r="AX47" s="56">
        <f t="shared" si="41"/>
        <v>0.39034378480514564</v>
      </c>
      <c r="AY47" s="56"/>
      <c r="AZ47" s="56"/>
      <c r="BA47" s="56"/>
      <c r="BB47" s="56"/>
      <c r="BC47" s="56"/>
      <c r="BD47" s="56"/>
      <c r="BE47" s="56"/>
      <c r="BF47" s="56"/>
    </row>
    <row r="48" spans="1:69" s="148" customFormat="1" ht="15">
      <c r="B48" s="57"/>
      <c r="C48" s="164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7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7"/>
      <c r="AL48" s="54"/>
      <c r="AM48" s="54"/>
      <c r="AN48" s="54"/>
      <c r="AO48" s="54"/>
      <c r="AP48" s="54"/>
      <c r="AQ48" s="54"/>
      <c r="AR48" s="56"/>
      <c r="AS48" s="56"/>
      <c r="AT48" s="57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</row>
    <row r="49" spans="1:69" s="104" customFormat="1" ht="15">
      <c r="A49" s="104" t="s">
        <v>159</v>
      </c>
      <c r="B49" s="57" t="s">
        <v>144</v>
      </c>
      <c r="C49" s="165"/>
      <c r="D49" s="57">
        <f>MIN(D12:D26)</f>
        <v>57.720496499749899</v>
      </c>
      <c r="E49" s="57">
        <f t="shared" ref="E49:AQ49" si="42">MIN(E12:E26)</f>
        <v>0.46145633444170497</v>
      </c>
      <c r="F49" s="57">
        <f t="shared" si="42"/>
        <v>9.7842329803336092</v>
      </c>
      <c r="G49" s="57">
        <f t="shared" si="42"/>
        <v>0.97087839275065502</v>
      </c>
      <c r="H49" s="57">
        <f t="shared" si="42"/>
        <v>2.6828856653587502E-3</v>
      </c>
      <c r="I49" s="57">
        <f t="shared" si="42"/>
        <v>0.75246122164304197</v>
      </c>
      <c r="J49" s="57">
        <f t="shared" si="42"/>
        <v>6.56831443139647E-2</v>
      </c>
      <c r="K49" s="57">
        <f t="shared" si="42"/>
        <v>0.1</v>
      </c>
      <c r="L49" s="57">
        <f t="shared" si="42"/>
        <v>1.3649503913927701</v>
      </c>
      <c r="M49" s="57">
        <f t="shared" si="42"/>
        <v>2.14612135351573E-2</v>
      </c>
      <c r="N49" s="57">
        <f t="shared" si="42"/>
        <v>2.7671022290545202</v>
      </c>
      <c r="O49" s="57">
        <f t="shared" si="42"/>
        <v>0</v>
      </c>
      <c r="P49" s="57">
        <f t="shared" si="42"/>
        <v>75.329440318235172</v>
      </c>
      <c r="Q49" s="57">
        <f t="shared" si="42"/>
        <v>4.5681183341797915</v>
      </c>
      <c r="R49" s="57" t="s">
        <v>144</v>
      </c>
      <c r="S49" s="57">
        <f t="shared" si="42"/>
        <v>16.875299999999999</v>
      </c>
      <c r="T49" s="57">
        <f t="shared" si="42"/>
        <v>5.9652000000000003</v>
      </c>
      <c r="U49" s="57">
        <f t="shared" si="42"/>
        <v>6.0140000000000002</v>
      </c>
      <c r="V49" s="57">
        <f t="shared" si="42"/>
        <v>8.9796999999999993</v>
      </c>
      <c r="W49" s="57">
        <f t="shared" si="42"/>
        <v>2.47E-2</v>
      </c>
      <c r="X49" s="57">
        <f t="shared" si="42"/>
        <v>73.188400000000001</v>
      </c>
      <c r="Y49" s="57">
        <f t="shared" si="42"/>
        <v>28.093</v>
      </c>
      <c r="Z49" s="57">
        <f t="shared" si="42"/>
        <v>76.108999999999995</v>
      </c>
      <c r="AA49" s="57">
        <f t="shared" si="42"/>
        <v>1.2495000000000001</v>
      </c>
      <c r="AB49" s="57">
        <f t="shared" si="42"/>
        <v>10.886200000000001</v>
      </c>
      <c r="AC49" s="57">
        <f t="shared" si="42"/>
        <v>20.796700000000001</v>
      </c>
      <c r="AD49" s="57">
        <f t="shared" si="42"/>
        <v>11.3278</v>
      </c>
      <c r="AE49" s="57">
        <f t="shared" si="42"/>
        <v>119.79089999999999</v>
      </c>
      <c r="AF49" s="57">
        <f t="shared" si="42"/>
        <v>1.8816999999999999</v>
      </c>
      <c r="AG49" s="57">
        <f t="shared" si="42"/>
        <v>90.44</v>
      </c>
      <c r="AH49" s="57">
        <f t="shared" si="42"/>
        <v>2.83</v>
      </c>
      <c r="AI49" s="57">
        <f t="shared" si="42"/>
        <v>8.7710000000000008</v>
      </c>
      <c r="AJ49" s="57">
        <f t="shared" si="42"/>
        <v>0.746</v>
      </c>
      <c r="AK49" s="57" t="s">
        <v>144</v>
      </c>
      <c r="AL49" s="186">
        <f t="shared" si="42"/>
        <v>19.0993439633225</v>
      </c>
      <c r="AM49" s="186">
        <f t="shared" si="42"/>
        <v>15.3946308306178</v>
      </c>
      <c r="AN49" s="186">
        <f t="shared" si="42"/>
        <v>38.524485053992201</v>
      </c>
      <c r="AO49" s="186">
        <f t="shared" si="42"/>
        <v>1.96659150360651</v>
      </c>
      <c r="AP49" s="186">
        <f t="shared" si="42"/>
        <v>1.22081275712694</v>
      </c>
      <c r="AQ49" s="186">
        <f t="shared" si="42"/>
        <v>0.23625419999999997</v>
      </c>
      <c r="AR49" s="57">
        <f>MIN(AR12:AR26)</f>
        <v>16.875299999999999</v>
      </c>
      <c r="AS49" s="57"/>
      <c r="AT49" s="57" t="s">
        <v>144</v>
      </c>
      <c r="AU49" s="57">
        <f>MIN(AU12:AU26)</f>
        <v>4.6639002523898974</v>
      </c>
      <c r="AV49" s="57">
        <f>MIN(AV12:AV26)</f>
        <v>3.7146750437105043</v>
      </c>
      <c r="AW49" s="57">
        <f>MIN(AW12:AW26)</f>
        <v>9.2844885861504256</v>
      </c>
      <c r="AX49" s="57">
        <f>MIN(AX12:AX26)</f>
        <v>17.663063882250825</v>
      </c>
      <c r="AY49" s="57">
        <f>MIN(AY12:AY26)</f>
        <v>16.875299999999999</v>
      </c>
      <c r="AZ49" s="57">
        <f t="shared" ref="AZ49:BA49" si="43">MIN(AZ12:AZ26)</f>
        <v>-12.966816908463958</v>
      </c>
      <c r="BA49" s="57">
        <f t="shared" si="43"/>
        <v>-12.440302629417424</v>
      </c>
      <c r="BB49" s="57"/>
      <c r="BC49" s="57"/>
      <c r="BD49" s="57"/>
      <c r="BE49" s="57"/>
      <c r="BF49" s="57"/>
    </row>
    <row r="50" spans="1:69" s="104" customFormat="1" ht="15">
      <c r="B50" s="57" t="s">
        <v>146</v>
      </c>
      <c r="C50" s="165"/>
      <c r="D50" s="57">
        <f>MAX(D12:D26)</f>
        <v>81.632141119834401</v>
      </c>
      <c r="E50" s="57">
        <f t="shared" ref="E50:AQ50" si="44">MAX(E12:E26)</f>
        <v>1.0155687647645599</v>
      </c>
      <c r="F50" s="57">
        <f t="shared" si="44"/>
        <v>14.895429790544</v>
      </c>
      <c r="G50" s="57">
        <f t="shared" si="44"/>
        <v>21.5614012145499</v>
      </c>
      <c r="H50" s="57">
        <f t="shared" si="44"/>
        <v>3.2284202331298299E-2</v>
      </c>
      <c r="I50" s="57">
        <f t="shared" si="44"/>
        <v>2.69351110678471</v>
      </c>
      <c r="J50" s="57">
        <f t="shared" si="44"/>
        <v>0.13098162088698201</v>
      </c>
      <c r="K50" s="57">
        <f t="shared" si="44"/>
        <v>0.66007127624235296</v>
      </c>
      <c r="L50" s="57">
        <f t="shared" si="44"/>
        <v>2.9910007889468502</v>
      </c>
      <c r="M50" s="57">
        <f t="shared" si="44"/>
        <v>0.24124011501125001</v>
      </c>
      <c r="N50" s="57">
        <f t="shared" si="44"/>
        <v>7.9207920792079403</v>
      </c>
      <c r="O50" s="57">
        <f t="shared" si="44"/>
        <v>0</v>
      </c>
      <c r="P50" s="57">
        <f t="shared" si="44"/>
        <v>86.636187023724844</v>
      </c>
      <c r="Q50" s="57">
        <f t="shared" si="44"/>
        <v>8.0794092260477974</v>
      </c>
      <c r="R50" s="57" t="s">
        <v>146</v>
      </c>
      <c r="S50" s="57">
        <f t="shared" si="44"/>
        <v>40.553600000000003</v>
      </c>
      <c r="T50" s="57">
        <f t="shared" si="44"/>
        <v>14.495799999999999</v>
      </c>
      <c r="U50" s="57">
        <f t="shared" si="44"/>
        <v>10.69</v>
      </c>
      <c r="V50" s="57">
        <f t="shared" si="44"/>
        <v>71.102900000000005</v>
      </c>
      <c r="W50" s="57">
        <f t="shared" si="44"/>
        <v>0.47789999999999999</v>
      </c>
      <c r="X50" s="57">
        <f t="shared" si="44"/>
        <v>187.75319999999999</v>
      </c>
      <c r="Y50" s="57">
        <f t="shared" si="44"/>
        <v>66.344300000000004</v>
      </c>
      <c r="Z50" s="57">
        <f t="shared" si="44"/>
        <v>2796.6959999999999</v>
      </c>
      <c r="AA50" s="57">
        <f t="shared" si="44"/>
        <v>29.5077</v>
      </c>
      <c r="AB50" s="57">
        <f t="shared" si="44"/>
        <v>103.7535</v>
      </c>
      <c r="AC50" s="57">
        <f t="shared" si="44"/>
        <v>336.77499999999998</v>
      </c>
      <c r="AD50" s="57">
        <f t="shared" si="44"/>
        <v>63.064999999999998</v>
      </c>
      <c r="AE50" s="57">
        <f t="shared" si="44"/>
        <v>354.23480000000001</v>
      </c>
      <c r="AF50" s="57">
        <f t="shared" si="44"/>
        <v>9.9425000000000008</v>
      </c>
      <c r="AG50" s="57">
        <f t="shared" si="44"/>
        <v>299.60000000000002</v>
      </c>
      <c r="AH50" s="57">
        <f t="shared" si="44"/>
        <v>8.8759999999999994</v>
      </c>
      <c r="AI50" s="57">
        <f t="shared" si="44"/>
        <v>18.88</v>
      </c>
      <c r="AJ50" s="57">
        <f t="shared" si="44"/>
        <v>1.6279999999999999</v>
      </c>
      <c r="AK50" s="57" t="s">
        <v>146</v>
      </c>
      <c r="AL50" s="186">
        <f t="shared" si="44"/>
        <v>19.890228930074201</v>
      </c>
      <c r="AM50" s="186">
        <f t="shared" si="44"/>
        <v>16.004798891094602</v>
      </c>
      <c r="AN50" s="186">
        <f t="shared" si="44"/>
        <v>39.764841694981698</v>
      </c>
      <c r="AO50" s="186">
        <f t="shared" si="44"/>
        <v>2.0193762754377298</v>
      </c>
      <c r="AP50" s="186">
        <f t="shared" si="44"/>
        <v>1.26747239029307</v>
      </c>
      <c r="AQ50" s="186">
        <f t="shared" si="44"/>
        <v>0.56775039999999999</v>
      </c>
      <c r="AR50" s="57">
        <f>MAX(AR12:AR26)</f>
        <v>40.553600000000003</v>
      </c>
      <c r="AS50" s="57"/>
      <c r="AT50" s="57" t="s">
        <v>146</v>
      </c>
      <c r="AU50" s="57">
        <f>MAX(AU12:AU26)</f>
        <v>11.122698727599271</v>
      </c>
      <c r="AV50" s="57">
        <f>MAX(AV12:AV26)</f>
        <v>8.9493018297070979</v>
      </c>
      <c r="AW50" s="57">
        <f>MAX(AW12:AW26)</f>
        <v>22.174072946756489</v>
      </c>
      <c r="AX50" s="57">
        <f>MAX(AX12:AX26)</f>
        <v>42.246073504062856</v>
      </c>
      <c r="AY50" s="57">
        <f>MAX(AY12:AY26)</f>
        <v>40.553600000000003</v>
      </c>
      <c r="AZ50" s="57">
        <f t="shared" ref="AZ50:BA50" si="45">MAX(AZ12:AZ26)</f>
        <v>15.991167455148926</v>
      </c>
      <c r="BA50" s="57">
        <f t="shared" si="45"/>
        <v>15.093262688715615</v>
      </c>
      <c r="BB50" s="57"/>
      <c r="BC50" s="57"/>
      <c r="BD50" s="57"/>
      <c r="BE50" s="57"/>
      <c r="BF50" s="57"/>
    </row>
    <row r="51" spans="1:69" s="148" customFormat="1" ht="15">
      <c r="B51" s="57" t="s">
        <v>150</v>
      </c>
      <c r="C51" s="164"/>
      <c r="D51" s="56">
        <f>AVERAGE(D12:D26)</f>
        <v>72.192226137295791</v>
      </c>
      <c r="E51" s="56">
        <f t="shared" ref="E51:AQ51" si="46">AVERAGE(E12:E26)</f>
        <v>0.62415399778249658</v>
      </c>
      <c r="F51" s="56">
        <f t="shared" si="46"/>
        <v>11.210017214510634</v>
      </c>
      <c r="G51" s="56">
        <f t="shared" si="46"/>
        <v>6.0258418806013996</v>
      </c>
      <c r="H51" s="56">
        <f t="shared" si="46"/>
        <v>1.1100693672461592E-2</v>
      </c>
      <c r="I51" s="56">
        <f t="shared" si="46"/>
        <v>1.3046827229651223</v>
      </c>
      <c r="J51" s="56">
        <f t="shared" si="46"/>
        <v>8.4955400779004028E-2</v>
      </c>
      <c r="K51" s="56">
        <f t="shared" si="46"/>
        <v>0.17832333150153643</v>
      </c>
      <c r="L51" s="56">
        <f t="shared" si="46"/>
        <v>2.4111475464088667</v>
      </c>
      <c r="M51" s="56">
        <f t="shared" si="46"/>
        <v>7.0738382683918674E-2</v>
      </c>
      <c r="N51" s="56">
        <f t="shared" si="46"/>
        <v>5.7294708016536804</v>
      </c>
      <c r="O51" s="56" t="e">
        <f t="shared" si="46"/>
        <v>#DIV/0!</v>
      </c>
      <c r="P51" s="56">
        <f t="shared" si="46"/>
        <v>80.758299393733552</v>
      </c>
      <c r="Q51" s="56">
        <f t="shared" si="46"/>
        <v>6.5222738199247772</v>
      </c>
      <c r="R51" s="57" t="s">
        <v>150</v>
      </c>
      <c r="S51" s="56">
        <f t="shared" si="46"/>
        <v>25.408686666666661</v>
      </c>
      <c r="T51" s="56">
        <f t="shared" si="46"/>
        <v>10.879140000000003</v>
      </c>
      <c r="U51" s="56">
        <f t="shared" si="46"/>
        <v>7.9717999999999982</v>
      </c>
      <c r="V51" s="56">
        <f t="shared" si="46"/>
        <v>30.907879999999995</v>
      </c>
      <c r="W51" s="56">
        <f t="shared" si="46"/>
        <v>0.13660666666666665</v>
      </c>
      <c r="X51" s="56">
        <f t="shared" si="46"/>
        <v>117.07059999999997</v>
      </c>
      <c r="Y51" s="56">
        <f t="shared" si="46"/>
        <v>49.126366666666669</v>
      </c>
      <c r="Z51" s="56">
        <f t="shared" si="46"/>
        <v>896.5057333333333</v>
      </c>
      <c r="AA51" s="56">
        <f t="shared" si="46"/>
        <v>8.9737399999999994</v>
      </c>
      <c r="AB51" s="56">
        <f t="shared" si="46"/>
        <v>36.551406666666665</v>
      </c>
      <c r="AC51" s="56">
        <f t="shared" si="46"/>
        <v>87.731333333333339</v>
      </c>
      <c r="AD51" s="56">
        <f t="shared" si="46"/>
        <v>27.653386666666666</v>
      </c>
      <c r="AE51" s="56">
        <f t="shared" si="46"/>
        <v>228.35771333333335</v>
      </c>
      <c r="AF51" s="56">
        <f t="shared" si="46"/>
        <v>4.5049533333333338</v>
      </c>
      <c r="AG51" s="56">
        <f t="shared" si="46"/>
        <v>140.9</v>
      </c>
      <c r="AH51" s="56">
        <f t="shared" si="46"/>
        <v>4.1091999999999995</v>
      </c>
      <c r="AI51" s="56">
        <f t="shared" si="46"/>
        <v>11.602666666666666</v>
      </c>
      <c r="AJ51" s="56">
        <f t="shared" si="46"/>
        <v>0.96573333333333344</v>
      </c>
      <c r="AK51" s="57" t="s">
        <v>150</v>
      </c>
      <c r="AL51" s="187">
        <f t="shared" si="46"/>
        <v>19.534415861825913</v>
      </c>
      <c r="AM51" s="187">
        <f t="shared" si="46"/>
        <v>15.678918545920622</v>
      </c>
      <c r="AN51" s="187">
        <f t="shared" si="46"/>
        <v>39.005579463410626</v>
      </c>
      <c r="AO51" s="187">
        <f t="shared" si="46"/>
        <v>1.9968458433485987</v>
      </c>
      <c r="AP51" s="187">
        <f t="shared" si="46"/>
        <v>1.2460154837166801</v>
      </c>
      <c r="AQ51" s="187">
        <f t="shared" si="46"/>
        <v>0.3557216133333333</v>
      </c>
      <c r="AR51" s="56">
        <f>AVERAGE(AR12:AR26)</f>
        <v>25.408686666666661</v>
      </c>
      <c r="AS51" s="56"/>
      <c r="AT51" s="57" t="s">
        <v>150</v>
      </c>
      <c r="AU51" s="56">
        <f>AVERAGE(AU12:AU26)</f>
        <v>6.9488702826738091</v>
      </c>
      <c r="AV51" s="56">
        <f>AVERAGE(AV12:AV26)</f>
        <v>5.5770145642389446</v>
      </c>
      <c r="AW51" s="56">
        <f>AVERAGE(AW12:AW26)</f>
        <v>13.873203619932205</v>
      </c>
      <c r="AX51" s="56">
        <f>AVERAGE(AX12:AX26)</f>
        <v>26.399088466844958</v>
      </c>
      <c r="AY51" s="56">
        <f>AVERAGE(AY12:AY26)</f>
        <v>25.408686666666661</v>
      </c>
      <c r="AZ51" s="56">
        <f t="shared" ref="AZ51:BA51" si="47">AVERAGE(AZ12:AZ26)</f>
        <v>-2.1667259986628542</v>
      </c>
      <c r="BA51" s="56">
        <f t="shared" si="47"/>
        <v>-2.8659284225157515</v>
      </c>
      <c r="BB51" s="56"/>
      <c r="BC51" s="56"/>
      <c r="BD51" s="56"/>
      <c r="BE51" s="56"/>
      <c r="BF51" s="56"/>
    </row>
    <row r="52" spans="1:69" s="148" customFormat="1" ht="15">
      <c r="B52" s="57" t="s">
        <v>151</v>
      </c>
      <c r="C52" s="164"/>
      <c r="D52" s="56">
        <f>STDEV(D12:D26)</f>
        <v>6.5221387395931139</v>
      </c>
      <c r="E52" s="56">
        <f t="shared" ref="E52:AQ52" si="48">STDEV(E12:E26)</f>
        <v>0.16784741106007239</v>
      </c>
      <c r="F52" s="56">
        <f t="shared" si="48"/>
        <v>1.2864443945135235</v>
      </c>
      <c r="G52" s="56">
        <f t="shared" si="48"/>
        <v>5.3867342495479082</v>
      </c>
      <c r="H52" s="56">
        <f t="shared" si="48"/>
        <v>9.7658253592854578E-3</v>
      </c>
      <c r="I52" s="56">
        <f t="shared" si="48"/>
        <v>0.58487693373442606</v>
      </c>
      <c r="J52" s="56">
        <f t="shared" si="48"/>
        <v>2.3397572672932208E-2</v>
      </c>
      <c r="K52" s="56">
        <f t="shared" si="48"/>
        <v>0.15525051124393907</v>
      </c>
      <c r="L52" s="56">
        <f t="shared" si="48"/>
        <v>0.48939249926877443</v>
      </c>
      <c r="M52" s="56">
        <f t="shared" si="48"/>
        <v>5.5803336941902412E-2</v>
      </c>
      <c r="N52" s="56">
        <f t="shared" si="48"/>
        <v>1.8162487549023365</v>
      </c>
      <c r="O52" s="56" t="e">
        <f t="shared" si="48"/>
        <v>#DIV/0!</v>
      </c>
      <c r="P52" s="56">
        <f t="shared" si="48"/>
        <v>3.2496973802405309</v>
      </c>
      <c r="Q52" s="56">
        <f t="shared" si="48"/>
        <v>0.96985774583568107</v>
      </c>
      <c r="R52" s="57" t="s">
        <v>151</v>
      </c>
      <c r="S52" s="56">
        <f t="shared" si="48"/>
        <v>6.0706423755018104</v>
      </c>
      <c r="T52" s="56">
        <f t="shared" si="48"/>
        <v>2.0383355204676024</v>
      </c>
      <c r="U52" s="56">
        <f t="shared" si="48"/>
        <v>1.6476488963715303</v>
      </c>
      <c r="V52" s="56">
        <f t="shared" si="48"/>
        <v>17.818488007091315</v>
      </c>
      <c r="W52" s="56">
        <f t="shared" si="48"/>
        <v>0.12213181676642117</v>
      </c>
      <c r="X52" s="56">
        <f t="shared" si="48"/>
        <v>39.196485006384471</v>
      </c>
      <c r="Y52" s="56">
        <f t="shared" si="48"/>
        <v>11.740853516958031</v>
      </c>
      <c r="Z52" s="56">
        <f t="shared" si="48"/>
        <v>839.99130875346134</v>
      </c>
      <c r="AA52" s="56">
        <f t="shared" si="48"/>
        <v>7.9863034508016097</v>
      </c>
      <c r="AB52" s="56">
        <f t="shared" si="48"/>
        <v>28.857397833298112</v>
      </c>
      <c r="AC52" s="56">
        <f t="shared" si="48"/>
        <v>93.875122268763178</v>
      </c>
      <c r="AD52" s="56">
        <f t="shared" si="48"/>
        <v>12.217894966217537</v>
      </c>
      <c r="AE52" s="56">
        <f t="shared" si="48"/>
        <v>82.83915948654321</v>
      </c>
      <c r="AF52" s="56">
        <f t="shared" si="48"/>
        <v>2.3779958007492241</v>
      </c>
      <c r="AG52" s="56">
        <f t="shared" si="48"/>
        <v>52.643571850159034</v>
      </c>
      <c r="AH52" s="56">
        <f t="shared" si="48"/>
        <v>1.5891447025725141</v>
      </c>
      <c r="AI52" s="56">
        <f t="shared" si="48"/>
        <v>2.5474375827672868</v>
      </c>
      <c r="AJ52" s="56">
        <f t="shared" si="48"/>
        <v>0.23105641446769298</v>
      </c>
      <c r="AK52" s="57" t="s">
        <v>151</v>
      </c>
      <c r="AL52" s="56">
        <f t="shared" si="48"/>
        <v>0.21035299456846451</v>
      </c>
      <c r="AM52" s="56">
        <f t="shared" si="48"/>
        <v>0.16276387439578704</v>
      </c>
      <c r="AN52" s="56">
        <f t="shared" si="48"/>
        <v>0.36203448950396816</v>
      </c>
      <c r="AO52" s="56">
        <f t="shared" si="48"/>
        <v>1.2653752107029986E-2</v>
      </c>
      <c r="AP52" s="56">
        <f t="shared" si="48"/>
        <v>1.401011827796699E-2</v>
      </c>
      <c r="AQ52" s="56">
        <f t="shared" si="48"/>
        <v>8.4988993257025108E-2</v>
      </c>
      <c r="AR52" s="56">
        <f>STDEV(AR12:AR26)</f>
        <v>6.0706423755018104</v>
      </c>
      <c r="AS52" s="56"/>
      <c r="AT52" s="57" t="s">
        <v>151</v>
      </c>
      <c r="AU52" s="56">
        <f>STDEV(AU12:AU26)</f>
        <v>1.6633760605341861</v>
      </c>
      <c r="AV52" s="56">
        <f>STDEV(AV12:AV26)</f>
        <v>1.3329324936021565</v>
      </c>
      <c r="AW52" s="56">
        <f>STDEV(AW12:AW26)</f>
        <v>3.3060280523911669</v>
      </c>
      <c r="AX52" s="56">
        <f>STDEV(AX12:AX26)</f>
        <v>6.3012205189660691</v>
      </c>
      <c r="AY52" s="56">
        <f>STDEV(AY12:AY26)</f>
        <v>6.0706423755018104</v>
      </c>
      <c r="AZ52" s="56">
        <f t="shared" ref="AZ52:BA52" si="49">STDEV(AZ12:AZ26)</f>
        <v>7.4035780899763939</v>
      </c>
      <c r="BA52" s="56">
        <f t="shared" si="49"/>
        <v>6.3376342819182465</v>
      </c>
      <c r="BB52" s="56"/>
      <c r="BC52" s="56"/>
      <c r="BD52" s="56"/>
      <c r="BE52" s="56"/>
      <c r="BF52" s="56"/>
    </row>
    <row r="53" spans="1:69" s="148" customFormat="1" ht="15">
      <c r="B53" s="57" t="s">
        <v>152</v>
      </c>
      <c r="C53" s="164"/>
      <c r="D53" s="56">
        <f>D52/D51</f>
        <v>9.0344059029143317E-2</v>
      </c>
      <c r="E53" s="56">
        <f t="shared" ref="E53:AQ53" si="50">E52/E51</f>
        <v>0.26891986858436079</v>
      </c>
      <c r="F53" s="56">
        <f t="shared" si="50"/>
        <v>0.11475846735081775</v>
      </c>
      <c r="G53" s="56">
        <f t="shared" si="50"/>
        <v>0.89393886469027195</v>
      </c>
      <c r="H53" s="56">
        <f t="shared" si="50"/>
        <v>0.87974910824828434</v>
      </c>
      <c r="I53" s="56">
        <f t="shared" si="50"/>
        <v>0.44829054868235685</v>
      </c>
      <c r="J53" s="56">
        <f t="shared" si="50"/>
        <v>0.27541006761649828</v>
      </c>
      <c r="K53" s="56">
        <f t="shared" si="50"/>
        <v>0.87061244278403038</v>
      </c>
      <c r="L53" s="56">
        <f t="shared" si="50"/>
        <v>0.20297078044753816</v>
      </c>
      <c r="M53" s="56">
        <f t="shared" si="50"/>
        <v>0.7888692789492977</v>
      </c>
      <c r="N53" s="56">
        <f t="shared" si="50"/>
        <v>0.31700113636640193</v>
      </c>
      <c r="O53" s="56" t="e">
        <f t="shared" si="50"/>
        <v>#DIV/0!</v>
      </c>
      <c r="P53" s="56">
        <f t="shared" si="50"/>
        <v>4.0239794604846418E-2</v>
      </c>
      <c r="Q53" s="56">
        <f t="shared" si="50"/>
        <v>0.14869932980625256</v>
      </c>
      <c r="R53" s="57" t="s">
        <v>152</v>
      </c>
      <c r="S53" s="56">
        <f t="shared" si="50"/>
        <v>0.23891995895505336</v>
      </c>
      <c r="T53" s="56">
        <f t="shared" si="50"/>
        <v>0.18736182459896664</v>
      </c>
      <c r="U53" s="56">
        <f t="shared" si="50"/>
        <v>0.20668467552767639</v>
      </c>
      <c r="V53" s="56">
        <f t="shared" si="50"/>
        <v>0.57650307970301806</v>
      </c>
      <c r="W53" s="56">
        <f t="shared" si="50"/>
        <v>0.89403994509605078</v>
      </c>
      <c r="X53" s="56">
        <f t="shared" si="50"/>
        <v>0.33481066131363879</v>
      </c>
      <c r="Y53" s="56">
        <f t="shared" si="50"/>
        <v>0.23899291385870922</v>
      </c>
      <c r="Z53" s="56">
        <f t="shared" si="50"/>
        <v>0.93696144656014246</v>
      </c>
      <c r="AA53" s="56">
        <f t="shared" si="50"/>
        <v>0.88996376659025223</v>
      </c>
      <c r="AB53" s="56">
        <f t="shared" si="50"/>
        <v>0.78950170362704086</v>
      </c>
      <c r="AC53" s="56">
        <f t="shared" si="50"/>
        <v>1.0700295858047277</v>
      </c>
      <c r="AD53" s="56">
        <f t="shared" si="50"/>
        <v>0.44182273634299418</v>
      </c>
      <c r="AE53" s="56">
        <f t="shared" si="50"/>
        <v>0.36276050533761928</v>
      </c>
      <c r="AF53" s="56">
        <f t="shared" si="50"/>
        <v>0.52786247154966248</v>
      </c>
      <c r="AG53" s="56">
        <f t="shared" si="50"/>
        <v>0.37362364691383271</v>
      </c>
      <c r="AH53" s="56">
        <f t="shared" si="50"/>
        <v>0.38672848792283515</v>
      </c>
      <c r="AI53" s="56">
        <f t="shared" si="50"/>
        <v>0.21955621547638074</v>
      </c>
      <c r="AJ53" s="56">
        <f t="shared" si="50"/>
        <v>0.23925488174895723</v>
      </c>
      <c r="AK53" s="57" t="s">
        <v>152</v>
      </c>
      <c r="AL53" s="56">
        <f t="shared" si="50"/>
        <v>1.0768327860754495E-2</v>
      </c>
      <c r="AM53" s="56">
        <f t="shared" si="50"/>
        <v>1.0381065117411133E-2</v>
      </c>
      <c r="AN53" s="56">
        <f t="shared" si="50"/>
        <v>9.2816077721285077E-3</v>
      </c>
      <c r="AO53" s="56">
        <f t="shared" si="50"/>
        <v>6.3368697935191395E-3</v>
      </c>
      <c r="AP53" s="56">
        <f t="shared" si="50"/>
        <v>1.1243935939043772E-2</v>
      </c>
      <c r="AQ53" s="56">
        <f t="shared" si="50"/>
        <v>0.23891995895505266</v>
      </c>
      <c r="AR53" s="56">
        <f t="shared" ref="AR53" si="51">AR52/AR51</f>
        <v>0.23891995895505336</v>
      </c>
      <c r="AS53" s="56"/>
      <c r="AT53" s="57" t="s">
        <v>152</v>
      </c>
      <c r="AU53" s="56">
        <f t="shared" ref="AU53" si="52">AU52/AU51</f>
        <v>0.23937359496861219</v>
      </c>
      <c r="AV53" s="56">
        <f t="shared" ref="AV53" si="53">AV52/AV51</f>
        <v>0.23900466427848613</v>
      </c>
      <c r="AW53" s="56">
        <f t="shared" ref="AW53" si="54">AW52/AW51</f>
        <v>0.23830314489446833</v>
      </c>
      <c r="AX53" s="56">
        <f t="shared" ref="AX53" si="55">AX52/AX51</f>
        <v>0.23869083687794274</v>
      </c>
      <c r="AY53" s="56">
        <f t="shared" ref="AY53" si="56">AY52/AY51</f>
        <v>0.23891995895505336</v>
      </c>
      <c r="AZ53" s="56">
        <f t="shared" ref="AZ53:BA53" si="57">AZ52/AZ51</f>
        <v>-3.416942471980926</v>
      </c>
      <c r="BA53" s="56">
        <f t="shared" si="57"/>
        <v>-2.2113721445823771</v>
      </c>
      <c r="BB53" s="56"/>
      <c r="BC53" s="56"/>
      <c r="BD53" s="56"/>
      <c r="BE53" s="56"/>
      <c r="BF53" s="56"/>
    </row>
    <row r="54" spans="1:69" s="148" customFormat="1" ht="15">
      <c r="B54" s="57"/>
      <c r="C54" s="164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7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7"/>
      <c r="AL54" s="56"/>
      <c r="AM54" s="56"/>
      <c r="AN54" s="56"/>
      <c r="AO54" s="56"/>
      <c r="AP54" s="56"/>
      <c r="AQ54" s="56"/>
      <c r="AR54" s="56"/>
      <c r="AS54" s="56"/>
      <c r="AT54" s="57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</row>
    <row r="55" spans="1:69" s="4" customFormat="1" ht="15">
      <c r="A55" s="4" t="s">
        <v>158</v>
      </c>
      <c r="B55" s="57" t="s">
        <v>144</v>
      </c>
      <c r="C55" s="158"/>
      <c r="D55" s="36">
        <f>MIN(D62:D77)</f>
        <v>40.602185175438002</v>
      </c>
      <c r="E55" s="36">
        <f t="shared" ref="E55:AR55" si="58">MIN(E62:E77)</f>
        <v>7.5397747565471698E-2</v>
      </c>
      <c r="F55" s="36">
        <f t="shared" si="58"/>
        <v>2.4447719648104198</v>
      </c>
      <c r="G55" s="36">
        <f t="shared" si="58"/>
        <v>0.47594828150703999</v>
      </c>
      <c r="H55" s="36">
        <f t="shared" si="58"/>
        <v>1.88494368913679E-3</v>
      </c>
      <c r="I55" s="36">
        <f t="shared" si="58"/>
        <v>0.136658417462417</v>
      </c>
      <c r="J55" s="36">
        <f t="shared" si="58"/>
        <v>6.2060937008809401E-2</v>
      </c>
      <c r="K55" s="36">
        <f t="shared" si="58"/>
        <v>9.5216780068310303E-2</v>
      </c>
      <c r="L55" s="36">
        <f t="shared" si="58"/>
        <v>0.37321885044908498</v>
      </c>
      <c r="M55" s="36">
        <f t="shared" si="58"/>
        <v>0.04</v>
      </c>
      <c r="N55" s="36">
        <f t="shared" si="58"/>
        <v>5.6847737237125804</v>
      </c>
      <c r="O55" s="36">
        <f t="shared" si="58"/>
        <v>0</v>
      </c>
      <c r="P55" s="36">
        <f t="shared" si="58"/>
        <v>60.640254508616074</v>
      </c>
      <c r="Q55" s="36">
        <f t="shared" si="58"/>
        <v>2.2923871739037596</v>
      </c>
      <c r="R55" s="57" t="s">
        <v>144</v>
      </c>
      <c r="S55" s="36">
        <f t="shared" si="58"/>
        <v>5.516</v>
      </c>
      <c r="T55" s="36">
        <f t="shared" si="58"/>
        <v>2.1760000000000002</v>
      </c>
      <c r="U55" s="36">
        <f t="shared" si="58"/>
        <v>5.5419999999999998</v>
      </c>
      <c r="V55" s="36">
        <f t="shared" si="58"/>
        <v>17.809999999999999</v>
      </c>
      <c r="W55" s="36">
        <f t="shared" si="58"/>
        <v>0.15820000000000001</v>
      </c>
      <c r="X55" s="36">
        <f t="shared" si="58"/>
        <v>32.851100000000002</v>
      </c>
      <c r="Y55" s="36">
        <f t="shared" si="58"/>
        <v>11.76</v>
      </c>
      <c r="Z55" s="36">
        <f t="shared" si="58"/>
        <v>12.13</v>
      </c>
      <c r="AA55" s="36">
        <f t="shared" si="58"/>
        <v>3.0830000000000002</v>
      </c>
      <c r="AB55" s="36">
        <f t="shared" si="58"/>
        <v>35.86</v>
      </c>
      <c r="AC55" s="36">
        <f t="shared" si="58"/>
        <v>33.15</v>
      </c>
      <c r="AD55" s="36">
        <f t="shared" si="58"/>
        <v>3.6669999999999998</v>
      </c>
      <c r="AE55" s="36">
        <f t="shared" si="58"/>
        <v>141.5752</v>
      </c>
      <c r="AF55" s="36">
        <f t="shared" si="58"/>
        <v>6.2720000000000002</v>
      </c>
      <c r="AG55" s="36">
        <f t="shared" si="58"/>
        <v>35.659999999999997</v>
      </c>
      <c r="AH55" s="36">
        <f t="shared" si="58"/>
        <v>0.99299999999999999</v>
      </c>
      <c r="AI55" s="36">
        <f t="shared" si="58"/>
        <v>2.5409999999999999</v>
      </c>
      <c r="AJ55" s="36">
        <f t="shared" si="58"/>
        <v>0.189</v>
      </c>
      <c r="AK55" s="57" t="s">
        <v>144</v>
      </c>
      <c r="AL55" s="188">
        <f t="shared" si="58"/>
        <v>18.318000000000001</v>
      </c>
      <c r="AM55" s="188">
        <f t="shared" si="58"/>
        <v>15.592029266351901</v>
      </c>
      <c r="AN55" s="188">
        <f t="shared" si="58"/>
        <v>38.063678070613598</v>
      </c>
      <c r="AO55" s="188">
        <f t="shared" si="58"/>
        <v>1.1660361621637725</v>
      </c>
      <c r="AP55" s="188">
        <f t="shared" si="58"/>
        <v>1.1672720321162302</v>
      </c>
      <c r="AQ55" s="188">
        <f t="shared" si="58"/>
        <v>7.7223999999999987E-2</v>
      </c>
      <c r="AR55" s="36">
        <f t="shared" si="58"/>
        <v>5.516</v>
      </c>
      <c r="AS55" s="36"/>
      <c r="AT55" s="57" t="s">
        <v>144</v>
      </c>
      <c r="AU55" s="36">
        <f>AVERAGE(AU27:AU29)</f>
        <v>6.2699116855032457</v>
      </c>
      <c r="AV55" s="36">
        <f>AVERAGE(AV27:AV29)</f>
        <v>4.9035113671260158</v>
      </c>
      <c r="AW55" s="36">
        <f>AVERAGE(AW27:AW29)</f>
        <v>12.160853427403685</v>
      </c>
      <c r="AX55" s="36">
        <f>AVERAGE(AX27:AX29)</f>
        <v>23.334276480032944</v>
      </c>
      <c r="AY55" s="36">
        <f>AVERAGE(AY27:AY29)</f>
        <v>22.294833333333333</v>
      </c>
      <c r="AZ55" s="36">
        <f t="shared" ref="AZ55:BA55" si="59">AVERAGE(AZ27:AZ29)</f>
        <v>-0.97232528965430698</v>
      </c>
      <c r="BA55" s="36">
        <f t="shared" si="59"/>
        <v>-0.96911210501636491</v>
      </c>
      <c r="BB55" s="36"/>
      <c r="BC55" s="36"/>
      <c r="BD55" s="36"/>
      <c r="BE55" s="36"/>
      <c r="BF55" s="36"/>
    </row>
    <row r="56" spans="1:69" s="4" customFormat="1" ht="15">
      <c r="B56" s="57" t="s">
        <v>146</v>
      </c>
      <c r="C56" s="158"/>
      <c r="D56" s="36">
        <f>MAX(D62:D77)</f>
        <v>90.052242276665595</v>
      </c>
      <c r="E56" s="36">
        <f t="shared" ref="E56:AR56" si="60">MAX(E62:E77)</f>
        <v>0.56000000000000005</v>
      </c>
      <c r="F56" s="36">
        <f t="shared" si="60"/>
        <v>17.711748537789799</v>
      </c>
      <c r="G56" s="36">
        <f t="shared" si="60"/>
        <v>6.8575268238195504</v>
      </c>
      <c r="H56" s="36">
        <f t="shared" si="60"/>
        <v>4.9599283432115303E-2</v>
      </c>
      <c r="I56" s="36">
        <f t="shared" si="60"/>
        <v>5.98498020080857</v>
      </c>
      <c r="J56" s="36">
        <f t="shared" si="60"/>
        <v>6.9787061951853397</v>
      </c>
      <c r="K56" s="36">
        <f t="shared" si="60"/>
        <v>2.7163475248750699</v>
      </c>
      <c r="L56" s="36">
        <f t="shared" si="60"/>
        <v>2.98</v>
      </c>
      <c r="M56" s="36">
        <f t="shared" si="60"/>
        <v>2.53413899278996</v>
      </c>
      <c r="N56" s="36">
        <f t="shared" si="60"/>
        <v>27.888871927949999</v>
      </c>
      <c r="O56" s="36">
        <f t="shared" si="60"/>
        <v>0</v>
      </c>
      <c r="P56" s="36">
        <f t="shared" si="60"/>
        <v>87.626439405804803</v>
      </c>
      <c r="Q56" s="36">
        <f t="shared" si="60"/>
        <v>36.834618350038511</v>
      </c>
      <c r="R56" s="57" t="s">
        <v>146</v>
      </c>
      <c r="S56" s="36">
        <f t="shared" si="60"/>
        <v>32.54</v>
      </c>
      <c r="T56" s="36">
        <f t="shared" si="60"/>
        <v>18.059999999999999</v>
      </c>
      <c r="U56" s="36">
        <f t="shared" si="60"/>
        <v>205.3</v>
      </c>
      <c r="V56" s="36">
        <f t="shared" si="60"/>
        <v>1591.6</v>
      </c>
      <c r="W56" s="36">
        <f t="shared" si="60"/>
        <v>10.119999999999999</v>
      </c>
      <c r="X56" s="36">
        <f t="shared" si="60"/>
        <v>7593.7</v>
      </c>
      <c r="Y56" s="36">
        <f t="shared" si="60"/>
        <v>469.4</v>
      </c>
      <c r="Z56" s="36">
        <f t="shared" si="60"/>
        <v>4541.4840000000004</v>
      </c>
      <c r="AA56" s="36">
        <f t="shared" si="60"/>
        <v>21.008099999999999</v>
      </c>
      <c r="AB56" s="36">
        <f t="shared" si="60"/>
        <v>407.7</v>
      </c>
      <c r="AC56" s="36">
        <f t="shared" si="60"/>
        <v>2203.3000000000002</v>
      </c>
      <c r="AD56" s="36">
        <f t="shared" si="60"/>
        <v>309.7</v>
      </c>
      <c r="AE56" s="36">
        <f t="shared" si="60"/>
        <v>4968.8</v>
      </c>
      <c r="AF56" s="36">
        <f t="shared" si="60"/>
        <v>320.60000000000002</v>
      </c>
      <c r="AG56" s="36">
        <f t="shared" si="60"/>
        <v>144.9</v>
      </c>
      <c r="AH56" s="36">
        <f t="shared" si="60"/>
        <v>3.7280000000000002</v>
      </c>
      <c r="AI56" s="36">
        <f t="shared" si="60"/>
        <v>13.1</v>
      </c>
      <c r="AJ56" s="36">
        <f t="shared" si="60"/>
        <v>1.131</v>
      </c>
      <c r="AK56" s="57" t="s">
        <v>146</v>
      </c>
      <c r="AL56" s="188">
        <f t="shared" si="60"/>
        <v>33.570999999999998</v>
      </c>
      <c r="AM56" s="188">
        <f t="shared" si="60"/>
        <v>16.577999999999999</v>
      </c>
      <c r="AN56" s="188">
        <f t="shared" si="60"/>
        <v>39.256</v>
      </c>
      <c r="AO56" s="188">
        <f t="shared" si="60"/>
        <v>2.0887105579211704</v>
      </c>
      <c r="AP56" s="188">
        <f t="shared" si="60"/>
        <v>2.0250331764989746</v>
      </c>
      <c r="AQ56" s="188">
        <f t="shared" si="60"/>
        <v>0.45555999999999996</v>
      </c>
      <c r="AR56" s="36">
        <f t="shared" si="60"/>
        <v>32.54</v>
      </c>
      <c r="AS56" s="36"/>
      <c r="AT56" s="57" t="s">
        <v>146</v>
      </c>
      <c r="AU56" s="36"/>
      <c r="AV56" s="36"/>
      <c r="AW56" s="36"/>
      <c r="AX56" s="36"/>
      <c r="AY56" s="36"/>
      <c r="AZ56" s="184"/>
      <c r="BA56" s="20"/>
      <c r="BB56" s="36"/>
      <c r="BC56" s="36"/>
      <c r="BD56" s="36"/>
      <c r="BE56" s="36"/>
      <c r="BF56" s="36"/>
    </row>
    <row r="57" spans="1:69" s="1" customFormat="1" ht="15">
      <c r="B57" s="57" t="s">
        <v>150</v>
      </c>
      <c r="C57" s="163"/>
      <c r="D57" s="185">
        <f>AVERAGE(D62:D77)</f>
        <v>65.499862221763465</v>
      </c>
      <c r="E57" s="185">
        <f t="shared" ref="E57:AR57" si="61">AVERAGE(E62:E77)</f>
        <v>0.39867486897124754</v>
      </c>
      <c r="F57" s="185">
        <f t="shared" si="61"/>
        <v>9.0644105932746974</v>
      </c>
      <c r="G57" s="185">
        <f t="shared" si="61"/>
        <v>3.4826655557316784</v>
      </c>
      <c r="H57" s="185">
        <f t="shared" si="61"/>
        <v>1.4513052434015744E-2</v>
      </c>
      <c r="I57" s="185">
        <f t="shared" si="61"/>
        <v>2.0474806329122921</v>
      </c>
      <c r="J57" s="185">
        <f t="shared" si="61"/>
        <v>1.5085483794061711</v>
      </c>
      <c r="K57" s="185">
        <f t="shared" si="61"/>
        <v>0.88570087262603159</v>
      </c>
      <c r="L57" s="185">
        <f t="shared" si="61"/>
        <v>1.6105878008845493</v>
      </c>
      <c r="M57" s="185">
        <f t="shared" si="61"/>
        <v>0.44431929930801817</v>
      </c>
      <c r="N57" s="185">
        <f t="shared" si="61"/>
        <v>14.774866427142332</v>
      </c>
      <c r="O57" s="185" t="e">
        <f t="shared" si="61"/>
        <v>#DIV/0!</v>
      </c>
      <c r="P57" s="185">
        <f t="shared" si="61"/>
        <v>73.898382959894548</v>
      </c>
      <c r="Q57" s="185">
        <f t="shared" si="61"/>
        <v>11.155596718304439</v>
      </c>
      <c r="R57" s="57" t="s">
        <v>150</v>
      </c>
      <c r="S57" s="185">
        <f t="shared" si="61"/>
        <v>21.830085714285712</v>
      </c>
      <c r="T57" s="185">
        <f t="shared" si="61"/>
        <v>8.7682142857142846</v>
      </c>
      <c r="U57" s="185">
        <f t="shared" si="61"/>
        <v>43.265857142857143</v>
      </c>
      <c r="V57" s="185">
        <f t="shared" si="61"/>
        <v>316.66977142857144</v>
      </c>
      <c r="W57" s="185">
        <f t="shared" si="61"/>
        <v>3.0014142857142856</v>
      </c>
      <c r="X57" s="185">
        <f t="shared" si="61"/>
        <v>2182.2378428571433</v>
      </c>
      <c r="Y57" s="185">
        <f t="shared" si="61"/>
        <v>164.55925714285712</v>
      </c>
      <c r="Z57" s="185">
        <f t="shared" si="61"/>
        <v>1074.1701666666668</v>
      </c>
      <c r="AA57" s="185">
        <f t="shared" si="61"/>
        <v>13.120385714285714</v>
      </c>
      <c r="AB57" s="185">
        <f t="shared" si="61"/>
        <v>168.63004285714285</v>
      </c>
      <c r="AC57" s="185">
        <f t="shared" si="61"/>
        <v>393.17852857142856</v>
      </c>
      <c r="AD57" s="185">
        <f t="shared" si="61"/>
        <v>107.03974285714287</v>
      </c>
      <c r="AE57" s="185">
        <f t="shared" si="61"/>
        <v>1522.6851714285715</v>
      </c>
      <c r="AF57" s="185">
        <f t="shared" si="61"/>
        <v>71.599928571428578</v>
      </c>
      <c r="AG57" s="185">
        <f t="shared" si="61"/>
        <v>110.89285714285714</v>
      </c>
      <c r="AH57" s="185">
        <f t="shared" si="61"/>
        <v>2.7917142857142854</v>
      </c>
      <c r="AI57" s="185">
        <f t="shared" si="61"/>
        <v>9.3738571428571422</v>
      </c>
      <c r="AJ57" s="185">
        <f t="shared" si="61"/>
        <v>0.69771428571428573</v>
      </c>
      <c r="AK57" s="57" t="s">
        <v>150</v>
      </c>
      <c r="AL57" s="187">
        <f t="shared" si="61"/>
        <v>25.496259775969857</v>
      </c>
      <c r="AM57" s="187">
        <f t="shared" si="61"/>
        <v>16.077177588697118</v>
      </c>
      <c r="AN57" s="187">
        <f t="shared" si="61"/>
        <v>38.729850259394738</v>
      </c>
      <c r="AO57" s="187">
        <f t="shared" si="61"/>
        <v>1.5922271608284762</v>
      </c>
      <c r="AP57" s="187">
        <f t="shared" si="61"/>
        <v>1.5797196323760541</v>
      </c>
      <c r="AQ57" s="187">
        <f t="shared" si="61"/>
        <v>0.30562119999999998</v>
      </c>
      <c r="AR57" s="185">
        <f t="shared" si="61"/>
        <v>21.830085714285712</v>
      </c>
      <c r="AS57" s="185"/>
      <c r="AT57" s="57" t="s">
        <v>150</v>
      </c>
      <c r="AU57" s="34"/>
      <c r="AV57" s="34"/>
      <c r="AW57" s="34"/>
      <c r="AX57" s="34"/>
      <c r="AY57" s="47"/>
      <c r="AZ57" s="184"/>
      <c r="BA57" s="20"/>
      <c r="BB57" s="47"/>
      <c r="BC57" s="47"/>
      <c r="BD57" s="47"/>
      <c r="BE57" s="47"/>
      <c r="BF57" s="47"/>
      <c r="BG57" s="47"/>
      <c r="BI57" s="53"/>
      <c r="BJ57" s="53"/>
      <c r="BK57" s="53"/>
      <c r="BL57" s="53"/>
      <c r="BM57" s="53"/>
      <c r="BN57" s="53"/>
      <c r="BO57" s="53"/>
      <c r="BP57" s="53"/>
      <c r="BQ57" s="53"/>
    </row>
    <row r="58" spans="1:69" s="1" customFormat="1" ht="15">
      <c r="B58" s="57" t="s">
        <v>151</v>
      </c>
      <c r="C58" s="163"/>
      <c r="D58" s="39">
        <f>STDEV(D62:D77)</f>
        <v>14.95023304033691</v>
      </c>
      <c r="E58" s="39">
        <f t="shared" ref="E58:AR58" si="62">STDEV(E62:E77)</f>
        <v>0.15785224570531836</v>
      </c>
      <c r="F58" s="39">
        <f t="shared" si="62"/>
        <v>4.6731006639608363</v>
      </c>
      <c r="G58" s="39">
        <f t="shared" si="62"/>
        <v>1.9140071421439038</v>
      </c>
      <c r="H58" s="39">
        <f t="shared" si="62"/>
        <v>1.6667528937143444E-2</v>
      </c>
      <c r="I58" s="39">
        <f t="shared" si="62"/>
        <v>1.9373722342609843</v>
      </c>
      <c r="J58" s="39">
        <f t="shared" si="62"/>
        <v>2.4877442083494778</v>
      </c>
      <c r="K58" s="39">
        <f t="shared" si="62"/>
        <v>1.1681566210420979</v>
      </c>
      <c r="L58" s="39">
        <f t="shared" si="62"/>
        <v>0.96420316784662896</v>
      </c>
      <c r="M58" s="39">
        <f t="shared" si="62"/>
        <v>0.92282486010289222</v>
      </c>
      <c r="N58" s="39">
        <f t="shared" si="62"/>
        <v>8.1928942442677855</v>
      </c>
      <c r="O58" s="39" t="e">
        <f t="shared" si="62"/>
        <v>#DIV/0!</v>
      </c>
      <c r="P58" s="39">
        <f t="shared" si="62"/>
        <v>8.5473885762383759</v>
      </c>
      <c r="Q58" s="39">
        <f t="shared" si="62"/>
        <v>11.577344260613039</v>
      </c>
      <c r="R58" s="57" t="s">
        <v>151</v>
      </c>
      <c r="S58" s="39">
        <f t="shared" si="62"/>
        <v>8.6679060813302549</v>
      </c>
      <c r="T58" s="39">
        <f t="shared" si="62"/>
        <v>5.0031381560072132</v>
      </c>
      <c r="U58" s="39">
        <f t="shared" si="62"/>
        <v>73.397148905636598</v>
      </c>
      <c r="V58" s="39">
        <f t="shared" si="62"/>
        <v>586.09657872636978</v>
      </c>
      <c r="W58" s="39">
        <f t="shared" si="62"/>
        <v>4.4579031754209932</v>
      </c>
      <c r="X58" s="39">
        <f t="shared" si="62"/>
        <v>2951.6279675578207</v>
      </c>
      <c r="Y58" s="39">
        <f t="shared" si="62"/>
        <v>167.76827336843576</v>
      </c>
      <c r="Z58" s="39">
        <f t="shared" si="62"/>
        <v>1829.3615773228014</v>
      </c>
      <c r="AA58" s="39">
        <f t="shared" si="62"/>
        <v>6.2473088623365367</v>
      </c>
      <c r="AB58" s="39">
        <f t="shared" si="62"/>
        <v>169.78750194271129</v>
      </c>
      <c r="AC58" s="39">
        <f t="shared" si="62"/>
        <v>800.29213113639685</v>
      </c>
      <c r="AD58" s="39">
        <f t="shared" si="62"/>
        <v>120.48555682485842</v>
      </c>
      <c r="AE58" s="39">
        <f t="shared" si="62"/>
        <v>1688.33253507106</v>
      </c>
      <c r="AF58" s="39">
        <f t="shared" si="62"/>
        <v>112.50696938798525</v>
      </c>
      <c r="AG58" s="39">
        <f t="shared" si="62"/>
        <v>37.835775272567012</v>
      </c>
      <c r="AH58" s="39">
        <f t="shared" si="62"/>
        <v>0.94211830720027245</v>
      </c>
      <c r="AI58" s="39">
        <f t="shared" si="62"/>
        <v>3.4825180750223197</v>
      </c>
      <c r="AJ58" s="39">
        <f t="shared" si="62"/>
        <v>0.29077580956567106</v>
      </c>
      <c r="AK58" s="57" t="s">
        <v>151</v>
      </c>
      <c r="AL58" s="39">
        <f t="shared" si="62"/>
        <v>5.6204245964989852</v>
      </c>
      <c r="AM58" s="39">
        <f t="shared" si="62"/>
        <v>0.35304465590747897</v>
      </c>
      <c r="AN58" s="39">
        <f t="shared" si="62"/>
        <v>0.41504701521268883</v>
      </c>
      <c r="AO58" s="39">
        <f t="shared" si="62"/>
        <v>0.35858101477835214</v>
      </c>
      <c r="AP58" s="39">
        <f t="shared" si="62"/>
        <v>0.31651688792209226</v>
      </c>
      <c r="AQ58" s="39">
        <f t="shared" si="62"/>
        <v>0.12135068513862346</v>
      </c>
      <c r="AR58" s="39">
        <f t="shared" si="62"/>
        <v>8.6679060813302549</v>
      </c>
      <c r="AS58" s="39"/>
      <c r="AT58" s="57" t="s">
        <v>151</v>
      </c>
      <c r="AU58" s="34"/>
      <c r="AV58" s="34"/>
      <c r="AW58" s="34"/>
      <c r="AX58" s="34"/>
      <c r="AY58" s="47"/>
      <c r="AZ58" s="184"/>
      <c r="BA58" s="20"/>
      <c r="BB58" s="47"/>
      <c r="BC58" s="47"/>
      <c r="BD58" s="47"/>
      <c r="BE58" s="47"/>
      <c r="BF58" s="47"/>
      <c r="BG58" s="47"/>
      <c r="BI58" s="53"/>
      <c r="BJ58" s="53"/>
      <c r="BK58" s="53"/>
      <c r="BL58" s="53"/>
      <c r="BM58" s="53"/>
      <c r="BN58" s="53"/>
      <c r="BO58" s="53"/>
      <c r="BP58" s="53"/>
      <c r="BQ58" s="53"/>
    </row>
    <row r="59" spans="1:69" s="4" customFormat="1" ht="15">
      <c r="B59" s="57" t="s">
        <v>152</v>
      </c>
      <c r="C59" s="51"/>
      <c r="D59" s="56">
        <f>D58/D57</f>
        <v>0.22824831279369373</v>
      </c>
      <c r="E59" s="56">
        <f t="shared" ref="E59:AR59" si="63">E58/E57</f>
        <v>0.39594230284102178</v>
      </c>
      <c r="F59" s="56">
        <f t="shared" si="63"/>
        <v>0.51554379800800554</v>
      </c>
      <c r="G59" s="56">
        <f t="shared" si="63"/>
        <v>0.54958109284822987</v>
      </c>
      <c r="H59" s="56">
        <f t="shared" si="63"/>
        <v>1.1484509556430755</v>
      </c>
      <c r="I59" s="56">
        <f t="shared" si="63"/>
        <v>0.94622249564593341</v>
      </c>
      <c r="J59" s="56">
        <f t="shared" si="63"/>
        <v>1.6490980616271385</v>
      </c>
      <c r="K59" s="56">
        <f t="shared" si="63"/>
        <v>1.3189064808964317</v>
      </c>
      <c r="L59" s="56">
        <f t="shared" si="63"/>
        <v>0.59866538621308318</v>
      </c>
      <c r="M59" s="56">
        <f t="shared" si="63"/>
        <v>2.0769407530577615</v>
      </c>
      <c r="N59" s="56">
        <f t="shared" si="63"/>
        <v>0.55451562182768288</v>
      </c>
      <c r="O59" s="56" t="e">
        <f t="shared" si="63"/>
        <v>#DIV/0!</v>
      </c>
      <c r="P59" s="56">
        <f t="shared" si="63"/>
        <v>0.11566408132201128</v>
      </c>
      <c r="Q59" s="56">
        <f t="shared" si="63"/>
        <v>1.0378059150898296</v>
      </c>
      <c r="R59" s="57" t="s">
        <v>152</v>
      </c>
      <c r="S59" s="56">
        <f t="shared" si="63"/>
        <v>0.39706239337658378</v>
      </c>
      <c r="T59" s="56">
        <f t="shared" si="63"/>
        <v>0.57059943940451296</v>
      </c>
      <c r="U59" s="56">
        <f t="shared" si="63"/>
        <v>1.6964219306528612</v>
      </c>
      <c r="V59" s="56">
        <f t="shared" si="63"/>
        <v>1.8508131549227165</v>
      </c>
      <c r="W59" s="56">
        <f t="shared" si="63"/>
        <v>1.4852675275916094</v>
      </c>
      <c r="X59" s="56">
        <f t="shared" si="63"/>
        <v>1.3525693256667828</v>
      </c>
      <c r="Y59" s="56">
        <f t="shared" si="63"/>
        <v>1.0195006727746274</v>
      </c>
      <c r="Z59" s="56">
        <f t="shared" si="63"/>
        <v>1.703046345998998</v>
      </c>
      <c r="AA59" s="56">
        <f t="shared" si="63"/>
        <v>0.47615283562390653</v>
      </c>
      <c r="AB59" s="56">
        <f t="shared" si="63"/>
        <v>1.0068638960529055</v>
      </c>
      <c r="AC59" s="56">
        <f t="shared" si="63"/>
        <v>2.0354421032200598</v>
      </c>
      <c r="AD59" s="56">
        <f t="shared" si="63"/>
        <v>1.1256151557245477</v>
      </c>
      <c r="AE59" s="56">
        <f t="shared" si="63"/>
        <v>1.1087863510794418</v>
      </c>
      <c r="AF59" s="56">
        <f t="shared" si="63"/>
        <v>1.5713279556661504</v>
      </c>
      <c r="AG59" s="56">
        <f t="shared" si="63"/>
        <v>0.34119217637097471</v>
      </c>
      <c r="AH59" s="56">
        <f t="shared" si="63"/>
        <v>0.33746945811083351</v>
      </c>
      <c r="AI59" s="56">
        <f t="shared" si="63"/>
        <v>0.37151388398061841</v>
      </c>
      <c r="AJ59" s="56">
        <f t="shared" si="63"/>
        <v>0.41675484581484384</v>
      </c>
      <c r="AK59" s="57" t="s">
        <v>152</v>
      </c>
      <c r="AL59" s="56">
        <f t="shared" si="63"/>
        <v>0.22044114100987539</v>
      </c>
      <c r="AM59" s="56">
        <f t="shared" si="63"/>
        <v>2.1959367803194702E-2</v>
      </c>
      <c r="AN59" s="56">
        <f t="shared" si="63"/>
        <v>1.0716463204295774E-2</v>
      </c>
      <c r="AO59" s="56">
        <f t="shared" si="63"/>
        <v>0.22520719630971081</v>
      </c>
      <c r="AP59" s="56">
        <f t="shared" si="63"/>
        <v>0.20036269818715849</v>
      </c>
      <c r="AQ59" s="56">
        <f t="shared" si="63"/>
        <v>0.39706239337658339</v>
      </c>
      <c r="AR59" s="56">
        <f t="shared" si="63"/>
        <v>0.39706239337658378</v>
      </c>
      <c r="AS59" s="56"/>
      <c r="AT59" s="57" t="s">
        <v>152</v>
      </c>
      <c r="AU59" s="34"/>
      <c r="AV59" s="34"/>
      <c r="AW59" s="34"/>
      <c r="AX59" s="34"/>
      <c r="AY59" s="47"/>
      <c r="AZ59" s="51"/>
      <c r="BA59" s="34"/>
      <c r="BB59" s="47"/>
      <c r="BC59" s="47"/>
      <c r="BD59" s="47"/>
      <c r="BE59" s="47"/>
      <c r="BF59" s="47"/>
      <c r="BG59" s="47"/>
      <c r="BI59" s="47"/>
      <c r="BJ59" s="47"/>
      <c r="BK59" s="47"/>
      <c r="BL59" s="47"/>
      <c r="BM59" s="47"/>
      <c r="BN59" s="47"/>
      <c r="BO59" s="47"/>
      <c r="BP59" s="47"/>
      <c r="BQ59" s="47"/>
    </row>
    <row r="60" spans="1:69" s="1" customFormat="1" ht="15">
      <c r="B60" s="56"/>
      <c r="C60" s="163"/>
      <c r="D60" s="39"/>
      <c r="E60" s="39"/>
      <c r="F60" s="39"/>
      <c r="G60" s="39"/>
      <c r="H60" s="39"/>
      <c r="I60" s="39"/>
      <c r="J60" s="39"/>
      <c r="K60" s="39"/>
      <c r="L60" s="39"/>
      <c r="M60" s="65"/>
      <c r="N60" s="39"/>
      <c r="O60" s="39"/>
      <c r="P60" s="92"/>
      <c r="Q60" s="92"/>
      <c r="R60" s="48"/>
      <c r="S60" s="53"/>
      <c r="T60" s="53"/>
      <c r="U60" s="53"/>
      <c r="V60" s="53"/>
      <c r="W60" s="65"/>
      <c r="X60" s="39"/>
      <c r="Y60" s="39"/>
      <c r="Z60" s="39"/>
      <c r="AA60" s="39"/>
      <c r="AB60" s="39"/>
      <c r="AC60" s="39"/>
      <c r="AD60" s="39"/>
      <c r="AE60" s="39"/>
      <c r="AF60" s="39"/>
      <c r="AG60" s="49"/>
      <c r="AH60" s="49"/>
      <c r="AI60" s="49"/>
      <c r="AJ60" s="49"/>
      <c r="AK60" s="48"/>
      <c r="AL60" s="39"/>
      <c r="AM60" s="39"/>
      <c r="AN60" s="39"/>
      <c r="AO60" s="39"/>
      <c r="AP60" s="39"/>
      <c r="AQ60" s="39"/>
      <c r="AR60" s="39"/>
      <c r="AS60" s="39"/>
      <c r="AT60" s="48"/>
      <c r="AU60" s="34"/>
      <c r="AV60" s="34"/>
      <c r="AW60" s="34"/>
      <c r="AX60" s="34"/>
      <c r="AY60" s="47"/>
      <c r="AZ60" s="184"/>
      <c r="BA60" s="20"/>
      <c r="BB60" s="47"/>
      <c r="BC60" s="47"/>
      <c r="BD60" s="47"/>
      <c r="BE60" s="47"/>
      <c r="BF60" s="47"/>
      <c r="BG60" s="47"/>
      <c r="BI60" s="53"/>
      <c r="BJ60" s="53"/>
      <c r="BK60" s="53"/>
      <c r="BL60" s="53"/>
      <c r="BM60" s="53"/>
      <c r="BN60" s="53"/>
      <c r="BO60" s="53"/>
      <c r="BP60" s="53"/>
      <c r="BQ60" s="53"/>
    </row>
    <row r="61" spans="1:69" s="1" customFormat="1" ht="18">
      <c r="B61" s="80" t="s">
        <v>60</v>
      </c>
      <c r="C61" s="166"/>
      <c r="D61" s="59" t="s">
        <v>1</v>
      </c>
      <c r="E61" s="59" t="s">
        <v>2</v>
      </c>
      <c r="F61" s="59" t="s">
        <v>3</v>
      </c>
      <c r="G61" s="59" t="s">
        <v>61</v>
      </c>
      <c r="H61" s="59" t="s">
        <v>5</v>
      </c>
      <c r="I61" s="59" t="s">
        <v>6</v>
      </c>
      <c r="J61" s="59" t="s">
        <v>7</v>
      </c>
      <c r="K61" s="59" t="s">
        <v>8</v>
      </c>
      <c r="L61" s="59" t="s">
        <v>9</v>
      </c>
      <c r="M61" s="133" t="s">
        <v>10</v>
      </c>
      <c r="N61" s="59" t="s">
        <v>11</v>
      </c>
      <c r="O61" s="59"/>
      <c r="P61" s="93"/>
      <c r="Q61" s="88"/>
      <c r="R61" s="80" t="s">
        <v>60</v>
      </c>
      <c r="S61" s="20" t="s">
        <v>14</v>
      </c>
      <c r="T61" s="20" t="s">
        <v>15</v>
      </c>
      <c r="U61" s="20" t="s">
        <v>16</v>
      </c>
      <c r="V61" s="48" t="s">
        <v>17</v>
      </c>
      <c r="W61" s="62" t="s">
        <v>25</v>
      </c>
      <c r="X61" s="31" t="s">
        <v>18</v>
      </c>
      <c r="Y61" s="31" t="s">
        <v>19</v>
      </c>
      <c r="Z61" s="31" t="s">
        <v>20</v>
      </c>
      <c r="AA61" s="30" t="s">
        <v>21</v>
      </c>
      <c r="AB61" s="31" t="s">
        <v>22</v>
      </c>
      <c r="AC61" s="30" t="s">
        <v>23</v>
      </c>
      <c r="AD61" s="30" t="s">
        <v>24</v>
      </c>
      <c r="AE61" s="30" t="s">
        <v>26</v>
      </c>
      <c r="AF61" s="30" t="s">
        <v>27</v>
      </c>
      <c r="AG61" s="62"/>
      <c r="AH61" s="62"/>
      <c r="AI61" s="62"/>
      <c r="AJ61" s="62"/>
      <c r="AK61" s="80" t="s">
        <v>60</v>
      </c>
      <c r="AL61" s="32" t="s">
        <v>116</v>
      </c>
      <c r="AM61" s="32" t="s">
        <v>117</v>
      </c>
      <c r="AN61" s="32" t="s">
        <v>118</v>
      </c>
      <c r="AO61" s="33" t="s">
        <v>119</v>
      </c>
      <c r="AP61" s="33" t="s">
        <v>120</v>
      </c>
      <c r="AQ61" s="38"/>
      <c r="AR61" s="33" t="s">
        <v>14</v>
      </c>
      <c r="AS61" s="30"/>
      <c r="AT61" s="80" t="s">
        <v>60</v>
      </c>
      <c r="AU61" s="34" t="s">
        <v>122</v>
      </c>
      <c r="AV61" s="34" t="s">
        <v>123</v>
      </c>
      <c r="AW61" s="34" t="s">
        <v>124</v>
      </c>
      <c r="AX61" s="34" t="s">
        <v>33</v>
      </c>
      <c r="AY61" s="20" t="s">
        <v>14</v>
      </c>
      <c r="AZ61" s="184"/>
      <c r="BA61" s="20"/>
      <c r="BB61" s="20"/>
      <c r="BC61" s="20"/>
      <c r="BD61" s="20"/>
      <c r="BE61" s="20"/>
      <c r="BF61" s="20"/>
      <c r="BG61" s="60"/>
      <c r="BI61" s="60"/>
      <c r="BJ61" s="60"/>
      <c r="BK61" s="61"/>
      <c r="BL61" s="60"/>
      <c r="BM61" s="60"/>
      <c r="BN61" s="60"/>
      <c r="BO61" s="61"/>
      <c r="BP61" s="61"/>
      <c r="BQ61" s="61"/>
    </row>
    <row r="62" spans="1:69" s="1" customFormat="1" ht="15">
      <c r="A62" s="1" t="s">
        <v>157</v>
      </c>
      <c r="B62" s="27" t="s">
        <v>63</v>
      </c>
      <c r="C62" s="167"/>
      <c r="D62" s="63">
        <v>68.337593144919495</v>
      </c>
      <c r="E62" s="63">
        <v>0.38681816902751098</v>
      </c>
      <c r="F62" s="63">
        <v>7.1922674944455798</v>
      </c>
      <c r="G62" s="63">
        <v>2.8386502557864999</v>
      </c>
      <c r="H62" s="63">
        <v>5.9510487542693896E-3</v>
      </c>
      <c r="I62" s="63">
        <v>0.95386810032717995</v>
      </c>
      <c r="J62" s="63">
        <v>6.2060937008809401E-2</v>
      </c>
      <c r="K62" s="63">
        <v>9.5216780068310303E-2</v>
      </c>
      <c r="L62" s="63">
        <v>2.1202736561639801</v>
      </c>
      <c r="M62" s="64">
        <v>0.103718278288695</v>
      </c>
      <c r="N62" s="63">
        <v>17.413582135209701</v>
      </c>
      <c r="O62" s="63"/>
      <c r="P62" s="89">
        <f>100*F62/(F62+J62+K62+L62)</f>
        <v>75.949367088607602</v>
      </c>
      <c r="Q62" s="89">
        <f>D62/F62</f>
        <v>9.5015366430260038</v>
      </c>
      <c r="R62" s="62" t="s">
        <v>63</v>
      </c>
      <c r="S62" s="16">
        <v>20.38</v>
      </c>
      <c r="T62" s="16">
        <v>4.6890000000000001</v>
      </c>
      <c r="U62" s="16">
        <v>13.55</v>
      </c>
      <c r="V62" s="16">
        <v>17.809999999999999</v>
      </c>
      <c r="W62" s="124">
        <v>0.39</v>
      </c>
      <c r="X62" s="16">
        <v>2419.1</v>
      </c>
      <c r="Y62" s="16">
        <v>261</v>
      </c>
      <c r="Z62" s="16">
        <v>49.93</v>
      </c>
      <c r="AA62" s="16">
        <v>9.08</v>
      </c>
      <c r="AB62" s="16">
        <v>194.5</v>
      </c>
      <c r="AC62" s="16">
        <v>179.1</v>
      </c>
      <c r="AD62" s="16">
        <v>221.1</v>
      </c>
      <c r="AE62" s="16">
        <v>1334.3</v>
      </c>
      <c r="AF62" s="16">
        <v>6.2720000000000002</v>
      </c>
      <c r="AG62" s="131">
        <v>90.99</v>
      </c>
      <c r="AH62" s="131">
        <v>2.2450000000000001</v>
      </c>
      <c r="AI62" s="131">
        <v>7.2859999999999996</v>
      </c>
      <c r="AJ62" s="131">
        <v>0.53800000000000003</v>
      </c>
      <c r="AK62" s="62" t="s">
        <v>63</v>
      </c>
      <c r="AL62" s="182">
        <v>25.2905259674726</v>
      </c>
      <c r="AM62" s="182">
        <v>15.7950678993847</v>
      </c>
      <c r="AN62" s="182">
        <v>38.063678070613598</v>
      </c>
      <c r="AO62" s="182">
        <f>AN62/AL62</f>
        <v>1.5050567995133506</v>
      </c>
      <c r="AP62" s="182">
        <f>AL62/AM62</f>
        <v>1.6011660176818738</v>
      </c>
      <c r="AQ62" s="38">
        <f t="shared" ref="AQ62:AQ68" si="64">AR62*1.4%</f>
        <v>0.28531999999999996</v>
      </c>
      <c r="AR62" s="16">
        <v>20.38</v>
      </c>
      <c r="AS62" s="38"/>
      <c r="AT62" s="62" t="s">
        <v>63</v>
      </c>
      <c r="AU62" s="25">
        <f>AL62*AQ62</f>
        <v>7.2158928690392816</v>
      </c>
      <c r="AV62" s="25">
        <f>AM62*AQ62</f>
        <v>4.5066487730524418</v>
      </c>
      <c r="AW62" s="25">
        <f>AN62*AQ62</f>
        <v>10.860328627107471</v>
      </c>
      <c r="AX62" s="36">
        <f>SUM(AU62:AW62)</f>
        <v>22.582870269199194</v>
      </c>
      <c r="AY62" s="16">
        <v>20.38</v>
      </c>
      <c r="AZ62" s="184"/>
      <c r="BA62" s="20"/>
      <c r="BB62" s="16"/>
      <c r="BC62" s="16"/>
      <c r="BD62" s="16"/>
      <c r="BE62" s="16"/>
      <c r="BF62" s="16"/>
      <c r="BG62" s="60"/>
      <c r="BI62" s="60"/>
      <c r="BJ62" s="60"/>
      <c r="BK62" s="61"/>
      <c r="BL62" s="60"/>
      <c r="BM62" s="60"/>
      <c r="BN62" s="60"/>
      <c r="BO62" s="61"/>
      <c r="BP62" s="61"/>
      <c r="BQ62" s="61"/>
    </row>
    <row r="63" spans="1:69" s="1" customFormat="1" ht="15">
      <c r="A63" s="1" t="s">
        <v>157</v>
      </c>
      <c r="B63" s="27" t="s">
        <v>64</v>
      </c>
      <c r="C63" s="167"/>
      <c r="D63" s="63">
        <v>90.052242276665595</v>
      </c>
      <c r="E63" s="63">
        <v>7.5397747565471698E-2</v>
      </c>
      <c r="F63" s="63">
        <v>2.4447719648104198</v>
      </c>
      <c r="G63" s="63">
        <v>0.47594828150703999</v>
      </c>
      <c r="H63" s="63">
        <v>1.88494368913679E-3</v>
      </c>
      <c r="I63" s="63">
        <v>0.136658417462417</v>
      </c>
      <c r="J63" s="63">
        <v>0.137600889306986</v>
      </c>
      <c r="K63" s="63">
        <v>0.17058740386688001</v>
      </c>
      <c r="L63" s="63">
        <v>0.37321885044908498</v>
      </c>
      <c r="M63" s="64">
        <v>6.6915500964356098E-2</v>
      </c>
      <c r="N63" s="63">
        <v>5.6847737237125804</v>
      </c>
      <c r="O63" s="63"/>
      <c r="P63" s="89">
        <f t="shared" ref="P63:P66" si="65">100*F63/(F63+J63+K63+L63)</f>
        <v>78.203195658727751</v>
      </c>
      <c r="Q63" s="89">
        <f t="shared" ref="Q63:Q68" si="66">D63/F63</f>
        <v>36.834618350038511</v>
      </c>
      <c r="R63" s="62" t="s">
        <v>64</v>
      </c>
      <c r="S63" s="16">
        <v>5.516</v>
      </c>
      <c r="T63" s="16">
        <v>2.1760000000000002</v>
      </c>
      <c r="U63" s="16">
        <v>10.33</v>
      </c>
      <c r="V63" s="16">
        <v>54.47</v>
      </c>
      <c r="W63" s="124">
        <v>1.133</v>
      </c>
      <c r="X63" s="16">
        <v>172.1</v>
      </c>
      <c r="Y63" s="16">
        <v>11.76</v>
      </c>
      <c r="Z63" s="16">
        <v>12.13</v>
      </c>
      <c r="AA63" s="16">
        <v>3.0830000000000002</v>
      </c>
      <c r="AB63" s="16">
        <v>35.86</v>
      </c>
      <c r="AC63" s="16">
        <v>33.15</v>
      </c>
      <c r="AD63" s="16">
        <v>14.96</v>
      </c>
      <c r="AE63" s="16">
        <v>417.9</v>
      </c>
      <c r="AF63" s="16">
        <v>20.399999999999999</v>
      </c>
      <c r="AG63" s="131">
        <v>35.659999999999997</v>
      </c>
      <c r="AH63" s="131">
        <v>0.99299999999999999</v>
      </c>
      <c r="AI63" s="131">
        <v>2.5409999999999999</v>
      </c>
      <c r="AJ63" s="131">
        <v>0.189</v>
      </c>
      <c r="AK63" s="62" t="s">
        <v>64</v>
      </c>
      <c r="AL63" s="182">
        <v>26.301646736558201</v>
      </c>
      <c r="AM63" s="182">
        <v>16.3226122992127</v>
      </c>
      <c r="AN63" s="182">
        <v>38.874977947723202</v>
      </c>
      <c r="AO63" s="182">
        <f t="shared" ref="AO63:AO77" si="67">AN63/AL63</f>
        <v>1.4780434980783386</v>
      </c>
      <c r="AP63" s="182">
        <f t="shared" ref="AP63:AP77" si="68">AL63/AM63</f>
        <v>1.61136258427377</v>
      </c>
      <c r="AQ63" s="38">
        <f t="shared" si="64"/>
        <v>7.7223999999999987E-2</v>
      </c>
      <c r="AR63" s="16">
        <v>5.516</v>
      </c>
      <c r="AS63" s="27"/>
      <c r="AT63" s="62" t="s">
        <v>64</v>
      </c>
      <c r="AU63" s="25">
        <f t="shared" ref="AU63:AU68" si="69">AL63*AQ63</f>
        <v>2.0311183675839701</v>
      </c>
      <c r="AV63" s="25">
        <f t="shared" ref="AV63:AV68" si="70">AM63*AQ63</f>
        <v>1.2604974121944013</v>
      </c>
      <c r="AW63" s="25">
        <f t="shared" ref="AW63:AW68" si="71">AN63*AQ63</f>
        <v>3.0020812970349762</v>
      </c>
      <c r="AX63" s="36">
        <f t="shared" ref="AX63:AX68" si="72">SUM(AU63:AW63)</f>
        <v>6.2936970768133476</v>
      </c>
      <c r="AY63" s="16">
        <v>5.516</v>
      </c>
      <c r="AZ63" s="184"/>
      <c r="BA63" s="20"/>
      <c r="BB63" s="16"/>
      <c r="BC63" s="16"/>
      <c r="BD63" s="16"/>
      <c r="BE63" s="16"/>
      <c r="BF63" s="16"/>
      <c r="BG63" s="53"/>
      <c r="BI63" s="53"/>
      <c r="BJ63" s="53"/>
      <c r="BK63" s="53"/>
      <c r="BL63" s="53"/>
      <c r="BM63" s="53"/>
      <c r="BN63" s="53"/>
      <c r="BO63" s="53"/>
      <c r="BP63" s="53"/>
      <c r="BQ63" s="53"/>
    </row>
    <row r="64" spans="1:69" s="1" customFormat="1" ht="15">
      <c r="A64" s="1" t="s">
        <v>157</v>
      </c>
      <c r="B64" s="27" t="s">
        <v>65</v>
      </c>
      <c r="C64" s="167"/>
      <c r="D64" s="63">
        <v>63.218867408408201</v>
      </c>
      <c r="E64" s="63">
        <v>0.40073951774384797</v>
      </c>
      <c r="F64" s="63">
        <v>6.66641029417171</v>
      </c>
      <c r="G64" s="63">
        <v>2.6943508657928099</v>
      </c>
      <c r="H64" s="63">
        <v>4.0154260294974703E-3</v>
      </c>
      <c r="I64" s="63">
        <v>1.24879749517371</v>
      </c>
      <c r="J64" s="63">
        <v>0.40073951774384797</v>
      </c>
      <c r="K64" s="64">
        <v>0.1</v>
      </c>
      <c r="L64" s="63">
        <v>1.9057211935995</v>
      </c>
      <c r="M64" s="64">
        <v>0.19595279023947701</v>
      </c>
      <c r="N64" s="63">
        <v>22.236066118448399</v>
      </c>
      <c r="O64" s="63"/>
      <c r="P64" s="89">
        <f>100*F64/(F64+K64+K64+L64)</f>
        <v>75.995330250863418</v>
      </c>
      <c r="Q64" s="89">
        <f t="shared" si="66"/>
        <v>9.4831947958077247</v>
      </c>
      <c r="R64" s="62" t="s">
        <v>65</v>
      </c>
      <c r="S64" s="16">
        <v>25.48</v>
      </c>
      <c r="T64" s="16">
        <v>7.8239999999999998</v>
      </c>
      <c r="U64" s="16">
        <v>53.35</v>
      </c>
      <c r="V64" s="16">
        <v>1591.6</v>
      </c>
      <c r="W64" s="124">
        <v>10.119999999999999</v>
      </c>
      <c r="X64" s="16">
        <v>7593.7</v>
      </c>
      <c r="Y64" s="16">
        <v>469.4</v>
      </c>
      <c r="Z64" s="16">
        <v>43.09</v>
      </c>
      <c r="AA64" s="16">
        <v>10.38</v>
      </c>
      <c r="AB64" s="16">
        <v>399.7</v>
      </c>
      <c r="AC64" s="16">
        <v>158.5</v>
      </c>
      <c r="AD64" s="16">
        <v>143.5</v>
      </c>
      <c r="AE64" s="16">
        <v>4968.8</v>
      </c>
      <c r="AF64" s="16">
        <v>23.85</v>
      </c>
      <c r="AG64" s="131">
        <v>142.30000000000001</v>
      </c>
      <c r="AH64" s="131">
        <v>2.6059999999999999</v>
      </c>
      <c r="AI64" s="131">
        <v>10.11</v>
      </c>
      <c r="AJ64" s="131">
        <v>0.63700000000000001</v>
      </c>
      <c r="AK64" s="62" t="s">
        <v>65</v>
      </c>
      <c r="AL64" s="182">
        <v>25.4686809579302</v>
      </c>
      <c r="AM64" s="182">
        <v>16.0036435073885</v>
      </c>
      <c r="AN64" s="182">
        <v>38.453089090138697</v>
      </c>
      <c r="AO64" s="182">
        <f t="shared" si="67"/>
        <v>1.5098186338607982</v>
      </c>
      <c r="AP64" s="182">
        <f t="shared" si="68"/>
        <v>1.5914301606488497</v>
      </c>
      <c r="AQ64" s="38">
        <f t="shared" si="64"/>
        <v>0.35671999999999998</v>
      </c>
      <c r="AR64" s="16">
        <v>25.48</v>
      </c>
      <c r="AS64" s="27"/>
      <c r="AT64" s="62" t="s">
        <v>65</v>
      </c>
      <c r="AU64" s="25">
        <f t="shared" si="69"/>
        <v>9.0851878713128613</v>
      </c>
      <c r="AV64" s="25">
        <f t="shared" si="70"/>
        <v>5.7088197119556252</v>
      </c>
      <c r="AW64" s="25">
        <f t="shared" si="71"/>
        <v>13.716985940234276</v>
      </c>
      <c r="AX64" s="36">
        <f t="shared" si="72"/>
        <v>28.510993523502762</v>
      </c>
      <c r="AY64" s="16">
        <v>25.48</v>
      </c>
      <c r="AZ64" s="184"/>
      <c r="BA64" s="20"/>
      <c r="BB64" s="16"/>
      <c r="BC64" s="16"/>
      <c r="BD64" s="16"/>
      <c r="BE64" s="16"/>
      <c r="BF64" s="16"/>
      <c r="BG64" s="42"/>
      <c r="BI64" s="42"/>
      <c r="BJ64" s="28"/>
      <c r="BK64" s="42"/>
      <c r="BL64" s="42"/>
      <c r="BM64" s="42"/>
      <c r="BN64" s="28"/>
      <c r="BO64" s="28"/>
      <c r="BP64" s="28"/>
      <c r="BQ64" s="42"/>
    </row>
    <row r="65" spans="1:69" s="1" customFormat="1" ht="15">
      <c r="A65" s="1" t="s">
        <v>157</v>
      </c>
      <c r="B65" s="27" t="s">
        <v>66</v>
      </c>
      <c r="C65" s="167"/>
      <c r="D65" s="63">
        <v>40.602185175438002</v>
      </c>
      <c r="E65" s="63">
        <v>0.38492293265595001</v>
      </c>
      <c r="F65" s="63">
        <v>17.711748537789799</v>
      </c>
      <c r="G65" s="63">
        <v>6.8575268238195504</v>
      </c>
      <c r="H65" s="63">
        <v>6.0498692755355599E-3</v>
      </c>
      <c r="I65" s="63">
        <v>0.99898466412280895</v>
      </c>
      <c r="J65" s="63">
        <v>9.5285441089684994E-2</v>
      </c>
      <c r="K65" s="63">
        <v>0.1</v>
      </c>
      <c r="L65" s="63">
        <v>2.3057564276384901</v>
      </c>
      <c r="M65" s="64">
        <v>2.53413899278996</v>
      </c>
      <c r="N65" s="63">
        <v>27.888871927949999</v>
      </c>
      <c r="O65" s="63"/>
      <c r="P65" s="89">
        <f t="shared" si="65"/>
        <v>87.626439405804803</v>
      </c>
      <c r="Q65" s="89">
        <f t="shared" si="66"/>
        <v>2.2923871739037596</v>
      </c>
      <c r="R65" s="62" t="s">
        <v>66</v>
      </c>
      <c r="S65" s="16">
        <v>32.54</v>
      </c>
      <c r="T65" s="16">
        <v>10.09</v>
      </c>
      <c r="U65" s="16">
        <v>205.3</v>
      </c>
      <c r="V65" s="16">
        <v>473.6</v>
      </c>
      <c r="W65" s="124">
        <v>8.8520000000000003</v>
      </c>
      <c r="X65" s="16">
        <v>4687.8</v>
      </c>
      <c r="Y65" s="16">
        <v>240.9</v>
      </c>
      <c r="Z65" s="16">
        <v>59.79</v>
      </c>
      <c r="AA65" s="16">
        <v>19.82</v>
      </c>
      <c r="AB65" s="16">
        <v>407.7</v>
      </c>
      <c r="AC65" s="16">
        <v>2203.3000000000002</v>
      </c>
      <c r="AD65" s="16">
        <v>309.7</v>
      </c>
      <c r="AE65" s="16">
        <v>1294.3</v>
      </c>
      <c r="AF65" s="16">
        <v>15.19</v>
      </c>
      <c r="AG65" s="131">
        <v>125.8</v>
      </c>
      <c r="AH65" s="131">
        <v>3.2480000000000002</v>
      </c>
      <c r="AI65" s="131">
        <v>11.4</v>
      </c>
      <c r="AJ65" s="131">
        <v>0.78600000000000003</v>
      </c>
      <c r="AK65" s="62" t="s">
        <v>66</v>
      </c>
      <c r="AL65" s="182">
        <v>32.072751568071503</v>
      </c>
      <c r="AM65" s="182">
        <v>16.423597104686699</v>
      </c>
      <c r="AN65" s="182">
        <v>38.563842732552303</v>
      </c>
      <c r="AO65" s="182">
        <f t="shared" si="67"/>
        <v>1.2023864759686753</v>
      </c>
      <c r="AP65" s="182">
        <f t="shared" si="68"/>
        <v>1.9528457355373814</v>
      </c>
      <c r="AQ65" s="38">
        <f t="shared" si="64"/>
        <v>0.45555999999999996</v>
      </c>
      <c r="AR65" s="16">
        <v>32.54</v>
      </c>
      <c r="AS65" s="38"/>
      <c r="AT65" s="62" t="s">
        <v>66</v>
      </c>
      <c r="AU65" s="25">
        <f t="shared" si="69"/>
        <v>14.611062704350653</v>
      </c>
      <c r="AV65" s="25">
        <f t="shared" si="70"/>
        <v>7.4819338970110723</v>
      </c>
      <c r="AW65" s="25">
        <f t="shared" si="71"/>
        <v>17.568144195241526</v>
      </c>
      <c r="AX65" s="36">
        <f t="shared" si="72"/>
        <v>39.661140796603249</v>
      </c>
      <c r="AY65" s="16">
        <v>32.54</v>
      </c>
      <c r="AZ65" s="184"/>
      <c r="BA65" s="20"/>
      <c r="BB65" s="16"/>
      <c r="BC65" s="16"/>
      <c r="BD65" s="16"/>
      <c r="BE65" s="16"/>
      <c r="BF65" s="16"/>
      <c r="BG65" s="42"/>
      <c r="BI65" s="42"/>
      <c r="BJ65" s="42"/>
      <c r="BK65" s="28"/>
      <c r="BL65" s="42"/>
      <c r="BM65" s="42"/>
      <c r="BN65" s="42"/>
      <c r="BO65" s="28"/>
      <c r="BP65" s="28"/>
      <c r="BQ65" s="28"/>
    </row>
    <row r="66" spans="1:69" s="1" customFormat="1" ht="15">
      <c r="A66" s="1" t="s">
        <v>157</v>
      </c>
      <c r="B66" s="66" t="s">
        <v>53</v>
      </c>
      <c r="C66" s="162"/>
      <c r="D66" s="50">
        <v>68.764137593398601</v>
      </c>
      <c r="E66" s="28">
        <v>0.51817874470508296</v>
      </c>
      <c r="F66" s="50">
        <v>10.272666342399001</v>
      </c>
      <c r="G66" s="50">
        <v>3.9867867840257598</v>
      </c>
      <c r="H66" s="51">
        <v>1.9090795857555701E-2</v>
      </c>
      <c r="I66" s="51">
        <v>2.58907555249136</v>
      </c>
      <c r="J66" s="51">
        <v>1.4954456755085299</v>
      </c>
      <c r="K66" s="51">
        <v>2.7163475248750699</v>
      </c>
      <c r="L66" s="51">
        <v>0.72439674980545399</v>
      </c>
      <c r="M66" s="52">
        <v>7.7272268947249201E-2</v>
      </c>
      <c r="N66" s="44">
        <v>8.2150858849888504</v>
      </c>
      <c r="O66" s="44"/>
      <c r="P66" s="89">
        <f t="shared" si="65"/>
        <v>67.543976646063271</v>
      </c>
      <c r="Q66" s="89">
        <f t="shared" si="66"/>
        <v>6.6938938053097461</v>
      </c>
      <c r="R66" s="41" t="s">
        <v>53</v>
      </c>
      <c r="S66" s="48">
        <v>25.4955</v>
      </c>
      <c r="T66" s="48">
        <v>9.8229000000000006</v>
      </c>
      <c r="U66" s="48">
        <v>8.3149999999999995</v>
      </c>
      <c r="V66" s="48">
        <v>24.275099999999998</v>
      </c>
      <c r="W66" s="65">
        <v>0.1847</v>
      </c>
      <c r="X66" s="48">
        <v>93.413799999999995</v>
      </c>
      <c r="Y66" s="48">
        <v>49.494900000000001</v>
      </c>
      <c r="Z66" s="48">
        <v>1738.597</v>
      </c>
      <c r="AA66" s="48">
        <v>21.008099999999999</v>
      </c>
      <c r="AB66" s="48">
        <v>55.134</v>
      </c>
      <c r="AC66" s="48">
        <v>90.965599999999995</v>
      </c>
      <c r="AD66" s="48">
        <v>34.757199999999997</v>
      </c>
      <c r="AE66" s="48">
        <v>285.62099999999998</v>
      </c>
      <c r="AF66" s="48">
        <v>33.012500000000003</v>
      </c>
      <c r="AG66" s="65">
        <v>112.9</v>
      </c>
      <c r="AH66" s="65">
        <v>3.2519999999999998</v>
      </c>
      <c r="AI66" s="65">
        <v>10.93</v>
      </c>
      <c r="AJ66" s="65">
        <v>0.83499999999999996</v>
      </c>
      <c r="AK66" s="41" t="s">
        <v>53</v>
      </c>
      <c r="AL66" s="182">
        <v>19.748839065507202</v>
      </c>
      <c r="AM66" s="182">
        <v>15.777891342129401</v>
      </c>
      <c r="AN66" s="182">
        <v>38.885489675941898</v>
      </c>
      <c r="AO66" s="182">
        <f t="shared" si="67"/>
        <v>1.9690012940486341</v>
      </c>
      <c r="AP66" s="182">
        <f t="shared" si="68"/>
        <v>1.2516779737717396</v>
      </c>
      <c r="AQ66" s="38">
        <f t="shared" si="64"/>
        <v>0.35693699999999995</v>
      </c>
      <c r="AR66" s="48">
        <v>25.4955</v>
      </c>
      <c r="AS66" s="38"/>
      <c r="AT66" s="41" t="s">
        <v>53</v>
      </c>
      <c r="AU66" s="25">
        <f t="shared" si="69"/>
        <v>7.0490913695249429</v>
      </c>
      <c r="AV66" s="25">
        <f t="shared" si="70"/>
        <v>5.6317132019856411</v>
      </c>
      <c r="AW66" s="25">
        <f t="shared" si="71"/>
        <v>13.879670028461671</v>
      </c>
      <c r="AX66" s="36">
        <f t="shared" si="72"/>
        <v>26.560474599972256</v>
      </c>
      <c r="AY66" s="48">
        <v>25.4955</v>
      </c>
      <c r="AZ66" s="184"/>
      <c r="BA66" s="20"/>
      <c r="BB66" s="48"/>
      <c r="BC66" s="48"/>
      <c r="BD66" s="48"/>
      <c r="BE66" s="48"/>
      <c r="BF66" s="48"/>
      <c r="BG66" s="42"/>
      <c r="BI66" s="42"/>
      <c r="BJ66" s="42"/>
      <c r="BK66" s="28"/>
      <c r="BL66" s="42"/>
      <c r="BM66" s="42"/>
      <c r="BN66" s="42"/>
      <c r="BO66" s="28"/>
      <c r="BP66" s="28"/>
      <c r="BQ66" s="28"/>
    </row>
    <row r="67" spans="1:69" s="1" customFormat="1" ht="15">
      <c r="A67" s="1" t="s">
        <v>157</v>
      </c>
      <c r="B67" s="66" t="s">
        <v>54</v>
      </c>
      <c r="C67" s="162"/>
      <c r="D67" s="28">
        <v>57.114009953514298</v>
      </c>
      <c r="E67" s="28">
        <v>0.46466697110086902</v>
      </c>
      <c r="F67" s="28">
        <v>8.8130095193063696</v>
      </c>
      <c r="G67" s="28">
        <v>3.5353958791900899</v>
      </c>
      <c r="H67" s="47">
        <v>4.9599283432115303E-2</v>
      </c>
      <c r="I67" s="47">
        <v>5.98498020080857</v>
      </c>
      <c r="J67" s="47">
        <v>6.9787061951853397</v>
      </c>
      <c r="K67" s="55">
        <v>2.4277543995719602</v>
      </c>
      <c r="L67" s="47">
        <v>0.86474772853533599</v>
      </c>
      <c r="M67" s="55">
        <v>9.2237263926389798E-2</v>
      </c>
      <c r="N67" s="44">
        <v>13.625685199686799</v>
      </c>
      <c r="O67" s="44"/>
      <c r="P67" s="89">
        <f>100*F67/(F67+K67+K67+L67)</f>
        <v>60.640254508616074</v>
      </c>
      <c r="Q67" s="89">
        <f t="shared" si="66"/>
        <v>6.480647709320694</v>
      </c>
      <c r="R67" s="41" t="s">
        <v>54</v>
      </c>
      <c r="S67" s="27">
        <v>17.1691</v>
      </c>
      <c r="T67" s="27">
        <v>8.7156000000000002</v>
      </c>
      <c r="U67" s="27">
        <v>5.5419999999999998</v>
      </c>
      <c r="V67" s="27">
        <v>18.993300000000001</v>
      </c>
      <c r="W67" s="62">
        <v>0.15820000000000001</v>
      </c>
      <c r="X67" s="27">
        <v>32.851100000000002</v>
      </c>
      <c r="Y67" s="27">
        <v>26.259899999999998</v>
      </c>
      <c r="Z67" s="27">
        <v>4541.4840000000004</v>
      </c>
      <c r="AA67" s="27">
        <v>14.2516</v>
      </c>
      <c r="AB67" s="27">
        <v>38.536299999999997</v>
      </c>
      <c r="AC67" s="27">
        <v>40.304099999999998</v>
      </c>
      <c r="AD67" s="27">
        <v>21.594000000000001</v>
      </c>
      <c r="AE67" s="27">
        <v>141.5752</v>
      </c>
      <c r="AF67" s="27">
        <v>81.875</v>
      </c>
      <c r="AG67" s="65">
        <v>144.9</v>
      </c>
      <c r="AH67" s="65">
        <v>3.7280000000000002</v>
      </c>
      <c r="AI67" s="65">
        <v>10.25</v>
      </c>
      <c r="AJ67" s="65">
        <v>0.76800000000000002</v>
      </c>
      <c r="AK67" s="41" t="s">
        <v>54</v>
      </c>
      <c r="AL67" s="182">
        <v>20.392712119978</v>
      </c>
      <c r="AM67" s="182">
        <v>15.592029266351901</v>
      </c>
      <c r="AN67" s="182">
        <v>39.2375266333461</v>
      </c>
      <c r="AO67" s="182">
        <f t="shared" si="67"/>
        <v>1.9240955495520637</v>
      </c>
      <c r="AP67" s="182">
        <f t="shared" si="68"/>
        <v>1.3078933967874296</v>
      </c>
      <c r="AQ67" s="38">
        <f t="shared" si="64"/>
        <v>0.24036739999999998</v>
      </c>
      <c r="AR67" s="27">
        <v>17.1691</v>
      </c>
      <c r="AS67" s="38"/>
      <c r="AT67" s="41" t="s">
        <v>54</v>
      </c>
      <c r="AU67" s="25">
        <f t="shared" si="69"/>
        <v>4.9017431912275997</v>
      </c>
      <c r="AV67" s="25">
        <f t="shared" si="70"/>
        <v>3.7478155354769136</v>
      </c>
      <c r="AW67" s="25">
        <f t="shared" si="71"/>
        <v>9.4314222592881549</v>
      </c>
      <c r="AX67" s="36">
        <f t="shared" si="72"/>
        <v>18.080980985992667</v>
      </c>
      <c r="AY67" s="27">
        <v>17.1691</v>
      </c>
      <c r="AZ67" s="184"/>
      <c r="BA67" s="20"/>
      <c r="BB67" s="27"/>
      <c r="BC67" s="48"/>
      <c r="BD67" s="48"/>
      <c r="BE67" s="48"/>
      <c r="BF67" s="48"/>
      <c r="BG67" s="42"/>
      <c r="BI67" s="42"/>
      <c r="BJ67" s="42"/>
      <c r="BK67" s="28"/>
      <c r="BL67" s="42"/>
      <c r="BM67" s="42"/>
      <c r="BN67" s="42"/>
      <c r="BO67" s="28"/>
      <c r="BP67" s="28"/>
      <c r="BQ67" s="28"/>
    </row>
    <row r="68" spans="1:69" s="1" customFormat="1" ht="15">
      <c r="A68" s="1" t="s">
        <v>157</v>
      </c>
      <c r="B68" s="66" t="s">
        <v>67</v>
      </c>
      <c r="C68" s="162"/>
      <c r="D68" s="48">
        <v>70.41</v>
      </c>
      <c r="E68" s="48">
        <v>0.56000000000000005</v>
      </c>
      <c r="F68" s="48">
        <v>10.35</v>
      </c>
      <c r="G68" s="48">
        <v>3.99</v>
      </c>
      <c r="H68" s="48">
        <v>1.4999999999999999E-2</v>
      </c>
      <c r="I68" s="48">
        <v>2.42</v>
      </c>
      <c r="J68" s="48">
        <v>1.39</v>
      </c>
      <c r="K68" s="65">
        <v>0.59</v>
      </c>
      <c r="L68" s="48">
        <v>2.98</v>
      </c>
      <c r="M68" s="65">
        <v>0.04</v>
      </c>
      <c r="N68" s="48">
        <v>8.36</v>
      </c>
      <c r="O68" s="48"/>
      <c r="P68" s="89">
        <f>100*F68/(F68+K68+K68+L68)</f>
        <v>71.330117160578908</v>
      </c>
      <c r="Q68" s="89">
        <f t="shared" si="66"/>
        <v>6.8028985507246373</v>
      </c>
      <c r="R68" s="41" t="s">
        <v>67</v>
      </c>
      <c r="S68" s="48">
        <v>26.23</v>
      </c>
      <c r="T68" s="48">
        <v>18.059999999999999</v>
      </c>
      <c r="U68" s="48">
        <v>6.4740000000000002</v>
      </c>
      <c r="V68" s="48">
        <v>35.94</v>
      </c>
      <c r="W68" s="65">
        <v>0.17199999999999999</v>
      </c>
      <c r="X68" s="48">
        <v>276.7</v>
      </c>
      <c r="Y68" s="48">
        <v>93.1</v>
      </c>
      <c r="Z68" s="24"/>
      <c r="AA68" s="48">
        <v>14.22</v>
      </c>
      <c r="AB68" s="48">
        <v>48.98</v>
      </c>
      <c r="AC68" s="48">
        <v>46.93</v>
      </c>
      <c r="AD68" s="48">
        <v>3.6669999999999998</v>
      </c>
      <c r="AE68" s="39">
        <v>2216.3000000000002</v>
      </c>
      <c r="AF68" s="39">
        <v>320.60000000000002</v>
      </c>
      <c r="AG68" s="65">
        <v>123.7</v>
      </c>
      <c r="AH68" s="65">
        <v>3.47</v>
      </c>
      <c r="AI68" s="65">
        <v>13.1</v>
      </c>
      <c r="AJ68" s="65">
        <v>1.131</v>
      </c>
      <c r="AK68" s="41" t="s">
        <v>67</v>
      </c>
      <c r="AL68" s="27">
        <v>19.867000000000001</v>
      </c>
      <c r="AM68" s="27">
        <v>15.760999999999999</v>
      </c>
      <c r="AN68" s="27">
        <v>39.256</v>
      </c>
      <c r="AO68" s="182">
        <f t="shared" si="67"/>
        <v>1.9759400010066945</v>
      </c>
      <c r="AP68" s="182">
        <f t="shared" si="68"/>
        <v>1.2605164646913267</v>
      </c>
      <c r="AQ68" s="38">
        <f t="shared" si="64"/>
        <v>0.36721999999999999</v>
      </c>
      <c r="AR68" s="48">
        <v>26.23</v>
      </c>
      <c r="AS68" s="48"/>
      <c r="AT68" s="41" t="s">
        <v>67</v>
      </c>
      <c r="AU68" s="25">
        <f t="shared" si="69"/>
        <v>7.2955597399999998</v>
      </c>
      <c r="AV68" s="25">
        <f t="shared" si="70"/>
        <v>5.7877544199999997</v>
      </c>
      <c r="AW68" s="25">
        <f t="shared" si="71"/>
        <v>14.415588319999999</v>
      </c>
      <c r="AX68" s="36">
        <f t="shared" si="72"/>
        <v>27.498902479999998</v>
      </c>
      <c r="AY68" s="48">
        <v>26.23</v>
      </c>
      <c r="AZ68" s="184"/>
      <c r="BA68" s="20"/>
      <c r="BB68" s="48"/>
      <c r="BC68" s="48"/>
      <c r="BD68" s="48"/>
      <c r="BE68" s="48"/>
      <c r="BF68" s="48"/>
      <c r="BG68" s="42"/>
      <c r="BI68" s="42"/>
      <c r="BJ68" s="42"/>
      <c r="BK68" s="28"/>
      <c r="BL68" s="42"/>
      <c r="BM68" s="42"/>
      <c r="BN68" s="42"/>
      <c r="BO68" s="28"/>
      <c r="BP68" s="28"/>
      <c r="BQ68" s="28"/>
    </row>
    <row r="69" spans="1:69" s="1" customFormat="1" ht="15">
      <c r="A69" s="1" t="s">
        <v>224</v>
      </c>
      <c r="B69" s="66" t="s">
        <v>68</v>
      </c>
      <c r="C69" s="168"/>
      <c r="D69" s="59"/>
      <c r="E69" s="45"/>
      <c r="F69" s="67"/>
      <c r="G69" s="67"/>
      <c r="H69" s="67"/>
      <c r="I69" s="62"/>
      <c r="J69" s="45"/>
      <c r="K69" s="45"/>
      <c r="L69" s="45"/>
      <c r="M69" s="41"/>
      <c r="N69" s="45"/>
      <c r="O69" s="45"/>
      <c r="P69" s="89"/>
      <c r="Q69" s="89"/>
      <c r="R69" s="66" t="s">
        <v>68</v>
      </c>
      <c r="S69" s="42"/>
      <c r="T69" s="42"/>
      <c r="U69" s="42"/>
      <c r="V69" s="42"/>
      <c r="W69" s="62"/>
      <c r="X69" s="38"/>
      <c r="Y69" s="38"/>
      <c r="Z69" s="27"/>
      <c r="AA69" s="38"/>
      <c r="AB69" s="38"/>
      <c r="AC69" s="38"/>
      <c r="AD69" s="38"/>
      <c r="AE69" s="38"/>
      <c r="AF69" s="38"/>
      <c r="AG69" s="132"/>
      <c r="AH69" s="132"/>
      <c r="AI69" s="132"/>
      <c r="AJ69" s="132"/>
      <c r="AK69" s="66" t="s">
        <v>68</v>
      </c>
      <c r="AL69" s="27">
        <v>18.488</v>
      </c>
      <c r="AM69" s="27">
        <v>15.715999999999999</v>
      </c>
      <c r="AN69" s="27">
        <v>38.262999999999998</v>
      </c>
      <c r="AO69" s="182">
        <f t="shared" si="67"/>
        <v>2.0696127217654694</v>
      </c>
      <c r="AP69" s="182">
        <f t="shared" si="68"/>
        <v>1.1763807584627133</v>
      </c>
      <c r="AQ69" s="38"/>
      <c r="AR69" s="38"/>
      <c r="AS69" s="38"/>
      <c r="AT69" s="66" t="s">
        <v>68</v>
      </c>
      <c r="AU69" s="25"/>
      <c r="AV69" s="25"/>
      <c r="AW69" s="25"/>
      <c r="AX69" s="47"/>
      <c r="AY69" s="42"/>
      <c r="AZ69" s="184"/>
      <c r="BA69" s="20"/>
      <c r="BB69" s="42"/>
      <c r="BC69" s="42"/>
      <c r="BD69" s="42"/>
      <c r="BE69" s="42"/>
      <c r="BF69" s="42"/>
      <c r="BG69" s="42"/>
      <c r="BI69" s="42"/>
      <c r="BJ69" s="42"/>
      <c r="BK69" s="28"/>
      <c r="BL69" s="42"/>
      <c r="BM69" s="42"/>
      <c r="BN69" s="42"/>
      <c r="BO69" s="28"/>
      <c r="BP69" s="28"/>
      <c r="BQ69" s="28"/>
    </row>
    <row r="70" spans="1:69" s="1" customFormat="1" ht="15">
      <c r="A70" s="1" t="s">
        <v>223</v>
      </c>
      <c r="B70" s="66" t="s">
        <v>69</v>
      </c>
      <c r="C70" s="168"/>
      <c r="M70" s="40"/>
      <c r="P70" s="93"/>
      <c r="Q70" s="89"/>
      <c r="R70" s="66" t="s">
        <v>69</v>
      </c>
      <c r="S70" s="42"/>
      <c r="T70" s="42"/>
      <c r="U70" s="42"/>
      <c r="V70" s="42"/>
      <c r="W70" s="62"/>
      <c r="X70" s="38"/>
      <c r="Y70" s="38"/>
      <c r="Z70" s="27"/>
      <c r="AA70" s="38"/>
      <c r="AB70" s="38"/>
      <c r="AC70" s="38"/>
      <c r="AD70" s="38"/>
      <c r="AE70" s="38"/>
      <c r="AF70" s="38"/>
      <c r="AG70" s="132"/>
      <c r="AH70" s="132"/>
      <c r="AI70" s="132"/>
      <c r="AJ70" s="132"/>
      <c r="AK70" s="66" t="s">
        <v>69</v>
      </c>
      <c r="AL70" s="27">
        <v>18.384</v>
      </c>
      <c r="AM70" s="27">
        <v>15.696</v>
      </c>
      <c r="AN70" s="27">
        <v>38.256</v>
      </c>
      <c r="AO70" s="182">
        <f t="shared" si="67"/>
        <v>2.0809399477806787</v>
      </c>
      <c r="AP70" s="182">
        <f t="shared" si="68"/>
        <v>1.1712538226299694</v>
      </c>
      <c r="AQ70" s="38"/>
      <c r="AR70" s="38"/>
      <c r="AS70" s="38"/>
      <c r="AT70" s="66" t="s">
        <v>69</v>
      </c>
      <c r="AU70" s="25"/>
      <c r="AV70" s="25"/>
      <c r="AW70" s="25"/>
      <c r="AX70" s="47"/>
      <c r="AY70" s="42"/>
      <c r="AZ70" s="184"/>
      <c r="BA70" s="20"/>
      <c r="BB70" s="42"/>
      <c r="BC70" s="42"/>
      <c r="BD70" s="42"/>
      <c r="BE70" s="42"/>
      <c r="BF70" s="42"/>
      <c r="BG70" s="42"/>
      <c r="BI70" s="42"/>
      <c r="BJ70" s="42"/>
      <c r="BK70" s="28"/>
      <c r="BL70" s="42"/>
      <c r="BM70" s="42"/>
      <c r="BN70" s="42"/>
      <c r="BO70" s="28"/>
      <c r="BP70" s="28"/>
      <c r="BQ70" s="28"/>
    </row>
    <row r="71" spans="1:69" s="1" customFormat="1" ht="15">
      <c r="A71" s="1" t="s">
        <v>223</v>
      </c>
      <c r="B71" s="66" t="s">
        <v>70</v>
      </c>
      <c r="C71" s="168"/>
      <c r="D71" s="59"/>
      <c r="F71" s="63"/>
      <c r="G71" s="63"/>
      <c r="H71" s="63"/>
      <c r="I71" s="63"/>
      <c r="J71" s="45"/>
      <c r="K71" s="45"/>
      <c r="L71" s="45"/>
      <c r="M71" s="41"/>
      <c r="N71" s="45"/>
      <c r="O71" s="45"/>
      <c r="P71" s="89"/>
      <c r="Q71" s="89"/>
      <c r="R71" s="66" t="s">
        <v>70</v>
      </c>
      <c r="V71" s="2"/>
      <c r="W71" s="62"/>
      <c r="AA71" s="38"/>
      <c r="AB71" s="38"/>
      <c r="AC71" s="38"/>
      <c r="AD71" s="38"/>
      <c r="AE71" s="38"/>
      <c r="AF71" s="38"/>
      <c r="AG71" s="132"/>
      <c r="AH71" s="132"/>
      <c r="AI71" s="132"/>
      <c r="AJ71" s="132"/>
      <c r="AK71" s="66" t="s">
        <v>70</v>
      </c>
      <c r="AL71" s="27">
        <v>18.318000000000001</v>
      </c>
      <c r="AM71" s="27">
        <v>15.693</v>
      </c>
      <c r="AN71" s="27">
        <v>38.261000000000003</v>
      </c>
      <c r="AO71" s="182">
        <f t="shared" si="67"/>
        <v>2.0887105579211704</v>
      </c>
      <c r="AP71" s="182">
        <f t="shared" si="68"/>
        <v>1.1672720321162302</v>
      </c>
      <c r="AQ71" s="38"/>
      <c r="AR71" s="38"/>
      <c r="AS71" s="38"/>
      <c r="AT71" s="66" t="s">
        <v>70</v>
      </c>
      <c r="AU71" s="25"/>
      <c r="AV71" s="25"/>
      <c r="AW71" s="25"/>
      <c r="AX71" s="47"/>
      <c r="AY71" s="42"/>
      <c r="AZ71" s="184"/>
      <c r="BA71" s="20"/>
      <c r="BB71" s="42"/>
      <c r="BC71" s="42"/>
      <c r="BD71" s="42"/>
      <c r="BE71" s="42"/>
      <c r="BF71" s="42"/>
      <c r="BG71" s="42"/>
      <c r="BI71" s="42"/>
      <c r="BJ71" s="42"/>
      <c r="BK71" s="28"/>
      <c r="BL71" s="42"/>
      <c r="BM71" s="42"/>
      <c r="BN71" s="42"/>
      <c r="BO71" s="28"/>
      <c r="BP71" s="28"/>
      <c r="BQ71" s="28"/>
    </row>
    <row r="72" spans="1:69" s="1" customFormat="1" ht="15">
      <c r="A72" s="1" t="s">
        <v>223</v>
      </c>
      <c r="B72" s="66" t="s">
        <v>71</v>
      </c>
      <c r="C72" s="168"/>
      <c r="D72" s="59"/>
      <c r="E72" s="63"/>
      <c r="F72" s="63"/>
      <c r="G72" s="63"/>
      <c r="H72" s="63"/>
      <c r="I72" s="63"/>
      <c r="J72" s="63"/>
      <c r="K72" s="63"/>
      <c r="L72" s="35"/>
      <c r="M72" s="136"/>
      <c r="N72" s="35"/>
      <c r="O72" s="35"/>
      <c r="P72" s="94"/>
      <c r="Q72" s="95"/>
      <c r="R72" s="66" t="s">
        <v>71</v>
      </c>
      <c r="S72" s="16"/>
      <c r="T72" s="16"/>
      <c r="U72" s="16"/>
      <c r="V72" s="42"/>
      <c r="W72" s="62"/>
      <c r="X72" s="38"/>
      <c r="Y72" s="38"/>
      <c r="Z72" s="27"/>
      <c r="AA72" s="38"/>
      <c r="AB72" s="38"/>
      <c r="AC72" s="38"/>
      <c r="AD72" s="38"/>
      <c r="AE72" s="38"/>
      <c r="AF72" s="38"/>
      <c r="AG72" s="132"/>
      <c r="AH72" s="132"/>
      <c r="AI72" s="132"/>
      <c r="AJ72" s="132"/>
      <c r="AK72" s="66" t="s">
        <v>71</v>
      </c>
      <c r="AL72" s="27">
        <v>33.570999999999998</v>
      </c>
      <c r="AM72" s="27">
        <v>16.577999999999999</v>
      </c>
      <c r="AN72" s="27">
        <v>39.145000000000003</v>
      </c>
      <c r="AO72" s="182">
        <f t="shared" si="67"/>
        <v>1.1660361621637725</v>
      </c>
      <c r="AP72" s="182">
        <f t="shared" si="68"/>
        <v>2.0250331764989746</v>
      </c>
      <c r="AQ72" s="38"/>
      <c r="AR72" s="38"/>
      <c r="AS72" s="38"/>
      <c r="AT72" s="66" t="s">
        <v>71</v>
      </c>
      <c r="AU72" s="25"/>
      <c r="AV72" s="25"/>
      <c r="AW72" s="25"/>
      <c r="AX72" s="47"/>
      <c r="AY72" s="42"/>
      <c r="AZ72" s="184"/>
      <c r="BA72" s="20"/>
      <c r="BB72" s="42"/>
      <c r="BC72" s="42"/>
      <c r="BD72" s="42"/>
      <c r="BE72" s="42"/>
      <c r="BF72" s="42"/>
      <c r="BG72" s="42"/>
      <c r="BI72" s="42"/>
      <c r="BJ72" s="42"/>
      <c r="BK72" s="28"/>
      <c r="BL72" s="42"/>
      <c r="BM72" s="42"/>
      <c r="BN72" s="42"/>
      <c r="BO72" s="28"/>
      <c r="BP72" s="28"/>
      <c r="BQ72" s="28"/>
    </row>
    <row r="73" spans="1:69" s="1" customFormat="1" ht="15">
      <c r="A73" s="1" t="s">
        <v>223</v>
      </c>
      <c r="B73" s="66" t="s">
        <v>72</v>
      </c>
      <c r="C73" s="168"/>
      <c r="D73" s="16"/>
      <c r="E73" s="35"/>
      <c r="F73" s="35"/>
      <c r="G73" s="35"/>
      <c r="H73" s="37"/>
      <c r="K73" s="69"/>
      <c r="L73" s="35"/>
      <c r="M73" s="136"/>
      <c r="N73" s="35"/>
      <c r="O73" s="35"/>
      <c r="P73" s="94"/>
      <c r="Q73" s="93"/>
      <c r="R73" s="66" t="s">
        <v>72</v>
      </c>
      <c r="S73" s="16"/>
      <c r="T73" s="16"/>
      <c r="U73" s="16"/>
      <c r="V73" s="42"/>
      <c r="W73" s="62"/>
      <c r="X73" s="38"/>
      <c r="Y73" s="38"/>
      <c r="Z73" s="27"/>
      <c r="AA73" s="38"/>
      <c r="AB73" s="38"/>
      <c r="AC73" s="38"/>
      <c r="AD73" s="38"/>
      <c r="AE73" s="38"/>
      <c r="AF73" s="38"/>
      <c r="AG73" s="132"/>
      <c r="AH73" s="132"/>
      <c r="AI73" s="132"/>
      <c r="AJ73" s="132"/>
      <c r="AK73" s="66" t="s">
        <v>72</v>
      </c>
      <c r="AL73" s="27">
        <v>29.114000000000001</v>
      </c>
      <c r="AM73" s="27">
        <v>16.311</v>
      </c>
      <c r="AN73" s="27">
        <v>38.497</v>
      </c>
      <c r="AO73" s="182">
        <f t="shared" si="67"/>
        <v>1.3222848114309267</v>
      </c>
      <c r="AP73" s="182">
        <f t="shared" si="68"/>
        <v>1.7849304150573233</v>
      </c>
      <c r="AQ73" s="38"/>
      <c r="AR73" s="38"/>
      <c r="AS73" s="38"/>
      <c r="AT73" s="66" t="s">
        <v>72</v>
      </c>
      <c r="AU73" s="25"/>
      <c r="AV73" s="25"/>
      <c r="AW73" s="25"/>
      <c r="AX73" s="47"/>
      <c r="AY73" s="42"/>
      <c r="AZ73" s="184"/>
      <c r="BA73" s="20"/>
      <c r="BB73" s="42"/>
      <c r="BC73" s="42"/>
      <c r="BD73" s="42"/>
      <c r="BE73" s="42"/>
      <c r="BF73" s="42"/>
      <c r="BG73" s="42"/>
      <c r="BI73" s="42"/>
      <c r="BJ73" s="42"/>
      <c r="BK73" s="28"/>
      <c r="BL73" s="42"/>
      <c r="BM73" s="42"/>
      <c r="BN73" s="42"/>
      <c r="BO73" s="28"/>
      <c r="BP73" s="28"/>
      <c r="BQ73" s="28"/>
    </row>
    <row r="74" spans="1:69" s="1" customFormat="1" ht="15">
      <c r="A74" s="1" t="s">
        <v>223</v>
      </c>
      <c r="B74" s="66" t="s">
        <v>73</v>
      </c>
      <c r="C74" s="168"/>
      <c r="D74" s="70"/>
      <c r="E74" s="70"/>
      <c r="F74" s="70"/>
      <c r="G74" s="70"/>
      <c r="H74" s="71"/>
      <c r="I74" s="63"/>
      <c r="J74" s="16"/>
      <c r="K74" s="69"/>
      <c r="L74" s="35"/>
      <c r="M74" s="136"/>
      <c r="N74" s="35"/>
      <c r="O74" s="35"/>
      <c r="P74" s="94"/>
      <c r="Q74" s="96"/>
      <c r="R74" s="66" t="s">
        <v>73</v>
      </c>
      <c r="S74" s="59"/>
      <c r="T74" s="59"/>
      <c r="U74" s="59"/>
      <c r="V74" s="59"/>
      <c r="W74" s="62"/>
      <c r="X74" s="59"/>
      <c r="Z74" s="27"/>
      <c r="AA74" s="38"/>
      <c r="AB74" s="38"/>
      <c r="AC74" s="38"/>
      <c r="AD74" s="38"/>
      <c r="AE74" s="38"/>
      <c r="AF74" s="38"/>
      <c r="AG74" s="49"/>
      <c r="AH74" s="62"/>
      <c r="AI74" s="62"/>
      <c r="AJ74" s="62"/>
      <c r="AK74" s="66" t="s">
        <v>73</v>
      </c>
      <c r="AL74" s="27">
        <v>27.254999999999999</v>
      </c>
      <c r="AM74" s="27">
        <v>16.241</v>
      </c>
      <c r="AN74" s="27">
        <v>38.511000000000003</v>
      </c>
      <c r="AO74" s="182">
        <f t="shared" si="67"/>
        <v>1.4129884424876171</v>
      </c>
      <c r="AP74" s="182">
        <f t="shared" si="68"/>
        <v>1.6781602118096177</v>
      </c>
      <c r="AQ74" s="38"/>
      <c r="AR74" s="38"/>
      <c r="AS74" s="38"/>
      <c r="AT74" s="66" t="s">
        <v>73</v>
      </c>
      <c r="AU74" s="25"/>
      <c r="AV74" s="189">
        <v>0.83958600181495679</v>
      </c>
      <c r="AW74" s="189">
        <v>2.069748337998492</v>
      </c>
      <c r="AX74" s="189">
        <v>18.683902250174476</v>
      </c>
      <c r="AY74" s="189">
        <v>38.669451046181486</v>
      </c>
      <c r="AZ74" s="189">
        <v>15.685910221785129</v>
      </c>
      <c r="BA74" s="20"/>
      <c r="BC74" s="53"/>
      <c r="BD74" s="60"/>
      <c r="BE74" s="60"/>
      <c r="BF74" s="60"/>
      <c r="BG74" s="60"/>
      <c r="BI74" s="10"/>
      <c r="BJ74" s="10"/>
      <c r="BK74" s="10"/>
      <c r="BL74" s="10"/>
      <c r="BM74" s="10"/>
      <c r="BN74" s="10"/>
      <c r="BO74" s="10"/>
      <c r="BP74" s="10"/>
    </row>
    <row r="75" spans="1:69" s="1" customFormat="1" ht="15">
      <c r="A75" s="1" t="s">
        <v>223</v>
      </c>
      <c r="B75" s="66" t="s">
        <v>74</v>
      </c>
      <c r="C75" s="168"/>
      <c r="D75" s="59"/>
      <c r="E75" s="35"/>
      <c r="F75" s="35"/>
      <c r="G75" s="35"/>
      <c r="H75" s="37"/>
      <c r="I75" s="63"/>
      <c r="J75" s="35"/>
      <c r="K75" s="69"/>
      <c r="L75" s="35"/>
      <c r="M75" s="136"/>
      <c r="N75" s="35"/>
      <c r="O75" s="35"/>
      <c r="P75" s="94"/>
      <c r="Q75" s="93"/>
      <c r="R75" s="66" t="s">
        <v>74</v>
      </c>
      <c r="V75" s="2"/>
      <c r="W75" s="62"/>
      <c r="Z75" s="27"/>
      <c r="AA75" s="38"/>
      <c r="AB75" s="38"/>
      <c r="AC75" s="38"/>
      <c r="AD75" s="38"/>
      <c r="AE75" s="38"/>
      <c r="AF75" s="38"/>
      <c r="AG75" s="134"/>
      <c r="AH75" s="134"/>
      <c r="AI75" s="134"/>
      <c r="AJ75" s="134"/>
      <c r="AK75" s="66" t="s">
        <v>74</v>
      </c>
      <c r="AL75" s="27">
        <v>29.643999999999998</v>
      </c>
      <c r="AM75" s="27">
        <v>16.350000000000001</v>
      </c>
      <c r="AN75" s="27">
        <v>39.244</v>
      </c>
      <c r="AO75" s="182">
        <f t="shared" si="67"/>
        <v>1.3238429361759547</v>
      </c>
      <c r="AP75" s="182">
        <f t="shared" si="68"/>
        <v>1.8130886850152903</v>
      </c>
      <c r="AQ75" s="38"/>
      <c r="AR75" s="38"/>
      <c r="AS75" s="38"/>
      <c r="AT75" s="66" t="s">
        <v>74</v>
      </c>
      <c r="AU75" s="25"/>
      <c r="AV75" s="189"/>
      <c r="AW75" s="189"/>
      <c r="AX75" s="189"/>
      <c r="AY75" s="189"/>
      <c r="AZ75" s="189"/>
      <c r="BA75" s="20"/>
      <c r="BB75" s="28"/>
      <c r="BC75" s="28"/>
      <c r="BD75" s="28"/>
      <c r="BE75" s="28"/>
      <c r="BF75" s="28"/>
      <c r="BG75" s="28"/>
      <c r="BI75" s="28"/>
      <c r="BJ75" s="10"/>
      <c r="BK75" s="10"/>
      <c r="BL75" s="10"/>
      <c r="BM75" s="10"/>
      <c r="BN75" s="10"/>
      <c r="BO75" s="10"/>
      <c r="BP75" s="10"/>
    </row>
    <row r="76" spans="1:69" s="1" customFormat="1" ht="15">
      <c r="A76" s="1" t="s">
        <v>223</v>
      </c>
      <c r="B76" s="66" t="s">
        <v>75</v>
      </c>
      <c r="C76" s="168"/>
      <c r="D76" s="59"/>
      <c r="E76" s="35"/>
      <c r="F76" s="35"/>
      <c r="G76" s="35"/>
      <c r="H76" s="37"/>
      <c r="I76" s="63"/>
      <c r="J76" s="35"/>
      <c r="K76" s="69"/>
      <c r="L76" s="35"/>
      <c r="M76" s="136"/>
      <c r="N76" s="35"/>
      <c r="O76" s="35"/>
      <c r="P76" s="94"/>
      <c r="Q76" s="93"/>
      <c r="R76" s="66" t="s">
        <v>75</v>
      </c>
      <c r="V76" s="2"/>
      <c r="W76" s="62"/>
      <c r="Z76" s="27"/>
      <c r="AA76" s="38"/>
      <c r="AB76" s="38"/>
      <c r="AC76" s="38"/>
      <c r="AD76" s="38"/>
      <c r="AE76" s="38"/>
      <c r="AF76" s="38"/>
      <c r="AG76" s="40"/>
      <c r="AH76" s="40"/>
      <c r="AI76" s="40"/>
      <c r="AJ76" s="40"/>
      <c r="AK76" s="66" t="s">
        <v>75</v>
      </c>
      <c r="AL76" s="27">
        <v>33.496000000000002</v>
      </c>
      <c r="AM76" s="27">
        <v>16.568999999999999</v>
      </c>
      <c r="AN76" s="27">
        <v>39.136000000000003</v>
      </c>
      <c r="AO76" s="182">
        <f t="shared" si="67"/>
        <v>1.1683783138285169</v>
      </c>
      <c r="AP76" s="182">
        <f t="shared" si="68"/>
        <v>2.0216066147625087</v>
      </c>
      <c r="AQ76" s="38"/>
      <c r="AR76" s="38"/>
      <c r="AS76" s="38"/>
      <c r="AT76" s="66" t="s">
        <v>75</v>
      </c>
      <c r="AU76" s="25"/>
      <c r="AV76" s="189"/>
      <c r="AW76" s="189"/>
      <c r="AX76" s="189"/>
      <c r="AY76" s="189"/>
      <c r="AZ76" s="189"/>
      <c r="BA76" s="20"/>
      <c r="BJ76" s="10"/>
      <c r="BK76" s="10"/>
      <c r="BL76" s="10"/>
      <c r="BM76" s="10"/>
      <c r="BN76" s="10"/>
      <c r="BO76" s="10"/>
      <c r="BP76" s="10"/>
    </row>
    <row r="77" spans="1:69" s="1" customFormat="1" ht="15">
      <c r="A77" s="1" t="s">
        <v>223</v>
      </c>
      <c r="B77" s="66" t="s">
        <v>76</v>
      </c>
      <c r="C77" s="168"/>
      <c r="D77" s="59"/>
      <c r="E77" s="35"/>
      <c r="F77" s="35"/>
      <c r="G77" s="35"/>
      <c r="H77" s="37"/>
      <c r="I77" s="63"/>
      <c r="J77" s="37"/>
      <c r="K77" s="69"/>
      <c r="L77" s="35"/>
      <c r="M77" s="136"/>
      <c r="N77" s="35"/>
      <c r="O77" s="35"/>
      <c r="P77" s="94"/>
      <c r="Q77" s="93"/>
      <c r="R77" s="66" t="s">
        <v>76</v>
      </c>
      <c r="V77" s="2"/>
      <c r="W77" s="62"/>
      <c r="Z77" s="27"/>
      <c r="AA77" s="38"/>
      <c r="AB77" s="38"/>
      <c r="AC77" s="38"/>
      <c r="AD77" s="38"/>
      <c r="AE77" s="38"/>
      <c r="AF77" s="38"/>
      <c r="AG77" s="40"/>
      <c r="AH77" s="40"/>
      <c r="AI77" s="40"/>
      <c r="AJ77" s="40"/>
      <c r="AK77" s="66" t="s">
        <v>76</v>
      </c>
      <c r="AL77" s="27">
        <v>30.527999999999999</v>
      </c>
      <c r="AM77" s="27">
        <v>16.405000000000001</v>
      </c>
      <c r="AN77" s="27">
        <v>39.03</v>
      </c>
      <c r="AO77" s="182">
        <f t="shared" si="67"/>
        <v>1.2784984276729561</v>
      </c>
      <c r="AP77" s="182">
        <f t="shared" si="68"/>
        <v>1.860896068271868</v>
      </c>
      <c r="AQ77" s="38"/>
      <c r="AR77" s="38"/>
      <c r="AS77" s="38"/>
      <c r="AT77" s="66" t="s">
        <v>76</v>
      </c>
      <c r="AU77" s="25"/>
      <c r="AV77" s="189"/>
      <c r="AW77" s="189"/>
      <c r="AX77" s="189"/>
      <c r="AY77" s="189"/>
      <c r="AZ77" s="189"/>
      <c r="BA77" s="20"/>
      <c r="BJ77" s="53"/>
      <c r="BK77" s="53"/>
      <c r="BL77" s="53"/>
      <c r="BM77" s="53"/>
      <c r="BN77" s="53"/>
      <c r="BO77" s="53"/>
      <c r="BP77" s="53"/>
      <c r="BQ77" s="53"/>
    </row>
    <row r="78" spans="1:69" s="1" customFormat="1" ht="15">
      <c r="B78" s="48" t="s">
        <v>55</v>
      </c>
      <c r="C78" s="163"/>
      <c r="D78" s="59"/>
      <c r="E78" s="35"/>
      <c r="F78" s="35"/>
      <c r="G78" s="35"/>
      <c r="H78" s="37"/>
      <c r="I78" s="63"/>
      <c r="K78" s="69"/>
      <c r="L78" s="35"/>
      <c r="M78" s="136"/>
      <c r="N78" s="35"/>
      <c r="O78" s="35"/>
      <c r="P78" s="94"/>
      <c r="Q78" s="93"/>
      <c r="R78" s="48" t="s">
        <v>55</v>
      </c>
      <c r="V78" s="2"/>
      <c r="W78" s="65"/>
      <c r="Z78" s="48"/>
      <c r="AA78" s="48"/>
      <c r="AB78" s="48"/>
      <c r="AC78" s="48"/>
      <c r="AD78" s="48"/>
      <c r="AE78" s="48"/>
      <c r="AF78" s="48"/>
      <c r="AG78" s="40"/>
      <c r="AH78" s="40"/>
      <c r="AI78" s="40"/>
      <c r="AJ78" s="40"/>
      <c r="AK78" s="48" t="s">
        <v>55</v>
      </c>
      <c r="AL78" s="48">
        <f>MIN(AL62:AL77)</f>
        <v>18.318000000000001</v>
      </c>
      <c r="AM78" s="183">
        <f t="shared" ref="AM78:AN78" si="73">MIN(AM62:AM77)</f>
        <v>15.592029266351901</v>
      </c>
      <c r="AN78" s="183">
        <f t="shared" si="73"/>
        <v>38.063678070613598</v>
      </c>
      <c r="AO78" s="183">
        <f t="shared" ref="AO78" si="74">MIN(AO62:AO77)</f>
        <v>1.1660361621637725</v>
      </c>
      <c r="AP78" s="183">
        <f t="shared" ref="AP78" si="75">MIN(AP62:AP77)</f>
        <v>1.1672720321162302</v>
      </c>
      <c r="AQ78" s="39"/>
      <c r="AR78" s="48">
        <v>9.3933999999999997</v>
      </c>
      <c r="AS78" s="48"/>
      <c r="AT78" s="48" t="s">
        <v>55</v>
      </c>
      <c r="AU78" s="34"/>
      <c r="AV78" s="189">
        <v>0.82777648240465307</v>
      </c>
      <c r="AW78" s="189">
        <v>2.0665280910472612</v>
      </c>
      <c r="AX78" s="189">
        <v>18.89614425369972</v>
      </c>
      <c r="AY78" s="189">
        <v>39.048970006319372</v>
      </c>
      <c r="AZ78" s="189">
        <v>15.640740925133374</v>
      </c>
      <c r="BA78" s="20"/>
      <c r="BJ78" s="48"/>
      <c r="BK78" s="48"/>
      <c r="BL78" s="48"/>
      <c r="BM78" s="48"/>
      <c r="BN78" s="48"/>
      <c r="BO78" s="48"/>
      <c r="BP78" s="48"/>
      <c r="BQ78" s="48"/>
    </row>
    <row r="79" spans="1:69" s="1" customFormat="1" ht="15">
      <c r="B79" s="48" t="s">
        <v>56</v>
      </c>
      <c r="C79" s="163"/>
      <c r="D79" s="59"/>
      <c r="E79" s="35"/>
      <c r="F79" s="35"/>
      <c r="G79" s="35"/>
      <c r="H79" s="37"/>
      <c r="I79" s="63"/>
      <c r="J79" s="39"/>
      <c r="K79" s="69"/>
      <c r="L79" s="35"/>
      <c r="M79" s="136"/>
      <c r="N79" s="35"/>
      <c r="O79" s="35"/>
      <c r="P79" s="94"/>
      <c r="Q79" s="92"/>
      <c r="R79" s="48" t="s">
        <v>56</v>
      </c>
      <c r="V79" s="2"/>
      <c r="W79" s="65"/>
      <c r="X79" s="48"/>
      <c r="Y79" s="48"/>
      <c r="Z79" s="48"/>
      <c r="AA79" s="48"/>
      <c r="AB79" s="48"/>
      <c r="AC79" s="48"/>
      <c r="AD79" s="48"/>
      <c r="AE79" s="48"/>
      <c r="AF79" s="48"/>
      <c r="AG79" s="40"/>
      <c r="AH79" s="40"/>
      <c r="AI79" s="40"/>
      <c r="AJ79" s="40"/>
      <c r="AK79" s="48" t="s">
        <v>56</v>
      </c>
      <c r="AL79" s="48">
        <f>MAX(AL62:AL77)</f>
        <v>33.570999999999998</v>
      </c>
      <c r="AM79" s="183">
        <f t="shared" ref="AM79:AN79" si="76">MAX(AM62:AM77)</f>
        <v>16.577999999999999</v>
      </c>
      <c r="AN79" s="183">
        <f t="shared" si="76"/>
        <v>39.256</v>
      </c>
      <c r="AO79" s="183">
        <f t="shared" ref="AO79:AP79" si="77">MAX(AO62:AO77)</f>
        <v>2.0887105579211704</v>
      </c>
      <c r="AP79" s="183">
        <f t="shared" si="77"/>
        <v>2.0250331764989746</v>
      </c>
      <c r="AQ79" s="39"/>
      <c r="AR79" s="48">
        <v>32.54</v>
      </c>
      <c r="AS79" s="48"/>
      <c r="AT79" s="48" t="s">
        <v>56</v>
      </c>
      <c r="AU79" s="34"/>
      <c r="AV79" s="189"/>
      <c r="AW79" s="189"/>
      <c r="AX79" s="189"/>
      <c r="AY79" s="189"/>
      <c r="AZ79" s="189"/>
      <c r="BA79" s="20"/>
    </row>
    <row r="80" spans="1:69" s="1" customFormat="1" ht="15">
      <c r="B80" s="48" t="s">
        <v>225</v>
      </c>
      <c r="C80" s="163"/>
      <c r="D80" s="59"/>
      <c r="E80" s="35"/>
      <c r="F80" s="35"/>
      <c r="G80" s="35"/>
      <c r="H80" s="37"/>
      <c r="I80" s="63"/>
      <c r="J80" s="39"/>
      <c r="K80" s="69"/>
      <c r="L80" s="35"/>
      <c r="M80" s="136"/>
      <c r="N80" s="35"/>
      <c r="O80" s="35"/>
      <c r="P80" s="94"/>
      <c r="Q80" s="92"/>
      <c r="R80" s="48" t="s">
        <v>57</v>
      </c>
      <c r="S80" s="42"/>
      <c r="V80" s="2"/>
      <c r="W80" s="65"/>
      <c r="X80" s="48"/>
      <c r="Y80" s="48"/>
      <c r="Z80" s="48"/>
      <c r="AA80" s="48"/>
      <c r="AB80" s="48"/>
      <c r="AC80" s="48"/>
      <c r="AD80" s="48"/>
      <c r="AE80" s="48"/>
      <c r="AF80" s="48"/>
      <c r="AG80" s="40"/>
      <c r="AH80" s="40"/>
      <c r="AI80" s="40"/>
      <c r="AJ80" s="40"/>
      <c r="AK80" s="48" t="s">
        <v>225</v>
      </c>
      <c r="AL80" s="48">
        <f>AVERAGE(AL62:AL77)</f>
        <v>25.496259775969857</v>
      </c>
      <c r="AM80" s="183">
        <f t="shared" ref="AM80:AN80" si="78">AVERAGE(AM62:AM77)</f>
        <v>16.077177588697118</v>
      </c>
      <c r="AN80" s="183">
        <f t="shared" si="78"/>
        <v>38.729850259394738</v>
      </c>
      <c r="AO80" s="183">
        <f t="shared" ref="AO80:AP80" si="79">AVERAGE(AO62:AO77)</f>
        <v>1.5922271608284762</v>
      </c>
      <c r="AP80" s="183">
        <f t="shared" si="79"/>
        <v>1.5797196323760541</v>
      </c>
      <c r="AQ80" s="39"/>
      <c r="AR80" s="48">
        <v>20.778949999999998</v>
      </c>
      <c r="AS80" s="48"/>
      <c r="AT80" s="48" t="s">
        <v>57</v>
      </c>
      <c r="AU80" s="34"/>
      <c r="AV80" s="189"/>
      <c r="AW80" s="189"/>
      <c r="AX80" s="189"/>
      <c r="AY80" s="189"/>
      <c r="AZ80" s="189"/>
      <c r="BA80" s="20"/>
      <c r="BJ80" s="42"/>
      <c r="BK80" s="28"/>
      <c r="BL80" s="42"/>
      <c r="BM80" s="42"/>
      <c r="BN80" s="42"/>
      <c r="BO80" s="28"/>
      <c r="BP80" s="28"/>
      <c r="BQ80" s="28"/>
    </row>
    <row r="81" spans="1:68" s="1" customFormat="1" ht="15">
      <c r="B81" s="27" t="s">
        <v>77</v>
      </c>
      <c r="C81" s="158"/>
      <c r="D81" s="59"/>
      <c r="E81" s="35"/>
      <c r="F81" s="35"/>
      <c r="G81" s="35"/>
      <c r="H81" s="37"/>
      <c r="I81" s="30"/>
      <c r="J81" s="30"/>
      <c r="K81" s="69"/>
      <c r="L81" s="35"/>
      <c r="M81" s="136"/>
      <c r="N81" s="35"/>
      <c r="O81" s="35"/>
      <c r="P81" s="94"/>
      <c r="Q81" s="88"/>
      <c r="R81" s="27" t="s">
        <v>77</v>
      </c>
      <c r="V81" s="2"/>
      <c r="W81" s="62"/>
      <c r="X81" s="30"/>
      <c r="Y81" s="30"/>
      <c r="Z81" s="30"/>
      <c r="AA81" s="30"/>
      <c r="AB81" s="30"/>
      <c r="AC81" s="30"/>
      <c r="AD81" s="30"/>
      <c r="AE81" s="30"/>
      <c r="AF81" s="30"/>
      <c r="AG81" s="40"/>
      <c r="AH81" s="40"/>
      <c r="AI81" s="40"/>
      <c r="AJ81" s="40"/>
      <c r="AK81" s="27" t="s">
        <v>77</v>
      </c>
      <c r="AL81" s="30">
        <f>STDEV(AL62:AL77)</f>
        <v>5.6204245964989852</v>
      </c>
      <c r="AM81" s="30">
        <f t="shared" ref="AM81:AN81" si="80">STDEV(AM62:AM77)</f>
        <v>0.35304465590747897</v>
      </c>
      <c r="AN81" s="30">
        <f t="shared" si="80"/>
        <v>0.41504701521268883</v>
      </c>
      <c r="AO81" s="30">
        <f t="shared" ref="AO81:AP81" si="81">STDEV(AO62:AO77)</f>
        <v>0.35858101477835214</v>
      </c>
      <c r="AP81" s="30">
        <f t="shared" si="81"/>
        <v>0.31651688792209226</v>
      </c>
      <c r="AQ81" s="30"/>
      <c r="AR81" s="30">
        <v>7.8046460329088703</v>
      </c>
      <c r="AS81" s="30"/>
      <c r="AT81" s="27" t="s">
        <v>77</v>
      </c>
      <c r="AU81" s="36"/>
      <c r="AV81" s="189"/>
      <c r="AW81" s="189"/>
      <c r="AX81" s="189"/>
      <c r="AY81" s="189"/>
      <c r="AZ81" s="189"/>
      <c r="BA81" s="20"/>
    </row>
    <row r="82" spans="1:68" s="1" customFormat="1" ht="15">
      <c r="B82" s="27" t="s">
        <v>59</v>
      </c>
      <c r="C82" s="158"/>
      <c r="D82" s="59"/>
      <c r="E82" s="35"/>
      <c r="F82" s="35"/>
      <c r="G82" s="35"/>
      <c r="H82" s="37"/>
      <c r="I82" s="59"/>
      <c r="J82" s="59"/>
      <c r="K82" s="69"/>
      <c r="L82" s="35"/>
      <c r="M82" s="136"/>
      <c r="N82" s="35"/>
      <c r="O82" s="35"/>
      <c r="P82" s="94"/>
      <c r="Q82" s="96"/>
      <c r="R82" s="27" t="s">
        <v>59</v>
      </c>
      <c r="S82" s="59"/>
      <c r="V82" s="2"/>
      <c r="W82" s="125"/>
      <c r="X82" s="72"/>
      <c r="Y82" s="72"/>
      <c r="Z82" s="72"/>
      <c r="AA82" s="72"/>
      <c r="AB82" s="72"/>
      <c r="AC82" s="72"/>
      <c r="AD82" s="72"/>
      <c r="AE82" s="72"/>
      <c r="AF82" s="72"/>
      <c r="AG82" s="40"/>
      <c r="AH82" s="40"/>
      <c r="AI82" s="40"/>
      <c r="AJ82" s="40"/>
      <c r="AK82" s="27" t="s">
        <v>59</v>
      </c>
      <c r="AL82" s="72">
        <f>AL81/AL80</f>
        <v>0.22044114100987539</v>
      </c>
      <c r="AM82" s="72">
        <f t="shared" ref="AM82:AN82" si="82">AM81/AM80</f>
        <v>2.1959367803194702E-2</v>
      </c>
      <c r="AN82" s="72">
        <f t="shared" si="82"/>
        <v>1.0716463204295774E-2</v>
      </c>
      <c r="AO82" s="72">
        <f t="shared" ref="AO82" si="83">AO81/AO80</f>
        <v>0.22520719630971081</v>
      </c>
      <c r="AP82" s="72">
        <f t="shared" ref="AP82" si="84">AP81/AP80</f>
        <v>0.20036269818715849</v>
      </c>
      <c r="AQ82" s="30"/>
      <c r="AR82" s="72">
        <v>0.37560348491665202</v>
      </c>
      <c r="AS82" s="72"/>
      <c r="AT82" s="27" t="s">
        <v>59</v>
      </c>
      <c r="AU82" s="36"/>
      <c r="AV82" s="189">
        <v>0.83592095109028342</v>
      </c>
      <c r="AW82" s="189">
        <v>2.0449270991873867</v>
      </c>
      <c r="AX82" s="189">
        <v>18.967454542825259</v>
      </c>
      <c r="AY82" s="189">
        <v>38.786530018381391</v>
      </c>
      <c r="AZ82" s="189">
        <v>15.855473694999429</v>
      </c>
      <c r="BA82" s="20"/>
    </row>
    <row r="83" spans="1:68" s="1" customFormat="1" ht="15.75">
      <c r="B83" s="80" t="s">
        <v>155</v>
      </c>
      <c r="C83" s="166"/>
      <c r="D83" s="59"/>
      <c r="E83" s="35"/>
      <c r="F83" s="35"/>
      <c r="G83" s="35"/>
      <c r="H83" s="37"/>
      <c r="I83" s="63"/>
      <c r="J83" s="63"/>
      <c r="K83" s="69"/>
      <c r="L83" s="35"/>
      <c r="M83" s="136"/>
      <c r="N83" s="35"/>
      <c r="O83" s="35"/>
      <c r="P83" s="94"/>
      <c r="Q83" s="95"/>
      <c r="R83" s="80" t="s">
        <v>78</v>
      </c>
      <c r="S83" s="63"/>
      <c r="V83" s="2"/>
      <c r="W83" s="65"/>
      <c r="X83" s="39"/>
      <c r="Y83" s="39"/>
      <c r="Z83" s="39"/>
      <c r="AA83" s="39"/>
      <c r="AB83" s="39"/>
      <c r="AC83" s="39"/>
      <c r="AD83" s="39"/>
      <c r="AE83" s="39"/>
      <c r="AF83" s="39"/>
      <c r="AG83" s="40"/>
      <c r="AH83" s="40"/>
      <c r="AI83" s="40"/>
      <c r="AJ83" s="40"/>
      <c r="AK83" s="80" t="s">
        <v>78</v>
      </c>
      <c r="AL83" s="39"/>
      <c r="AM83" s="39"/>
      <c r="AN83" s="39"/>
      <c r="AO83" s="182" t="e">
        <f t="shared" ref="AO83:AO95" si="85">AN83/AL83</f>
        <v>#DIV/0!</v>
      </c>
      <c r="AP83" s="182" t="e">
        <f t="shared" ref="AP83:AP95" si="86">AL83/AM83</f>
        <v>#DIV/0!</v>
      </c>
      <c r="AQ83" s="39"/>
      <c r="AR83" s="39"/>
      <c r="AS83" s="39"/>
      <c r="AT83" s="80" t="s">
        <v>78</v>
      </c>
      <c r="AU83" s="34"/>
      <c r="AV83" s="197" t="s">
        <v>164</v>
      </c>
      <c r="AW83" s="197" t="s">
        <v>165</v>
      </c>
      <c r="AX83" s="197" t="s">
        <v>166</v>
      </c>
      <c r="AY83" s="197" t="s">
        <v>167</v>
      </c>
      <c r="AZ83" s="197" t="s">
        <v>168</v>
      </c>
      <c r="BA83" s="20"/>
    </row>
    <row r="84" spans="1:68" s="1" customFormat="1" ht="15">
      <c r="A84" s="1" t="s">
        <v>157</v>
      </c>
      <c r="B84" s="27" t="s">
        <v>79</v>
      </c>
      <c r="C84" s="158"/>
      <c r="D84" s="59"/>
      <c r="E84" s="35"/>
      <c r="F84" s="35"/>
      <c r="G84" s="35"/>
      <c r="H84" s="37"/>
      <c r="I84" s="63"/>
      <c r="J84" s="63"/>
      <c r="K84" s="69"/>
      <c r="L84" s="35"/>
      <c r="M84" s="136"/>
      <c r="N84" s="35"/>
      <c r="O84" s="35"/>
      <c r="P84" s="94"/>
      <c r="Q84" s="95"/>
      <c r="R84" s="27" t="s">
        <v>79</v>
      </c>
      <c r="S84" s="63"/>
      <c r="V84" s="2"/>
      <c r="W84" s="40"/>
      <c r="AG84" s="40"/>
      <c r="AH84" s="40"/>
      <c r="AI84" s="40"/>
      <c r="AJ84" s="40"/>
      <c r="AK84" s="27" t="s">
        <v>79</v>
      </c>
      <c r="AL84" s="27">
        <v>17.931999999999999</v>
      </c>
      <c r="AM84" s="27">
        <v>15.612</v>
      </c>
      <c r="AN84" s="27">
        <v>38.292000000000002</v>
      </c>
      <c r="AO84" s="182">
        <f t="shared" si="85"/>
        <v>2.1354004015168417</v>
      </c>
      <c r="AP84" s="182">
        <f t="shared" si="86"/>
        <v>1.1486036382270048</v>
      </c>
      <c r="AQ84" s="38"/>
      <c r="AR84" s="38"/>
      <c r="AS84" s="38"/>
      <c r="AT84" s="27" t="s">
        <v>79</v>
      </c>
      <c r="AU84" s="25"/>
      <c r="AV84" s="25"/>
      <c r="AW84" s="25"/>
      <c r="AX84" s="47"/>
      <c r="AY84" s="38"/>
      <c r="AZ84" s="184"/>
      <c r="BA84" s="20"/>
    </row>
    <row r="85" spans="1:68" s="1" customFormat="1" ht="15">
      <c r="A85" s="1" t="s">
        <v>157</v>
      </c>
      <c r="B85" s="27" t="s">
        <v>80</v>
      </c>
      <c r="C85" s="158"/>
      <c r="D85" s="59"/>
      <c r="E85" s="35"/>
      <c r="F85" s="35"/>
      <c r="G85" s="35"/>
      <c r="H85" s="37"/>
      <c r="I85" s="63"/>
      <c r="J85" s="63"/>
      <c r="K85" s="69"/>
      <c r="L85" s="35"/>
      <c r="M85" s="136"/>
      <c r="N85" s="35"/>
      <c r="O85" s="35"/>
      <c r="P85" s="94"/>
      <c r="Q85" s="95"/>
      <c r="R85" s="27" t="s">
        <v>80</v>
      </c>
      <c r="S85" s="63"/>
      <c r="V85" s="2"/>
      <c r="W85" s="40"/>
      <c r="AG85" s="40"/>
      <c r="AH85" s="40"/>
      <c r="AI85" s="40"/>
      <c r="AJ85" s="40"/>
      <c r="AK85" s="27" t="s">
        <v>80</v>
      </c>
      <c r="AL85" s="27">
        <v>17.971</v>
      </c>
      <c r="AM85" s="27">
        <v>15.622</v>
      </c>
      <c r="AN85" s="27">
        <v>38.033000000000001</v>
      </c>
      <c r="AO85" s="182">
        <f t="shared" si="85"/>
        <v>2.1163541260920371</v>
      </c>
      <c r="AP85" s="182">
        <f t="shared" si="86"/>
        <v>1.1503648700550506</v>
      </c>
      <c r="AQ85" s="38"/>
      <c r="AR85" s="38"/>
      <c r="AS85" s="38"/>
      <c r="AT85" s="27" t="s">
        <v>80</v>
      </c>
      <c r="AU85" s="25"/>
      <c r="AV85" s="25"/>
      <c r="AW85" s="25"/>
      <c r="AX85" s="47"/>
      <c r="AY85" s="38"/>
      <c r="AZ85" s="184"/>
      <c r="BA85" s="20"/>
    </row>
    <row r="86" spans="1:68" s="1" customFormat="1" ht="15">
      <c r="A86" s="1" t="s">
        <v>157</v>
      </c>
      <c r="B86" s="27" t="s">
        <v>81</v>
      </c>
      <c r="C86" s="158"/>
      <c r="D86" s="30"/>
      <c r="E86" s="30"/>
      <c r="F86" s="62"/>
      <c r="G86" s="63"/>
      <c r="H86" s="63"/>
      <c r="I86" s="63"/>
      <c r="J86" s="63"/>
      <c r="K86" s="69"/>
      <c r="L86" s="35"/>
      <c r="M86" s="136"/>
      <c r="N86" s="35"/>
      <c r="O86" s="35"/>
      <c r="P86" s="94"/>
      <c r="Q86" s="95"/>
      <c r="R86" s="27" t="s">
        <v>81</v>
      </c>
      <c r="S86" s="63"/>
      <c r="V86" s="2"/>
      <c r="W86" s="40"/>
      <c r="AG86" s="40"/>
      <c r="AH86" s="40"/>
      <c r="AI86" s="40"/>
      <c r="AJ86" s="40"/>
      <c r="AK86" s="27" t="s">
        <v>81</v>
      </c>
      <c r="AL86" s="27">
        <v>18.001000000000001</v>
      </c>
      <c r="AM86" s="27">
        <v>15.631</v>
      </c>
      <c r="AN86" s="27">
        <v>38.170999999999999</v>
      </c>
      <c r="AO86" s="182">
        <f t="shared" si="85"/>
        <v>2.1204933059274484</v>
      </c>
      <c r="AP86" s="182">
        <f t="shared" si="86"/>
        <v>1.1516217772375408</v>
      </c>
      <c r="AQ86" s="38"/>
      <c r="AR86" s="38"/>
      <c r="AS86" s="38"/>
      <c r="AT86" s="27" t="s">
        <v>81</v>
      </c>
      <c r="AU86" s="25"/>
      <c r="AV86" s="25"/>
      <c r="AW86" s="25"/>
      <c r="AX86" s="47"/>
      <c r="AY86" s="38"/>
      <c r="AZ86" s="184"/>
      <c r="BA86" s="20"/>
    </row>
    <row r="87" spans="1:68" s="1" customFormat="1" ht="15">
      <c r="A87" s="1" t="s">
        <v>157</v>
      </c>
      <c r="B87" s="27" t="s">
        <v>82</v>
      </c>
      <c r="C87" s="158"/>
      <c r="D87" s="30"/>
      <c r="E87" s="30"/>
      <c r="F87" s="30"/>
      <c r="G87" s="30"/>
      <c r="H87" s="30"/>
      <c r="I87" s="30"/>
      <c r="J87" s="30"/>
      <c r="K87" s="69"/>
      <c r="L87" s="35"/>
      <c r="M87" s="136"/>
      <c r="N87" s="35"/>
      <c r="O87" s="35"/>
      <c r="P87" s="94"/>
      <c r="Q87" s="88"/>
      <c r="R87" s="27" t="s">
        <v>82</v>
      </c>
      <c r="V87" s="2"/>
      <c r="W87" s="40"/>
      <c r="AG87" s="40"/>
      <c r="AH87" s="40"/>
      <c r="AI87" s="40"/>
      <c r="AJ87" s="40"/>
      <c r="AK87" s="27" t="s">
        <v>82</v>
      </c>
      <c r="AL87" s="27">
        <v>17.911000000000001</v>
      </c>
      <c r="AM87" s="27">
        <v>15.521000000000001</v>
      </c>
      <c r="AN87" s="27">
        <v>37.652000000000001</v>
      </c>
      <c r="AO87" s="182">
        <f t="shared" si="85"/>
        <v>2.1021718497013007</v>
      </c>
      <c r="AP87" s="182">
        <f t="shared" si="86"/>
        <v>1.1539849236518265</v>
      </c>
      <c r="AQ87" s="38"/>
      <c r="AR87" s="38"/>
      <c r="AS87" s="38"/>
      <c r="AT87" s="27" t="s">
        <v>82</v>
      </c>
      <c r="AU87" s="25"/>
      <c r="AV87" s="25"/>
      <c r="AW87" s="25"/>
      <c r="AX87" s="47"/>
      <c r="AY87" s="38"/>
      <c r="AZ87" s="184"/>
      <c r="BA87" s="20"/>
    </row>
    <row r="88" spans="1:68" s="1" customFormat="1" ht="15">
      <c r="A88" s="1" t="s">
        <v>157</v>
      </c>
      <c r="B88" s="27" t="s">
        <v>83</v>
      </c>
      <c r="C88" s="158"/>
      <c r="D88" s="30"/>
      <c r="E88" s="30"/>
      <c r="F88" s="30"/>
      <c r="G88" s="30"/>
      <c r="H88" s="30"/>
      <c r="I88" s="30"/>
      <c r="J88" s="30"/>
      <c r="K88" s="69"/>
      <c r="L88" s="35"/>
      <c r="M88" s="136"/>
      <c r="N88" s="35"/>
      <c r="O88" s="35"/>
      <c r="P88" s="94"/>
      <c r="Q88" s="88"/>
      <c r="R88" s="27" t="s">
        <v>83</v>
      </c>
      <c r="V88" s="2"/>
      <c r="W88" s="40"/>
      <c r="AG88" s="40"/>
      <c r="AH88" s="40"/>
      <c r="AI88" s="40"/>
      <c r="AJ88" s="40"/>
      <c r="AK88" s="27" t="s">
        <v>83</v>
      </c>
      <c r="AL88" s="27">
        <v>17.881</v>
      </c>
      <c r="AM88" s="27">
        <v>15.673</v>
      </c>
      <c r="AN88" s="27">
        <v>37.633000000000003</v>
      </c>
      <c r="AO88" s="182">
        <f t="shared" si="85"/>
        <v>2.1046362060287458</v>
      </c>
      <c r="AP88" s="182">
        <f t="shared" si="86"/>
        <v>1.1408792190391119</v>
      </c>
      <c r="AQ88" s="38"/>
      <c r="AR88" s="38"/>
      <c r="AS88" s="38"/>
      <c r="AT88" s="27" t="s">
        <v>83</v>
      </c>
      <c r="AU88" s="25"/>
      <c r="AV88" s="25"/>
      <c r="AW88" s="25"/>
      <c r="AX88" s="47"/>
      <c r="AY88" s="38"/>
      <c r="AZ88" s="184"/>
      <c r="BA88" s="20"/>
    </row>
    <row r="89" spans="1:68" s="1" customFormat="1" ht="15">
      <c r="A89" s="1" t="s">
        <v>157</v>
      </c>
      <c r="B89" s="27" t="s">
        <v>84</v>
      </c>
      <c r="C89" s="158"/>
      <c r="D89" s="30"/>
      <c r="E89" s="30"/>
      <c r="F89" s="30"/>
      <c r="G89" s="30"/>
      <c r="H89" s="30"/>
      <c r="I89" s="30"/>
      <c r="J89" s="30"/>
      <c r="K89" s="69"/>
      <c r="L89" s="35"/>
      <c r="M89" s="136"/>
      <c r="N89" s="35"/>
      <c r="O89" s="35"/>
      <c r="P89" s="94"/>
      <c r="Q89" s="88"/>
      <c r="R89" s="27" t="s">
        <v>84</v>
      </c>
      <c r="V89" s="2"/>
      <c r="W89" s="40"/>
      <c r="AG89" s="40"/>
      <c r="AH89" s="40"/>
      <c r="AI89" s="40"/>
      <c r="AJ89" s="40"/>
      <c r="AK89" s="27" t="s">
        <v>84</v>
      </c>
      <c r="AL89" s="27">
        <v>17.952000000000002</v>
      </c>
      <c r="AM89" s="27">
        <v>15.621</v>
      </c>
      <c r="AN89" s="27">
        <v>37.960999999999999</v>
      </c>
      <c r="AO89" s="182">
        <f t="shared" si="85"/>
        <v>2.114583333333333</v>
      </c>
      <c r="AP89" s="182">
        <f t="shared" si="86"/>
        <v>1.1492222008834263</v>
      </c>
      <c r="AQ89" s="38"/>
      <c r="AR89" s="38"/>
      <c r="AS89" s="38"/>
      <c r="AT89" s="27" t="s">
        <v>84</v>
      </c>
      <c r="AU89" s="25"/>
      <c r="AV89" s="25"/>
      <c r="AW89" s="25"/>
      <c r="AX89" s="25"/>
      <c r="AY89" s="38"/>
      <c r="AZ89" s="184"/>
      <c r="BA89" s="20"/>
      <c r="BJ89" s="10"/>
      <c r="BK89" s="10"/>
      <c r="BL89" s="10"/>
      <c r="BM89" s="10"/>
      <c r="BN89" s="10"/>
      <c r="BO89" s="10"/>
      <c r="BP89" s="10"/>
    </row>
    <row r="90" spans="1:68" s="1" customFormat="1" ht="15">
      <c r="A90" s="1" t="s">
        <v>157</v>
      </c>
      <c r="B90" s="27" t="s">
        <v>85</v>
      </c>
      <c r="C90" s="158"/>
      <c r="D90" s="30"/>
      <c r="E90" s="30"/>
      <c r="F90" s="30"/>
      <c r="G90" s="30"/>
      <c r="H90" s="30"/>
      <c r="I90" s="30"/>
      <c r="J90" s="30"/>
      <c r="K90" s="69"/>
      <c r="L90" s="35"/>
      <c r="M90" s="136"/>
      <c r="N90" s="35"/>
      <c r="O90" s="35"/>
      <c r="P90" s="94"/>
      <c r="Q90" s="88"/>
      <c r="R90" s="27" t="s">
        <v>85</v>
      </c>
      <c r="V90" s="2"/>
      <c r="W90" s="40"/>
      <c r="AG90" s="40"/>
      <c r="AH90" s="40"/>
      <c r="AI90" s="40"/>
      <c r="AJ90" s="40"/>
      <c r="AK90" s="27" t="s">
        <v>85</v>
      </c>
      <c r="AL90" s="27">
        <v>18.012</v>
      </c>
      <c r="AM90" s="27">
        <v>15.693</v>
      </c>
      <c r="AN90" s="27">
        <v>38.173999999999999</v>
      </c>
      <c r="AO90" s="182">
        <f t="shared" si="85"/>
        <v>2.1193648678658672</v>
      </c>
      <c r="AP90" s="182">
        <f t="shared" si="86"/>
        <v>1.1477728923723953</v>
      </c>
      <c r="AQ90" s="38"/>
      <c r="AR90" s="38"/>
      <c r="AS90" s="38"/>
      <c r="AT90" s="27" t="s">
        <v>85</v>
      </c>
      <c r="AU90" s="25"/>
      <c r="AV90" s="25"/>
      <c r="AW90" s="25"/>
      <c r="AX90" s="25"/>
      <c r="AY90" s="38"/>
      <c r="AZ90" s="184"/>
      <c r="BA90" s="20"/>
      <c r="BJ90" s="10"/>
      <c r="BK90" s="10"/>
      <c r="BL90" s="10"/>
      <c r="BM90" s="10"/>
      <c r="BN90" s="10"/>
      <c r="BO90" s="10"/>
      <c r="BP90" s="10"/>
    </row>
    <row r="91" spans="1:68" s="1" customFormat="1" ht="15">
      <c r="A91" s="1" t="s">
        <v>157</v>
      </c>
      <c r="B91" s="27" t="s">
        <v>86</v>
      </c>
      <c r="C91" s="158"/>
      <c r="D91" s="30"/>
      <c r="E91" s="30"/>
      <c r="F91" s="30"/>
      <c r="G91" s="30"/>
      <c r="H91" s="30"/>
      <c r="I91" s="30"/>
      <c r="J91" s="30"/>
      <c r="K91" s="69"/>
      <c r="L91" s="35"/>
      <c r="M91" s="136"/>
      <c r="N91" s="35"/>
      <c r="O91" s="35"/>
      <c r="P91" s="94"/>
      <c r="Q91" s="88"/>
      <c r="R91" s="27" t="s">
        <v>86</v>
      </c>
      <c r="V91" s="2"/>
      <c r="W91" s="40"/>
      <c r="AG91" s="40"/>
      <c r="AH91" s="40"/>
      <c r="AI91" s="40"/>
      <c r="AJ91" s="40"/>
      <c r="AK91" s="27" t="s">
        <v>86</v>
      </c>
      <c r="AL91" s="27">
        <v>17.981000000000002</v>
      </c>
      <c r="AM91" s="27">
        <v>15.602</v>
      </c>
      <c r="AN91" s="27">
        <v>37.831000000000003</v>
      </c>
      <c r="AO91" s="182">
        <f t="shared" si="85"/>
        <v>2.1039430509982759</v>
      </c>
      <c r="AP91" s="182">
        <f t="shared" si="86"/>
        <v>1.1524804512242022</v>
      </c>
      <c r="AQ91" s="38"/>
      <c r="AR91" s="38"/>
      <c r="AS91" s="38"/>
      <c r="AT91" s="27" t="s">
        <v>86</v>
      </c>
      <c r="AU91" s="25"/>
      <c r="AV91" s="25"/>
      <c r="AW91" s="25"/>
      <c r="AX91" s="25"/>
      <c r="AY91" s="38"/>
      <c r="AZ91" s="184"/>
      <c r="BA91" s="20"/>
      <c r="BJ91" s="10"/>
      <c r="BK91" s="10"/>
      <c r="BL91" s="10"/>
      <c r="BM91" s="10"/>
      <c r="BN91" s="10"/>
      <c r="BO91" s="10"/>
      <c r="BP91" s="10"/>
    </row>
    <row r="92" spans="1:68" s="1" customFormat="1" ht="15">
      <c r="A92" s="1" t="s">
        <v>157</v>
      </c>
      <c r="B92" s="27" t="s">
        <v>87</v>
      </c>
      <c r="C92" s="158"/>
      <c r="D92" s="30"/>
      <c r="E92" s="30"/>
      <c r="F92" s="30"/>
      <c r="G92" s="30"/>
      <c r="H92" s="30"/>
      <c r="I92" s="30"/>
      <c r="J92" s="30"/>
      <c r="K92" s="69"/>
      <c r="L92" s="35"/>
      <c r="M92" s="136"/>
      <c r="N92" s="35"/>
      <c r="O92" s="35"/>
      <c r="P92" s="94"/>
      <c r="Q92" s="88"/>
      <c r="R92" s="27" t="s">
        <v>87</v>
      </c>
      <c r="V92" s="2"/>
      <c r="W92" s="40"/>
      <c r="AG92" s="40"/>
      <c r="AH92" s="40"/>
      <c r="AI92" s="40"/>
      <c r="AJ92" s="40"/>
      <c r="AK92" s="27" t="s">
        <v>87</v>
      </c>
      <c r="AL92" s="27">
        <v>17.870999999999999</v>
      </c>
      <c r="AM92" s="27">
        <v>15.500999999999999</v>
      </c>
      <c r="AN92" s="27">
        <v>37.570999999999998</v>
      </c>
      <c r="AO92" s="182">
        <f t="shared" si="85"/>
        <v>2.1023445806054504</v>
      </c>
      <c r="AP92" s="182">
        <f t="shared" si="86"/>
        <v>1.1528933617185988</v>
      </c>
      <c r="AQ92" s="38"/>
      <c r="AR92" s="38"/>
      <c r="AS92" s="38"/>
      <c r="AT92" s="27" t="s">
        <v>87</v>
      </c>
      <c r="AU92" s="25"/>
      <c r="AV92" s="25"/>
      <c r="AW92" s="25"/>
      <c r="AX92" s="25"/>
      <c r="AY92" s="38"/>
      <c r="AZ92" s="184"/>
      <c r="BA92" s="20"/>
      <c r="BJ92" s="10"/>
      <c r="BK92" s="10"/>
      <c r="BL92" s="10"/>
      <c r="BM92" s="10"/>
      <c r="BN92" s="10"/>
      <c r="BO92" s="10"/>
      <c r="BP92" s="10"/>
    </row>
    <row r="93" spans="1:68" s="1" customFormat="1" ht="15">
      <c r="A93" s="1" t="s">
        <v>157</v>
      </c>
      <c r="B93" s="27" t="s">
        <v>88</v>
      </c>
      <c r="C93" s="158"/>
      <c r="D93" s="30"/>
      <c r="E93" s="30"/>
      <c r="F93" s="30"/>
      <c r="G93" s="30"/>
      <c r="H93" s="30"/>
      <c r="I93" s="30"/>
      <c r="J93" s="30"/>
      <c r="K93" s="69"/>
      <c r="L93" s="35"/>
      <c r="M93" s="136"/>
      <c r="N93" s="35"/>
      <c r="O93" s="35"/>
      <c r="P93" s="94"/>
      <c r="Q93" s="88"/>
      <c r="R93" s="27" t="s">
        <v>88</v>
      </c>
      <c r="V93" s="2"/>
      <c r="W93" s="40"/>
      <c r="AG93" s="40"/>
      <c r="AH93" s="40"/>
      <c r="AI93" s="40"/>
      <c r="AJ93" s="40"/>
      <c r="AK93" s="27" t="s">
        <v>88</v>
      </c>
      <c r="AL93" s="27">
        <v>17.942</v>
      </c>
      <c r="AM93" s="27">
        <v>15.532</v>
      </c>
      <c r="AN93" s="27">
        <v>38.131999999999998</v>
      </c>
      <c r="AO93" s="182">
        <f t="shared" si="85"/>
        <v>2.1252926095195628</v>
      </c>
      <c r="AP93" s="182">
        <f t="shared" si="86"/>
        <v>1.1551635333505021</v>
      </c>
      <c r="AQ93" s="38"/>
      <c r="AR93" s="38"/>
      <c r="AS93" s="38"/>
      <c r="AT93" s="27" t="s">
        <v>88</v>
      </c>
      <c r="AU93" s="25"/>
      <c r="AV93" s="25"/>
      <c r="AW93" s="25"/>
      <c r="AX93" s="25"/>
      <c r="AY93" s="38"/>
      <c r="AZ93" s="184"/>
      <c r="BA93" s="20"/>
      <c r="BJ93" s="10"/>
      <c r="BK93" s="10"/>
      <c r="BL93" s="10"/>
      <c r="BM93" s="10"/>
      <c r="BN93" s="10"/>
      <c r="BO93" s="10"/>
      <c r="BP93" s="10"/>
    </row>
    <row r="94" spans="1:68" s="1" customFormat="1" ht="15">
      <c r="A94" s="1" t="s">
        <v>157</v>
      </c>
      <c r="B94" s="27" t="s">
        <v>89</v>
      </c>
      <c r="C94" s="158"/>
      <c r="D94" s="30"/>
      <c r="E94" s="30"/>
      <c r="F94" s="30"/>
      <c r="G94" s="30"/>
      <c r="H94" s="30"/>
      <c r="I94" s="30"/>
      <c r="J94" s="30"/>
      <c r="K94" s="69"/>
      <c r="L94" s="35"/>
      <c r="M94" s="136"/>
      <c r="N94" s="35"/>
      <c r="O94" s="35"/>
      <c r="P94" s="94"/>
      <c r="Q94" s="88"/>
      <c r="R94" s="27" t="s">
        <v>89</v>
      </c>
      <c r="V94" s="2"/>
      <c r="W94" s="40"/>
      <c r="AG94" s="40"/>
      <c r="AH94" s="40"/>
      <c r="AI94" s="40"/>
      <c r="AJ94" s="40"/>
      <c r="AK94" s="27" t="s">
        <v>89</v>
      </c>
      <c r="AL94" s="27">
        <v>17.972999999999999</v>
      </c>
      <c r="AM94" s="27">
        <v>15.590999999999999</v>
      </c>
      <c r="AN94" s="27">
        <v>38.341999999999999</v>
      </c>
      <c r="AO94" s="182">
        <f t="shared" si="85"/>
        <v>2.1333110777277029</v>
      </c>
      <c r="AP94" s="182">
        <f t="shared" si="86"/>
        <v>1.1527804502597652</v>
      </c>
      <c r="AQ94" s="38"/>
      <c r="AR94" s="38"/>
      <c r="AS94" s="38"/>
      <c r="AT94" s="27" t="s">
        <v>89</v>
      </c>
      <c r="AU94" s="25"/>
      <c r="AV94" s="25"/>
      <c r="AW94" s="25"/>
      <c r="AX94" s="25"/>
      <c r="AY94" s="38"/>
      <c r="AZ94" s="184"/>
      <c r="BA94" s="20"/>
      <c r="BG94" s="10"/>
      <c r="BI94" s="10"/>
      <c r="BJ94" s="10"/>
      <c r="BK94" s="10"/>
      <c r="BL94" s="10"/>
      <c r="BM94" s="10"/>
      <c r="BN94" s="10"/>
      <c r="BO94" s="10"/>
      <c r="BP94" s="10"/>
    </row>
    <row r="95" spans="1:68" s="1" customFormat="1" ht="15">
      <c r="A95" s="1" t="s">
        <v>157</v>
      </c>
      <c r="B95" s="27" t="s">
        <v>90</v>
      </c>
      <c r="C95" s="158"/>
      <c r="D95" s="30"/>
      <c r="E95" s="30"/>
      <c r="F95" s="30"/>
      <c r="G95" s="30"/>
      <c r="H95" s="30"/>
      <c r="I95" s="30"/>
      <c r="J95" s="30"/>
      <c r="K95" s="69"/>
      <c r="L95" s="35"/>
      <c r="M95" s="136"/>
      <c r="N95" s="35"/>
      <c r="O95" s="35"/>
      <c r="P95" s="94"/>
      <c r="Q95" s="88"/>
      <c r="R95" s="27" t="s">
        <v>90</v>
      </c>
      <c r="V95" s="2"/>
      <c r="W95" s="40"/>
      <c r="AG95" s="40"/>
      <c r="AH95" s="40"/>
      <c r="AI95" s="40"/>
      <c r="AJ95" s="40"/>
      <c r="AK95" s="27" t="s">
        <v>90</v>
      </c>
      <c r="AL95" s="27">
        <v>18.001999999999999</v>
      </c>
      <c r="AM95" s="27">
        <v>15.641999999999999</v>
      </c>
      <c r="AN95" s="27">
        <v>38.045000000000002</v>
      </c>
      <c r="AO95" s="182">
        <f t="shared" si="85"/>
        <v>2.1133762915231644</v>
      </c>
      <c r="AP95" s="182">
        <f t="shared" si="86"/>
        <v>1.1508758470783786</v>
      </c>
      <c r="AQ95" s="38"/>
      <c r="AR95" s="38"/>
      <c r="AS95" s="38"/>
      <c r="AT95" s="27" t="s">
        <v>90</v>
      </c>
      <c r="AU95" s="25"/>
      <c r="AV95" s="25"/>
      <c r="AW95" s="25"/>
      <c r="AX95" s="25"/>
      <c r="AY95" s="38"/>
      <c r="AZ95" s="184"/>
      <c r="BA95" s="20"/>
      <c r="BG95" s="10"/>
      <c r="BI95" s="10"/>
      <c r="BJ95" s="10"/>
      <c r="BK95" s="10"/>
      <c r="BL95" s="10"/>
      <c r="BM95" s="10"/>
      <c r="BN95" s="10"/>
      <c r="BO95" s="10"/>
      <c r="BP95" s="10"/>
    </row>
    <row r="96" spans="1:68" s="1" customFormat="1" ht="15">
      <c r="A96" s="1" t="s">
        <v>156</v>
      </c>
      <c r="B96" s="48" t="s">
        <v>55</v>
      </c>
      <c r="C96" s="163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48" t="s">
        <v>55</v>
      </c>
      <c r="S96" s="20"/>
      <c r="T96" s="20"/>
      <c r="U96" s="20"/>
      <c r="V96" s="48"/>
      <c r="W96" s="65"/>
      <c r="X96" s="39"/>
      <c r="Y96" s="39"/>
      <c r="Z96" s="39"/>
      <c r="AA96" s="39"/>
      <c r="AB96" s="39"/>
      <c r="AC96" s="39"/>
      <c r="AD96" s="39"/>
      <c r="AE96" s="39"/>
      <c r="AF96" s="39"/>
      <c r="AG96" s="65"/>
      <c r="AH96" s="65"/>
      <c r="AI96" s="65"/>
      <c r="AJ96" s="65"/>
      <c r="AK96" s="48" t="s">
        <v>55</v>
      </c>
      <c r="AL96" s="183">
        <f>MIN(AL84:AL95)</f>
        <v>17.870999999999999</v>
      </c>
      <c r="AM96" s="183">
        <f t="shared" ref="AM96:AP96" si="87">MIN(AM84:AM95)</f>
        <v>15.500999999999999</v>
      </c>
      <c r="AN96" s="183">
        <f t="shared" si="87"/>
        <v>37.570999999999998</v>
      </c>
      <c r="AO96" s="183">
        <f t="shared" si="87"/>
        <v>2.1021718497013007</v>
      </c>
      <c r="AP96" s="183">
        <f t="shared" si="87"/>
        <v>1.1408792190391119</v>
      </c>
      <c r="AQ96" s="39"/>
      <c r="AR96" s="39"/>
      <c r="AS96" s="39"/>
      <c r="AT96" s="48" t="s">
        <v>55</v>
      </c>
      <c r="AU96" s="34"/>
      <c r="AV96" s="34"/>
      <c r="AW96" s="34"/>
      <c r="AX96" s="34"/>
      <c r="AY96" s="20"/>
      <c r="AZ96" s="184"/>
      <c r="BA96" s="20"/>
      <c r="BB96" s="20"/>
      <c r="BC96" s="20"/>
      <c r="BD96" s="20"/>
      <c r="BE96" s="20"/>
      <c r="BF96" s="20"/>
      <c r="BG96" s="10"/>
      <c r="BI96" s="10"/>
      <c r="BJ96" s="10"/>
      <c r="BK96" s="10"/>
      <c r="BL96" s="10"/>
      <c r="BM96" s="10"/>
      <c r="BN96" s="10"/>
      <c r="BO96" s="10"/>
      <c r="BP96" s="10"/>
    </row>
    <row r="97" spans="1:68" s="1" customFormat="1" ht="15">
      <c r="B97" s="48" t="s">
        <v>56</v>
      </c>
      <c r="C97" s="163"/>
      <c r="D97" s="185"/>
      <c r="E97" s="185"/>
      <c r="F97" s="185"/>
      <c r="G97" s="185"/>
      <c r="H97" s="185"/>
      <c r="I97" s="185"/>
      <c r="J97" s="185"/>
      <c r="K97" s="185"/>
      <c r="L97" s="185"/>
      <c r="M97" s="185"/>
      <c r="N97" s="185"/>
      <c r="O97" s="185"/>
      <c r="P97" s="185"/>
      <c r="Q97" s="185"/>
      <c r="R97" s="48" t="s">
        <v>56</v>
      </c>
      <c r="S97" s="20"/>
      <c r="T97" s="20"/>
      <c r="U97" s="20"/>
      <c r="V97" s="48"/>
      <c r="W97" s="65"/>
      <c r="X97" s="39"/>
      <c r="Y97" s="39"/>
      <c r="Z97" s="39"/>
      <c r="AA97" s="39"/>
      <c r="AB97" s="39"/>
      <c r="AC97" s="39"/>
      <c r="AD97" s="39"/>
      <c r="AE97" s="39"/>
      <c r="AF97" s="39"/>
      <c r="AG97" s="65"/>
      <c r="AH97" s="65"/>
      <c r="AI97" s="65"/>
      <c r="AJ97" s="65"/>
      <c r="AK97" s="48" t="s">
        <v>56</v>
      </c>
      <c r="AL97" s="183">
        <f>MAX(AL84:AL95)</f>
        <v>18.012</v>
      </c>
      <c r="AM97" s="183">
        <f t="shared" ref="AM97:AP97" si="88">MAX(AM84:AM95)</f>
        <v>15.693</v>
      </c>
      <c r="AN97" s="183">
        <f t="shared" si="88"/>
        <v>38.341999999999999</v>
      </c>
      <c r="AO97" s="183">
        <f t="shared" si="88"/>
        <v>2.1354004015168417</v>
      </c>
      <c r="AP97" s="183">
        <f t="shared" si="88"/>
        <v>1.1551635333505021</v>
      </c>
      <c r="AQ97" s="39"/>
      <c r="AR97" s="39"/>
      <c r="AS97" s="39"/>
      <c r="AT97" s="48" t="s">
        <v>56</v>
      </c>
      <c r="AU97" s="34"/>
      <c r="AV97" s="34"/>
      <c r="AW97" s="34"/>
      <c r="AX97" s="34"/>
      <c r="AY97" s="20"/>
      <c r="AZ97" s="184"/>
      <c r="BA97" s="20"/>
      <c r="BB97" s="20"/>
      <c r="BC97" s="20"/>
      <c r="BD97" s="20"/>
      <c r="BE97" s="20"/>
      <c r="BF97" s="20"/>
      <c r="BG97" s="10"/>
      <c r="BI97" s="10"/>
      <c r="BJ97" s="10"/>
      <c r="BK97" s="10"/>
      <c r="BL97" s="10"/>
      <c r="BM97" s="10"/>
      <c r="BN97" s="10"/>
      <c r="BO97" s="10"/>
      <c r="BP97" s="10"/>
    </row>
    <row r="98" spans="1:68" s="1" customFormat="1" ht="15">
      <c r="B98" s="48" t="s">
        <v>57</v>
      </c>
      <c r="C98" s="163"/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185"/>
      <c r="Q98" s="185"/>
      <c r="R98" s="48" t="s">
        <v>57</v>
      </c>
      <c r="S98" s="20"/>
      <c r="T98" s="20"/>
      <c r="U98" s="20"/>
      <c r="V98" s="48"/>
      <c r="W98" s="65"/>
      <c r="X98" s="39"/>
      <c r="Y98" s="39"/>
      <c r="Z98" s="39"/>
      <c r="AA98" s="39"/>
      <c r="AB98" s="39"/>
      <c r="AC98" s="39"/>
      <c r="AD98" s="39"/>
      <c r="AE98" s="39"/>
      <c r="AF98" s="39"/>
      <c r="AG98" s="65"/>
      <c r="AH98" s="65"/>
      <c r="AI98" s="65"/>
      <c r="AJ98" s="65"/>
      <c r="AK98" s="48" t="s">
        <v>57</v>
      </c>
      <c r="AL98" s="48">
        <f>AVERAGE(AL84:AL95)</f>
        <v>17.952416666666668</v>
      </c>
      <c r="AM98" s="48">
        <f t="shared" ref="AM98:AP98" si="89">AVERAGE(AM84:AM95)</f>
        <v>15.603416666666668</v>
      </c>
      <c r="AN98" s="48">
        <f t="shared" si="89"/>
        <v>37.986416666666663</v>
      </c>
      <c r="AO98" s="48">
        <f t="shared" si="89"/>
        <v>2.1159393084033109</v>
      </c>
      <c r="AP98" s="48">
        <f t="shared" si="89"/>
        <v>1.1505535970914835</v>
      </c>
      <c r="AQ98" s="39"/>
      <c r="AR98" s="39"/>
      <c r="AS98" s="39"/>
      <c r="AT98" s="48" t="s">
        <v>57</v>
      </c>
      <c r="AU98" s="34"/>
      <c r="AV98" s="34"/>
      <c r="AW98" s="34"/>
      <c r="AX98" s="34"/>
      <c r="AY98" s="20"/>
      <c r="AZ98" s="184"/>
      <c r="BA98" s="20"/>
      <c r="BB98" s="20"/>
      <c r="BC98" s="20"/>
      <c r="BD98" s="20"/>
      <c r="BE98" s="20"/>
      <c r="BF98" s="20"/>
      <c r="BG98" s="10"/>
      <c r="BI98" s="10"/>
      <c r="BJ98" s="10"/>
      <c r="BK98" s="10"/>
      <c r="BL98" s="10"/>
      <c r="BM98" s="10"/>
      <c r="BN98" s="10"/>
      <c r="BO98" s="10"/>
      <c r="BP98" s="10"/>
    </row>
    <row r="99" spans="1:68" s="1" customFormat="1" ht="15">
      <c r="B99" s="27" t="s">
        <v>77</v>
      </c>
      <c r="C99" s="158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27" t="s">
        <v>77</v>
      </c>
      <c r="S99" s="19"/>
      <c r="T99" s="19"/>
      <c r="U99" s="19"/>
      <c r="V99" s="27"/>
      <c r="W99" s="62"/>
      <c r="X99" s="30"/>
      <c r="Y99" s="30"/>
      <c r="Z99" s="30"/>
      <c r="AA99" s="30"/>
      <c r="AB99" s="30"/>
      <c r="AC99" s="30"/>
      <c r="AD99" s="30"/>
      <c r="AE99" s="30"/>
      <c r="AF99" s="30"/>
      <c r="AG99" s="62"/>
      <c r="AH99" s="62"/>
      <c r="AI99" s="62"/>
      <c r="AJ99" s="62"/>
      <c r="AK99" s="27" t="s">
        <v>77</v>
      </c>
      <c r="AL99" s="30">
        <f>STDEV(AL84:AL95)</f>
        <v>4.6636814044727005E-2</v>
      </c>
      <c r="AM99" s="30">
        <f t="shared" ref="AM99:AP99" si="90">STDEV(AM84:AM95)</f>
        <v>5.907077162697346E-2</v>
      </c>
      <c r="AN99" s="30">
        <f t="shared" si="90"/>
        <v>0.26111385824909572</v>
      </c>
      <c r="AO99" s="30">
        <f t="shared" si="90"/>
        <v>1.1501303337790085E-2</v>
      </c>
      <c r="AP99" s="30">
        <f t="shared" si="90"/>
        <v>3.7580579040462879E-3</v>
      </c>
      <c r="AQ99" s="30"/>
      <c r="AR99" s="30"/>
      <c r="AS99" s="30"/>
      <c r="AT99" s="27" t="s">
        <v>77</v>
      </c>
      <c r="AU99" s="36"/>
      <c r="AV99" s="36"/>
      <c r="AW99" s="36"/>
      <c r="AX99" s="36"/>
      <c r="AY99" s="19"/>
      <c r="AZ99" s="184"/>
      <c r="BA99" s="20"/>
      <c r="BB99" s="19"/>
      <c r="BC99" s="19"/>
      <c r="BD99" s="19"/>
      <c r="BE99" s="19"/>
      <c r="BF99" s="19"/>
      <c r="BG99" s="10"/>
      <c r="BI99" s="10"/>
      <c r="BJ99" s="10"/>
      <c r="BK99" s="10"/>
      <c r="BL99" s="10"/>
      <c r="BM99" s="10"/>
      <c r="BN99" s="10"/>
      <c r="BO99" s="10"/>
      <c r="BP99" s="10"/>
    </row>
    <row r="100" spans="1:68" s="1" customFormat="1" ht="15">
      <c r="B100" s="73" t="s">
        <v>59</v>
      </c>
      <c r="C100" s="158"/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Q100" s="72"/>
      <c r="R100" s="73" t="s">
        <v>59</v>
      </c>
      <c r="S100" s="74"/>
      <c r="T100" s="74"/>
      <c r="U100" s="74"/>
      <c r="V100" s="73"/>
      <c r="W100" s="125"/>
      <c r="X100" s="72"/>
      <c r="Y100" s="72"/>
      <c r="Z100" s="72"/>
      <c r="AA100" s="72"/>
      <c r="AB100" s="72"/>
      <c r="AC100" s="72"/>
      <c r="AD100" s="72"/>
      <c r="AE100" s="72"/>
      <c r="AF100" s="72"/>
      <c r="AG100" s="125"/>
      <c r="AH100" s="125"/>
      <c r="AI100" s="125"/>
      <c r="AJ100" s="125"/>
      <c r="AK100" s="73" t="s">
        <v>59</v>
      </c>
      <c r="AL100" s="72">
        <f>AL99/AL98</f>
        <v>2.5978014498360203E-3</v>
      </c>
      <c r="AM100" s="72">
        <f t="shared" ref="AM100:AP100" si="91">AM99/AM98</f>
        <v>3.7857587789195822E-3</v>
      </c>
      <c r="AN100" s="72">
        <f t="shared" si="91"/>
        <v>6.8738744309679752E-3</v>
      </c>
      <c r="AO100" s="72">
        <f t="shared" si="91"/>
        <v>5.4355544566488416E-3</v>
      </c>
      <c r="AP100" s="72">
        <f t="shared" si="91"/>
        <v>3.2663040761824456E-3</v>
      </c>
      <c r="AQ100" s="72"/>
      <c r="AR100" s="72"/>
      <c r="AS100" s="72"/>
      <c r="AT100" s="73" t="s">
        <v>59</v>
      </c>
      <c r="AU100" s="36"/>
      <c r="AV100" s="36"/>
      <c r="AW100" s="36"/>
      <c r="AX100" s="36"/>
      <c r="AY100" s="74"/>
      <c r="AZ100" s="184"/>
      <c r="BA100" s="20"/>
      <c r="BB100" s="74"/>
      <c r="BC100" s="74"/>
      <c r="BD100" s="74"/>
      <c r="BE100" s="74"/>
      <c r="BF100" s="74"/>
      <c r="BG100" s="10"/>
      <c r="BI100" s="10"/>
      <c r="BJ100" s="10"/>
      <c r="BK100" s="10"/>
      <c r="BL100" s="10"/>
      <c r="BM100" s="10"/>
      <c r="BN100" s="10"/>
      <c r="BO100" s="10"/>
      <c r="BP100" s="10"/>
    </row>
    <row r="101" spans="1:68" s="1" customFormat="1" ht="15.75">
      <c r="A101" s="40" t="s">
        <v>91</v>
      </c>
      <c r="B101" s="81" t="s">
        <v>92</v>
      </c>
      <c r="C101" s="169"/>
      <c r="D101" s="75"/>
      <c r="E101" s="75"/>
      <c r="F101" s="75"/>
      <c r="G101" s="75"/>
      <c r="H101" s="75"/>
      <c r="I101" s="75"/>
      <c r="J101" s="75"/>
      <c r="K101" s="75"/>
      <c r="L101" s="75"/>
      <c r="M101" s="49"/>
      <c r="N101" s="75"/>
      <c r="O101" s="75"/>
      <c r="P101" s="97"/>
      <c r="Q101" s="97"/>
      <c r="R101" s="81" t="s">
        <v>92</v>
      </c>
      <c r="S101" s="20"/>
      <c r="T101" s="20"/>
      <c r="U101" s="20"/>
      <c r="V101" s="48"/>
      <c r="W101" s="65"/>
      <c r="X101" s="39"/>
      <c r="Y101" s="39"/>
      <c r="Z101" s="39"/>
      <c r="AA101" s="39"/>
      <c r="AB101" s="39"/>
      <c r="AC101" s="39"/>
      <c r="AD101" s="39"/>
      <c r="AE101" s="39"/>
      <c r="AF101" s="39"/>
      <c r="AG101" s="65"/>
      <c r="AH101" s="65"/>
      <c r="AI101" s="65"/>
      <c r="AJ101" s="65"/>
      <c r="AK101" s="81" t="s">
        <v>92</v>
      </c>
      <c r="AL101" s="39"/>
      <c r="AM101" s="39"/>
      <c r="AN101" s="39"/>
      <c r="AO101" s="39"/>
      <c r="AP101" s="39"/>
      <c r="AQ101" s="39"/>
      <c r="AR101" s="39"/>
      <c r="AS101" s="39"/>
      <c r="AT101" s="81" t="s">
        <v>92</v>
      </c>
      <c r="AU101" s="34">
        <f>AL103*0.014</f>
        <v>0.267390815486515</v>
      </c>
      <c r="AV101" s="34"/>
      <c r="AW101" s="34"/>
      <c r="AX101" s="34"/>
      <c r="AY101" s="20"/>
      <c r="AZ101" s="184"/>
      <c r="BA101" s="20"/>
      <c r="BB101" s="20"/>
      <c r="BC101" s="20"/>
      <c r="BD101" s="20"/>
      <c r="BE101" s="20"/>
      <c r="BF101" s="20"/>
      <c r="BG101" s="10"/>
      <c r="BI101" s="10"/>
      <c r="BJ101" s="10"/>
      <c r="BK101" s="10"/>
      <c r="BL101" s="10"/>
      <c r="BM101" s="10"/>
      <c r="BN101" s="10"/>
      <c r="BO101" s="10"/>
      <c r="BP101" s="10"/>
    </row>
    <row r="102" spans="1:68" s="1" customFormat="1" ht="18">
      <c r="B102" s="27" t="s">
        <v>32</v>
      </c>
      <c r="C102" s="158"/>
      <c r="D102" s="30"/>
      <c r="E102" s="30"/>
      <c r="F102" s="30"/>
      <c r="G102" s="30"/>
      <c r="H102" s="30"/>
      <c r="I102" s="30"/>
      <c r="J102" s="30"/>
      <c r="K102" s="30"/>
      <c r="L102" s="30"/>
      <c r="M102" s="62"/>
      <c r="N102" s="30"/>
      <c r="O102" s="30"/>
      <c r="P102" s="88"/>
      <c r="Q102" s="88"/>
      <c r="R102" s="27" t="s">
        <v>32</v>
      </c>
      <c r="S102" s="20" t="s">
        <v>14</v>
      </c>
      <c r="T102" s="20" t="s">
        <v>15</v>
      </c>
      <c r="U102" s="20" t="s">
        <v>16</v>
      </c>
      <c r="V102" s="48" t="s">
        <v>17</v>
      </c>
      <c r="W102" s="62" t="s">
        <v>25</v>
      </c>
      <c r="X102" s="33" t="s">
        <v>18</v>
      </c>
      <c r="Y102" s="33" t="s">
        <v>19</v>
      </c>
      <c r="Z102" s="33" t="s">
        <v>20</v>
      </c>
      <c r="AA102" s="27" t="s">
        <v>21</v>
      </c>
      <c r="AB102" s="33" t="s">
        <v>22</v>
      </c>
      <c r="AC102" s="27" t="s">
        <v>23</v>
      </c>
      <c r="AD102" s="27" t="s">
        <v>24</v>
      </c>
      <c r="AE102" s="27" t="s">
        <v>26</v>
      </c>
      <c r="AF102" s="27" t="s">
        <v>27</v>
      </c>
      <c r="AG102" s="65" t="s">
        <v>28</v>
      </c>
      <c r="AH102" s="65" t="s">
        <v>29</v>
      </c>
      <c r="AI102" s="65" t="s">
        <v>30</v>
      </c>
      <c r="AJ102" s="65" t="s">
        <v>31</v>
      </c>
      <c r="AK102" s="27" t="s">
        <v>32</v>
      </c>
      <c r="AL102" s="32" t="s">
        <v>116</v>
      </c>
      <c r="AM102" s="32" t="s">
        <v>117</v>
      </c>
      <c r="AN102" s="32" t="s">
        <v>118</v>
      </c>
      <c r="AO102" s="33" t="s">
        <v>119</v>
      </c>
      <c r="AP102" s="33" t="s">
        <v>120</v>
      </c>
      <c r="AQ102" s="38" t="s">
        <v>121</v>
      </c>
      <c r="AR102" s="33" t="s">
        <v>14</v>
      </c>
      <c r="AS102" s="38"/>
      <c r="AT102" s="27" t="s">
        <v>32</v>
      </c>
      <c r="AU102" s="34" t="s">
        <v>122</v>
      </c>
      <c r="AV102" s="34" t="s">
        <v>123</v>
      </c>
      <c r="AW102" s="34" t="s">
        <v>124</v>
      </c>
      <c r="AX102" s="34" t="s">
        <v>33</v>
      </c>
      <c r="AY102" s="20" t="s">
        <v>14</v>
      </c>
      <c r="AZ102" s="184"/>
      <c r="BA102" s="20"/>
      <c r="BB102" s="20"/>
      <c r="BC102" s="20"/>
      <c r="BD102" s="20"/>
      <c r="BE102" s="20"/>
      <c r="BF102" s="20"/>
      <c r="BG102" s="17"/>
      <c r="BI102" s="17"/>
      <c r="BJ102" s="17"/>
      <c r="BK102" s="17"/>
      <c r="BL102" s="17"/>
      <c r="BM102" s="17"/>
      <c r="BN102" s="17"/>
      <c r="BO102" s="17"/>
      <c r="BP102" s="17"/>
    </row>
    <row r="103" spans="1:68" s="1" customFormat="1" ht="15">
      <c r="A103" s="1" t="s">
        <v>157</v>
      </c>
      <c r="B103" s="49" t="s">
        <v>37</v>
      </c>
      <c r="C103" s="170"/>
      <c r="D103" s="75"/>
      <c r="E103" s="75"/>
      <c r="F103" s="75"/>
      <c r="G103" s="75"/>
      <c r="H103" s="75"/>
      <c r="I103" s="75"/>
      <c r="J103" s="75"/>
      <c r="K103" s="75"/>
      <c r="L103" s="75"/>
      <c r="M103" s="49"/>
      <c r="N103" s="75"/>
      <c r="O103" s="75"/>
      <c r="P103" s="97"/>
      <c r="Q103" s="97"/>
      <c r="R103" s="49" t="s">
        <v>37</v>
      </c>
      <c r="S103" s="48">
        <v>25.777000000000001</v>
      </c>
      <c r="T103" s="48">
        <v>5.9652000000000003</v>
      </c>
      <c r="U103" s="20"/>
      <c r="V103" s="48">
        <v>71.102900000000005</v>
      </c>
      <c r="W103" s="65">
        <v>0.30880000000000002</v>
      </c>
      <c r="X103" s="48">
        <v>81.354799999999997</v>
      </c>
      <c r="Y103" s="48">
        <v>44.8962</v>
      </c>
      <c r="Z103" s="48">
        <v>2796.6959999999999</v>
      </c>
      <c r="AA103" s="48">
        <v>11.4826</v>
      </c>
      <c r="AB103" s="48">
        <v>24.571300000000001</v>
      </c>
      <c r="AC103" s="48">
        <v>34.8889</v>
      </c>
      <c r="AD103" s="48">
        <v>11.3278</v>
      </c>
      <c r="AE103" s="48">
        <v>128.18109999999999</v>
      </c>
      <c r="AF103" s="48">
        <v>8.7311999999999994</v>
      </c>
      <c r="AG103" s="65"/>
      <c r="AH103" s="135"/>
      <c r="AI103" s="65"/>
      <c r="AJ103" s="65"/>
      <c r="AK103" s="49" t="s">
        <v>37</v>
      </c>
      <c r="AL103" s="48">
        <v>19.0993439633225</v>
      </c>
      <c r="AM103" s="48">
        <v>15.602621153514701</v>
      </c>
      <c r="AN103" s="48">
        <v>38.568842325659702</v>
      </c>
      <c r="AO103" s="48">
        <v>2.0193762754377298</v>
      </c>
      <c r="AP103" s="48">
        <v>1.22415477406203</v>
      </c>
      <c r="AQ103" s="38">
        <f t="shared" ref="AQ103:AQ117" si="92">AR103*1.4%</f>
        <v>0.36087799999999998</v>
      </c>
      <c r="AR103" s="48">
        <v>25.777000000000001</v>
      </c>
      <c r="AS103" s="48"/>
      <c r="AT103" s="49" t="s">
        <v>37</v>
      </c>
      <c r="AU103" s="52">
        <f t="shared" ref="AU103:AU117" si="93">AL103*AQ103</f>
        <v>6.8925330507958966</v>
      </c>
      <c r="AV103" s="52">
        <f t="shared" ref="AV103:AV117" si="94">AM103*AQ103</f>
        <v>5.6306427166380777</v>
      </c>
      <c r="AW103" s="52">
        <f t="shared" ref="AW103:AW117" si="95">AN103*AQ103</f>
        <v>13.918646680799421</v>
      </c>
      <c r="AX103" s="36">
        <f t="shared" ref="AX103:AX117" si="96">SUM(AU103:AW103)</f>
        <v>26.441822448233395</v>
      </c>
      <c r="AY103" s="48">
        <v>25.777000000000001</v>
      </c>
      <c r="AZ103" s="184"/>
      <c r="BA103" s="20"/>
      <c r="BB103" s="48"/>
      <c r="BC103" s="20"/>
      <c r="BD103" s="20"/>
      <c r="BE103" s="20"/>
      <c r="BF103" s="20"/>
      <c r="BG103" s="10"/>
      <c r="BI103" s="10"/>
      <c r="BJ103" s="10"/>
      <c r="BK103" s="10"/>
      <c r="BL103" s="10"/>
      <c r="BM103" s="10"/>
      <c r="BN103" s="10"/>
      <c r="BO103" s="10"/>
      <c r="BP103" s="10"/>
    </row>
    <row r="104" spans="1:68" s="1" customFormat="1" ht="15">
      <c r="A104" s="1" t="s">
        <v>157</v>
      </c>
      <c r="B104" s="62" t="s">
        <v>93</v>
      </c>
      <c r="C104" s="167"/>
      <c r="D104" s="30"/>
      <c r="E104" s="30"/>
      <c r="F104" s="30"/>
      <c r="G104" s="30"/>
      <c r="H104" s="30"/>
      <c r="I104" s="30"/>
      <c r="J104" s="30"/>
      <c r="K104" s="30"/>
      <c r="L104" s="30"/>
      <c r="M104" s="62"/>
      <c r="N104" s="30"/>
      <c r="O104" s="30"/>
      <c r="P104" s="88"/>
      <c r="Q104" s="88"/>
      <c r="R104" s="62" t="s">
        <v>93</v>
      </c>
      <c r="S104" s="19">
        <v>15.478899999999999</v>
      </c>
      <c r="T104" s="19">
        <v>0.13469999999999999</v>
      </c>
      <c r="V104" s="27">
        <v>28.460799999999999</v>
      </c>
      <c r="W104" s="62">
        <v>0.24759999999999999</v>
      </c>
      <c r="X104" s="19">
        <v>6.6818</v>
      </c>
      <c r="Y104" s="19">
        <v>2.4424000000000001</v>
      </c>
      <c r="Z104" s="19">
        <v>1530.6559999999999</v>
      </c>
      <c r="AA104" s="19">
        <v>3.9159999999999999</v>
      </c>
      <c r="AB104" s="19">
        <v>1.6831</v>
      </c>
      <c r="AC104" s="19">
        <v>6.8781999999999996</v>
      </c>
      <c r="AD104" s="19">
        <v>1.47E-2</v>
      </c>
      <c r="AE104" s="19">
        <v>39.502800000000001</v>
      </c>
      <c r="AF104" s="19">
        <v>0.71640000000000004</v>
      </c>
      <c r="AG104" s="135"/>
      <c r="AH104" s="40"/>
      <c r="AI104" s="40"/>
      <c r="AJ104" s="40"/>
      <c r="AK104" s="62" t="s">
        <v>93</v>
      </c>
      <c r="AL104" s="27">
        <v>18.837377830976301</v>
      </c>
      <c r="AM104" s="27">
        <v>15.671475761082</v>
      </c>
      <c r="AN104" s="27">
        <v>39.113001701730902</v>
      </c>
      <c r="AO104" s="27">
        <v>2.0763360283721202</v>
      </c>
      <c r="AP104" s="27">
        <v>1.20207346774746</v>
      </c>
      <c r="AQ104" s="38">
        <f t="shared" si="92"/>
        <v>0.21670459999999997</v>
      </c>
      <c r="AR104" s="19">
        <v>15.478899999999999</v>
      </c>
      <c r="AS104" s="38"/>
      <c r="AT104" s="62" t="s">
        <v>93</v>
      </c>
      <c r="AU104" s="52">
        <f t="shared" si="93"/>
        <v>4.0821464279105868</v>
      </c>
      <c r="AV104" s="52">
        <f t="shared" si="94"/>
        <v>3.3960808862149698</v>
      </c>
      <c r="AW104" s="52">
        <f t="shared" si="95"/>
        <v>8.4759673885729132</v>
      </c>
      <c r="AX104" s="36">
        <f t="shared" si="96"/>
        <v>15.954194702698469</v>
      </c>
      <c r="AY104" s="19">
        <v>15.478899999999999</v>
      </c>
      <c r="AZ104" s="184"/>
      <c r="BA104" s="20"/>
      <c r="BB104" s="19"/>
      <c r="BG104" s="10"/>
      <c r="BI104" s="10"/>
      <c r="BJ104" s="10"/>
      <c r="BK104" s="10"/>
      <c r="BL104" s="10"/>
      <c r="BM104" s="10"/>
      <c r="BN104" s="10"/>
      <c r="BO104" s="10"/>
      <c r="BP104" s="10"/>
    </row>
    <row r="105" spans="1:68" s="1" customFormat="1" ht="15">
      <c r="A105" s="1" t="s">
        <v>157</v>
      </c>
      <c r="B105" s="62" t="s">
        <v>94</v>
      </c>
      <c r="C105" s="167"/>
      <c r="D105" s="30"/>
      <c r="E105" s="30"/>
      <c r="F105" s="30"/>
      <c r="G105" s="30"/>
      <c r="H105" s="30"/>
      <c r="I105" s="30"/>
      <c r="J105" s="30"/>
      <c r="K105" s="30"/>
      <c r="L105" s="30"/>
      <c r="M105" s="62"/>
      <c r="N105" s="30"/>
      <c r="O105" s="30"/>
      <c r="P105" s="88"/>
      <c r="Q105" s="88"/>
      <c r="R105" s="62" t="s">
        <v>94</v>
      </c>
      <c r="S105" s="76">
        <v>5.7065000000000001</v>
      </c>
      <c r="T105" s="76">
        <v>3.2075</v>
      </c>
      <c r="V105" s="27">
        <v>22.651900000000001</v>
      </c>
      <c r="W105" s="62">
        <v>4.4200000000000003E-2</v>
      </c>
      <c r="X105" s="76">
        <v>31.837700000000002</v>
      </c>
      <c r="Y105" s="76">
        <v>15.270200000000001</v>
      </c>
      <c r="Z105" s="76">
        <v>547.08000000000004</v>
      </c>
      <c r="AA105" s="76">
        <v>2.3858000000000001</v>
      </c>
      <c r="AB105" s="76">
        <v>7.4092000000000002</v>
      </c>
      <c r="AC105" s="76">
        <v>8.5088000000000008</v>
      </c>
      <c r="AD105" s="76">
        <v>3.2869999999999999</v>
      </c>
      <c r="AE105" s="76">
        <v>56.587899999999998</v>
      </c>
      <c r="AF105" s="76">
        <v>4.3920000000000003</v>
      </c>
      <c r="AG105" s="135"/>
      <c r="AH105" s="41"/>
      <c r="AI105" s="40"/>
      <c r="AJ105" s="40"/>
      <c r="AK105" s="62" t="s">
        <v>94</v>
      </c>
      <c r="AL105" s="27">
        <v>19.027522128068501</v>
      </c>
      <c r="AM105" s="27">
        <v>15.4261040746605</v>
      </c>
      <c r="AN105" s="27">
        <v>38.354949732945101</v>
      </c>
      <c r="AO105" s="27">
        <v>2.0159299131038</v>
      </c>
      <c r="AP105" s="27">
        <v>1.23345359170585</v>
      </c>
      <c r="AQ105" s="38">
        <f t="shared" si="92"/>
        <v>7.989099999999999E-2</v>
      </c>
      <c r="AR105" s="76">
        <v>5.7065000000000001</v>
      </c>
      <c r="AS105" s="38"/>
      <c r="AT105" s="62" t="s">
        <v>94</v>
      </c>
      <c r="AU105" s="52">
        <f t="shared" si="93"/>
        <v>1.5201277703335203</v>
      </c>
      <c r="AV105" s="52">
        <f t="shared" si="94"/>
        <v>1.2324068806287019</v>
      </c>
      <c r="AW105" s="52">
        <f t="shared" si="95"/>
        <v>3.0642152891147165</v>
      </c>
      <c r="AX105" s="36">
        <f t="shared" si="96"/>
        <v>5.8167499400769387</v>
      </c>
      <c r="AY105" s="76">
        <v>5.7065000000000001</v>
      </c>
      <c r="AZ105" s="184"/>
      <c r="BA105" s="20"/>
      <c r="BB105" s="76"/>
      <c r="BG105" s="10"/>
      <c r="BI105" s="10"/>
      <c r="BJ105" s="10"/>
      <c r="BK105" s="10"/>
      <c r="BL105" s="10"/>
      <c r="BM105" s="10"/>
      <c r="BN105" s="10"/>
      <c r="BO105" s="10"/>
      <c r="BP105" s="10"/>
    </row>
    <row r="106" spans="1:68" s="1" customFormat="1" ht="15">
      <c r="A106" s="1" t="s">
        <v>157</v>
      </c>
      <c r="B106" s="41" t="s">
        <v>38</v>
      </c>
      <c r="C106" s="162"/>
      <c r="D106" s="45"/>
      <c r="E106" s="45"/>
      <c r="F106" s="45"/>
      <c r="G106" s="45"/>
      <c r="H106" s="45"/>
      <c r="I106" s="45"/>
      <c r="J106" s="45"/>
      <c r="K106" s="45"/>
      <c r="L106" s="45"/>
      <c r="M106" s="41"/>
      <c r="N106" s="45"/>
      <c r="O106" s="45"/>
      <c r="P106" s="89"/>
      <c r="Q106" s="89"/>
      <c r="R106" s="41" t="s">
        <v>38</v>
      </c>
      <c r="S106" s="38">
        <v>26.591899999999999</v>
      </c>
      <c r="T106" s="27">
        <v>9.4936000000000007</v>
      </c>
      <c r="V106" s="27">
        <v>52.057600000000001</v>
      </c>
      <c r="W106" s="62">
        <v>0.1532</v>
      </c>
      <c r="X106" s="27">
        <v>128.09219999999999</v>
      </c>
      <c r="Y106" s="27">
        <v>58.097299999999997</v>
      </c>
      <c r="Z106" s="27">
        <v>2344.8690000000001</v>
      </c>
      <c r="AA106" s="27">
        <v>9.5852000000000004</v>
      </c>
      <c r="AB106" s="27">
        <v>32.182400000000001</v>
      </c>
      <c r="AC106" s="27">
        <v>53.127200000000002</v>
      </c>
      <c r="AD106" s="27">
        <v>16.789100000000001</v>
      </c>
      <c r="AE106" s="27">
        <v>248.55690000000001</v>
      </c>
      <c r="AF106" s="27">
        <v>9.9425000000000008</v>
      </c>
      <c r="AG106" s="135"/>
      <c r="AH106" s="41"/>
      <c r="AI106" s="40"/>
      <c r="AJ106" s="40"/>
      <c r="AK106" s="41" t="s">
        <v>38</v>
      </c>
      <c r="AL106" s="27">
        <v>19.504755642668901</v>
      </c>
      <c r="AM106" s="27">
        <v>15.978948531879899</v>
      </c>
      <c r="AN106" s="27">
        <v>39.107622779555598</v>
      </c>
      <c r="AO106" s="27">
        <v>2.0048894319618298</v>
      </c>
      <c r="AP106" s="27">
        <v>1.22081275712694</v>
      </c>
      <c r="AQ106" s="38">
        <f t="shared" si="92"/>
        <v>0.37228659999999997</v>
      </c>
      <c r="AR106" s="38">
        <v>26.591899999999999</v>
      </c>
      <c r="AS106" s="38"/>
      <c r="AT106" s="41" t="s">
        <v>38</v>
      </c>
      <c r="AU106" s="52">
        <f t="shared" si="93"/>
        <v>7.2613591620400193</v>
      </c>
      <c r="AV106" s="52">
        <f t="shared" si="94"/>
        <v>5.9487484205085588</v>
      </c>
      <c r="AW106" s="52">
        <f t="shared" si="95"/>
        <v>14.559243918683302</v>
      </c>
      <c r="AX106" s="36">
        <f t="shared" si="96"/>
        <v>27.769351501231881</v>
      </c>
      <c r="AY106" s="38">
        <v>26.591899999999999</v>
      </c>
      <c r="AZ106" s="184"/>
      <c r="BA106" s="20"/>
      <c r="BB106" s="27"/>
      <c r="BG106" s="10"/>
      <c r="BI106" s="10"/>
      <c r="BJ106" s="10"/>
      <c r="BK106" s="10"/>
      <c r="BL106" s="10"/>
      <c r="BM106" s="10"/>
      <c r="BN106" s="10"/>
      <c r="BO106" s="10"/>
      <c r="BP106" s="10"/>
    </row>
    <row r="107" spans="1:68" s="1" customFormat="1" ht="15">
      <c r="A107" s="1" t="s">
        <v>157</v>
      </c>
      <c r="B107" s="49" t="s">
        <v>39</v>
      </c>
      <c r="C107" s="170"/>
      <c r="D107" s="41"/>
      <c r="E107" s="18"/>
      <c r="F107" s="75"/>
      <c r="G107" s="75"/>
      <c r="H107" s="75"/>
      <c r="I107" s="75"/>
      <c r="J107" s="75"/>
      <c r="K107" s="75"/>
      <c r="L107" s="75"/>
      <c r="M107" s="49"/>
      <c r="N107" s="75"/>
      <c r="O107" s="75"/>
      <c r="P107" s="97"/>
      <c r="Q107" s="97"/>
      <c r="R107" s="49" t="s">
        <v>39</v>
      </c>
      <c r="S107" s="48">
        <v>30.3248</v>
      </c>
      <c r="T107" s="48">
        <v>9.0928000000000004</v>
      </c>
      <c r="U107" s="20"/>
      <c r="V107" s="48">
        <v>41.6492</v>
      </c>
      <c r="W107" s="65">
        <v>0.47789999999999999</v>
      </c>
      <c r="X107" s="48">
        <v>79.914699999999996</v>
      </c>
      <c r="Y107" s="48">
        <v>41.194400000000002</v>
      </c>
      <c r="Z107" s="48">
        <v>1854.761</v>
      </c>
      <c r="AA107" s="48">
        <v>6.6538000000000004</v>
      </c>
      <c r="AB107" s="48">
        <v>22.1233</v>
      </c>
      <c r="AC107" s="48">
        <v>44.2256</v>
      </c>
      <c r="AD107" s="48">
        <v>17.9419</v>
      </c>
      <c r="AE107" s="48">
        <v>150.37029999999999</v>
      </c>
      <c r="AF107" s="48">
        <v>5.5274999999999999</v>
      </c>
      <c r="AG107" s="135"/>
      <c r="AH107" s="41"/>
      <c r="AI107" s="40"/>
      <c r="AJ107" s="65"/>
      <c r="AK107" s="49" t="s">
        <v>39</v>
      </c>
      <c r="AL107" s="48">
        <v>19.280915129325599</v>
      </c>
      <c r="AM107" s="48">
        <v>15.6226725103812</v>
      </c>
      <c r="AN107" s="48">
        <v>38.719367058816097</v>
      </c>
      <c r="AO107" s="48">
        <v>2.0081988875986099</v>
      </c>
      <c r="AP107" s="48">
        <v>1.2342533061746099</v>
      </c>
      <c r="AQ107" s="38">
        <f t="shared" si="92"/>
        <v>0.42454719999999996</v>
      </c>
      <c r="AR107" s="48">
        <v>30.3248</v>
      </c>
      <c r="AS107" s="48"/>
      <c r="AT107" s="49" t="s">
        <v>39</v>
      </c>
      <c r="AU107" s="52">
        <f t="shared" si="93"/>
        <v>8.1856585315928196</v>
      </c>
      <c r="AV107" s="52">
        <f t="shared" si="94"/>
        <v>6.632561870799309</v>
      </c>
      <c r="AW107" s="52">
        <f t="shared" si="95"/>
        <v>16.438198870592608</v>
      </c>
      <c r="AX107" s="36">
        <f t="shared" si="96"/>
        <v>31.256419272984736</v>
      </c>
      <c r="AY107" s="48">
        <v>30.3248</v>
      </c>
      <c r="AZ107" s="184"/>
      <c r="BA107" s="20"/>
      <c r="BB107" s="48"/>
      <c r="BC107" s="20"/>
      <c r="BD107" s="20"/>
      <c r="BE107" s="20"/>
      <c r="BF107" s="20"/>
      <c r="BG107" s="10"/>
      <c r="BI107" s="10"/>
      <c r="BJ107" s="10"/>
      <c r="BK107" s="10"/>
      <c r="BL107" s="10"/>
      <c r="BM107" s="10"/>
      <c r="BN107" s="10"/>
      <c r="BO107" s="10"/>
      <c r="BP107" s="10"/>
    </row>
    <row r="108" spans="1:68" s="1" customFormat="1" ht="15">
      <c r="A108" s="1" t="s">
        <v>157</v>
      </c>
      <c r="B108" s="62" t="s">
        <v>95</v>
      </c>
      <c r="C108" s="167"/>
      <c r="D108" s="41"/>
      <c r="E108" s="18"/>
      <c r="F108" s="30"/>
      <c r="G108" s="30"/>
      <c r="H108" s="30"/>
      <c r="I108" s="30"/>
      <c r="J108" s="30"/>
      <c r="K108" s="30"/>
      <c r="L108" s="30"/>
      <c r="M108" s="62"/>
      <c r="N108" s="30"/>
      <c r="O108" s="30"/>
      <c r="P108" s="88"/>
      <c r="Q108" s="88"/>
      <c r="R108" s="62" t="s">
        <v>95</v>
      </c>
      <c r="S108" s="19">
        <v>16.476299999999998</v>
      </c>
      <c r="T108" s="19">
        <v>0.25419999999999998</v>
      </c>
      <c r="V108" s="27">
        <v>28.917899999999999</v>
      </c>
      <c r="W108" s="62">
        <v>0.57469999999999999</v>
      </c>
      <c r="X108" s="19">
        <v>12.004899999999999</v>
      </c>
      <c r="Y108" s="19">
        <v>3.355</v>
      </c>
      <c r="Z108" s="19">
        <v>1638.2850000000001</v>
      </c>
      <c r="AA108" s="19">
        <v>3.6013000000000002</v>
      </c>
      <c r="AB108" s="19">
        <v>2.8593999999999999</v>
      </c>
      <c r="AC108" s="19">
        <v>7.6740000000000004</v>
      </c>
      <c r="AD108" s="19">
        <v>0.16600000000000001</v>
      </c>
      <c r="AE108" s="19">
        <v>78.025199999999998</v>
      </c>
      <c r="AF108" s="19">
        <v>1.2686999999999999</v>
      </c>
      <c r="AG108" s="135"/>
      <c r="AH108" s="41"/>
      <c r="AI108" s="40"/>
      <c r="AJ108" s="40"/>
      <c r="AK108" s="62" t="s">
        <v>95</v>
      </c>
      <c r="AL108" s="27">
        <v>18.464967825795199</v>
      </c>
      <c r="AM108" s="27">
        <v>15.604486584017</v>
      </c>
      <c r="AN108" s="27">
        <v>38.2038746511043</v>
      </c>
      <c r="AO108" s="27">
        <v>2.0689871999677898</v>
      </c>
      <c r="AP108" s="27">
        <v>1.1833042225128201</v>
      </c>
      <c r="AQ108" s="38">
        <f t="shared" si="92"/>
        <v>0.23066819999999996</v>
      </c>
      <c r="AR108" s="19">
        <v>16.476299999999998</v>
      </c>
      <c r="AS108" s="38"/>
      <c r="AT108" s="62" t="s">
        <v>95</v>
      </c>
      <c r="AU108" s="52">
        <f t="shared" si="93"/>
        <v>4.2592808914340914</v>
      </c>
      <c r="AV108" s="52">
        <f t="shared" si="94"/>
        <v>3.5994588322593497</v>
      </c>
      <c r="AW108" s="52">
        <f t="shared" si="95"/>
        <v>8.8124189987958559</v>
      </c>
      <c r="AX108" s="36">
        <f t="shared" si="96"/>
        <v>16.671158722489295</v>
      </c>
      <c r="AY108" s="19">
        <v>16.476299999999998</v>
      </c>
      <c r="AZ108" s="184"/>
      <c r="BA108" s="20"/>
      <c r="BB108" s="19"/>
      <c r="BG108" s="10"/>
      <c r="BI108" s="10"/>
      <c r="BJ108" s="10"/>
      <c r="BK108" s="10"/>
      <c r="BL108" s="10"/>
      <c r="BM108" s="10"/>
      <c r="BN108" s="10"/>
      <c r="BO108" s="10"/>
      <c r="BP108" s="10"/>
    </row>
    <row r="109" spans="1:68" s="1" customFormat="1" ht="15">
      <c r="A109" s="1" t="s">
        <v>157</v>
      </c>
      <c r="B109" s="62" t="s">
        <v>96</v>
      </c>
      <c r="C109" s="167"/>
      <c r="D109" s="41"/>
      <c r="E109" s="18"/>
      <c r="F109" s="30"/>
      <c r="G109" s="30"/>
      <c r="H109" s="30"/>
      <c r="I109" s="30"/>
      <c r="J109" s="30"/>
      <c r="K109" s="30"/>
      <c r="L109" s="30"/>
      <c r="M109" s="62"/>
      <c r="N109" s="30"/>
      <c r="O109" s="30"/>
      <c r="P109" s="88"/>
      <c r="Q109" s="88"/>
      <c r="R109" s="62" t="s">
        <v>96</v>
      </c>
      <c r="S109" s="76">
        <v>7.9531000000000001</v>
      </c>
      <c r="T109" s="76">
        <v>3.5613000000000001</v>
      </c>
      <c r="V109" s="27">
        <v>13.970800000000001</v>
      </c>
      <c r="W109" s="62">
        <v>7.0099999999999996E-2</v>
      </c>
      <c r="X109" s="76">
        <v>28.2972</v>
      </c>
      <c r="Y109" s="76">
        <v>13.2666</v>
      </c>
      <c r="Z109" s="76">
        <v>326.42899999999997</v>
      </c>
      <c r="AA109" s="76">
        <v>1.5424</v>
      </c>
      <c r="AB109" s="76">
        <v>7.2910000000000004</v>
      </c>
      <c r="AC109" s="76">
        <v>13.9306</v>
      </c>
      <c r="AD109" s="76">
        <v>6.4427000000000003</v>
      </c>
      <c r="AE109" s="76">
        <v>45.606099999999998</v>
      </c>
      <c r="AF109" s="76">
        <v>1.851</v>
      </c>
      <c r="AG109" s="135"/>
      <c r="AH109" s="41"/>
      <c r="AI109" s="40"/>
      <c r="AJ109" s="40"/>
      <c r="AK109" s="62" t="s">
        <v>96</v>
      </c>
      <c r="AL109" s="27">
        <v>19.119662873327801</v>
      </c>
      <c r="AM109" s="27">
        <v>15.8370869846155</v>
      </c>
      <c r="AN109" s="27">
        <v>38.700078444244397</v>
      </c>
      <c r="AO109" s="27">
        <v>2.0241082025855999</v>
      </c>
      <c r="AP109" s="27">
        <v>1.20726931956741</v>
      </c>
      <c r="AQ109" s="38">
        <f t="shared" si="92"/>
        <v>0.1113434</v>
      </c>
      <c r="AR109" s="76">
        <v>7.9531000000000001</v>
      </c>
      <c r="AS109" s="38"/>
      <c r="AT109" s="62" t="s">
        <v>96</v>
      </c>
      <c r="AU109" s="52">
        <f t="shared" si="93"/>
        <v>2.1288482711700865</v>
      </c>
      <c r="AV109" s="52">
        <f t="shared" si="94"/>
        <v>1.7633551109628374</v>
      </c>
      <c r="AW109" s="52">
        <f t="shared" si="95"/>
        <v>4.308998314248881</v>
      </c>
      <c r="AX109" s="36">
        <f t="shared" si="96"/>
        <v>8.2012016963818049</v>
      </c>
      <c r="AY109" s="76">
        <v>7.9531000000000001</v>
      </c>
      <c r="AZ109" s="184"/>
      <c r="BA109" s="20"/>
      <c r="BB109" s="76"/>
      <c r="BG109" s="10"/>
      <c r="BI109" s="10"/>
      <c r="BJ109" s="10"/>
      <c r="BK109" s="10"/>
      <c r="BL109" s="10"/>
      <c r="BM109" s="10"/>
      <c r="BN109" s="10"/>
      <c r="BO109" s="10"/>
      <c r="BP109" s="10"/>
    </row>
    <row r="110" spans="1:68" s="1" customFormat="1" ht="15">
      <c r="A110" s="1" t="s">
        <v>157</v>
      </c>
      <c r="B110" s="41" t="s">
        <v>40</v>
      </c>
      <c r="C110" s="162"/>
      <c r="D110" s="41"/>
      <c r="E110" s="18"/>
      <c r="F110" s="45"/>
      <c r="G110" s="45"/>
      <c r="H110" s="45"/>
      <c r="I110" s="45"/>
      <c r="J110" s="45"/>
      <c r="K110" s="45"/>
      <c r="L110" s="45"/>
      <c r="M110" s="41"/>
      <c r="N110" s="45"/>
      <c r="O110" s="45"/>
      <c r="P110" s="89"/>
      <c r="Q110" s="89"/>
      <c r="R110" s="41" t="s">
        <v>40</v>
      </c>
      <c r="S110" s="38">
        <v>24.727599999999999</v>
      </c>
      <c r="T110" s="27">
        <v>12.121499999999999</v>
      </c>
      <c r="V110" s="27">
        <v>19.633500000000002</v>
      </c>
      <c r="W110" s="62">
        <v>9.7799999999999998E-2</v>
      </c>
      <c r="X110" s="27">
        <v>85.067499999999995</v>
      </c>
      <c r="Y110" s="27">
        <v>46.436100000000003</v>
      </c>
      <c r="Z110" s="27">
        <v>218.58199999999999</v>
      </c>
      <c r="AA110" s="27">
        <v>2.9186000000000001</v>
      </c>
      <c r="AB110" s="27">
        <v>19.417999999999999</v>
      </c>
      <c r="AC110" s="27">
        <v>85.8386</v>
      </c>
      <c r="AD110" s="27">
        <v>31.581499999999998</v>
      </c>
      <c r="AE110" s="27">
        <v>119.79089999999999</v>
      </c>
      <c r="AF110" s="27">
        <v>2.4994000000000001</v>
      </c>
      <c r="AG110" s="135"/>
      <c r="AH110" s="41"/>
      <c r="AI110" s="40"/>
      <c r="AJ110" s="40"/>
      <c r="AK110" s="41" t="s">
        <v>40</v>
      </c>
      <c r="AL110" s="27">
        <v>19.473511359999002</v>
      </c>
      <c r="AM110" s="27">
        <v>15.511142197988001</v>
      </c>
      <c r="AN110" s="27">
        <v>38.977049993409402</v>
      </c>
      <c r="AO110" s="27">
        <v>2.0015451597467702</v>
      </c>
      <c r="AP110" s="27">
        <v>1.25553113898482</v>
      </c>
      <c r="AQ110" s="38">
        <f t="shared" si="92"/>
        <v>0.34618639999999995</v>
      </c>
      <c r="AR110" s="38">
        <v>24.727599999999999</v>
      </c>
      <c r="AS110" s="38"/>
      <c r="AT110" s="41" t="s">
        <v>40</v>
      </c>
      <c r="AU110" s="52">
        <f t="shared" si="93"/>
        <v>6.7414647930771574</v>
      </c>
      <c r="AV110" s="52">
        <f t="shared" si="94"/>
        <v>5.369746477409552</v>
      </c>
      <c r="AW110" s="52">
        <f t="shared" si="95"/>
        <v>13.493324619838422</v>
      </c>
      <c r="AX110" s="36">
        <f t="shared" si="96"/>
        <v>25.604535890325131</v>
      </c>
      <c r="AY110" s="38">
        <v>24.727599999999999</v>
      </c>
      <c r="AZ110" s="184"/>
      <c r="BA110" s="20"/>
      <c r="BB110" s="27"/>
      <c r="BG110" s="10"/>
      <c r="BI110" s="10"/>
      <c r="BJ110" s="10"/>
      <c r="BK110" s="10"/>
      <c r="BL110" s="10"/>
      <c r="BM110" s="10"/>
      <c r="BN110" s="10"/>
      <c r="BO110" s="10"/>
      <c r="BP110" s="10"/>
    </row>
    <row r="111" spans="1:68" s="1" customFormat="1" ht="15">
      <c r="A111" s="1" t="s">
        <v>157</v>
      </c>
      <c r="B111" s="49" t="s">
        <v>41</v>
      </c>
      <c r="C111" s="170"/>
      <c r="D111" s="41"/>
      <c r="E111" s="18"/>
      <c r="F111" s="75"/>
      <c r="G111" s="75"/>
      <c r="H111" s="75"/>
      <c r="I111" s="75"/>
      <c r="J111" s="75"/>
      <c r="K111" s="75"/>
      <c r="L111" s="75"/>
      <c r="M111" s="49"/>
      <c r="N111" s="75"/>
      <c r="O111" s="75"/>
      <c r="P111" s="97"/>
      <c r="Q111" s="97"/>
      <c r="R111" s="49" t="s">
        <v>41</v>
      </c>
      <c r="S111" s="48">
        <v>32.445500000000003</v>
      </c>
      <c r="T111" s="48">
        <v>11.9778</v>
      </c>
      <c r="U111" s="20"/>
      <c r="V111" s="48">
        <v>14.319100000000001</v>
      </c>
      <c r="W111" s="65">
        <v>5.2200000000000003E-2</v>
      </c>
      <c r="X111" s="48">
        <v>187.75319999999999</v>
      </c>
      <c r="Y111" s="48">
        <v>55.898000000000003</v>
      </c>
      <c r="Z111" s="48">
        <v>232.346</v>
      </c>
      <c r="AA111" s="48">
        <v>3.4897999999999998</v>
      </c>
      <c r="AB111" s="48">
        <v>22.171500000000002</v>
      </c>
      <c r="AC111" s="48">
        <v>21.479900000000001</v>
      </c>
      <c r="AD111" s="48">
        <v>20.4255</v>
      </c>
      <c r="AE111" s="48">
        <v>352.59730000000002</v>
      </c>
      <c r="AF111" s="48">
        <v>4.9184000000000001</v>
      </c>
      <c r="AG111" s="135"/>
      <c r="AH111" s="41"/>
      <c r="AI111" s="40"/>
      <c r="AJ111" s="65"/>
      <c r="AK111" s="49" t="s">
        <v>41</v>
      </c>
      <c r="AL111" s="48">
        <v>19.504104523004099</v>
      </c>
      <c r="AM111" s="48">
        <v>15.3946308306178</v>
      </c>
      <c r="AN111" s="48">
        <v>38.5505910287362</v>
      </c>
      <c r="AO111" s="48">
        <v>1.9766053317088199</v>
      </c>
      <c r="AP111" s="48">
        <v>1.2669640254763801</v>
      </c>
      <c r="AQ111" s="38">
        <f t="shared" si="92"/>
        <v>0.454237</v>
      </c>
      <c r="AR111" s="48">
        <v>32.445500000000003</v>
      </c>
      <c r="AS111" s="48"/>
      <c r="AT111" s="49" t="s">
        <v>41</v>
      </c>
      <c r="AU111" s="52">
        <f t="shared" si="93"/>
        <v>8.8594859262158128</v>
      </c>
      <c r="AV111" s="52">
        <f t="shared" si="94"/>
        <v>6.9928109246073378</v>
      </c>
      <c r="AW111" s="52">
        <f t="shared" si="95"/>
        <v>17.511104817120046</v>
      </c>
      <c r="AX111" s="36">
        <f t="shared" si="96"/>
        <v>33.363401667943194</v>
      </c>
      <c r="AY111" s="48">
        <v>32.445500000000003</v>
      </c>
      <c r="AZ111" s="184"/>
      <c r="BA111" s="20"/>
      <c r="BB111" s="48"/>
      <c r="BC111" s="20"/>
      <c r="BD111" s="20"/>
      <c r="BE111" s="20"/>
      <c r="BF111" s="20"/>
      <c r="BG111" s="10"/>
      <c r="BI111" s="10"/>
      <c r="BJ111" s="10"/>
      <c r="BK111" s="10"/>
      <c r="BL111" s="10"/>
      <c r="BM111" s="10"/>
      <c r="BN111" s="10"/>
      <c r="BO111" s="10"/>
      <c r="BP111" s="10"/>
    </row>
    <row r="112" spans="1:68" s="1" customFormat="1" ht="15">
      <c r="A112" s="1" t="s">
        <v>157</v>
      </c>
      <c r="B112" s="62" t="s">
        <v>97</v>
      </c>
      <c r="C112" s="167"/>
      <c r="D112" s="41"/>
      <c r="E112" s="18"/>
      <c r="F112" s="30"/>
      <c r="G112" s="30"/>
      <c r="H112" s="30"/>
      <c r="I112" s="30"/>
      <c r="J112" s="30"/>
      <c r="K112" s="30"/>
      <c r="L112" s="30"/>
      <c r="M112" s="62"/>
      <c r="N112" s="30"/>
      <c r="O112" s="30"/>
      <c r="P112" s="88"/>
      <c r="Q112" s="88"/>
      <c r="R112" s="62" t="s">
        <v>97</v>
      </c>
      <c r="S112" s="30">
        <v>5.4626000000000001</v>
      </c>
      <c r="T112" s="30">
        <v>0.98260000000000003</v>
      </c>
      <c r="U112" s="19"/>
      <c r="V112" s="27">
        <v>18.970199999999998</v>
      </c>
      <c r="W112" s="62">
        <v>2.5600000000000001E-2</v>
      </c>
      <c r="X112" s="30">
        <v>4.8140999999999998</v>
      </c>
      <c r="Y112" s="30">
        <v>1.6632</v>
      </c>
      <c r="Z112" s="30">
        <v>78.709999999999994</v>
      </c>
      <c r="AA112" s="30">
        <v>0.4859</v>
      </c>
      <c r="AB112" s="30">
        <v>1.3887</v>
      </c>
      <c r="AC112" s="30">
        <v>2.8195000000000001</v>
      </c>
      <c r="AD112" s="30">
        <v>0.12770000000000001</v>
      </c>
      <c r="AE112" s="30">
        <v>27.448799999999999</v>
      </c>
      <c r="AF112" s="30">
        <v>0.72770000000000001</v>
      </c>
      <c r="AG112" s="135"/>
      <c r="AH112" s="41"/>
      <c r="AI112" s="40"/>
      <c r="AJ112" s="62"/>
      <c r="AK112" s="62" t="s">
        <v>97</v>
      </c>
      <c r="AL112" s="27">
        <v>19.549046183592399</v>
      </c>
      <c r="AM112" s="27">
        <v>15.759974159465299</v>
      </c>
      <c r="AN112" s="27">
        <v>39.026504855573997</v>
      </c>
      <c r="AO112" s="27">
        <v>1.99656179016899</v>
      </c>
      <c r="AP112" s="27">
        <v>1.2405128535227601</v>
      </c>
      <c r="AQ112" s="38">
        <f t="shared" si="92"/>
        <v>7.64764E-2</v>
      </c>
      <c r="AR112" s="30">
        <v>5.4626000000000001</v>
      </c>
      <c r="AS112" s="30"/>
      <c r="AT112" s="62" t="s">
        <v>97</v>
      </c>
      <c r="AU112" s="52">
        <f t="shared" si="93"/>
        <v>1.4950406755548857</v>
      </c>
      <c r="AV112" s="52">
        <f t="shared" si="94"/>
        <v>1.2052660878089321</v>
      </c>
      <c r="AW112" s="52">
        <f t="shared" si="95"/>
        <v>2.9846065959368193</v>
      </c>
      <c r="AX112" s="36">
        <f t="shared" si="96"/>
        <v>5.6849133593006371</v>
      </c>
      <c r="AY112" s="30">
        <v>5.4626000000000001</v>
      </c>
      <c r="AZ112" s="184"/>
      <c r="BA112" s="20"/>
      <c r="BB112" s="30"/>
      <c r="BC112" s="19"/>
      <c r="BD112" s="19"/>
      <c r="BE112" s="19"/>
      <c r="BF112" s="19"/>
      <c r="BG112" s="10"/>
      <c r="BI112" s="10"/>
      <c r="BJ112" s="10"/>
      <c r="BK112" s="10"/>
      <c r="BL112" s="10"/>
      <c r="BM112" s="10"/>
      <c r="BN112" s="10"/>
      <c r="BO112" s="10"/>
      <c r="BP112" s="10"/>
    </row>
    <row r="113" spans="1:68" s="1" customFormat="1" ht="15">
      <c r="A113" s="1" t="s">
        <v>157</v>
      </c>
      <c r="B113" s="62" t="s">
        <v>98</v>
      </c>
      <c r="C113" s="167"/>
      <c r="D113" s="41"/>
      <c r="E113" s="18"/>
      <c r="F113" s="30"/>
      <c r="G113" s="30"/>
      <c r="H113" s="30"/>
      <c r="I113" s="30"/>
      <c r="J113" s="30"/>
      <c r="K113" s="30"/>
      <c r="L113" s="30"/>
      <c r="M113" s="62"/>
      <c r="N113" s="30"/>
      <c r="O113" s="30"/>
      <c r="P113" s="88"/>
      <c r="Q113" s="88"/>
      <c r="R113" s="62" t="s">
        <v>98</v>
      </c>
      <c r="S113" s="76">
        <v>10.2615</v>
      </c>
      <c r="T113" s="76">
        <v>3.8555999999999999</v>
      </c>
      <c r="V113" s="27">
        <v>5.9504000000000001</v>
      </c>
      <c r="W113" s="62">
        <v>1.17E-2</v>
      </c>
      <c r="X113" s="76">
        <v>21.618200000000002</v>
      </c>
      <c r="Y113" s="76">
        <v>7.7976999999999999</v>
      </c>
      <c r="Z113" s="76">
        <v>37.887</v>
      </c>
      <c r="AA113" s="76">
        <v>0.83340000000000003</v>
      </c>
      <c r="AB113" s="76">
        <v>5.5514000000000001</v>
      </c>
      <c r="AC113" s="76">
        <v>6.2777000000000003</v>
      </c>
      <c r="AD113" s="76">
        <v>6.5807000000000002</v>
      </c>
      <c r="AE113" s="76">
        <v>38.043599999999998</v>
      </c>
      <c r="AF113" s="76">
        <v>1.1648000000000001</v>
      </c>
      <c r="AG113" s="135"/>
      <c r="AH113" s="41"/>
      <c r="AI113" s="40"/>
      <c r="AJ113" s="40"/>
      <c r="AK113" s="62" t="s">
        <v>98</v>
      </c>
      <c r="AL113" s="27">
        <v>19.921799688170498</v>
      </c>
      <c r="AM113" s="27">
        <v>16.017668781483199</v>
      </c>
      <c r="AN113" s="27">
        <v>39.363012819738202</v>
      </c>
      <c r="AO113" s="27">
        <v>1.97595517677487</v>
      </c>
      <c r="AP113" s="27">
        <v>1.2438234224773099</v>
      </c>
      <c r="AQ113" s="38">
        <f t="shared" si="92"/>
        <v>0.14366099999999998</v>
      </c>
      <c r="AR113" s="76">
        <v>10.2615</v>
      </c>
      <c r="AS113" s="38"/>
      <c r="AT113" s="62" t="s">
        <v>98</v>
      </c>
      <c r="AU113" s="52">
        <f t="shared" si="93"/>
        <v>2.8619856650022615</v>
      </c>
      <c r="AV113" s="52">
        <f t="shared" si="94"/>
        <v>2.3011143148166577</v>
      </c>
      <c r="AW113" s="52">
        <f t="shared" si="95"/>
        <v>5.6549297846964093</v>
      </c>
      <c r="AX113" s="36">
        <f t="shared" si="96"/>
        <v>10.818029764515328</v>
      </c>
      <c r="AY113" s="76">
        <v>10.2615</v>
      </c>
      <c r="AZ113" s="184"/>
      <c r="BA113" s="20"/>
      <c r="BB113" s="76"/>
      <c r="BG113" s="10"/>
      <c r="BI113" s="10"/>
      <c r="BJ113" s="10"/>
      <c r="BK113" s="10"/>
      <c r="BL113" s="10"/>
      <c r="BM113" s="10"/>
      <c r="BN113" s="10"/>
      <c r="BO113" s="10"/>
      <c r="BP113" s="10"/>
    </row>
    <row r="114" spans="1:68" s="1" customFormat="1" ht="15">
      <c r="A114" s="1" t="s">
        <v>157</v>
      </c>
      <c r="B114" s="49" t="s">
        <v>42</v>
      </c>
      <c r="C114" s="170"/>
      <c r="D114" s="41"/>
      <c r="E114" s="18"/>
      <c r="F114" s="75"/>
      <c r="G114" s="75"/>
      <c r="H114" s="75"/>
      <c r="I114" s="75"/>
      <c r="J114" s="75"/>
      <c r="K114" s="75"/>
      <c r="L114" s="75"/>
      <c r="M114" s="49"/>
      <c r="N114" s="75"/>
      <c r="O114" s="75"/>
      <c r="P114" s="97"/>
      <c r="Q114" s="97"/>
      <c r="R114" s="49" t="s">
        <v>42</v>
      </c>
      <c r="S114" s="48">
        <v>17.955400000000001</v>
      </c>
      <c r="T114" s="48">
        <v>11.2484</v>
      </c>
      <c r="U114" s="20"/>
      <c r="V114" s="48">
        <v>25.2835</v>
      </c>
      <c r="W114" s="65">
        <v>0.14530000000000001</v>
      </c>
      <c r="X114" s="48">
        <v>123.82129999999999</v>
      </c>
      <c r="Y114" s="48">
        <v>66.344300000000004</v>
      </c>
      <c r="Z114" s="48">
        <v>190.20400000000001</v>
      </c>
      <c r="AA114" s="48">
        <v>2.1631</v>
      </c>
      <c r="AB114" s="48">
        <v>13.7996</v>
      </c>
      <c r="AC114" s="48">
        <v>336.77499999999998</v>
      </c>
      <c r="AD114" s="48">
        <v>63.064999999999998</v>
      </c>
      <c r="AE114" s="48">
        <v>166.6114</v>
      </c>
      <c r="AF114" s="48">
        <v>2.3565999999999998</v>
      </c>
      <c r="AG114" s="135"/>
      <c r="AH114" s="41"/>
      <c r="AI114" s="40"/>
      <c r="AJ114" s="65"/>
      <c r="AK114" s="49" t="s">
        <v>42</v>
      </c>
      <c r="AL114" s="48">
        <v>19.384648900141102</v>
      </c>
      <c r="AM114" s="48">
        <v>15.720864913740799</v>
      </c>
      <c r="AN114" s="48">
        <v>38.775168626444902</v>
      </c>
      <c r="AO114" s="48">
        <v>2.0002659554124</v>
      </c>
      <c r="AP114" s="48">
        <v>1.2330656305672101</v>
      </c>
      <c r="AQ114" s="38">
        <f t="shared" si="92"/>
        <v>0.25137559999999998</v>
      </c>
      <c r="AR114" s="48">
        <v>17.955400000000001</v>
      </c>
      <c r="AS114" s="48"/>
      <c r="AT114" s="49" t="s">
        <v>42</v>
      </c>
      <c r="AU114" s="52">
        <f t="shared" si="93"/>
        <v>4.872827748062309</v>
      </c>
      <c r="AV114" s="52">
        <f t="shared" si="94"/>
        <v>3.9518418502105415</v>
      </c>
      <c r="AW114" s="52">
        <f t="shared" si="95"/>
        <v>9.7471312785737627</v>
      </c>
      <c r="AX114" s="36">
        <f t="shared" si="96"/>
        <v>18.571800876846613</v>
      </c>
      <c r="AY114" s="48">
        <v>17.955400000000001</v>
      </c>
      <c r="AZ114" s="184"/>
      <c r="BA114" s="20"/>
      <c r="BB114" s="48"/>
      <c r="BC114" s="20"/>
      <c r="BD114" s="20"/>
      <c r="BE114" s="20"/>
      <c r="BF114" s="20"/>
      <c r="BG114" s="10"/>
      <c r="BI114" s="10"/>
      <c r="BJ114" s="10"/>
      <c r="BK114" s="10"/>
      <c r="BL114" s="10"/>
      <c r="BM114" s="10"/>
      <c r="BN114" s="10"/>
      <c r="BO114" s="10"/>
      <c r="BP114" s="10"/>
    </row>
    <row r="115" spans="1:68" s="1" customFormat="1" ht="15">
      <c r="A115" s="1" t="s">
        <v>157</v>
      </c>
      <c r="B115" s="62" t="s">
        <v>99</v>
      </c>
      <c r="C115" s="167"/>
      <c r="D115" s="41"/>
      <c r="E115" s="18"/>
      <c r="F115" s="30"/>
      <c r="G115" s="30"/>
      <c r="H115" s="30"/>
      <c r="I115" s="30"/>
      <c r="J115" s="30"/>
      <c r="K115" s="30"/>
      <c r="L115" s="30"/>
      <c r="M115" s="62"/>
      <c r="N115" s="30"/>
      <c r="O115" s="30"/>
      <c r="P115" s="88"/>
      <c r="Q115" s="88"/>
      <c r="R115" s="62" t="s">
        <v>99</v>
      </c>
      <c r="S115" s="19">
        <v>5.9725000000000001</v>
      </c>
      <c r="T115" s="19">
        <v>1.208</v>
      </c>
      <c r="V115" s="27">
        <v>4.2752999999999997</v>
      </c>
      <c r="W115" s="62">
        <v>5.4899999999999997E-2</v>
      </c>
      <c r="X115" s="19">
        <v>3.2679999999999998</v>
      </c>
      <c r="Y115" s="19">
        <v>1.7069000000000001</v>
      </c>
      <c r="Z115" s="19">
        <v>37.302999999999997</v>
      </c>
      <c r="AA115" s="19">
        <v>0.32350000000000001</v>
      </c>
      <c r="AB115" s="19">
        <v>1.6682999999999999</v>
      </c>
      <c r="AC115" s="19">
        <v>7.3659999999999997</v>
      </c>
      <c r="AD115" s="19">
        <v>2.3E-3</v>
      </c>
      <c r="AE115" s="19">
        <v>20.8428</v>
      </c>
      <c r="AF115" s="19">
        <v>0.88629999999999998</v>
      </c>
      <c r="AG115" s="135"/>
      <c r="AH115" s="41"/>
      <c r="AI115" s="40"/>
      <c r="AJ115" s="40"/>
      <c r="AK115" s="62" t="s">
        <v>99</v>
      </c>
      <c r="AL115" s="27">
        <v>18.996827504239398</v>
      </c>
      <c r="AM115" s="27">
        <v>15.789354091700501</v>
      </c>
      <c r="AN115" s="27">
        <v>38.567312590984898</v>
      </c>
      <c r="AO115" s="27">
        <v>2.0305692255114498</v>
      </c>
      <c r="AP115" s="27">
        <v>1.2030880773948101</v>
      </c>
      <c r="AQ115" s="38">
        <f t="shared" si="92"/>
        <v>8.3614999999999995E-2</v>
      </c>
      <c r="AR115" s="19">
        <v>5.9725000000000001</v>
      </c>
      <c r="AS115" s="38"/>
      <c r="AT115" s="62" t="s">
        <v>99</v>
      </c>
      <c r="AU115" s="52">
        <f t="shared" si="93"/>
        <v>1.5884197317669773</v>
      </c>
      <c r="AV115" s="52">
        <f t="shared" si="94"/>
        <v>1.3202268423775374</v>
      </c>
      <c r="AW115" s="52">
        <f t="shared" si="95"/>
        <v>3.224805842295202</v>
      </c>
      <c r="AX115" s="36">
        <f t="shared" si="96"/>
        <v>6.1334524164397166</v>
      </c>
      <c r="AY115" s="19">
        <v>5.9725000000000001</v>
      </c>
      <c r="AZ115" s="184"/>
      <c r="BA115" s="20"/>
      <c r="BB115" s="19"/>
      <c r="BG115" s="10"/>
      <c r="BI115" s="10"/>
      <c r="BJ115" s="10"/>
      <c r="BK115" s="10"/>
      <c r="BL115" s="10"/>
      <c r="BM115" s="10"/>
      <c r="BN115" s="10"/>
      <c r="BO115" s="10"/>
      <c r="BP115" s="10"/>
    </row>
    <row r="116" spans="1:68" s="1" customFormat="1" ht="15">
      <c r="A116" s="1" t="s">
        <v>157</v>
      </c>
      <c r="B116" s="62" t="s">
        <v>100</v>
      </c>
      <c r="C116" s="167"/>
      <c r="D116" s="41"/>
      <c r="E116" s="18"/>
      <c r="F116" s="30"/>
      <c r="G116" s="30"/>
      <c r="H116" s="30"/>
      <c r="I116" s="30"/>
      <c r="J116" s="30"/>
      <c r="K116" s="30"/>
      <c r="L116" s="30"/>
      <c r="M116" s="62"/>
      <c r="N116" s="30"/>
      <c r="O116" s="30"/>
      <c r="P116" s="88"/>
      <c r="Q116" s="88"/>
      <c r="R116" s="62" t="s">
        <v>100</v>
      </c>
      <c r="S116" s="76">
        <v>4.5274999999999999</v>
      </c>
      <c r="T116" s="76">
        <v>0.89710000000000001</v>
      </c>
      <c r="V116" s="27">
        <v>4.1435000000000004</v>
      </c>
      <c r="W116" s="62">
        <v>2.6700000000000002E-2</v>
      </c>
      <c r="X116" s="76">
        <v>18.032299999999999</v>
      </c>
      <c r="Y116" s="76">
        <v>6.9275000000000002</v>
      </c>
      <c r="Z116" s="76">
        <v>29.495999999999999</v>
      </c>
      <c r="AA116" s="76">
        <v>0.31979999999999997</v>
      </c>
      <c r="AB116" s="76">
        <v>2.0131999999999999</v>
      </c>
      <c r="AC116" s="76">
        <v>15.603899999999999</v>
      </c>
      <c r="AD116" s="76">
        <v>3.2197</v>
      </c>
      <c r="AE116" s="76">
        <v>133.71350000000001</v>
      </c>
      <c r="AF116" s="76">
        <v>2.8218000000000001</v>
      </c>
      <c r="AG116" s="135"/>
      <c r="AH116" s="41"/>
      <c r="AI116" s="40"/>
      <c r="AJ116" s="40"/>
      <c r="AK116" s="62" t="s">
        <v>100</v>
      </c>
      <c r="AL116" s="27">
        <v>18.669281217921501</v>
      </c>
      <c r="AM116" s="27">
        <v>15.590924746022701</v>
      </c>
      <c r="AN116" s="27">
        <v>38.534625866205097</v>
      </c>
      <c r="AO116" s="27">
        <v>2.0640658532270599</v>
      </c>
      <c r="AP116" s="27">
        <v>1.1974454063530899</v>
      </c>
      <c r="AQ116" s="38">
        <f t="shared" si="92"/>
        <v>6.3384999999999997E-2</v>
      </c>
      <c r="AR116" s="76">
        <v>4.5274999999999999</v>
      </c>
      <c r="AS116" s="38"/>
      <c r="AT116" s="62" t="s">
        <v>100</v>
      </c>
      <c r="AU116" s="52">
        <f t="shared" si="93"/>
        <v>1.1833523899979543</v>
      </c>
      <c r="AV116" s="52">
        <f t="shared" si="94"/>
        <v>0.98823076502664886</v>
      </c>
      <c r="AW116" s="52">
        <f t="shared" si="95"/>
        <v>2.4425172605294101</v>
      </c>
      <c r="AX116" s="36">
        <f t="shared" si="96"/>
        <v>4.6141004155540131</v>
      </c>
      <c r="AY116" s="76">
        <v>4.5274999999999999</v>
      </c>
      <c r="AZ116" s="184"/>
      <c r="BA116" s="20"/>
      <c r="BB116" s="76"/>
      <c r="BG116" s="10"/>
      <c r="BI116" s="10"/>
      <c r="BJ116" s="10"/>
      <c r="BK116" s="10"/>
      <c r="BL116" s="10"/>
      <c r="BM116" s="10"/>
      <c r="BN116" s="10"/>
      <c r="BO116" s="10"/>
      <c r="BP116" s="10"/>
    </row>
    <row r="117" spans="1:68" s="1" customFormat="1" ht="15">
      <c r="A117" s="1" t="s">
        <v>157</v>
      </c>
      <c r="B117" s="41" t="s">
        <v>43</v>
      </c>
      <c r="C117" s="162"/>
      <c r="D117" s="41"/>
      <c r="E117" s="18"/>
      <c r="F117" s="45"/>
      <c r="G117" s="45"/>
      <c r="H117" s="45"/>
      <c r="I117" s="45"/>
      <c r="J117" s="45"/>
      <c r="K117" s="45"/>
      <c r="L117" s="45"/>
      <c r="M117" s="41"/>
      <c r="N117" s="45"/>
      <c r="O117" s="45"/>
      <c r="P117" s="89"/>
      <c r="Q117" s="89"/>
      <c r="R117" s="41" t="s">
        <v>43</v>
      </c>
      <c r="S117" s="38">
        <v>40.553600000000003</v>
      </c>
      <c r="T117" s="27">
        <v>13.175000000000001</v>
      </c>
      <c r="V117" s="27">
        <v>12.494</v>
      </c>
      <c r="W117" s="62">
        <v>4.8599999999999997E-2</v>
      </c>
      <c r="X117" s="27">
        <v>98.356899999999996</v>
      </c>
      <c r="Y117" s="27">
        <v>36.309899999999999</v>
      </c>
      <c r="Z117" s="27">
        <v>109.47199999999999</v>
      </c>
      <c r="AA117" s="27">
        <v>1.9369000000000001</v>
      </c>
      <c r="AB117" s="27">
        <v>12.299200000000001</v>
      </c>
      <c r="AC117" s="27">
        <v>39.872100000000003</v>
      </c>
      <c r="AD117" s="27">
        <v>28.181699999999999</v>
      </c>
      <c r="AE117" s="27">
        <v>198.94069999999999</v>
      </c>
      <c r="AF117" s="27">
        <v>3.1518000000000002</v>
      </c>
      <c r="AG117" s="135"/>
      <c r="AH117" s="41"/>
      <c r="AI117" s="40"/>
      <c r="AJ117" s="40"/>
      <c r="AK117" s="41" t="s">
        <v>43</v>
      </c>
      <c r="AL117" s="27">
        <v>19.590824995630602</v>
      </c>
      <c r="AM117" s="27">
        <v>15.7627398055679</v>
      </c>
      <c r="AN117" s="27">
        <v>39.056023468687101</v>
      </c>
      <c r="AO117" s="27">
        <v>1.9936423571697699</v>
      </c>
      <c r="AP117" s="27">
        <v>1.2428574690210901</v>
      </c>
      <c r="AQ117" s="38">
        <f t="shared" si="92"/>
        <v>0.56775039999999999</v>
      </c>
      <c r="AR117" s="38">
        <v>40.553600000000003</v>
      </c>
      <c r="AS117" s="38"/>
      <c r="AT117" s="41" t="s">
        <v>43</v>
      </c>
      <c r="AU117" s="52">
        <f t="shared" si="93"/>
        <v>11.122698727599271</v>
      </c>
      <c r="AV117" s="52">
        <f t="shared" si="94"/>
        <v>8.9493018297070979</v>
      </c>
      <c r="AW117" s="52">
        <f t="shared" si="95"/>
        <v>22.174072946756489</v>
      </c>
      <c r="AX117" s="36">
        <f t="shared" si="96"/>
        <v>42.246073504062856</v>
      </c>
      <c r="AY117" s="38">
        <v>40.553600000000003</v>
      </c>
      <c r="AZ117" s="184"/>
      <c r="BA117" s="20"/>
      <c r="BB117" s="27"/>
      <c r="BG117" s="10"/>
      <c r="BI117" s="10"/>
      <c r="BJ117" s="10"/>
      <c r="BK117" s="10"/>
      <c r="BL117" s="10"/>
      <c r="BM117" s="10"/>
      <c r="BN117" s="10"/>
      <c r="BO117" s="10"/>
      <c r="BP117" s="10"/>
    </row>
    <row r="118" spans="1:68" s="1" customFormat="1" ht="15">
      <c r="A118" s="1" t="s">
        <v>157</v>
      </c>
      <c r="B118" s="62" t="s">
        <v>101</v>
      </c>
      <c r="C118" s="167"/>
      <c r="D118" s="41"/>
      <c r="E118" s="18"/>
      <c r="F118" s="75"/>
      <c r="G118" s="30"/>
      <c r="H118" s="30"/>
      <c r="I118" s="30"/>
      <c r="J118" s="30"/>
      <c r="K118" s="30"/>
      <c r="L118" s="30"/>
      <c r="M118" s="62"/>
      <c r="N118" s="30"/>
      <c r="O118" s="30"/>
      <c r="P118" s="88"/>
      <c r="Q118" s="88"/>
      <c r="R118" s="62" t="s">
        <v>101</v>
      </c>
      <c r="S118" s="19">
        <v>5.2645</v>
      </c>
      <c r="T118" s="19">
        <v>1.5740000000000001</v>
      </c>
      <c r="V118" s="27">
        <v>6.4665999999999997</v>
      </c>
      <c r="W118" s="62">
        <v>2.1000000000000001E-2</v>
      </c>
      <c r="X118" s="19">
        <v>4.5469999999999997</v>
      </c>
      <c r="Y118" s="19">
        <v>1.5282</v>
      </c>
      <c r="Z118" s="19">
        <v>19.088000000000001</v>
      </c>
      <c r="AA118" s="19">
        <v>0.15590000000000001</v>
      </c>
      <c r="AB118" s="19">
        <v>1.2695000000000001</v>
      </c>
      <c r="AC118" s="19">
        <v>3.9047999999999998</v>
      </c>
      <c r="AD118" s="19">
        <v>0.30349999999999999</v>
      </c>
      <c r="AE118" s="19">
        <v>30.1892</v>
      </c>
      <c r="AF118" s="19">
        <v>0.87239999999999995</v>
      </c>
      <c r="AG118" s="135"/>
      <c r="AH118" s="41"/>
      <c r="AI118" s="40"/>
      <c r="AJ118" s="40"/>
      <c r="AK118" s="62" t="s">
        <v>101</v>
      </c>
      <c r="AL118" s="66">
        <v>19.800035284426102</v>
      </c>
      <c r="AM118" s="66">
        <v>15.812207798382699</v>
      </c>
      <c r="AN118" s="66">
        <v>39.821140521826997</v>
      </c>
      <c r="AO118" s="66">
        <v>2.0112540112697901</v>
      </c>
      <c r="AP118" s="27">
        <v>1.25215494862046</v>
      </c>
      <c r="AQ118" s="38">
        <f t="shared" ref="AQ118:AQ142" si="97">AR118*1.4%</f>
        <v>7.3702999999999991E-2</v>
      </c>
      <c r="AR118" s="19">
        <v>5.2645</v>
      </c>
      <c r="AS118" s="38"/>
      <c r="AT118" s="62" t="s">
        <v>101</v>
      </c>
      <c r="AU118" s="52">
        <f t="shared" ref="AU118:AU142" si="98">AL118*AQ118</f>
        <v>1.4593220005680567</v>
      </c>
      <c r="AV118" s="52">
        <f t="shared" ref="AV118:AV142" si="99">AM118*AQ118</f>
        <v>1.1654071513641999</v>
      </c>
      <c r="AW118" s="52">
        <f t="shared" ref="AW118:AW142" si="100">AN118*AQ118</f>
        <v>2.934937519880215</v>
      </c>
      <c r="AX118" s="36">
        <f t="shared" ref="AX118:AX142" si="101">SUM(AU118:AW118)</f>
        <v>5.5596666718124714</v>
      </c>
      <c r="AY118" s="19">
        <v>5.2645</v>
      </c>
      <c r="AZ118" s="184"/>
      <c r="BA118" s="20"/>
      <c r="BB118" s="19"/>
      <c r="BG118" s="10"/>
      <c r="BI118" s="10"/>
      <c r="BJ118" s="10"/>
      <c r="BK118" s="10"/>
      <c r="BL118" s="10"/>
      <c r="BM118" s="10"/>
      <c r="BN118" s="10"/>
      <c r="BO118" s="10"/>
      <c r="BP118" s="10"/>
    </row>
    <row r="119" spans="1:68" s="1" customFormat="1" ht="15">
      <c r="A119" s="1" t="s">
        <v>157</v>
      </c>
      <c r="B119" s="62" t="s">
        <v>102</v>
      </c>
      <c r="C119" s="167"/>
      <c r="D119" s="41"/>
      <c r="E119" s="18"/>
      <c r="F119" s="30"/>
      <c r="G119" s="30"/>
      <c r="H119" s="30"/>
      <c r="I119" s="30"/>
      <c r="J119" s="30"/>
      <c r="K119" s="30"/>
      <c r="L119" s="30"/>
      <c r="M119" s="62"/>
      <c r="N119" s="30"/>
      <c r="O119" s="30"/>
      <c r="P119" s="88"/>
      <c r="Q119" s="88"/>
      <c r="R119" s="62" t="s">
        <v>102</v>
      </c>
      <c r="S119" s="76">
        <v>2.625</v>
      </c>
      <c r="T119" s="76">
        <v>3.3178000000000001</v>
      </c>
      <c r="V119" s="27">
        <v>4.2201000000000004</v>
      </c>
      <c r="W119" s="62">
        <v>3.8999999999999998E-3</v>
      </c>
      <c r="X119" s="76">
        <v>27.8856</v>
      </c>
      <c r="Y119" s="76">
        <v>8.1708999999999996</v>
      </c>
      <c r="Z119" s="76">
        <v>19.440000000000001</v>
      </c>
      <c r="AA119" s="76">
        <v>0.33410000000000001</v>
      </c>
      <c r="AB119" s="76">
        <v>3.4344999999999999</v>
      </c>
      <c r="AC119" s="76">
        <v>4.7171000000000003</v>
      </c>
      <c r="AD119" s="76">
        <v>4.7077</v>
      </c>
      <c r="AE119" s="76">
        <v>42.040799999999997</v>
      </c>
      <c r="AF119" s="76">
        <v>0.52749999999999997</v>
      </c>
      <c r="AG119" s="135"/>
      <c r="AH119" s="49"/>
      <c r="AI119" s="40"/>
      <c r="AJ119" s="40"/>
      <c r="AK119" s="62" t="s">
        <v>102</v>
      </c>
      <c r="AL119" s="66">
        <v>19.531134387418501</v>
      </c>
      <c r="AM119" s="66">
        <v>15.3417927414577</v>
      </c>
      <c r="AN119" s="66">
        <v>39.333937088264499</v>
      </c>
      <c r="AO119" s="66">
        <v>2.0139094999828799</v>
      </c>
      <c r="AP119" s="27">
        <v>1.27306728206803</v>
      </c>
      <c r="AQ119" s="38">
        <f t="shared" si="97"/>
        <v>3.6749999999999998E-2</v>
      </c>
      <c r="AR119" s="76">
        <v>2.625</v>
      </c>
      <c r="AS119" s="38"/>
      <c r="AT119" s="62" t="s">
        <v>102</v>
      </c>
      <c r="AU119" s="52">
        <f t="shared" si="98"/>
        <v>0.71776918873762985</v>
      </c>
      <c r="AV119" s="52">
        <f t="shared" si="99"/>
        <v>0.56381088324857043</v>
      </c>
      <c r="AW119" s="52">
        <f t="shared" si="100"/>
        <v>1.4455221879937203</v>
      </c>
      <c r="AX119" s="36">
        <f t="shared" si="101"/>
        <v>2.7271022599799206</v>
      </c>
      <c r="AY119" s="76">
        <v>2.625</v>
      </c>
      <c r="AZ119" s="184"/>
      <c r="BA119" s="20"/>
      <c r="BB119" s="76"/>
      <c r="BG119" s="10"/>
      <c r="BI119" s="10"/>
      <c r="BJ119" s="10"/>
      <c r="BK119" s="10"/>
      <c r="BL119" s="10"/>
      <c r="BM119" s="10"/>
      <c r="BN119" s="10"/>
      <c r="BO119" s="10"/>
      <c r="BP119" s="10"/>
    </row>
    <row r="120" spans="1:68" s="1" customFormat="1" ht="15">
      <c r="A120" s="1" t="s">
        <v>157</v>
      </c>
      <c r="B120" s="41" t="s">
        <v>44</v>
      </c>
      <c r="C120" s="162"/>
      <c r="D120" s="41"/>
      <c r="E120" s="18"/>
      <c r="F120" s="30"/>
      <c r="G120" s="45"/>
      <c r="H120" s="45"/>
      <c r="I120" s="45"/>
      <c r="J120" s="45"/>
      <c r="K120" s="45"/>
      <c r="L120" s="45"/>
      <c r="M120" s="41"/>
      <c r="N120" s="45"/>
      <c r="O120" s="45"/>
      <c r="P120" s="89"/>
      <c r="Q120" s="89"/>
      <c r="R120" s="41" t="s">
        <v>44</v>
      </c>
      <c r="S120" s="38">
        <v>16.875299999999999</v>
      </c>
      <c r="T120" s="27">
        <v>12.4025</v>
      </c>
      <c r="V120" s="27">
        <v>37.250999999999998</v>
      </c>
      <c r="W120" s="62">
        <v>6.9099999999999995E-2</v>
      </c>
      <c r="X120" s="27">
        <v>177.7474</v>
      </c>
      <c r="Y120" s="27">
        <v>62.745199999999997</v>
      </c>
      <c r="Z120" s="27">
        <v>1311.1559999999999</v>
      </c>
      <c r="AA120" s="27">
        <v>29.5077</v>
      </c>
      <c r="AB120" s="27">
        <v>58.5017</v>
      </c>
      <c r="AC120" s="27">
        <v>81.9803</v>
      </c>
      <c r="AD120" s="27">
        <v>30.4893</v>
      </c>
      <c r="AE120" s="27">
        <v>239.84729999999999</v>
      </c>
      <c r="AF120" s="27">
        <v>2.2265999999999999</v>
      </c>
      <c r="AG120" s="135"/>
      <c r="AH120" s="41"/>
      <c r="AI120" s="40"/>
      <c r="AJ120" s="40"/>
      <c r="AK120" s="41" t="s">
        <v>44</v>
      </c>
      <c r="AL120" s="27">
        <v>19.741025778123301</v>
      </c>
      <c r="AM120" s="27">
        <v>15.723212724728301</v>
      </c>
      <c r="AN120" s="27">
        <v>39.298723942898903</v>
      </c>
      <c r="AO120" s="27">
        <v>1.9908020410885301</v>
      </c>
      <c r="AP120" s="27">
        <v>1.25549998784943</v>
      </c>
      <c r="AQ120" s="38">
        <f t="shared" si="97"/>
        <v>0.23625419999999997</v>
      </c>
      <c r="AR120" s="38">
        <v>16.875299999999999</v>
      </c>
      <c r="AS120" s="38"/>
      <c r="AT120" s="41" t="s">
        <v>44</v>
      </c>
      <c r="AU120" s="52">
        <f t="shared" si="98"/>
        <v>4.6639002523898974</v>
      </c>
      <c r="AV120" s="52">
        <f t="shared" si="99"/>
        <v>3.7146750437105043</v>
      </c>
      <c r="AW120" s="52">
        <f t="shared" si="100"/>
        <v>9.2844885861504256</v>
      </c>
      <c r="AX120" s="36">
        <f t="shared" si="101"/>
        <v>17.663063882250825</v>
      </c>
      <c r="AY120" s="38">
        <v>16.875299999999999</v>
      </c>
      <c r="AZ120" s="184"/>
      <c r="BA120" s="20"/>
      <c r="BB120" s="27"/>
      <c r="BG120" s="10"/>
      <c r="BI120" s="10"/>
      <c r="BJ120" s="10"/>
      <c r="BK120" s="10"/>
      <c r="BL120" s="10"/>
      <c r="BM120" s="10"/>
      <c r="BN120" s="10"/>
      <c r="BO120" s="10"/>
      <c r="BP120" s="10"/>
    </row>
    <row r="121" spans="1:68" s="1" customFormat="1" ht="15">
      <c r="A121" s="1" t="s">
        <v>157</v>
      </c>
      <c r="B121" s="49" t="s">
        <v>45</v>
      </c>
      <c r="C121" s="170"/>
      <c r="D121" s="49"/>
      <c r="E121" s="18"/>
      <c r="F121" s="45"/>
      <c r="G121" s="75"/>
      <c r="H121" s="75"/>
      <c r="I121" s="75"/>
      <c r="J121" s="75"/>
      <c r="K121" s="75"/>
      <c r="L121" s="75"/>
      <c r="M121" s="49"/>
      <c r="N121" s="75"/>
      <c r="O121" s="75"/>
      <c r="P121" s="97"/>
      <c r="Q121" s="97"/>
      <c r="R121" s="49" t="s">
        <v>45</v>
      </c>
      <c r="S121" s="48">
        <v>24.686199999999999</v>
      </c>
      <c r="T121" s="48">
        <v>10.793699999999999</v>
      </c>
      <c r="U121" s="20"/>
      <c r="V121" s="48">
        <v>8.9796999999999993</v>
      </c>
      <c r="W121" s="65">
        <v>2.47E-2</v>
      </c>
      <c r="X121" s="48">
        <v>73.188400000000001</v>
      </c>
      <c r="Y121" s="48">
        <v>28.093</v>
      </c>
      <c r="Z121" s="48">
        <v>76.108999999999995</v>
      </c>
      <c r="AA121" s="48">
        <v>1.2495000000000001</v>
      </c>
      <c r="AB121" s="48">
        <v>11.400600000000001</v>
      </c>
      <c r="AC121" s="48">
        <v>22.177600000000002</v>
      </c>
      <c r="AD121" s="48">
        <v>20.740100000000002</v>
      </c>
      <c r="AE121" s="48">
        <v>130.3537</v>
      </c>
      <c r="AF121" s="48">
        <v>1.8816999999999999</v>
      </c>
      <c r="AG121" s="135"/>
      <c r="AH121" s="40"/>
      <c r="AI121" s="65"/>
      <c r="AJ121" s="65"/>
      <c r="AK121" s="49" t="s">
        <v>45</v>
      </c>
      <c r="AL121" s="48">
        <v>19.890228930074201</v>
      </c>
      <c r="AM121" s="48">
        <v>16.004798891094602</v>
      </c>
      <c r="AN121" s="48">
        <v>39.764841694981698</v>
      </c>
      <c r="AO121" s="48">
        <v>1.99925539770227</v>
      </c>
      <c r="AP121" s="48">
        <v>1.2428042873424501</v>
      </c>
      <c r="AQ121" s="38">
        <f t="shared" si="97"/>
        <v>0.34560679999999994</v>
      </c>
      <c r="AR121" s="48">
        <v>24.686199999999999</v>
      </c>
      <c r="AS121" s="48"/>
      <c r="AT121" s="49" t="s">
        <v>45</v>
      </c>
      <c r="AU121" s="52">
        <f t="shared" si="98"/>
        <v>6.8741983717903672</v>
      </c>
      <c r="AV121" s="52">
        <f t="shared" si="99"/>
        <v>5.5313673293947527</v>
      </c>
      <c r="AW121" s="52">
        <f t="shared" si="100"/>
        <v>13.742999690709198</v>
      </c>
      <c r="AX121" s="36">
        <f t="shared" si="101"/>
        <v>26.148565391894316</v>
      </c>
      <c r="AY121" s="48">
        <v>24.686199999999999</v>
      </c>
      <c r="AZ121" s="184"/>
      <c r="BA121" s="20"/>
      <c r="BB121" s="48"/>
      <c r="BC121" s="20"/>
      <c r="BD121" s="20"/>
      <c r="BE121" s="20"/>
      <c r="BF121" s="20"/>
      <c r="BG121" s="10"/>
      <c r="BI121" s="10"/>
      <c r="BJ121" s="10"/>
      <c r="BK121" s="10"/>
      <c r="BL121" s="10"/>
      <c r="BM121" s="10"/>
      <c r="BN121" s="10"/>
      <c r="BO121" s="10"/>
      <c r="BP121" s="10"/>
    </row>
    <row r="122" spans="1:68" s="1" customFormat="1" ht="15">
      <c r="A122" s="1" t="s">
        <v>157</v>
      </c>
      <c r="B122" s="62" t="s">
        <v>103</v>
      </c>
      <c r="C122" s="167"/>
      <c r="D122" s="41"/>
      <c r="E122" s="18"/>
      <c r="F122" s="45"/>
      <c r="G122" s="30"/>
      <c r="H122" s="30"/>
      <c r="I122" s="30"/>
      <c r="J122" s="30"/>
      <c r="K122" s="30"/>
      <c r="L122" s="30"/>
      <c r="M122" s="62"/>
      <c r="N122" s="30"/>
      <c r="O122" s="30"/>
      <c r="P122" s="88"/>
      <c r="Q122" s="88"/>
      <c r="R122" s="62" t="s">
        <v>103</v>
      </c>
      <c r="S122" s="19">
        <v>5.3371000000000004</v>
      </c>
      <c r="T122" s="19">
        <v>1.2690999999999999</v>
      </c>
      <c r="V122" s="27">
        <v>4.0567000000000002</v>
      </c>
      <c r="W122" s="62">
        <v>1.44E-2</v>
      </c>
      <c r="X122" s="19">
        <v>5.9546000000000001</v>
      </c>
      <c r="Y122" s="19">
        <v>2.1642999999999999</v>
      </c>
      <c r="Z122" s="19">
        <v>28.815999999999999</v>
      </c>
      <c r="AA122" s="19">
        <v>0.39019999999999999</v>
      </c>
      <c r="AB122" s="19">
        <v>1.373</v>
      </c>
      <c r="AC122" s="19">
        <v>5.3708999999999998</v>
      </c>
      <c r="AD122" s="19">
        <v>0.32500000000000001</v>
      </c>
      <c r="AE122" s="19">
        <v>41.400799999999997</v>
      </c>
      <c r="AF122" s="19">
        <v>0.97009999999999996</v>
      </c>
      <c r="AG122" s="135"/>
      <c r="AH122" s="40"/>
      <c r="AI122" s="40"/>
      <c r="AJ122" s="40"/>
      <c r="AK122" s="62" t="s">
        <v>103</v>
      </c>
      <c r="AL122" s="27">
        <v>19.7685208701714</v>
      </c>
      <c r="AM122" s="27">
        <v>15.664528870364199</v>
      </c>
      <c r="AN122" s="27">
        <v>39.319200419238101</v>
      </c>
      <c r="AO122" s="27">
        <v>1.9891176547648901</v>
      </c>
      <c r="AP122" s="27">
        <v>1.2621284277615501</v>
      </c>
      <c r="AQ122" s="38">
        <f t="shared" si="97"/>
        <v>7.4719399999999991E-2</v>
      </c>
      <c r="AR122" s="19">
        <v>5.3371000000000004</v>
      </c>
      <c r="AS122" s="38"/>
      <c r="AT122" s="62" t="s">
        <v>103</v>
      </c>
      <c r="AU122" s="52">
        <f t="shared" si="98"/>
        <v>1.4770920183066847</v>
      </c>
      <c r="AV122" s="52">
        <f t="shared" si="99"/>
        <v>1.1704441984762906</v>
      </c>
      <c r="AW122" s="52">
        <f t="shared" si="100"/>
        <v>2.9379070638052189</v>
      </c>
      <c r="AX122" s="36">
        <f t="shared" si="101"/>
        <v>5.5854432805881942</v>
      </c>
      <c r="AY122" s="19">
        <v>5.3371000000000004</v>
      </c>
      <c r="AZ122" s="184"/>
      <c r="BA122" s="20"/>
      <c r="BB122" s="19"/>
      <c r="BG122" s="10"/>
      <c r="BI122" s="10"/>
      <c r="BJ122" s="10"/>
      <c r="BK122" s="10"/>
      <c r="BL122" s="10"/>
      <c r="BM122" s="10"/>
      <c r="BN122" s="10"/>
      <c r="BO122" s="10"/>
      <c r="BP122" s="10"/>
    </row>
    <row r="123" spans="1:68" s="1" customFormat="1" ht="15">
      <c r="A123" s="1" t="s">
        <v>157</v>
      </c>
      <c r="B123" s="62" t="s">
        <v>104</v>
      </c>
      <c r="C123" s="167"/>
      <c r="D123" s="30"/>
      <c r="G123" s="30"/>
      <c r="H123" s="30"/>
      <c r="I123" s="30"/>
      <c r="J123" s="30"/>
      <c r="K123" s="30"/>
      <c r="L123" s="30"/>
      <c r="M123" s="62"/>
      <c r="N123" s="30"/>
      <c r="O123" s="30"/>
      <c r="P123" s="88"/>
      <c r="Q123" s="88"/>
      <c r="R123" s="62" t="s">
        <v>104</v>
      </c>
      <c r="S123" s="76">
        <v>7.4846000000000004</v>
      </c>
      <c r="T123" s="76">
        <v>3.2814999999999999</v>
      </c>
      <c r="V123" s="27">
        <v>10.4977</v>
      </c>
      <c r="W123" s="62">
        <v>6.4000000000000003E-3</v>
      </c>
      <c r="X123" s="76">
        <v>24.07</v>
      </c>
      <c r="Y123" s="76">
        <v>8.7187999999999999</v>
      </c>
      <c r="Z123" s="76">
        <v>20.227</v>
      </c>
      <c r="AA123" s="76">
        <v>0.31590000000000001</v>
      </c>
      <c r="AB123" s="76">
        <v>3.6305000000000001</v>
      </c>
      <c r="AC123" s="76">
        <v>6.3851000000000004</v>
      </c>
      <c r="AD123" s="76">
        <v>7.8514999999999997</v>
      </c>
      <c r="AE123" s="76">
        <v>36.892200000000003</v>
      </c>
      <c r="AF123" s="76">
        <v>0.45669999999999999</v>
      </c>
      <c r="AG123" s="135"/>
      <c r="AH123" s="40"/>
      <c r="AI123" s="40"/>
      <c r="AJ123" s="40"/>
      <c r="AK123" s="62" t="s">
        <v>104</v>
      </c>
      <c r="AL123" s="27">
        <v>19.842457754035699</v>
      </c>
      <c r="AM123" s="27">
        <v>15.7364112761974</v>
      </c>
      <c r="AN123" s="27">
        <v>39.136287811986897</v>
      </c>
      <c r="AO123" s="27">
        <v>1.9723313966068099</v>
      </c>
      <c r="AP123" s="27">
        <v>1.26092992923227</v>
      </c>
      <c r="AQ123" s="38">
        <f t="shared" si="97"/>
        <v>0.1047844</v>
      </c>
      <c r="AR123" s="76">
        <v>7.4846000000000004</v>
      </c>
      <c r="AS123" s="38"/>
      <c r="AT123" s="62" t="s">
        <v>104</v>
      </c>
      <c r="AU123" s="52">
        <f t="shared" si="98"/>
        <v>2.0791800302819783</v>
      </c>
      <c r="AV123" s="52">
        <f t="shared" si="99"/>
        <v>1.6489304137295788</v>
      </c>
      <c r="AW123" s="52">
        <f t="shared" si="100"/>
        <v>4.1008724366063598</v>
      </c>
      <c r="AX123" s="36">
        <f t="shared" si="101"/>
        <v>7.8289828806179171</v>
      </c>
      <c r="AY123" s="76">
        <v>7.4846000000000004</v>
      </c>
      <c r="AZ123" s="184"/>
      <c r="BA123" s="20"/>
      <c r="BB123" s="76"/>
      <c r="BG123" s="10"/>
      <c r="BI123" s="10"/>
      <c r="BJ123" s="10"/>
      <c r="BK123" s="10"/>
      <c r="BL123" s="10"/>
      <c r="BM123" s="10"/>
      <c r="BN123" s="10"/>
      <c r="BO123" s="10"/>
      <c r="BP123" s="10"/>
    </row>
    <row r="124" spans="1:68" s="1" customFormat="1" ht="15">
      <c r="A124" s="1" t="s">
        <v>157</v>
      </c>
      <c r="B124" s="49" t="s">
        <v>46</v>
      </c>
      <c r="C124" s="170"/>
      <c r="D124" s="75"/>
      <c r="G124" s="75"/>
      <c r="H124" s="75"/>
      <c r="I124" s="75"/>
      <c r="J124" s="75"/>
      <c r="K124" s="75"/>
      <c r="L124" s="75"/>
      <c r="M124" s="49"/>
      <c r="N124" s="75"/>
      <c r="O124" s="75"/>
      <c r="P124" s="97"/>
      <c r="Q124" s="97"/>
      <c r="R124" s="49" t="s">
        <v>46</v>
      </c>
      <c r="S124" s="48">
        <v>23.616900000000001</v>
      </c>
      <c r="T124" s="48">
        <v>9.4605999999999995</v>
      </c>
      <c r="U124" s="20"/>
      <c r="V124" s="48">
        <v>21.5075</v>
      </c>
      <c r="W124" s="65">
        <v>5.45E-2</v>
      </c>
      <c r="X124" s="48">
        <v>110.9157</v>
      </c>
      <c r="Y124" s="48">
        <v>45.214700000000001</v>
      </c>
      <c r="Z124" s="48">
        <v>822.61199999999997</v>
      </c>
      <c r="AA124" s="48">
        <v>7.4061000000000003</v>
      </c>
      <c r="AB124" s="48">
        <v>50.665900000000001</v>
      </c>
      <c r="AC124" s="48">
        <v>118.6859</v>
      </c>
      <c r="AD124" s="48">
        <v>30.008800000000001</v>
      </c>
      <c r="AE124" s="48">
        <v>208.9494</v>
      </c>
      <c r="AF124" s="48">
        <v>2.6286999999999998</v>
      </c>
      <c r="AG124" s="65"/>
      <c r="AH124" s="65"/>
      <c r="AI124" s="65"/>
      <c r="AJ124" s="65"/>
      <c r="AK124" s="49" t="s">
        <v>46</v>
      </c>
      <c r="AL124" s="48">
        <v>19.470144810298901</v>
      </c>
      <c r="AM124" s="48">
        <v>15.6894067358479</v>
      </c>
      <c r="AN124" s="48">
        <v>38.900066036574003</v>
      </c>
      <c r="AO124" s="48">
        <v>1.9980897452105699</v>
      </c>
      <c r="AP124" s="48">
        <v>1.2411245458920801</v>
      </c>
      <c r="AQ124" s="38">
        <f t="shared" si="97"/>
        <v>0.3306366</v>
      </c>
      <c r="AR124" s="48">
        <v>23.616900000000001</v>
      </c>
      <c r="AS124" s="48"/>
      <c r="AT124" s="49" t="s">
        <v>46</v>
      </c>
      <c r="AU124" s="52">
        <f t="shared" si="98"/>
        <v>6.4375424815848739</v>
      </c>
      <c r="AV124" s="52">
        <f t="shared" si="99"/>
        <v>5.1874920991578479</v>
      </c>
      <c r="AW124" s="52">
        <f t="shared" si="100"/>
        <v>12.861785574108303</v>
      </c>
      <c r="AX124" s="36">
        <f t="shared" si="101"/>
        <v>24.486820154851024</v>
      </c>
      <c r="AY124" s="48">
        <v>23.616900000000001</v>
      </c>
      <c r="AZ124" s="184"/>
      <c r="BA124" s="20"/>
      <c r="BB124" s="48"/>
      <c r="BC124" s="20"/>
      <c r="BD124" s="20"/>
      <c r="BE124" s="20"/>
      <c r="BF124" s="20"/>
      <c r="BG124" s="10"/>
      <c r="BI124" s="10"/>
      <c r="BJ124" s="10"/>
      <c r="BK124" s="10"/>
      <c r="BL124" s="10"/>
      <c r="BM124" s="10"/>
      <c r="BN124" s="10"/>
      <c r="BO124" s="10"/>
      <c r="BP124" s="10"/>
    </row>
    <row r="125" spans="1:68" s="1" customFormat="1" ht="15">
      <c r="A125" s="1" t="s">
        <v>157</v>
      </c>
      <c r="B125" s="62" t="s">
        <v>105</v>
      </c>
      <c r="C125" s="167"/>
      <c r="D125" s="30"/>
      <c r="G125" s="30"/>
      <c r="H125" s="30"/>
      <c r="I125" s="30"/>
      <c r="J125" s="30"/>
      <c r="K125" s="30"/>
      <c r="L125" s="30"/>
      <c r="M125" s="62"/>
      <c r="N125" s="30"/>
      <c r="O125" s="30"/>
      <c r="P125" s="88"/>
      <c r="Q125" s="88"/>
      <c r="R125" s="62" t="s">
        <v>105</v>
      </c>
      <c r="S125" s="19">
        <v>11.1341</v>
      </c>
      <c r="T125" s="19">
        <v>0.98370000000000002</v>
      </c>
      <c r="V125" s="27">
        <v>4.8456000000000001</v>
      </c>
      <c r="W125" s="62">
        <v>4.1500000000000002E-2</v>
      </c>
      <c r="X125" s="19">
        <v>10.7441</v>
      </c>
      <c r="Y125" s="19">
        <v>4.2525000000000004</v>
      </c>
      <c r="Z125" s="19">
        <v>687.64599999999996</v>
      </c>
      <c r="AA125" s="19">
        <v>5.1247999999999996</v>
      </c>
      <c r="AB125" s="19">
        <v>4.5994999999999999</v>
      </c>
      <c r="AC125" s="19">
        <v>27.6828</v>
      </c>
      <c r="AD125" s="19">
        <v>7.6300000000000007E-2</v>
      </c>
      <c r="AE125" s="19">
        <v>100.34050000000001</v>
      </c>
      <c r="AF125" s="19">
        <v>1.1987000000000001</v>
      </c>
      <c r="AG125" s="40"/>
      <c r="AH125" s="40"/>
      <c r="AI125" s="40"/>
      <c r="AJ125" s="40"/>
      <c r="AK125" s="62" t="s">
        <v>105</v>
      </c>
      <c r="AL125" s="27">
        <v>19.517495377272699</v>
      </c>
      <c r="AM125" s="27">
        <v>15.880481610767699</v>
      </c>
      <c r="AN125" s="27">
        <v>39.223312360437099</v>
      </c>
      <c r="AO125" s="27">
        <v>2.0097569653721501</v>
      </c>
      <c r="AP125" s="27">
        <v>1.22915953777832</v>
      </c>
      <c r="AQ125" s="38">
        <f t="shared" si="97"/>
        <v>0.1558774</v>
      </c>
      <c r="AR125" s="19">
        <v>11.1341</v>
      </c>
      <c r="AS125" s="38"/>
      <c r="AT125" s="62" t="s">
        <v>105</v>
      </c>
      <c r="AU125" s="52">
        <f t="shared" si="98"/>
        <v>3.0423364339212875</v>
      </c>
      <c r="AV125" s="52">
        <f t="shared" si="99"/>
        <v>2.475408184234281</v>
      </c>
      <c r="AW125" s="52">
        <f t="shared" si="100"/>
        <v>6.1140279501327974</v>
      </c>
      <c r="AX125" s="36">
        <f t="shared" si="101"/>
        <v>11.631772568288365</v>
      </c>
      <c r="AY125" s="19">
        <v>11.1341</v>
      </c>
      <c r="AZ125" s="184"/>
      <c r="BA125" s="20"/>
      <c r="BB125" s="19"/>
      <c r="BG125" s="10"/>
      <c r="BI125" s="10"/>
      <c r="BJ125" s="10"/>
      <c r="BK125" s="10"/>
      <c r="BL125" s="10"/>
      <c r="BM125" s="10"/>
      <c r="BN125" s="10"/>
      <c r="BO125" s="10"/>
      <c r="BP125" s="10"/>
    </row>
    <row r="126" spans="1:68" s="1" customFormat="1" ht="15">
      <c r="A126" s="1" t="s">
        <v>157</v>
      </c>
      <c r="B126" s="62" t="s">
        <v>106</v>
      </c>
      <c r="C126" s="167"/>
      <c r="D126" s="30"/>
      <c r="G126" s="30"/>
      <c r="H126" s="30"/>
      <c r="I126" s="30"/>
      <c r="J126" s="30"/>
      <c r="K126" s="30"/>
      <c r="L126" s="30"/>
      <c r="M126" s="62"/>
      <c r="N126" s="30"/>
      <c r="O126" s="30"/>
      <c r="P126" s="88"/>
      <c r="Q126" s="88"/>
      <c r="R126" s="62" t="s">
        <v>106</v>
      </c>
      <c r="S126" s="76">
        <v>8.4177</v>
      </c>
      <c r="T126" s="76">
        <v>4.1268000000000002</v>
      </c>
      <c r="V126" s="27">
        <v>11.089399999999999</v>
      </c>
      <c r="W126" s="62">
        <v>1.7500000000000002E-2</v>
      </c>
      <c r="X126" s="76">
        <v>60.032499999999999</v>
      </c>
      <c r="Y126" s="76">
        <v>22.295200000000001</v>
      </c>
      <c r="Z126" s="76">
        <v>198.124</v>
      </c>
      <c r="AA126" s="76">
        <v>2.016</v>
      </c>
      <c r="AB126" s="76">
        <v>20.476900000000001</v>
      </c>
      <c r="AC126" s="76">
        <v>47.356499999999997</v>
      </c>
      <c r="AD126" s="76">
        <v>12.6546</v>
      </c>
      <c r="AE126" s="76">
        <v>109.8985</v>
      </c>
      <c r="AF126" s="76">
        <v>1.095</v>
      </c>
      <c r="AG126" s="40"/>
      <c r="AH126" s="40"/>
      <c r="AI126" s="40"/>
      <c r="AJ126" s="40"/>
      <c r="AK126" s="62" t="s">
        <v>106</v>
      </c>
      <c r="AL126" s="27">
        <v>19.985399104908101</v>
      </c>
      <c r="AM126" s="27">
        <v>15.8444279006559</v>
      </c>
      <c r="AN126" s="27">
        <v>39.664225558737698</v>
      </c>
      <c r="AO126" s="27">
        <v>1.98483261414958</v>
      </c>
      <c r="AP126" s="27">
        <v>1.2614112178841801</v>
      </c>
      <c r="AQ126" s="38">
        <f t="shared" si="97"/>
        <v>0.11784779999999999</v>
      </c>
      <c r="AR126" s="76">
        <v>8.4177</v>
      </c>
      <c r="AS126" s="38"/>
      <c r="AT126" s="62" t="s">
        <v>106</v>
      </c>
      <c r="AU126" s="52">
        <f t="shared" si="98"/>
        <v>2.3552353166353885</v>
      </c>
      <c r="AV126" s="52">
        <f t="shared" si="99"/>
        <v>1.8672309703509162</v>
      </c>
      <c r="AW126" s="52">
        <f t="shared" si="100"/>
        <v>4.6743417208010083</v>
      </c>
      <c r="AX126" s="36">
        <f t="shared" si="101"/>
        <v>8.896808007787314</v>
      </c>
      <c r="AY126" s="76">
        <v>8.4177</v>
      </c>
      <c r="AZ126" s="184"/>
      <c r="BA126" s="20"/>
      <c r="BB126" s="76"/>
      <c r="BG126" s="10"/>
      <c r="BI126" s="10"/>
      <c r="BJ126" s="10"/>
      <c r="BK126" s="10"/>
      <c r="BL126" s="10"/>
      <c r="BM126" s="10"/>
      <c r="BN126" s="10"/>
      <c r="BO126" s="10"/>
      <c r="BP126" s="10"/>
    </row>
    <row r="127" spans="1:68" s="1" customFormat="1" ht="15">
      <c r="A127" s="1" t="s">
        <v>157</v>
      </c>
      <c r="B127" s="41" t="s">
        <v>47</v>
      </c>
      <c r="C127" s="162"/>
      <c r="D127" s="45"/>
      <c r="G127" s="45"/>
      <c r="H127" s="45"/>
      <c r="I127" s="45"/>
      <c r="J127" s="45"/>
      <c r="K127" s="45"/>
      <c r="L127" s="45"/>
      <c r="M127" s="41"/>
      <c r="N127" s="45"/>
      <c r="O127" s="45"/>
      <c r="P127" s="89"/>
      <c r="Q127" s="89"/>
      <c r="R127" s="41" t="s">
        <v>47</v>
      </c>
      <c r="S127" s="38">
        <v>29.276299999999999</v>
      </c>
      <c r="T127" s="27">
        <v>14.495799999999999</v>
      </c>
      <c r="V127" s="27">
        <v>11.6242</v>
      </c>
      <c r="W127" s="62">
        <v>3.4500000000000003E-2</v>
      </c>
      <c r="X127" s="27">
        <v>73.805800000000005</v>
      </c>
      <c r="Y127" s="27">
        <v>30.706600000000002</v>
      </c>
      <c r="Z127" s="38">
        <v>361.11399999999998</v>
      </c>
      <c r="AA127" s="27">
        <v>3.1456</v>
      </c>
      <c r="AB127" s="27">
        <v>10.886200000000001</v>
      </c>
      <c r="AC127" s="27">
        <v>20.796700000000001</v>
      </c>
      <c r="AD127" s="27">
        <v>25.507899999999999</v>
      </c>
      <c r="AE127" s="27">
        <v>217.3989</v>
      </c>
      <c r="AF127" s="27">
        <v>4.5579000000000001</v>
      </c>
      <c r="AG127" s="40"/>
      <c r="AH127" s="40"/>
      <c r="AI127" s="40"/>
      <c r="AJ127" s="40"/>
      <c r="AK127" s="41" t="s">
        <v>47</v>
      </c>
      <c r="AL127" s="27">
        <v>19.758347963347902</v>
      </c>
      <c r="AM127" s="27">
        <v>15.689903359375201</v>
      </c>
      <c r="AN127" s="27">
        <v>39.418251658851297</v>
      </c>
      <c r="AO127" s="27">
        <v>1.99497846533526</v>
      </c>
      <c r="AP127" s="27">
        <v>1.2592971971818301</v>
      </c>
      <c r="AQ127" s="38">
        <f t="shared" si="97"/>
        <v>0.40986819999999996</v>
      </c>
      <c r="AR127" s="38">
        <v>29.276299999999999</v>
      </c>
      <c r="AS127" s="38"/>
      <c r="AT127" s="41" t="s">
        <v>47</v>
      </c>
      <c r="AU127" s="52">
        <f t="shared" si="98"/>
        <v>8.0983185147110692</v>
      </c>
      <c r="AV127" s="52">
        <f t="shared" si="99"/>
        <v>6.4307924480810659</v>
      </c>
      <c r="AW127" s="52">
        <f t="shared" si="100"/>
        <v>16.156287854560393</v>
      </c>
      <c r="AX127" s="36">
        <f t="shared" si="101"/>
        <v>30.685398817352528</v>
      </c>
      <c r="AY127" s="38">
        <v>29.276299999999999</v>
      </c>
      <c r="AZ127" s="184"/>
      <c r="BA127" s="20"/>
      <c r="BB127" s="27"/>
      <c r="BG127" s="10"/>
      <c r="BI127" s="10"/>
      <c r="BJ127" s="10"/>
      <c r="BK127" s="10"/>
      <c r="BL127" s="10"/>
      <c r="BM127" s="10"/>
      <c r="BN127" s="10"/>
      <c r="BO127" s="10"/>
      <c r="BP127" s="10"/>
    </row>
    <row r="128" spans="1:68" s="1" customFormat="1" ht="15">
      <c r="A128" s="1" t="s">
        <v>157</v>
      </c>
      <c r="B128" s="41" t="s">
        <v>48</v>
      </c>
      <c r="C128" s="162"/>
      <c r="D128" s="45"/>
      <c r="G128" s="45"/>
      <c r="H128" s="45"/>
      <c r="I128" s="45"/>
      <c r="J128" s="45"/>
      <c r="K128" s="45"/>
      <c r="L128" s="45"/>
      <c r="M128" s="41"/>
      <c r="N128" s="45"/>
      <c r="O128" s="45"/>
      <c r="P128" s="89"/>
      <c r="Q128" s="89"/>
      <c r="R128" s="41" t="s">
        <v>48</v>
      </c>
      <c r="S128" s="38">
        <v>24.794899999999998</v>
      </c>
      <c r="T128" s="27">
        <v>10.806800000000001</v>
      </c>
      <c r="V128" s="27">
        <v>51.101100000000002</v>
      </c>
      <c r="W128" s="62">
        <v>0.21360000000000001</v>
      </c>
      <c r="X128" s="27">
        <v>157.2458</v>
      </c>
      <c r="Y128" s="27">
        <v>50.553699999999999</v>
      </c>
      <c r="Z128" s="38">
        <v>757.97400000000005</v>
      </c>
      <c r="AA128" s="27">
        <v>18.804500000000001</v>
      </c>
      <c r="AB128" s="27">
        <v>103.7535</v>
      </c>
      <c r="AC128" s="27">
        <v>264.82760000000002</v>
      </c>
      <c r="AD128" s="27">
        <v>37.645699999999998</v>
      </c>
      <c r="AE128" s="27">
        <v>354.23480000000001</v>
      </c>
      <c r="AF128" s="27">
        <v>5.3753000000000002</v>
      </c>
      <c r="AG128" s="40"/>
      <c r="AH128" s="40"/>
      <c r="AI128" s="40"/>
      <c r="AJ128" s="40"/>
      <c r="AK128" s="41" t="s">
        <v>48</v>
      </c>
      <c r="AL128" s="27">
        <v>19.754117851242899</v>
      </c>
      <c r="AM128" s="27">
        <v>15.585598061529501</v>
      </c>
      <c r="AN128" s="27">
        <v>38.8474179709279</v>
      </c>
      <c r="AO128" s="27">
        <v>1.96659150360651</v>
      </c>
      <c r="AP128" s="27">
        <v>1.26747239029307</v>
      </c>
      <c r="AQ128" s="38">
        <f t="shared" si="97"/>
        <v>0.34712859999999995</v>
      </c>
      <c r="AR128" s="38">
        <v>24.794899999999998</v>
      </c>
      <c r="AS128" s="38"/>
      <c r="AT128" s="41" t="s">
        <v>48</v>
      </c>
      <c r="AU128" s="52">
        <f t="shared" si="98"/>
        <v>6.8572192739369546</v>
      </c>
      <c r="AV128" s="52">
        <f t="shared" si="99"/>
        <v>5.410206835261449</v>
      </c>
      <c r="AW128" s="52">
        <f t="shared" si="100"/>
        <v>13.485049813863041</v>
      </c>
      <c r="AX128" s="36">
        <f t="shared" si="101"/>
        <v>25.752475923061446</v>
      </c>
      <c r="AY128" s="38">
        <v>24.794899999999998</v>
      </c>
      <c r="AZ128" s="184"/>
      <c r="BA128" s="20"/>
      <c r="BB128" s="27"/>
      <c r="BG128" s="10"/>
      <c r="BI128" s="10"/>
      <c r="BJ128" s="10"/>
      <c r="BK128" s="10"/>
      <c r="BL128" s="10"/>
      <c r="BM128" s="10"/>
      <c r="BN128" s="10"/>
      <c r="BO128" s="10"/>
      <c r="BP128" s="10"/>
    </row>
    <row r="129" spans="1:68" s="1" customFormat="1" ht="15">
      <c r="A129" s="1" t="s">
        <v>157</v>
      </c>
      <c r="B129" s="49" t="s">
        <v>49</v>
      </c>
      <c r="C129" s="170"/>
      <c r="D129" s="75"/>
      <c r="E129" s="75"/>
      <c r="F129" s="75"/>
      <c r="G129" s="75"/>
      <c r="H129" s="75"/>
      <c r="I129" s="75"/>
      <c r="J129" s="75"/>
      <c r="K129" s="75"/>
      <c r="L129" s="75"/>
      <c r="M129" s="49"/>
      <c r="N129" s="75"/>
      <c r="O129" s="75"/>
      <c r="P129" s="97"/>
      <c r="Q129" s="97"/>
      <c r="R129" s="49" t="s">
        <v>49</v>
      </c>
      <c r="S129" s="48">
        <v>18.817299999999999</v>
      </c>
      <c r="T129" s="48">
        <v>9.2863000000000007</v>
      </c>
      <c r="U129" s="20"/>
      <c r="V129" s="48">
        <v>36.852200000000003</v>
      </c>
      <c r="W129" s="65">
        <v>0.14630000000000001</v>
      </c>
      <c r="X129" s="48">
        <v>125.2876</v>
      </c>
      <c r="Y129" s="48">
        <v>50.521000000000001</v>
      </c>
      <c r="Z129" s="48">
        <v>622.26499999999999</v>
      </c>
      <c r="AA129" s="48">
        <v>9.7771000000000008</v>
      </c>
      <c r="AB129" s="48">
        <v>67.084299999999999</v>
      </c>
      <c r="AC129" s="48">
        <v>125.2597</v>
      </c>
      <c r="AD129" s="48">
        <v>21.454499999999999</v>
      </c>
      <c r="AE129" s="48">
        <v>254.6285</v>
      </c>
      <c r="AF129" s="48">
        <v>3.0809000000000002</v>
      </c>
      <c r="AG129" s="65"/>
      <c r="AH129" s="65"/>
      <c r="AI129" s="65"/>
      <c r="AJ129" s="65"/>
      <c r="AK129" s="49" t="s">
        <v>49</v>
      </c>
      <c r="AL129" s="48">
        <v>19.317435544242901</v>
      </c>
      <c r="AM129" s="48">
        <v>15.490416730677101</v>
      </c>
      <c r="AN129" s="48">
        <v>38.524485053992201</v>
      </c>
      <c r="AO129" s="48">
        <v>1.9942755014465701</v>
      </c>
      <c r="AP129" s="48">
        <v>1.2470866320229601</v>
      </c>
      <c r="AQ129" s="38">
        <f t="shared" si="97"/>
        <v>0.26344219999999996</v>
      </c>
      <c r="AR129" s="48">
        <v>18.817299999999999</v>
      </c>
      <c r="AS129" s="48"/>
      <c r="AT129" s="49" t="s">
        <v>49</v>
      </c>
      <c r="AU129" s="52">
        <f t="shared" si="98"/>
        <v>5.0890277181335462</v>
      </c>
      <c r="AV129" s="52">
        <f t="shared" si="99"/>
        <v>4.0808294624463821</v>
      </c>
      <c r="AW129" s="52">
        <f t="shared" si="100"/>
        <v>10.148975096490823</v>
      </c>
      <c r="AX129" s="36">
        <f t="shared" si="101"/>
        <v>19.318832277070751</v>
      </c>
      <c r="AY129" s="48">
        <v>18.817299999999999</v>
      </c>
      <c r="AZ129" s="184"/>
      <c r="BA129" s="20"/>
      <c r="BB129" s="48"/>
      <c r="BC129" s="20"/>
      <c r="BD129" s="20"/>
      <c r="BE129" s="20"/>
      <c r="BF129" s="20"/>
      <c r="BG129" s="10"/>
      <c r="BI129" s="10"/>
      <c r="BJ129" s="10"/>
      <c r="BK129" s="10"/>
      <c r="BL129" s="10"/>
      <c r="BM129" s="10"/>
      <c r="BN129" s="10"/>
      <c r="BO129" s="10"/>
      <c r="BP129" s="10"/>
    </row>
    <row r="130" spans="1:68" s="1" customFormat="1" ht="15">
      <c r="A130" s="1" t="s">
        <v>157</v>
      </c>
      <c r="B130" s="62" t="s">
        <v>107</v>
      </c>
      <c r="C130" s="167"/>
      <c r="D130" s="30"/>
      <c r="E130" s="30"/>
      <c r="F130" s="30"/>
      <c r="G130" s="30"/>
      <c r="H130" s="30"/>
      <c r="I130" s="30"/>
      <c r="J130" s="30"/>
      <c r="K130" s="30"/>
      <c r="L130" s="30"/>
      <c r="M130" s="62"/>
      <c r="N130" s="30"/>
      <c r="O130" s="30"/>
      <c r="P130" s="88"/>
      <c r="Q130" s="88"/>
      <c r="R130" s="62" t="s">
        <v>107</v>
      </c>
      <c r="S130" s="19">
        <v>4.1189999999999998</v>
      </c>
      <c r="T130" s="19">
        <v>0.58899999999999997</v>
      </c>
      <c r="V130" s="27">
        <v>7.5007000000000001</v>
      </c>
      <c r="W130" s="62">
        <v>5.0299999999999997E-2</v>
      </c>
      <c r="X130" s="19">
        <v>4.9208999999999996</v>
      </c>
      <c r="Y130" s="19">
        <v>2.5615999999999999</v>
      </c>
      <c r="Z130" s="19">
        <v>169.81399999999999</v>
      </c>
      <c r="AA130" s="19">
        <v>3.3795000000000002</v>
      </c>
      <c r="AB130" s="19">
        <v>4.1176000000000004</v>
      </c>
      <c r="AC130" s="19">
        <v>19.767199999999999</v>
      </c>
      <c r="AD130" s="19">
        <v>8.6999999999999994E-2</v>
      </c>
      <c r="AE130" s="19">
        <v>49.783999999999999</v>
      </c>
      <c r="AF130" s="19">
        <v>1.3223</v>
      </c>
      <c r="AG130" s="40"/>
      <c r="AH130" s="40"/>
      <c r="AI130" s="40"/>
      <c r="AJ130" s="40"/>
      <c r="AK130" s="62" t="s">
        <v>107</v>
      </c>
      <c r="AL130" s="27">
        <v>19.6070046024875</v>
      </c>
      <c r="AM130" s="27">
        <v>15.808264388648301</v>
      </c>
      <c r="AN130" s="27">
        <v>39.069097628713202</v>
      </c>
      <c r="AO130" s="27">
        <v>1.99263028389428</v>
      </c>
      <c r="AP130" s="27">
        <v>1.2402928151458299</v>
      </c>
      <c r="AQ130" s="38">
        <f t="shared" si="97"/>
        <v>5.7665999999999988E-2</v>
      </c>
      <c r="AR130" s="19">
        <v>4.1189999999999998</v>
      </c>
      <c r="AS130" s="38"/>
      <c r="AT130" s="62" t="s">
        <v>107</v>
      </c>
      <c r="AU130" s="52">
        <f t="shared" si="98"/>
        <v>1.1306575274070438</v>
      </c>
      <c r="AV130" s="52">
        <f t="shared" si="99"/>
        <v>0.91159937423579274</v>
      </c>
      <c r="AW130" s="52">
        <f t="shared" si="100"/>
        <v>2.2529585838573749</v>
      </c>
      <c r="AX130" s="36">
        <f t="shared" si="101"/>
        <v>4.2952154855002114</v>
      </c>
      <c r="AY130" s="19">
        <v>4.1189999999999998</v>
      </c>
      <c r="AZ130" s="184"/>
      <c r="BA130" s="20"/>
      <c r="BB130" s="19"/>
      <c r="BG130" s="10"/>
      <c r="BI130" s="10"/>
      <c r="BJ130" s="10"/>
      <c r="BK130" s="10"/>
      <c r="BL130" s="10"/>
      <c r="BM130" s="10"/>
      <c r="BN130" s="10"/>
      <c r="BO130" s="10"/>
      <c r="BP130" s="10"/>
    </row>
    <row r="131" spans="1:68" s="1" customFormat="1" ht="15">
      <c r="A131" s="1" t="s">
        <v>157</v>
      </c>
      <c r="B131" s="62" t="s">
        <v>108</v>
      </c>
      <c r="C131" s="167"/>
      <c r="D131" s="30"/>
      <c r="E131" s="30"/>
      <c r="F131" s="30"/>
      <c r="G131" s="30"/>
      <c r="H131" s="30"/>
      <c r="I131" s="30"/>
      <c r="J131" s="30"/>
      <c r="K131" s="30"/>
      <c r="L131" s="30"/>
      <c r="M131" s="62"/>
      <c r="N131" s="30"/>
      <c r="O131" s="30"/>
      <c r="P131" s="88"/>
      <c r="Q131" s="88"/>
      <c r="R131" s="62" t="s">
        <v>108</v>
      </c>
      <c r="S131" s="76">
        <v>6.1885000000000003</v>
      </c>
      <c r="T131" s="76">
        <v>3.3727999999999998</v>
      </c>
      <c r="V131" s="27">
        <v>13.6563</v>
      </c>
      <c r="W131" s="62">
        <v>4.7600000000000003E-2</v>
      </c>
      <c r="X131" s="76">
        <v>45.732900000000001</v>
      </c>
      <c r="Y131" s="76">
        <v>16.642399999999999</v>
      </c>
      <c r="Z131" s="76">
        <v>180.41800000000001</v>
      </c>
      <c r="AA131" s="76">
        <v>3.0512000000000001</v>
      </c>
      <c r="AB131" s="76">
        <v>23.936900000000001</v>
      </c>
      <c r="AC131" s="76">
        <v>48.920400000000001</v>
      </c>
      <c r="AD131" s="76">
        <v>8.6961999999999993</v>
      </c>
      <c r="AE131" s="76">
        <v>93.329300000000003</v>
      </c>
      <c r="AF131" s="76">
        <v>0.96389999999999998</v>
      </c>
      <c r="AG131" s="40"/>
      <c r="AH131" s="40"/>
      <c r="AI131" s="40"/>
      <c r="AJ131" s="40"/>
      <c r="AK131" s="62" t="s">
        <v>108</v>
      </c>
      <c r="AL131" s="27">
        <v>19.382045608469902</v>
      </c>
      <c r="AM131" s="27">
        <v>15.710127218530999</v>
      </c>
      <c r="AN131" s="27">
        <v>38.766193617422502</v>
      </c>
      <c r="AO131" s="27">
        <v>2.0001670328942001</v>
      </c>
      <c r="AP131" s="27">
        <v>1.2337107897136901</v>
      </c>
      <c r="AQ131" s="38">
        <f t="shared" si="97"/>
        <v>8.6638999999999994E-2</v>
      </c>
      <c r="AR131" s="76">
        <v>6.1885000000000003</v>
      </c>
      <c r="AS131" s="38"/>
      <c r="AT131" s="62" t="s">
        <v>108</v>
      </c>
      <c r="AU131" s="52">
        <f t="shared" si="98"/>
        <v>1.6792410494722236</v>
      </c>
      <c r="AV131" s="52">
        <f t="shared" si="99"/>
        <v>1.3611097120863072</v>
      </c>
      <c r="AW131" s="52">
        <f t="shared" si="100"/>
        <v>3.3586642488198679</v>
      </c>
      <c r="AX131" s="36">
        <f t="shared" si="101"/>
        <v>6.3990150103783989</v>
      </c>
      <c r="AY131" s="76">
        <v>6.1885000000000003</v>
      </c>
      <c r="AZ131" s="184"/>
      <c r="BA131" s="20"/>
      <c r="BB131" s="76"/>
      <c r="BG131" s="10"/>
      <c r="BI131" s="10"/>
      <c r="BJ131" s="10"/>
      <c r="BK131" s="10"/>
      <c r="BL131" s="10"/>
      <c r="BM131" s="10"/>
      <c r="BN131" s="10"/>
      <c r="BO131" s="10"/>
      <c r="BP131" s="10"/>
    </row>
    <row r="132" spans="1:68" s="1" customFormat="1" ht="15">
      <c r="A132" s="1" t="s">
        <v>157</v>
      </c>
      <c r="B132" s="49" t="s">
        <v>50</v>
      </c>
      <c r="C132" s="170"/>
      <c r="D132" s="75"/>
      <c r="E132" s="75"/>
      <c r="F132" s="75"/>
      <c r="G132" s="75"/>
      <c r="H132" s="75"/>
      <c r="I132" s="75"/>
      <c r="J132" s="75"/>
      <c r="K132" s="75"/>
      <c r="L132" s="75"/>
      <c r="M132" s="49"/>
      <c r="N132" s="75"/>
      <c r="O132" s="75"/>
      <c r="P132" s="97"/>
      <c r="Q132" s="97"/>
      <c r="R132" s="49" t="s">
        <v>50</v>
      </c>
      <c r="S132" s="48">
        <v>23.122800000000002</v>
      </c>
      <c r="T132" s="48">
        <v>11.138199999999999</v>
      </c>
      <c r="U132" s="20"/>
      <c r="V132" s="48">
        <v>35.674999999999997</v>
      </c>
      <c r="W132" s="65">
        <v>0.1583</v>
      </c>
      <c r="X132" s="48">
        <v>165.02459999999999</v>
      </c>
      <c r="Y132" s="48">
        <v>64.086299999999994</v>
      </c>
      <c r="Z132" s="48">
        <v>869.65599999999995</v>
      </c>
      <c r="AA132" s="48">
        <v>19.020900000000001</v>
      </c>
      <c r="AB132" s="48">
        <v>80.648300000000006</v>
      </c>
      <c r="AC132" s="48">
        <v>44.407200000000003</v>
      </c>
      <c r="AD132" s="48">
        <v>23.680299999999999</v>
      </c>
      <c r="AE132" s="48">
        <v>352.33949999999999</v>
      </c>
      <c r="AF132" s="48">
        <v>4.9923999999999999</v>
      </c>
      <c r="AG132" s="65"/>
      <c r="AH132" s="65"/>
      <c r="AI132" s="65"/>
      <c r="AJ132" s="65"/>
      <c r="AK132" s="49" t="s">
        <v>50</v>
      </c>
      <c r="AL132" s="48">
        <v>19.618483787572401</v>
      </c>
      <c r="AM132" s="48">
        <v>15.691158200333801</v>
      </c>
      <c r="AN132" s="48">
        <v>39.167144641809799</v>
      </c>
      <c r="AO132" s="48">
        <v>1.9964957341616001</v>
      </c>
      <c r="AP132" s="48">
        <v>1.25031460935217</v>
      </c>
      <c r="AQ132" s="38">
        <f t="shared" si="97"/>
        <v>0.32371919999999998</v>
      </c>
      <c r="AR132" s="48">
        <v>23.122800000000002</v>
      </c>
      <c r="AS132" s="48"/>
      <c r="AT132" s="49" t="s">
        <v>50</v>
      </c>
      <c r="AU132" s="52">
        <f t="shared" si="98"/>
        <v>6.3508798769259078</v>
      </c>
      <c r="AV132" s="52">
        <f t="shared" si="99"/>
        <v>5.0795291796854976</v>
      </c>
      <c r="AW132" s="52">
        <f t="shared" si="100"/>
        <v>12.679156729730954</v>
      </c>
      <c r="AX132" s="36">
        <f t="shared" si="101"/>
        <v>24.109565786342358</v>
      </c>
      <c r="AY132" s="48">
        <v>23.122800000000002</v>
      </c>
      <c r="AZ132" s="184"/>
      <c r="BA132" s="20"/>
      <c r="BB132" s="48"/>
      <c r="BC132" s="20"/>
      <c r="BD132" s="20"/>
      <c r="BE132" s="20"/>
      <c r="BF132" s="20"/>
      <c r="BG132" s="10"/>
      <c r="BI132" s="10"/>
      <c r="BJ132" s="10"/>
      <c r="BK132" s="10"/>
      <c r="BL132" s="10"/>
      <c r="BM132" s="10"/>
      <c r="BN132" s="10"/>
      <c r="BO132" s="10"/>
      <c r="BP132" s="10"/>
    </row>
    <row r="133" spans="1:68" s="1" customFormat="1" ht="15">
      <c r="A133" s="1" t="s">
        <v>157</v>
      </c>
      <c r="B133" s="62" t="s">
        <v>109</v>
      </c>
      <c r="C133" s="167"/>
      <c r="D133" s="30"/>
      <c r="E133" s="30"/>
      <c r="F133" s="30"/>
      <c r="G133" s="30"/>
      <c r="H133" s="30"/>
      <c r="I133" s="30"/>
      <c r="J133" s="30"/>
      <c r="K133" s="30"/>
      <c r="L133" s="30"/>
      <c r="M133" s="62"/>
      <c r="N133" s="30"/>
      <c r="O133" s="30"/>
      <c r="P133" s="88"/>
      <c r="Q133" s="88"/>
      <c r="R133" s="62" t="s">
        <v>109</v>
      </c>
      <c r="S133" s="19">
        <v>8.5652000000000008</v>
      </c>
      <c r="T133" s="19">
        <v>3.4533999999999998</v>
      </c>
      <c r="V133" s="27">
        <v>10.530900000000001</v>
      </c>
      <c r="W133" s="62">
        <v>7.0000000000000007E-2</v>
      </c>
      <c r="X133" s="19">
        <v>11.559799999999999</v>
      </c>
      <c r="Y133" s="19">
        <v>7.2268999999999997</v>
      </c>
      <c r="Z133" s="19">
        <v>206.34899999999999</v>
      </c>
      <c r="AA133" s="19">
        <v>3.2328000000000001</v>
      </c>
      <c r="AB133" s="19">
        <v>15.4983</v>
      </c>
      <c r="AC133" s="19">
        <v>34.373800000000003</v>
      </c>
      <c r="AD133" s="19">
        <v>4.2777000000000003</v>
      </c>
      <c r="AE133" s="19">
        <v>31.583200000000001</v>
      </c>
      <c r="AF133" s="19">
        <v>1.3461000000000001</v>
      </c>
      <c r="AG133" s="40"/>
      <c r="AH133" s="40"/>
      <c r="AI133" s="40"/>
      <c r="AJ133" s="40"/>
      <c r="AK133" s="62" t="s">
        <v>109</v>
      </c>
      <c r="AL133" s="27">
        <v>19.540858687688601</v>
      </c>
      <c r="AM133" s="27">
        <v>15.984023881926699</v>
      </c>
      <c r="AN133" s="27">
        <v>39.580551574693203</v>
      </c>
      <c r="AO133" s="27">
        <v>2.0255011309527902</v>
      </c>
      <c r="AP133" s="27">
        <v>1.2225423764629999</v>
      </c>
      <c r="AQ133" s="38">
        <f t="shared" si="97"/>
        <v>0.1199128</v>
      </c>
      <c r="AR133" s="19">
        <v>8.5652000000000008</v>
      </c>
      <c r="AS133" s="38"/>
      <c r="AT133" s="62" t="s">
        <v>109</v>
      </c>
      <c r="AU133" s="52">
        <f t="shared" si="98"/>
        <v>2.3431990796450659</v>
      </c>
      <c r="AV133" s="52">
        <f t="shared" si="99"/>
        <v>1.9166890589487</v>
      </c>
      <c r="AW133" s="52">
        <f t="shared" si="100"/>
        <v>4.7462147648658712</v>
      </c>
      <c r="AX133" s="36">
        <f t="shared" si="101"/>
        <v>9.006102903459638</v>
      </c>
      <c r="AY133" s="19">
        <v>8.5652000000000008</v>
      </c>
      <c r="AZ133" s="184"/>
      <c r="BA133" s="20"/>
      <c r="BB133" s="19"/>
      <c r="BG133" s="10"/>
      <c r="BI133" s="10"/>
      <c r="BJ133" s="10"/>
      <c r="BK133" s="10"/>
      <c r="BL133" s="10"/>
      <c r="BM133" s="10"/>
      <c r="BN133" s="10"/>
      <c r="BO133" s="10"/>
      <c r="BP133" s="10"/>
    </row>
    <row r="134" spans="1:68" s="1" customFormat="1" ht="15">
      <c r="A134" s="1" t="s">
        <v>157</v>
      </c>
      <c r="B134" s="62" t="s">
        <v>110</v>
      </c>
      <c r="C134" s="167"/>
      <c r="D134" s="30"/>
      <c r="E134" s="30"/>
      <c r="F134" s="30"/>
      <c r="G134" s="30"/>
      <c r="H134" s="30"/>
      <c r="I134" s="30"/>
      <c r="J134" s="30"/>
      <c r="K134" s="30"/>
      <c r="L134" s="30"/>
      <c r="M134" s="62"/>
      <c r="N134" s="30"/>
      <c r="O134" s="30"/>
      <c r="P134" s="88"/>
      <c r="Q134" s="88"/>
      <c r="R134" s="62" t="s">
        <v>110</v>
      </c>
      <c r="S134" s="76">
        <v>9.0729000000000006</v>
      </c>
      <c r="T134" s="76">
        <v>4.3066000000000004</v>
      </c>
      <c r="V134" s="27">
        <v>15.5153</v>
      </c>
      <c r="W134" s="62">
        <v>5.9400000000000001E-2</v>
      </c>
      <c r="X134" s="76">
        <v>54.019799999999996</v>
      </c>
      <c r="Y134" s="76">
        <v>21.350100000000001</v>
      </c>
      <c r="Z134" s="76">
        <v>318.02800000000002</v>
      </c>
      <c r="AA134" s="76">
        <v>6.7000999999999999</v>
      </c>
      <c r="AB134" s="76">
        <v>29.216899999999999</v>
      </c>
      <c r="AC134" s="76">
        <v>12.705299999999999</v>
      </c>
      <c r="AD134" s="76">
        <v>9.4118999999999993</v>
      </c>
      <c r="AE134" s="76">
        <v>111.2076</v>
      </c>
      <c r="AF134" s="76">
        <v>1.6389</v>
      </c>
      <c r="AG134" s="40"/>
      <c r="AH134" s="40"/>
      <c r="AI134" s="40"/>
      <c r="AJ134" s="40"/>
      <c r="AK134" s="62" t="s">
        <v>110</v>
      </c>
      <c r="AL134" s="27">
        <v>19.6015065970848</v>
      </c>
      <c r="AM134" s="27">
        <v>15.6996946746796</v>
      </c>
      <c r="AN134" s="27">
        <v>38.667366389927601</v>
      </c>
      <c r="AO134" s="27">
        <v>1.97265342434754</v>
      </c>
      <c r="AP134" s="27">
        <v>1.2485648874355999</v>
      </c>
      <c r="AQ134" s="38">
        <f t="shared" si="97"/>
        <v>0.12702059999999998</v>
      </c>
      <c r="AR134" s="76">
        <v>9.0729000000000006</v>
      </c>
      <c r="AS134" s="38"/>
      <c r="AT134" s="62" t="s">
        <v>110</v>
      </c>
      <c r="AU134" s="52">
        <f t="shared" si="98"/>
        <v>2.4897951288656692</v>
      </c>
      <c r="AV134" s="52">
        <f t="shared" si="99"/>
        <v>1.9941846373946073</v>
      </c>
      <c r="AW134" s="52">
        <f t="shared" si="100"/>
        <v>4.9115520792684375</v>
      </c>
      <c r="AX134" s="36">
        <f t="shared" si="101"/>
        <v>9.3955318455287138</v>
      </c>
      <c r="AY134" s="76">
        <v>9.0729000000000006</v>
      </c>
      <c r="AZ134" s="184"/>
      <c r="BA134" s="20"/>
      <c r="BB134" s="76"/>
      <c r="BG134" s="10"/>
      <c r="BI134" s="10"/>
      <c r="BJ134" s="10"/>
      <c r="BK134" s="10"/>
      <c r="BL134" s="10"/>
      <c r="BM134" s="10"/>
      <c r="BN134" s="10"/>
      <c r="BO134" s="10"/>
      <c r="BP134" s="10"/>
    </row>
    <row r="135" spans="1:68" s="1" customFormat="1" ht="15">
      <c r="A135" s="1" t="s">
        <v>157</v>
      </c>
      <c r="B135" s="41" t="s">
        <v>51</v>
      </c>
      <c r="C135" s="162"/>
      <c r="D135" s="45"/>
      <c r="E135" s="45"/>
      <c r="F135" s="45"/>
      <c r="G135" s="45"/>
      <c r="H135" s="45"/>
      <c r="I135" s="45"/>
      <c r="J135" s="45"/>
      <c r="K135" s="45"/>
      <c r="L135" s="45"/>
      <c r="M135" s="41"/>
      <c r="N135" s="45"/>
      <c r="O135" s="45"/>
      <c r="P135" s="89"/>
      <c r="Q135" s="89"/>
      <c r="R135" s="41" t="s">
        <v>51</v>
      </c>
      <c r="S135" s="38">
        <v>21.564800000000002</v>
      </c>
      <c r="T135" s="27">
        <v>11.728899999999999</v>
      </c>
      <c r="V135" s="27">
        <v>24.087700000000002</v>
      </c>
      <c r="W135" s="62">
        <v>6.4299999999999996E-2</v>
      </c>
      <c r="X135" s="27">
        <v>88.483099999999993</v>
      </c>
      <c r="Y135" s="27">
        <v>55.7988</v>
      </c>
      <c r="Z135" s="38">
        <v>879.77</v>
      </c>
      <c r="AA135" s="27">
        <v>7.4646999999999997</v>
      </c>
      <c r="AB135" s="27">
        <v>18.7653</v>
      </c>
      <c r="AC135" s="27">
        <v>21.627700000000001</v>
      </c>
      <c r="AD135" s="27">
        <v>35.9617</v>
      </c>
      <c r="AE135" s="27">
        <v>302.565</v>
      </c>
      <c r="AF135" s="27">
        <v>5.7034000000000002</v>
      </c>
      <c r="AG135" s="40"/>
      <c r="AH135" s="40"/>
      <c r="AI135" s="40"/>
      <c r="AJ135" s="40"/>
      <c r="AK135" s="41" t="s">
        <v>51</v>
      </c>
      <c r="AL135" s="27">
        <v>19.628348748394401</v>
      </c>
      <c r="AM135" s="27">
        <v>15.715663541532599</v>
      </c>
      <c r="AN135" s="27">
        <v>39.408095669814699</v>
      </c>
      <c r="AO135" s="27">
        <v>2.0076758626417401</v>
      </c>
      <c r="AP135" s="27">
        <v>1.24899350440313</v>
      </c>
      <c r="AQ135" s="38">
        <f t="shared" si="97"/>
        <v>0.30190719999999999</v>
      </c>
      <c r="AR135" s="38">
        <v>21.564800000000002</v>
      </c>
      <c r="AS135" s="38"/>
      <c r="AT135" s="41" t="s">
        <v>51</v>
      </c>
      <c r="AU135" s="52">
        <f t="shared" si="98"/>
        <v>5.9259398112512578</v>
      </c>
      <c r="AV135" s="52">
        <f t="shared" si="99"/>
        <v>4.7446719759661908</v>
      </c>
      <c r="AW135" s="52">
        <f t="shared" si="100"/>
        <v>11.89758782100588</v>
      </c>
      <c r="AX135" s="36">
        <f t="shared" si="101"/>
        <v>22.568199608223331</v>
      </c>
      <c r="AY135" s="38">
        <v>21.564800000000002</v>
      </c>
      <c r="AZ135" s="184"/>
      <c r="BA135" s="20"/>
      <c r="BB135" s="27"/>
      <c r="BG135" s="10"/>
      <c r="BI135" s="10"/>
      <c r="BJ135" s="10"/>
      <c r="BK135" s="10"/>
      <c r="BL135" s="10"/>
      <c r="BM135" s="10"/>
      <c r="BN135" s="10"/>
      <c r="BO135" s="10"/>
      <c r="BP135" s="10"/>
    </row>
    <row r="136" spans="1:68" s="1" customFormat="1" ht="15">
      <c r="A136" s="1" t="s">
        <v>157</v>
      </c>
      <c r="B136" s="49" t="s">
        <v>52</v>
      </c>
      <c r="C136" s="170"/>
      <c r="D136" s="75"/>
      <c r="E136" s="75"/>
      <c r="F136" s="75"/>
      <c r="G136" s="75"/>
      <c r="H136" s="75"/>
      <c r="I136" s="75"/>
      <c r="J136" s="75"/>
      <c r="K136" s="75"/>
      <c r="L136" s="75"/>
      <c r="M136" s="49"/>
      <c r="N136" s="75"/>
      <c r="O136" s="75"/>
      <c r="P136" s="97"/>
      <c r="Q136" s="97"/>
      <c r="R136" s="49" t="s">
        <v>52</v>
      </c>
      <c r="S136" s="48">
        <v>24.219899999999999</v>
      </c>
      <c r="T136" s="48">
        <v>9.1065000000000005</v>
      </c>
      <c r="U136" s="20"/>
      <c r="V136" s="48">
        <v>26.7</v>
      </c>
      <c r="W136" s="65">
        <v>0.1173</v>
      </c>
      <c r="X136" s="48">
        <v>113.4128</v>
      </c>
      <c r="Y136" s="48">
        <v>46.991599999999998</v>
      </c>
      <c r="Z136" s="48">
        <v>706.851</v>
      </c>
      <c r="AA136" s="48">
        <v>11.088100000000001</v>
      </c>
      <c r="AB136" s="48">
        <v>39.252299999999998</v>
      </c>
      <c r="AC136" s="48">
        <v>53.322400000000002</v>
      </c>
      <c r="AD136" s="48">
        <v>42.206200000000003</v>
      </c>
      <c r="AE136" s="48">
        <v>283.40969999999999</v>
      </c>
      <c r="AF136" s="48">
        <v>5.3292999999999999</v>
      </c>
      <c r="AG136" s="65"/>
      <c r="AH136" s="65"/>
      <c r="AI136" s="65"/>
      <c r="AJ136" s="65"/>
      <c r="AK136" s="49" t="s">
        <v>52</v>
      </c>
      <c r="AL136" s="48">
        <v>20.228054780682701</v>
      </c>
      <c r="AM136" s="48">
        <v>15.7220342537556</v>
      </c>
      <c r="AN136" s="48">
        <v>38.844881376946901</v>
      </c>
      <c r="AO136" s="48">
        <v>1.9205488665757999</v>
      </c>
      <c r="AP136" s="48">
        <v>1.2865581183636099</v>
      </c>
      <c r="AQ136" s="38">
        <f t="shared" si="97"/>
        <v>0.33907859999999995</v>
      </c>
      <c r="AR136" s="48">
        <v>24.219899999999999</v>
      </c>
      <c r="AS136" s="48"/>
      <c r="AT136" s="49" t="s">
        <v>52</v>
      </c>
      <c r="AU136" s="52">
        <f t="shared" si="98"/>
        <v>6.8589004957571964</v>
      </c>
      <c r="AV136" s="52">
        <f t="shared" si="99"/>
        <v>5.3310053639154926</v>
      </c>
      <c r="AW136" s="52">
        <f t="shared" si="100"/>
        <v>13.171467994461226</v>
      </c>
      <c r="AX136" s="36">
        <f t="shared" si="101"/>
        <v>25.361373854133916</v>
      </c>
      <c r="AY136" s="48">
        <v>24.219899999999999</v>
      </c>
      <c r="AZ136" s="184"/>
      <c r="BA136" s="20"/>
      <c r="BB136" s="48"/>
      <c r="BC136" s="20"/>
      <c r="BD136" s="20"/>
      <c r="BE136" s="20"/>
      <c r="BF136" s="20"/>
      <c r="BG136" s="10"/>
      <c r="BI136" s="10"/>
      <c r="BJ136" s="10"/>
      <c r="BK136" s="10"/>
      <c r="BL136" s="10"/>
      <c r="BM136" s="10"/>
      <c r="BN136" s="10"/>
      <c r="BO136" s="10"/>
      <c r="BP136" s="10"/>
    </row>
    <row r="137" spans="1:68" s="1" customFormat="1" ht="15">
      <c r="A137" s="1" t="s">
        <v>157</v>
      </c>
      <c r="B137" s="62" t="s">
        <v>111</v>
      </c>
      <c r="C137" s="167"/>
      <c r="D137" s="30"/>
      <c r="E137" s="30"/>
      <c r="F137" s="30"/>
      <c r="G137" s="30"/>
      <c r="H137" s="30"/>
      <c r="I137" s="30"/>
      <c r="J137" s="30"/>
      <c r="K137" s="30"/>
      <c r="L137" s="30"/>
      <c r="M137" s="62"/>
      <c r="N137" s="30"/>
      <c r="O137" s="30"/>
      <c r="P137" s="88"/>
      <c r="Q137" s="88"/>
      <c r="R137" s="62" t="s">
        <v>111</v>
      </c>
      <c r="S137" s="19">
        <v>12.993499999999999</v>
      </c>
      <c r="T137" s="19">
        <v>3.3473000000000002</v>
      </c>
      <c r="V137" s="27">
        <v>7.4058999999999999</v>
      </c>
      <c r="W137" s="62">
        <v>5.6800000000000003E-2</v>
      </c>
      <c r="X137" s="19">
        <v>6.4759000000000002</v>
      </c>
      <c r="Y137" s="19">
        <v>4.5498000000000003</v>
      </c>
      <c r="Z137" s="19">
        <v>145.583</v>
      </c>
      <c r="AA137" s="19">
        <v>2.5933000000000002</v>
      </c>
      <c r="AB137" s="19">
        <v>12.2624</v>
      </c>
      <c r="AC137" s="19">
        <v>33.391500000000001</v>
      </c>
      <c r="AD137" s="19">
        <v>8.3894000000000002</v>
      </c>
      <c r="AE137" s="19">
        <v>35.385599999999997</v>
      </c>
      <c r="AF137" s="19">
        <v>3.7057000000000002</v>
      </c>
      <c r="AG137" s="40"/>
      <c r="AH137" s="40"/>
      <c r="AI137" s="40"/>
      <c r="AJ137" s="40"/>
      <c r="AK137" s="62" t="s">
        <v>111</v>
      </c>
      <c r="AL137" s="27">
        <v>20.285209083627901</v>
      </c>
      <c r="AM137" s="27">
        <v>16.1077845683443</v>
      </c>
      <c r="AN137" s="27">
        <v>39.148554988569103</v>
      </c>
      <c r="AO137" s="27">
        <v>1.9298585578395799</v>
      </c>
      <c r="AP137" s="27">
        <v>1.25945528097432</v>
      </c>
      <c r="AQ137" s="38">
        <f t="shared" si="97"/>
        <v>0.18190899999999996</v>
      </c>
      <c r="AR137" s="19">
        <v>12.993499999999999</v>
      </c>
      <c r="AS137" s="38"/>
      <c r="AT137" s="62" t="s">
        <v>111</v>
      </c>
      <c r="AU137" s="52">
        <f t="shared" si="98"/>
        <v>3.6900620991936672</v>
      </c>
      <c r="AV137" s="52">
        <f t="shared" si="99"/>
        <v>2.9301509830429429</v>
      </c>
      <c r="AW137" s="52">
        <f t="shared" si="100"/>
        <v>7.1214744894156157</v>
      </c>
      <c r="AX137" s="36">
        <f t="shared" si="101"/>
        <v>13.741687571652225</v>
      </c>
      <c r="AY137" s="19">
        <v>12.993499999999999</v>
      </c>
      <c r="AZ137" s="184"/>
      <c r="BA137" s="20"/>
      <c r="BB137" s="19"/>
      <c r="BG137" s="10"/>
      <c r="BI137" s="10"/>
      <c r="BJ137" s="10"/>
      <c r="BK137" s="10"/>
      <c r="BL137" s="10"/>
      <c r="BM137" s="10"/>
      <c r="BN137" s="10"/>
      <c r="BO137" s="10"/>
      <c r="BP137" s="10"/>
    </row>
    <row r="138" spans="1:68" s="1" customFormat="1" ht="15">
      <c r="A138" s="1" t="s">
        <v>157</v>
      </c>
      <c r="B138" s="62" t="s">
        <v>112</v>
      </c>
      <c r="C138" s="167"/>
      <c r="D138" s="30"/>
      <c r="E138" s="30"/>
      <c r="F138" s="30"/>
      <c r="G138" s="30"/>
      <c r="H138" s="30"/>
      <c r="I138" s="30"/>
      <c r="J138" s="30"/>
      <c r="K138" s="30"/>
      <c r="L138" s="30"/>
      <c r="M138" s="62"/>
      <c r="N138" s="30"/>
      <c r="O138" s="30"/>
      <c r="P138" s="88"/>
      <c r="Q138" s="88"/>
      <c r="R138" s="62" t="s">
        <v>112</v>
      </c>
      <c r="S138" s="76">
        <v>8.0226000000000006</v>
      </c>
      <c r="T138" s="76">
        <v>3.2332000000000001</v>
      </c>
      <c r="V138" s="27">
        <v>8.1762999999999995</v>
      </c>
      <c r="W138" s="62">
        <v>3.5200000000000002E-2</v>
      </c>
      <c r="X138" s="76">
        <v>30.883099999999999</v>
      </c>
      <c r="Y138" s="76">
        <v>12.589600000000001</v>
      </c>
      <c r="Z138" s="76">
        <v>222.93600000000001</v>
      </c>
      <c r="AA138" s="76">
        <v>3.7378</v>
      </c>
      <c r="AB138" s="76">
        <v>12.6812</v>
      </c>
      <c r="AC138" s="76">
        <v>14.950699999999999</v>
      </c>
      <c r="AD138" s="76">
        <v>15.542199999999999</v>
      </c>
      <c r="AE138" s="76">
        <v>79.535700000000006</v>
      </c>
      <c r="AF138" s="76">
        <v>1.2670999999999999</v>
      </c>
      <c r="AG138" s="40"/>
      <c r="AH138" s="40"/>
      <c r="AI138" s="40"/>
      <c r="AJ138" s="40"/>
      <c r="AK138" s="62" t="s">
        <v>112</v>
      </c>
      <c r="AL138" s="27">
        <v>20.455588912010001</v>
      </c>
      <c r="AM138" s="27">
        <v>15.9279542187101</v>
      </c>
      <c r="AN138" s="27">
        <v>39.539375749802097</v>
      </c>
      <c r="AO138" s="27">
        <v>1.9329402215520799</v>
      </c>
      <c r="AP138" s="27">
        <v>1.28427674624805</v>
      </c>
      <c r="AQ138" s="38">
        <f t="shared" si="97"/>
        <v>0.1123164</v>
      </c>
      <c r="AR138" s="76">
        <v>8.0226000000000006</v>
      </c>
      <c r="AS138" s="38"/>
      <c r="AT138" s="62" t="s">
        <v>112</v>
      </c>
      <c r="AU138" s="52">
        <f t="shared" si="98"/>
        <v>2.2974981064768798</v>
      </c>
      <c r="AV138" s="52">
        <f t="shared" si="99"/>
        <v>1.788970477210331</v>
      </c>
      <c r="AW138" s="52">
        <f t="shared" si="100"/>
        <v>4.4409203424650725</v>
      </c>
      <c r="AX138" s="36">
        <f t="shared" si="101"/>
        <v>8.5273889261522839</v>
      </c>
      <c r="AY138" s="76">
        <v>8.0226000000000006</v>
      </c>
      <c r="AZ138" s="184"/>
      <c r="BA138" s="20"/>
      <c r="BB138" s="76"/>
      <c r="BG138" s="10"/>
      <c r="BI138" s="10"/>
      <c r="BJ138" s="10"/>
      <c r="BK138" s="10"/>
      <c r="BL138" s="10"/>
      <c r="BM138" s="10"/>
      <c r="BN138" s="10"/>
      <c r="BO138" s="10"/>
      <c r="BP138" s="10"/>
    </row>
    <row r="139" spans="1:68" s="1" customFormat="1" ht="15">
      <c r="A139" s="1" t="s">
        <v>157</v>
      </c>
      <c r="B139" s="49" t="s">
        <v>53</v>
      </c>
      <c r="C139" s="170"/>
      <c r="D139" s="75"/>
      <c r="E139" s="75"/>
      <c r="F139" s="75"/>
      <c r="G139" s="75"/>
      <c r="H139" s="75"/>
      <c r="I139" s="75"/>
      <c r="J139" s="75"/>
      <c r="K139" s="75"/>
      <c r="L139" s="75"/>
      <c r="M139" s="49"/>
      <c r="N139" s="75"/>
      <c r="O139" s="75"/>
      <c r="P139" s="97"/>
      <c r="Q139" s="97"/>
      <c r="R139" s="49" t="s">
        <v>53</v>
      </c>
      <c r="S139" s="48">
        <v>25.4955</v>
      </c>
      <c r="T139" s="48">
        <v>9.8229000000000006</v>
      </c>
      <c r="U139" s="20"/>
      <c r="V139" s="48">
        <v>24.275099999999998</v>
      </c>
      <c r="W139" s="65">
        <v>0.1847</v>
      </c>
      <c r="X139" s="48">
        <v>93.413799999999995</v>
      </c>
      <c r="Y139" s="48">
        <v>49.494900000000001</v>
      </c>
      <c r="Z139" s="48">
        <v>1738.597</v>
      </c>
      <c r="AA139" s="48">
        <v>21.008099999999999</v>
      </c>
      <c r="AB139" s="48">
        <v>55.134</v>
      </c>
      <c r="AC139" s="48">
        <v>90.965599999999995</v>
      </c>
      <c r="AD139" s="48">
        <v>34.757199999999997</v>
      </c>
      <c r="AE139" s="48">
        <v>285.62099999999998</v>
      </c>
      <c r="AF139" s="48">
        <v>33.012500000000003</v>
      </c>
      <c r="AG139" s="65"/>
      <c r="AH139" s="65"/>
      <c r="AI139" s="65"/>
      <c r="AJ139" s="65"/>
      <c r="AK139" s="49" t="s">
        <v>53</v>
      </c>
      <c r="AL139" s="48">
        <v>19.748839065507202</v>
      </c>
      <c r="AM139" s="48">
        <v>15.777891342129401</v>
      </c>
      <c r="AN139" s="48">
        <v>38.885489675941898</v>
      </c>
      <c r="AO139" s="48">
        <v>1.9690506736462401</v>
      </c>
      <c r="AP139" s="48">
        <v>1.2517663299073101</v>
      </c>
      <c r="AQ139" s="38">
        <f t="shared" si="97"/>
        <v>0.35693699999999995</v>
      </c>
      <c r="AR139" s="48">
        <v>25.4955</v>
      </c>
      <c r="AS139" s="48"/>
      <c r="AT139" s="49" t="s">
        <v>53</v>
      </c>
      <c r="AU139" s="52">
        <f t="shared" si="98"/>
        <v>7.0490913695249429</v>
      </c>
      <c r="AV139" s="52">
        <f t="shared" si="99"/>
        <v>5.6317132019856411</v>
      </c>
      <c r="AW139" s="52">
        <f t="shared" si="100"/>
        <v>13.879670028461671</v>
      </c>
      <c r="AX139" s="36">
        <f t="shared" si="101"/>
        <v>26.560474599972256</v>
      </c>
      <c r="AY139" s="48">
        <v>25.4955</v>
      </c>
      <c r="AZ139" s="184"/>
      <c r="BA139" s="20"/>
      <c r="BB139" s="48"/>
      <c r="BC139" s="20"/>
      <c r="BD139" s="20"/>
      <c r="BE139" s="20"/>
      <c r="BF139" s="20"/>
      <c r="BG139" s="10"/>
      <c r="BI139" s="10"/>
      <c r="BJ139" s="10"/>
      <c r="BK139" s="10"/>
      <c r="BL139" s="10"/>
      <c r="BM139" s="10"/>
      <c r="BN139" s="10"/>
      <c r="BO139" s="10"/>
      <c r="BP139" s="10"/>
    </row>
    <row r="140" spans="1:68" s="1" customFormat="1" ht="15">
      <c r="A140" s="1" t="s">
        <v>157</v>
      </c>
      <c r="B140" s="62" t="s">
        <v>113</v>
      </c>
      <c r="C140" s="167"/>
      <c r="D140" s="30"/>
      <c r="E140" s="30"/>
      <c r="F140" s="30"/>
      <c r="G140" s="30"/>
      <c r="H140" s="30"/>
      <c r="I140" s="30"/>
      <c r="J140" s="30"/>
      <c r="K140" s="30"/>
      <c r="L140" s="30"/>
      <c r="M140" s="62"/>
      <c r="N140" s="30"/>
      <c r="O140" s="30"/>
      <c r="P140" s="88"/>
      <c r="Q140" s="88"/>
      <c r="R140" s="62" t="s">
        <v>113</v>
      </c>
      <c r="S140" s="19">
        <v>14.903700000000001</v>
      </c>
      <c r="T140" s="19">
        <v>3.1337999999999999</v>
      </c>
      <c r="V140" s="27">
        <v>6.4794</v>
      </c>
      <c r="W140" s="62">
        <v>0.1113</v>
      </c>
      <c r="X140" s="19">
        <v>4.4734999999999996</v>
      </c>
      <c r="Y140" s="19">
        <v>3.0466000000000002</v>
      </c>
      <c r="Z140" s="19">
        <v>870.08299999999997</v>
      </c>
      <c r="AA140" s="19">
        <v>3.9358</v>
      </c>
      <c r="AB140" s="19">
        <v>16.433199999999999</v>
      </c>
      <c r="AC140" s="19">
        <v>27.225899999999999</v>
      </c>
      <c r="AD140" s="19">
        <v>9.5732999999999997</v>
      </c>
      <c r="AE140" s="19">
        <v>43.046900000000001</v>
      </c>
      <c r="AF140" s="19">
        <v>34.250700000000002</v>
      </c>
      <c r="AG140" s="40"/>
      <c r="AH140" s="40"/>
      <c r="AI140" s="40"/>
      <c r="AJ140" s="40"/>
      <c r="AK140" s="62" t="s">
        <v>113</v>
      </c>
      <c r="AL140" s="27">
        <v>19.710695250883902</v>
      </c>
      <c r="AM140" s="27">
        <v>15.743274234739699</v>
      </c>
      <c r="AN140" s="27">
        <v>38.847092235205402</v>
      </c>
      <c r="AO140" s="27">
        <v>1.97110910064492</v>
      </c>
      <c r="AP140" s="27">
        <v>1.2519811434354</v>
      </c>
      <c r="AQ140" s="38">
        <f t="shared" si="97"/>
        <v>0.2086518</v>
      </c>
      <c r="AR140" s="19">
        <v>14.903700000000001</v>
      </c>
      <c r="AS140" s="38"/>
      <c r="AT140" s="62" t="s">
        <v>113</v>
      </c>
      <c r="AU140" s="52">
        <f t="shared" si="98"/>
        <v>4.1126720433483772</v>
      </c>
      <c r="AV140" s="52">
        <f t="shared" si="99"/>
        <v>3.2848625069720607</v>
      </c>
      <c r="AW140" s="52">
        <f t="shared" si="100"/>
        <v>8.1055157196416303</v>
      </c>
      <c r="AX140" s="36">
        <f t="shared" si="101"/>
        <v>15.503050269962069</v>
      </c>
      <c r="AY140" s="19">
        <v>14.903700000000001</v>
      </c>
      <c r="AZ140" s="184"/>
      <c r="BA140" s="20"/>
      <c r="BB140" s="19"/>
      <c r="BG140" s="10"/>
      <c r="BI140" s="10"/>
      <c r="BJ140" s="10"/>
      <c r="BK140" s="10"/>
      <c r="BL140" s="10"/>
      <c r="BM140" s="10"/>
      <c r="BN140" s="10"/>
      <c r="BO140" s="10"/>
      <c r="BP140" s="10"/>
    </row>
    <row r="141" spans="1:68" s="1" customFormat="1" ht="15">
      <c r="A141" s="1" t="s">
        <v>157</v>
      </c>
      <c r="B141" s="62" t="s">
        <v>114</v>
      </c>
      <c r="C141" s="167"/>
      <c r="D141" s="30"/>
      <c r="E141" s="30"/>
      <c r="F141" s="30"/>
      <c r="G141" s="30"/>
      <c r="H141" s="30"/>
      <c r="I141" s="30"/>
      <c r="J141" s="30"/>
      <c r="K141" s="30"/>
      <c r="L141" s="30"/>
      <c r="M141" s="62"/>
      <c r="N141" s="30"/>
      <c r="O141" s="30"/>
      <c r="P141" s="88"/>
      <c r="Q141" s="88"/>
      <c r="R141" s="62" t="s">
        <v>114</v>
      </c>
      <c r="S141" s="76">
        <v>7.9676999999999998</v>
      </c>
      <c r="T141" s="76">
        <v>3.9106999999999998</v>
      </c>
      <c r="V141" s="27">
        <v>8.6478999999999999</v>
      </c>
      <c r="W141" s="62">
        <v>5.6099999999999997E-2</v>
      </c>
      <c r="X141" s="76">
        <v>31.045300000000001</v>
      </c>
      <c r="Y141" s="76">
        <v>15.272500000000001</v>
      </c>
      <c r="Z141" s="76">
        <v>432.041</v>
      </c>
      <c r="AA141" s="76">
        <v>6.0412999999999997</v>
      </c>
      <c r="AB141" s="76">
        <v>15.4924</v>
      </c>
      <c r="AC141" s="76">
        <v>29.718</v>
      </c>
      <c r="AD141" s="76">
        <v>11.230399999999999</v>
      </c>
      <c r="AE141" s="76">
        <v>95.824600000000004</v>
      </c>
      <c r="AF141" s="76">
        <v>5.2674000000000003</v>
      </c>
      <c r="AG141" s="40"/>
      <c r="AH141" s="40"/>
      <c r="AI141" s="40"/>
      <c r="AJ141" s="40"/>
      <c r="AK141" s="62" t="s">
        <v>114</v>
      </c>
      <c r="AL141" s="27">
        <v>19.4622703613882</v>
      </c>
      <c r="AM141" s="27">
        <v>15.7198401195063</v>
      </c>
      <c r="AN141" s="27">
        <v>39.102569895060199</v>
      </c>
      <c r="AO141" s="27">
        <v>2.0091475834268699</v>
      </c>
      <c r="AP141" s="27">
        <v>1.2381264599685899</v>
      </c>
      <c r="AQ141" s="38">
        <f t="shared" si="97"/>
        <v>0.11154779999999999</v>
      </c>
      <c r="AR141" s="76">
        <v>7.9676999999999998</v>
      </c>
      <c r="AS141" s="38"/>
      <c r="AT141" s="62" t="s">
        <v>114</v>
      </c>
      <c r="AU141" s="52">
        <f t="shared" si="98"/>
        <v>2.1709734418180582</v>
      </c>
      <c r="AV141" s="52">
        <f t="shared" si="99"/>
        <v>1.7535135816826646</v>
      </c>
      <c r="AW141" s="52">
        <f t="shared" si="100"/>
        <v>4.3618056461401959</v>
      </c>
      <c r="AX141" s="36">
        <f t="shared" si="101"/>
        <v>8.2862926696409183</v>
      </c>
      <c r="AY141" s="76">
        <v>7.9676999999999998</v>
      </c>
      <c r="AZ141" s="184"/>
      <c r="BA141" s="20"/>
      <c r="BB141" s="76"/>
      <c r="BG141" s="10"/>
      <c r="BI141" s="10"/>
      <c r="BJ141" s="10"/>
      <c r="BK141" s="10"/>
      <c r="BL141" s="10"/>
      <c r="BM141" s="10"/>
      <c r="BN141" s="10"/>
      <c r="BO141" s="10"/>
      <c r="BP141" s="10"/>
    </row>
    <row r="142" spans="1:68" s="1" customFormat="1" ht="15">
      <c r="A142" s="1" t="s">
        <v>157</v>
      </c>
      <c r="B142" s="41" t="s">
        <v>54</v>
      </c>
      <c r="C142" s="162"/>
      <c r="D142" s="45"/>
      <c r="E142" s="45"/>
      <c r="F142" s="45"/>
      <c r="G142" s="45"/>
      <c r="H142" s="45"/>
      <c r="I142" s="45"/>
      <c r="J142" s="45"/>
      <c r="K142" s="45"/>
      <c r="L142" s="45"/>
      <c r="M142" s="41"/>
      <c r="N142" s="45"/>
      <c r="O142" s="45"/>
      <c r="P142" s="89"/>
      <c r="Q142" s="89"/>
      <c r="R142" s="41" t="s">
        <v>54</v>
      </c>
      <c r="S142" s="38">
        <v>17.1691</v>
      </c>
      <c r="T142" s="27">
        <v>8.7156000000000002</v>
      </c>
      <c r="V142" s="27">
        <v>18.993300000000001</v>
      </c>
      <c r="W142" s="62">
        <v>0.15820000000000001</v>
      </c>
      <c r="X142" s="27">
        <v>32.851100000000002</v>
      </c>
      <c r="Y142" s="27">
        <v>26.259899999999998</v>
      </c>
      <c r="Z142" s="27">
        <v>4541.4840000000004</v>
      </c>
      <c r="AA142" s="27">
        <v>14.2516</v>
      </c>
      <c r="AB142" s="27">
        <v>38.536299999999997</v>
      </c>
      <c r="AC142" s="27">
        <v>40.304099999999998</v>
      </c>
      <c r="AD142" s="27">
        <v>21.594000000000001</v>
      </c>
      <c r="AE142" s="27">
        <v>141.5752</v>
      </c>
      <c r="AF142" s="27">
        <v>81.875</v>
      </c>
      <c r="AG142" s="40"/>
      <c r="AH142" s="40"/>
      <c r="AI142" s="40"/>
      <c r="AJ142" s="40"/>
      <c r="AK142" s="41" t="s">
        <v>54</v>
      </c>
      <c r="AL142" s="27">
        <v>20.392712119978</v>
      </c>
      <c r="AM142" s="27">
        <v>15.592029266351901</v>
      </c>
      <c r="AN142" s="27">
        <v>39.2375266333461</v>
      </c>
      <c r="AO142" s="27">
        <v>1.9243245132673701</v>
      </c>
      <c r="AP142" s="27">
        <v>1.30792426620763</v>
      </c>
      <c r="AQ142" s="38">
        <f t="shared" si="97"/>
        <v>0.24036739999999998</v>
      </c>
      <c r="AR142" s="38">
        <v>17.1691</v>
      </c>
      <c r="AS142" s="38"/>
      <c r="AT142" s="41" t="s">
        <v>54</v>
      </c>
      <c r="AU142" s="52">
        <f t="shared" si="98"/>
        <v>4.9017431912275997</v>
      </c>
      <c r="AV142" s="52">
        <f t="shared" si="99"/>
        <v>3.7478155354769136</v>
      </c>
      <c r="AW142" s="52">
        <f t="shared" si="100"/>
        <v>9.4314222592881549</v>
      </c>
      <c r="AX142" s="36">
        <f t="shared" si="101"/>
        <v>18.080980985992667</v>
      </c>
      <c r="AY142" s="38">
        <v>17.1691</v>
      </c>
      <c r="AZ142" s="184"/>
      <c r="BA142" s="20"/>
      <c r="BB142" s="27"/>
      <c r="BG142" s="10"/>
      <c r="BI142" s="10"/>
      <c r="BJ142" s="10"/>
      <c r="BK142" s="10"/>
      <c r="BL142" s="10"/>
      <c r="BM142" s="10"/>
      <c r="BN142" s="10"/>
      <c r="BO142" s="10"/>
      <c r="BP142" s="10"/>
    </row>
    <row r="143" spans="1:68" s="1" customFormat="1" ht="15">
      <c r="B143" s="66"/>
      <c r="C143" s="168"/>
      <c r="D143" s="45"/>
      <c r="E143" s="45"/>
      <c r="F143" s="45"/>
      <c r="G143" s="45"/>
      <c r="H143" s="45"/>
      <c r="I143" s="45"/>
      <c r="J143" s="45"/>
      <c r="K143" s="45"/>
      <c r="L143" s="45"/>
      <c r="M143" s="41"/>
      <c r="N143" s="45"/>
      <c r="O143" s="45"/>
      <c r="P143" s="89"/>
      <c r="Q143" s="89"/>
      <c r="R143" s="66"/>
      <c r="V143" s="2"/>
      <c r="W143" s="40"/>
      <c r="AG143" s="40"/>
      <c r="AH143" s="40"/>
      <c r="AI143" s="40"/>
      <c r="AJ143" s="40"/>
      <c r="AK143" s="66"/>
      <c r="AQ143" s="38"/>
      <c r="AR143" s="38"/>
      <c r="AS143" s="38"/>
      <c r="AT143" s="66"/>
      <c r="AU143" s="25"/>
      <c r="AV143" s="25"/>
      <c r="AW143" s="25"/>
      <c r="AX143" s="25"/>
      <c r="AY143" s="38"/>
      <c r="BG143" s="10"/>
      <c r="BI143" s="10"/>
      <c r="BJ143" s="10"/>
      <c r="BK143" s="10"/>
      <c r="BL143" s="10"/>
      <c r="BM143" s="10"/>
      <c r="BN143" s="10"/>
      <c r="BO143" s="10"/>
      <c r="BP143" s="10"/>
    </row>
    <row r="144" spans="1:68" s="1" customFormat="1" ht="15">
      <c r="A144" s="241" t="s">
        <v>226</v>
      </c>
      <c r="B144" s="48"/>
      <c r="C144" s="163"/>
      <c r="D144" s="39"/>
      <c r="E144" s="39"/>
      <c r="F144" s="39"/>
      <c r="G144" s="39"/>
      <c r="H144" s="39"/>
      <c r="I144" s="39"/>
      <c r="J144" s="39"/>
      <c r="K144" s="39"/>
      <c r="L144" s="39"/>
      <c r="M144" s="65"/>
      <c r="N144" s="39"/>
      <c r="O144" s="39"/>
      <c r="P144" s="92"/>
      <c r="Q144" s="92"/>
      <c r="R144" s="48"/>
      <c r="S144" s="20"/>
      <c r="T144" s="20"/>
      <c r="U144" s="20"/>
      <c r="V144" s="48"/>
      <c r="W144" s="65"/>
      <c r="X144" s="39"/>
      <c r="Y144" s="39"/>
      <c r="Z144" s="39"/>
      <c r="AA144" s="39"/>
      <c r="AB144" s="39"/>
      <c r="AC144" s="39"/>
      <c r="AD144" s="39"/>
      <c r="AE144" s="39"/>
      <c r="AF144" s="39"/>
      <c r="AG144" s="65"/>
      <c r="AH144" s="65"/>
      <c r="AI144" s="65"/>
      <c r="AJ144" s="65"/>
      <c r="AK144" s="48"/>
      <c r="AL144" s="39"/>
      <c r="AM144" s="39"/>
      <c r="AN144" s="39"/>
      <c r="AO144" s="39"/>
      <c r="AP144" s="39"/>
      <c r="AQ144" s="39"/>
      <c r="AR144" s="39"/>
      <c r="AS144" s="39"/>
      <c r="AT144" s="48"/>
      <c r="AU144" s="34"/>
      <c r="AV144" s="34"/>
      <c r="AW144" s="34"/>
      <c r="AX144" s="34"/>
      <c r="AY144" s="20"/>
      <c r="AZ144" s="20"/>
      <c r="BA144" s="20"/>
      <c r="BB144" s="20"/>
      <c r="BC144" s="20"/>
      <c r="BD144" s="20"/>
      <c r="BE144" s="20"/>
      <c r="BF144" s="20"/>
      <c r="BG144" s="10"/>
      <c r="BI144" s="10"/>
      <c r="BJ144" s="10"/>
      <c r="BK144" s="10"/>
      <c r="BL144" s="10"/>
      <c r="BM144" s="10"/>
      <c r="BN144" s="10"/>
      <c r="BO144" s="10"/>
      <c r="BP144" s="10"/>
    </row>
    <row r="145" spans="2:68" s="1" customFormat="1" ht="18">
      <c r="B145" s="27" t="s">
        <v>32</v>
      </c>
      <c r="C145" s="158"/>
      <c r="D145" s="30"/>
      <c r="E145" s="30"/>
      <c r="F145" s="30"/>
      <c r="G145" s="30"/>
      <c r="H145" s="30"/>
      <c r="I145" s="30"/>
      <c r="J145" s="30"/>
      <c r="K145" s="30"/>
      <c r="L145" s="30"/>
      <c r="M145" s="62"/>
      <c r="N145" s="30"/>
      <c r="O145" s="30"/>
      <c r="P145" s="88"/>
      <c r="Q145" s="88"/>
      <c r="R145" s="27" t="s">
        <v>32</v>
      </c>
      <c r="V145" s="2"/>
      <c r="W145" s="40"/>
      <c r="AG145" s="40"/>
      <c r="AH145" s="40"/>
      <c r="AI145" s="40"/>
      <c r="AJ145" s="40"/>
      <c r="AK145" s="27" t="s">
        <v>32</v>
      </c>
      <c r="AL145" s="32" t="s">
        <v>116</v>
      </c>
      <c r="AM145" s="32" t="s">
        <v>117</v>
      </c>
      <c r="AN145" s="32" t="s">
        <v>118</v>
      </c>
      <c r="AO145" s="33" t="s">
        <v>119</v>
      </c>
      <c r="AP145" s="33" t="s">
        <v>120</v>
      </c>
      <c r="AQ145" s="38" t="s">
        <v>121</v>
      </c>
      <c r="AR145" s="33" t="s">
        <v>115</v>
      </c>
      <c r="AS145" s="38"/>
      <c r="AT145" s="27" t="s">
        <v>32</v>
      </c>
      <c r="AU145" s="25"/>
      <c r="AV145" s="25"/>
      <c r="AW145" s="25"/>
      <c r="AX145" s="25"/>
      <c r="AY145" s="38"/>
      <c r="BG145" s="10"/>
      <c r="BI145" s="10"/>
      <c r="BJ145" s="10"/>
      <c r="BK145" s="10"/>
      <c r="BL145" s="10"/>
      <c r="BM145" s="10"/>
      <c r="BN145" s="10"/>
      <c r="BO145" s="10"/>
      <c r="BP145" s="10"/>
    </row>
    <row r="146" spans="2:68" s="1" customFormat="1" ht="15">
      <c r="B146" s="27" t="s">
        <v>93</v>
      </c>
      <c r="C146" s="158"/>
      <c r="D146" s="30"/>
      <c r="E146" s="30"/>
      <c r="F146" s="30"/>
      <c r="G146" s="30"/>
      <c r="H146" s="30"/>
      <c r="I146" s="30"/>
      <c r="J146" s="30"/>
      <c r="K146" s="30"/>
      <c r="L146" s="30"/>
      <c r="M146" s="62"/>
      <c r="N146" s="30"/>
      <c r="O146" s="30"/>
      <c r="P146" s="88"/>
      <c r="Q146" s="88"/>
      <c r="R146" s="27" t="s">
        <v>93</v>
      </c>
      <c r="S146" s="19"/>
      <c r="T146" s="19"/>
      <c r="U146" s="19"/>
      <c r="V146" s="27"/>
      <c r="W146" s="62"/>
      <c r="X146" s="27"/>
      <c r="Y146" s="27"/>
      <c r="Z146" s="27"/>
      <c r="AA146" s="27"/>
      <c r="AB146" s="27"/>
      <c r="AC146" s="27"/>
      <c r="AD146" s="27"/>
      <c r="AE146" s="27"/>
      <c r="AF146" s="27"/>
      <c r="AG146" s="62"/>
      <c r="AH146" s="62"/>
      <c r="AI146" s="62"/>
      <c r="AJ146" s="62"/>
      <c r="AK146" s="27" t="s">
        <v>93</v>
      </c>
      <c r="AL146" s="27">
        <v>18.837377830976301</v>
      </c>
      <c r="AM146" s="27">
        <v>15.671475761082</v>
      </c>
      <c r="AN146" s="27">
        <v>39.113001701730902</v>
      </c>
      <c r="AO146" s="27">
        <v>2.0763360283721202</v>
      </c>
      <c r="AP146" s="27">
        <v>1.20207346774746</v>
      </c>
      <c r="AQ146" s="38">
        <f t="shared" ref="AQ146:AQ155" si="102">AR146*1.4%</f>
        <v>0.21670459999999997</v>
      </c>
      <c r="AR146" s="27">
        <v>15.478899999999999</v>
      </c>
      <c r="AS146" s="27"/>
      <c r="AT146" s="27" t="s">
        <v>93</v>
      </c>
      <c r="AU146" s="36"/>
      <c r="AV146" s="36"/>
      <c r="AW146" s="36"/>
      <c r="AX146" s="36"/>
      <c r="AY146" s="19"/>
      <c r="AZ146" s="19"/>
      <c r="BA146" s="19"/>
      <c r="BB146" s="19"/>
      <c r="BC146" s="19"/>
      <c r="BD146" s="19"/>
      <c r="BE146" s="19"/>
      <c r="BF146" s="19"/>
      <c r="BG146" s="10"/>
      <c r="BI146" s="10"/>
      <c r="BJ146" s="10"/>
      <c r="BK146" s="10"/>
      <c r="BL146" s="10"/>
      <c r="BM146" s="10"/>
      <c r="BN146" s="10"/>
      <c r="BO146" s="10"/>
      <c r="BP146" s="10"/>
    </row>
    <row r="147" spans="2:68" s="1" customFormat="1" ht="15">
      <c r="B147" s="27" t="s">
        <v>95</v>
      </c>
      <c r="C147" s="158"/>
      <c r="D147" s="30"/>
      <c r="E147" s="30"/>
      <c r="F147" s="30"/>
      <c r="G147" s="30"/>
      <c r="H147" s="30"/>
      <c r="I147" s="30"/>
      <c r="J147" s="30"/>
      <c r="K147" s="30"/>
      <c r="L147" s="30"/>
      <c r="M147" s="62"/>
      <c r="N147" s="30"/>
      <c r="O147" s="30"/>
      <c r="P147" s="88"/>
      <c r="Q147" s="88"/>
      <c r="R147" s="27" t="s">
        <v>95</v>
      </c>
      <c r="S147" s="19"/>
      <c r="T147" s="19"/>
      <c r="U147" s="19"/>
      <c r="V147" s="27"/>
      <c r="W147" s="62"/>
      <c r="X147" s="27"/>
      <c r="Y147" s="27"/>
      <c r="Z147" s="27"/>
      <c r="AA147" s="27"/>
      <c r="AB147" s="27"/>
      <c r="AC147" s="27"/>
      <c r="AD147" s="27"/>
      <c r="AE147" s="27"/>
      <c r="AF147" s="27"/>
      <c r="AG147" s="62"/>
      <c r="AH147" s="62"/>
      <c r="AI147" s="62"/>
      <c r="AJ147" s="62"/>
      <c r="AK147" s="27" t="s">
        <v>95</v>
      </c>
      <c r="AL147" s="27">
        <v>18.464967825795199</v>
      </c>
      <c r="AM147" s="27">
        <v>15.604486584017</v>
      </c>
      <c r="AN147" s="27">
        <v>38.2038746511043</v>
      </c>
      <c r="AO147" s="27">
        <v>2.0689871999677898</v>
      </c>
      <c r="AP147" s="27">
        <v>1.1833042225128201</v>
      </c>
      <c r="AQ147" s="38">
        <f t="shared" si="102"/>
        <v>0.23066819999999996</v>
      </c>
      <c r="AR147" s="27">
        <v>16.476299999999998</v>
      </c>
      <c r="AS147" s="27"/>
      <c r="AT147" s="27" t="s">
        <v>95</v>
      </c>
      <c r="AU147" s="36"/>
      <c r="AV147" s="36"/>
      <c r="AW147" s="36"/>
      <c r="AX147" s="36"/>
      <c r="AY147" s="19"/>
      <c r="AZ147" s="19"/>
      <c r="BA147" s="19"/>
      <c r="BB147" s="19"/>
      <c r="BC147" s="19"/>
      <c r="BD147" s="19"/>
      <c r="BE147" s="19"/>
      <c r="BF147" s="19"/>
      <c r="BG147" s="10"/>
      <c r="BI147" s="10"/>
      <c r="BJ147" s="10"/>
      <c r="BK147" s="10"/>
      <c r="BL147" s="10"/>
      <c r="BM147" s="10"/>
      <c r="BN147" s="10"/>
      <c r="BO147" s="10"/>
      <c r="BP147" s="10"/>
    </row>
    <row r="148" spans="2:68" s="1" customFormat="1" ht="15">
      <c r="B148" s="27" t="s">
        <v>97</v>
      </c>
      <c r="C148" s="158"/>
      <c r="D148" s="30"/>
      <c r="E148" s="30"/>
      <c r="F148" s="30"/>
      <c r="G148" s="30"/>
      <c r="H148" s="30"/>
      <c r="I148" s="30"/>
      <c r="J148" s="30"/>
      <c r="K148" s="30"/>
      <c r="L148" s="30"/>
      <c r="M148" s="62"/>
      <c r="N148" s="30"/>
      <c r="O148" s="30"/>
      <c r="P148" s="88"/>
      <c r="Q148" s="88"/>
      <c r="R148" s="27" t="s">
        <v>97</v>
      </c>
      <c r="S148" s="19"/>
      <c r="T148" s="19"/>
      <c r="U148" s="19"/>
      <c r="V148" s="27"/>
      <c r="W148" s="62"/>
      <c r="X148" s="27"/>
      <c r="Y148" s="27"/>
      <c r="Z148" s="27"/>
      <c r="AA148" s="27"/>
      <c r="AB148" s="27"/>
      <c r="AC148" s="27"/>
      <c r="AD148" s="27"/>
      <c r="AE148" s="27"/>
      <c r="AF148" s="27"/>
      <c r="AG148" s="62"/>
      <c r="AH148" s="62"/>
      <c r="AI148" s="62"/>
      <c r="AJ148" s="62"/>
      <c r="AK148" s="27" t="s">
        <v>97</v>
      </c>
      <c r="AL148" s="27">
        <v>19.549046183592399</v>
      </c>
      <c r="AM148" s="27">
        <v>15.759974159465299</v>
      </c>
      <c r="AN148" s="27">
        <v>39.026504855573997</v>
      </c>
      <c r="AO148" s="27">
        <v>1.99656179016899</v>
      </c>
      <c r="AP148" s="27">
        <v>1.2405128535227601</v>
      </c>
      <c r="AQ148" s="38">
        <f t="shared" si="102"/>
        <v>7.64764E-2</v>
      </c>
      <c r="AR148" s="27">
        <v>5.4626000000000001</v>
      </c>
      <c r="AS148" s="27"/>
      <c r="AT148" s="27" t="s">
        <v>97</v>
      </c>
      <c r="AU148" s="38"/>
      <c r="AV148" s="38"/>
      <c r="AW148" s="38"/>
      <c r="AX148" s="38"/>
      <c r="AY148" s="38"/>
    </row>
    <row r="149" spans="2:68" s="1" customFormat="1" ht="15">
      <c r="B149" s="27" t="s">
        <v>99</v>
      </c>
      <c r="C149" s="158"/>
      <c r="D149" s="30"/>
      <c r="E149" s="30"/>
      <c r="F149" s="30"/>
      <c r="G149" s="30"/>
      <c r="H149" s="30"/>
      <c r="I149" s="30"/>
      <c r="J149" s="30"/>
      <c r="K149" s="30"/>
      <c r="L149" s="30"/>
      <c r="M149" s="62"/>
      <c r="N149" s="30"/>
      <c r="O149" s="30"/>
      <c r="P149" s="88"/>
      <c r="Q149" s="88"/>
      <c r="R149" s="27" t="s">
        <v>99</v>
      </c>
      <c r="S149" s="20"/>
      <c r="T149" s="20"/>
      <c r="U149" s="20"/>
      <c r="V149" s="48"/>
      <c r="W149" s="62"/>
      <c r="X149" s="27"/>
      <c r="Y149" s="27"/>
      <c r="Z149" s="27"/>
      <c r="AA149" s="27"/>
      <c r="AB149" s="27"/>
      <c r="AC149" s="27"/>
      <c r="AD149" s="27"/>
      <c r="AE149" s="27"/>
      <c r="AF149" s="27"/>
      <c r="AG149" s="65"/>
      <c r="AH149" s="65"/>
      <c r="AI149" s="65"/>
      <c r="AJ149" s="65"/>
      <c r="AK149" s="27" t="s">
        <v>99</v>
      </c>
      <c r="AL149" s="27">
        <v>18.996827504239398</v>
      </c>
      <c r="AM149" s="27">
        <v>15.789354091700501</v>
      </c>
      <c r="AN149" s="27">
        <v>38.567312590984898</v>
      </c>
      <c r="AO149" s="27">
        <v>2.0305692255114498</v>
      </c>
      <c r="AP149" s="27">
        <v>1.2030880773948101</v>
      </c>
      <c r="AQ149" s="38">
        <f t="shared" si="102"/>
        <v>8.3614999999999995E-2</v>
      </c>
      <c r="AR149" s="27">
        <v>5.9725000000000001</v>
      </c>
      <c r="AS149" s="27"/>
      <c r="AT149" s="27" t="s">
        <v>99</v>
      </c>
      <c r="AU149" s="38"/>
      <c r="AV149" s="38"/>
      <c r="AW149" s="38"/>
      <c r="AX149" s="38"/>
      <c r="AY149" s="38"/>
    </row>
    <row r="150" spans="2:68" s="1" customFormat="1" ht="15">
      <c r="B150" s="27" t="s">
        <v>101</v>
      </c>
      <c r="C150" s="158"/>
      <c r="D150" s="30"/>
      <c r="E150" s="30"/>
      <c r="F150" s="30"/>
      <c r="G150" s="30"/>
      <c r="H150" s="30"/>
      <c r="I150" s="30"/>
      <c r="J150" s="30"/>
      <c r="K150" s="30"/>
      <c r="L150" s="30"/>
      <c r="M150" s="62"/>
      <c r="N150" s="30"/>
      <c r="O150" s="30"/>
      <c r="P150" s="88"/>
      <c r="Q150" s="88"/>
      <c r="R150" s="27" t="s">
        <v>101</v>
      </c>
      <c r="S150" s="2"/>
      <c r="T150" s="2"/>
      <c r="U150" s="2"/>
      <c r="V150" s="2"/>
      <c r="W150" s="62"/>
      <c r="X150" s="27"/>
      <c r="Y150" s="27"/>
      <c r="Z150" s="27"/>
      <c r="AA150" s="27"/>
      <c r="AB150" s="27"/>
      <c r="AC150" s="27"/>
      <c r="AD150" s="27"/>
      <c r="AE150" s="27"/>
      <c r="AF150" s="27"/>
      <c r="AG150" s="40"/>
      <c r="AH150" s="40"/>
      <c r="AI150" s="40"/>
      <c r="AJ150" s="40"/>
      <c r="AK150" s="27" t="s">
        <v>101</v>
      </c>
      <c r="AL150" s="66">
        <v>19.800035284426102</v>
      </c>
      <c r="AM150" s="66">
        <v>15.812207798382699</v>
      </c>
      <c r="AN150" s="66">
        <v>39.821140521826997</v>
      </c>
      <c r="AO150" s="66">
        <v>2.0112540112697901</v>
      </c>
      <c r="AP150" s="27">
        <v>1.25215494862046</v>
      </c>
      <c r="AQ150" s="38">
        <f t="shared" si="102"/>
        <v>7.3702999999999991E-2</v>
      </c>
      <c r="AR150" s="27">
        <v>5.2645</v>
      </c>
      <c r="AS150" s="27"/>
      <c r="AT150" s="27" t="s">
        <v>101</v>
      </c>
      <c r="AU150" s="38"/>
      <c r="AV150" s="38"/>
      <c r="AW150" s="38"/>
      <c r="AX150" s="38"/>
      <c r="AY150" s="38"/>
    </row>
    <row r="151" spans="2:68" s="1" customFormat="1" ht="15">
      <c r="B151" s="27" t="s">
        <v>103</v>
      </c>
      <c r="C151" s="158"/>
      <c r="D151" s="30"/>
      <c r="E151" s="30"/>
      <c r="F151" s="30"/>
      <c r="G151" s="30"/>
      <c r="H151" s="30"/>
      <c r="I151" s="30"/>
      <c r="J151" s="30"/>
      <c r="K151" s="30"/>
      <c r="L151" s="30"/>
      <c r="M151" s="62"/>
      <c r="N151" s="30"/>
      <c r="O151" s="30"/>
      <c r="P151" s="88"/>
      <c r="Q151" s="88"/>
      <c r="R151" s="27" t="s">
        <v>103</v>
      </c>
      <c r="S151" s="2"/>
      <c r="T151" s="2"/>
      <c r="U151" s="2"/>
      <c r="V151" s="2"/>
      <c r="W151" s="62"/>
      <c r="X151" s="27"/>
      <c r="Y151" s="27"/>
      <c r="Z151" s="27"/>
      <c r="AA151" s="27"/>
      <c r="AB151" s="27"/>
      <c r="AC151" s="27"/>
      <c r="AD151" s="27"/>
      <c r="AE151" s="27"/>
      <c r="AF151" s="27"/>
      <c r="AG151" s="40"/>
      <c r="AH151" s="40"/>
      <c r="AI151" s="40"/>
      <c r="AJ151" s="40"/>
      <c r="AK151" s="27" t="s">
        <v>103</v>
      </c>
      <c r="AL151" s="27">
        <v>19.7685208701714</v>
      </c>
      <c r="AM151" s="27">
        <v>15.664528870364199</v>
      </c>
      <c r="AN151" s="27">
        <v>39.319200419238101</v>
      </c>
      <c r="AO151" s="27">
        <v>1.9891176547648901</v>
      </c>
      <c r="AP151" s="27">
        <v>1.2621284277615501</v>
      </c>
      <c r="AQ151" s="38">
        <f t="shared" si="102"/>
        <v>7.4719399999999991E-2</v>
      </c>
      <c r="AR151" s="27">
        <v>5.3371000000000004</v>
      </c>
      <c r="AS151" s="27"/>
      <c r="AT151" s="27" t="s">
        <v>103</v>
      </c>
      <c r="AU151" s="38"/>
      <c r="AV151" s="38"/>
      <c r="AW151" s="38"/>
      <c r="AX151" s="38"/>
      <c r="AY151" s="38"/>
    </row>
    <row r="152" spans="2:68" s="1" customFormat="1" ht="15">
      <c r="B152" s="27" t="s">
        <v>105</v>
      </c>
      <c r="C152" s="158"/>
      <c r="D152" s="30"/>
      <c r="E152" s="30"/>
      <c r="F152" s="30"/>
      <c r="G152" s="30"/>
      <c r="H152" s="30"/>
      <c r="I152" s="30"/>
      <c r="J152" s="30"/>
      <c r="K152" s="30"/>
      <c r="L152" s="30"/>
      <c r="M152" s="62"/>
      <c r="N152" s="30"/>
      <c r="O152" s="30"/>
      <c r="P152" s="88"/>
      <c r="Q152" s="88"/>
      <c r="R152" s="27" t="s">
        <v>105</v>
      </c>
      <c r="S152" s="2"/>
      <c r="T152" s="2"/>
      <c r="U152" s="2"/>
      <c r="V152" s="2"/>
      <c r="W152" s="62"/>
      <c r="X152" s="27"/>
      <c r="Y152" s="27"/>
      <c r="Z152" s="27"/>
      <c r="AA152" s="27"/>
      <c r="AB152" s="27"/>
      <c r="AC152" s="27"/>
      <c r="AD152" s="27"/>
      <c r="AE152" s="27"/>
      <c r="AF152" s="27"/>
      <c r="AG152" s="40"/>
      <c r="AH152" s="40"/>
      <c r="AI152" s="40"/>
      <c r="AJ152" s="40"/>
      <c r="AK152" s="27" t="s">
        <v>105</v>
      </c>
      <c r="AL152" s="27">
        <v>19.517495377272699</v>
      </c>
      <c r="AM152" s="27">
        <v>15.880481610767699</v>
      </c>
      <c r="AN152" s="27">
        <v>39.223312360437099</v>
      </c>
      <c r="AO152" s="27">
        <v>2.0097569653721501</v>
      </c>
      <c r="AP152" s="27">
        <v>1.22915953777832</v>
      </c>
      <c r="AQ152" s="38">
        <f t="shared" si="102"/>
        <v>0.1558774</v>
      </c>
      <c r="AR152" s="27">
        <v>11.1341</v>
      </c>
      <c r="AS152" s="27"/>
      <c r="AT152" s="27" t="s">
        <v>105</v>
      </c>
      <c r="AU152" s="38"/>
      <c r="AV152" s="38"/>
      <c r="AW152" s="38"/>
      <c r="AX152" s="38"/>
      <c r="AY152" s="38"/>
    </row>
    <row r="153" spans="2:68" s="1" customFormat="1" ht="15">
      <c r="B153" s="27" t="s">
        <v>107</v>
      </c>
      <c r="C153" s="158"/>
      <c r="D153" s="30"/>
      <c r="E153" s="30"/>
      <c r="F153" s="30"/>
      <c r="G153" s="30"/>
      <c r="H153" s="30"/>
      <c r="I153" s="30"/>
      <c r="J153" s="30"/>
      <c r="K153" s="30"/>
      <c r="L153" s="30"/>
      <c r="M153" s="62"/>
      <c r="N153" s="30"/>
      <c r="O153" s="30"/>
      <c r="P153" s="88"/>
      <c r="Q153" s="88"/>
      <c r="R153" s="27" t="s">
        <v>107</v>
      </c>
      <c r="S153" s="2"/>
      <c r="T153" s="2"/>
      <c r="U153" s="2"/>
      <c r="V153" s="2"/>
      <c r="W153" s="62"/>
      <c r="X153" s="27"/>
      <c r="Y153" s="27"/>
      <c r="Z153" s="27"/>
      <c r="AA153" s="27"/>
      <c r="AB153" s="27"/>
      <c r="AC153" s="27"/>
      <c r="AD153" s="27"/>
      <c r="AE153" s="27"/>
      <c r="AF153" s="27"/>
      <c r="AG153" s="40"/>
      <c r="AH153" s="40"/>
      <c r="AI153" s="40"/>
      <c r="AJ153" s="40"/>
      <c r="AK153" s="27" t="s">
        <v>107</v>
      </c>
      <c r="AL153" s="27">
        <v>19.6070046024875</v>
      </c>
      <c r="AM153" s="27">
        <v>15.808264388648301</v>
      </c>
      <c r="AN153" s="27">
        <v>39.069097628713202</v>
      </c>
      <c r="AO153" s="27">
        <v>1.99263028389428</v>
      </c>
      <c r="AP153" s="27">
        <v>1.2402928151458299</v>
      </c>
      <c r="AQ153" s="38">
        <f t="shared" si="102"/>
        <v>5.7665999999999988E-2</v>
      </c>
      <c r="AR153" s="27">
        <v>4.1189999999999998</v>
      </c>
      <c r="AS153" s="27"/>
      <c r="AT153" s="27" t="s">
        <v>107</v>
      </c>
      <c r="AU153" s="38"/>
      <c r="AV153" s="38"/>
      <c r="AW153" s="38"/>
      <c r="AX153" s="38"/>
      <c r="AY153" s="38"/>
    </row>
    <row r="154" spans="2:68" s="1" customFormat="1" ht="15">
      <c r="B154" s="27" t="s">
        <v>111</v>
      </c>
      <c r="C154" s="158"/>
      <c r="D154" s="30"/>
      <c r="E154" s="30"/>
      <c r="F154" s="30"/>
      <c r="G154" s="30"/>
      <c r="H154" s="30"/>
      <c r="I154" s="30"/>
      <c r="J154" s="30"/>
      <c r="K154" s="30"/>
      <c r="L154" s="30"/>
      <c r="M154" s="62"/>
      <c r="N154" s="30"/>
      <c r="O154" s="30"/>
      <c r="P154" s="88"/>
      <c r="Q154" s="88"/>
      <c r="R154" s="27" t="s">
        <v>111</v>
      </c>
      <c r="S154" s="2"/>
      <c r="T154" s="2"/>
      <c r="U154" s="2"/>
      <c r="V154" s="2"/>
      <c r="W154" s="62"/>
      <c r="X154" s="27"/>
      <c r="Y154" s="27"/>
      <c r="Z154" s="27"/>
      <c r="AA154" s="27"/>
      <c r="AB154" s="27"/>
      <c r="AC154" s="27"/>
      <c r="AD154" s="27"/>
      <c r="AE154" s="27"/>
      <c r="AF154" s="27"/>
      <c r="AG154" s="40"/>
      <c r="AH154" s="40"/>
      <c r="AI154" s="40"/>
      <c r="AJ154" s="40"/>
      <c r="AK154" s="27" t="s">
        <v>111</v>
      </c>
      <c r="AL154" s="27">
        <v>20.285209083627901</v>
      </c>
      <c r="AM154" s="27">
        <v>16.1077845683443</v>
      </c>
      <c r="AN154" s="27">
        <v>39.148554988569103</v>
      </c>
      <c r="AO154" s="27">
        <v>1.9298585578395799</v>
      </c>
      <c r="AP154" s="27">
        <v>1.25945528097432</v>
      </c>
      <c r="AQ154" s="38">
        <f t="shared" si="102"/>
        <v>0.18190899999999996</v>
      </c>
      <c r="AR154" s="27">
        <v>12.993499999999999</v>
      </c>
      <c r="AS154" s="27"/>
      <c r="AT154" s="27" t="s">
        <v>111</v>
      </c>
      <c r="AU154" s="38"/>
      <c r="AV154" s="38"/>
      <c r="AW154" s="38"/>
      <c r="AX154" s="38"/>
      <c r="AY154" s="38"/>
    </row>
    <row r="155" spans="2:68" s="1" customFormat="1" ht="15">
      <c r="B155" s="27" t="s">
        <v>113</v>
      </c>
      <c r="C155" s="158"/>
      <c r="D155" s="30"/>
      <c r="E155" s="30"/>
      <c r="F155" s="30"/>
      <c r="G155" s="30"/>
      <c r="H155" s="30"/>
      <c r="I155" s="30"/>
      <c r="J155" s="30"/>
      <c r="K155" s="30"/>
      <c r="L155" s="30"/>
      <c r="M155" s="62"/>
      <c r="N155" s="30"/>
      <c r="O155" s="30"/>
      <c r="P155" s="88"/>
      <c r="Q155" s="88"/>
      <c r="R155" s="27" t="s">
        <v>113</v>
      </c>
      <c r="S155" s="2"/>
      <c r="T155" s="2"/>
      <c r="U155" s="2"/>
      <c r="V155" s="2"/>
      <c r="W155" s="62"/>
      <c r="X155" s="27"/>
      <c r="Y155" s="27"/>
      <c r="Z155" s="27"/>
      <c r="AA155" s="27"/>
      <c r="AB155" s="27"/>
      <c r="AC155" s="27"/>
      <c r="AD155" s="27"/>
      <c r="AE155" s="27"/>
      <c r="AF155" s="27"/>
      <c r="AG155" s="40"/>
      <c r="AH155" s="40"/>
      <c r="AI155" s="40"/>
      <c r="AJ155" s="40"/>
      <c r="AK155" s="27" t="s">
        <v>113</v>
      </c>
      <c r="AL155" s="27">
        <v>19.710695250883902</v>
      </c>
      <c r="AM155" s="27">
        <v>15.743274234739699</v>
      </c>
      <c r="AN155" s="27">
        <v>38.847092235205402</v>
      </c>
      <c r="AO155" s="27">
        <v>1.97110910064492</v>
      </c>
      <c r="AP155" s="27">
        <v>1.2519811434354</v>
      </c>
      <c r="AQ155" s="38">
        <f t="shared" si="102"/>
        <v>0.2086518</v>
      </c>
      <c r="AR155" s="27">
        <v>14.903700000000001</v>
      </c>
      <c r="AS155" s="27"/>
      <c r="AT155" s="27" t="s">
        <v>113</v>
      </c>
      <c r="AU155" s="38"/>
      <c r="AV155" s="38"/>
      <c r="AW155" s="38"/>
      <c r="AX155" s="38"/>
      <c r="AY155" s="38"/>
    </row>
    <row r="156" spans="2:68" s="1" customFormat="1" ht="15">
      <c r="B156" s="48" t="s">
        <v>55</v>
      </c>
      <c r="C156" s="163"/>
      <c r="D156" s="39"/>
      <c r="E156" s="39"/>
      <c r="F156" s="39"/>
      <c r="G156" s="39"/>
      <c r="H156" s="39"/>
      <c r="I156" s="39"/>
      <c r="J156" s="39"/>
      <c r="K156" s="39"/>
      <c r="L156" s="39"/>
      <c r="M156" s="65"/>
      <c r="N156" s="39"/>
      <c r="O156" s="39"/>
      <c r="P156" s="92"/>
      <c r="Q156" s="92"/>
      <c r="R156" s="48" t="s">
        <v>55</v>
      </c>
      <c r="S156" s="2"/>
      <c r="T156" s="2"/>
      <c r="U156" s="2"/>
      <c r="V156" s="2"/>
      <c r="W156" s="65"/>
      <c r="X156" s="48"/>
      <c r="Y156" s="48"/>
      <c r="Z156" s="48"/>
      <c r="AA156" s="48"/>
      <c r="AB156" s="48"/>
      <c r="AC156" s="48"/>
      <c r="AD156" s="48"/>
      <c r="AE156" s="48"/>
      <c r="AF156" s="48"/>
      <c r="AG156" s="40"/>
      <c r="AH156" s="40"/>
      <c r="AI156" s="40"/>
      <c r="AJ156" s="40"/>
      <c r="AK156" s="48" t="s">
        <v>55</v>
      </c>
      <c r="AL156" s="48">
        <v>18.464967825795199</v>
      </c>
      <c r="AM156" s="48">
        <v>15.604486584017</v>
      </c>
      <c r="AN156" s="48">
        <v>38.2038746511043</v>
      </c>
      <c r="AO156" s="48">
        <v>1.9298585578395799</v>
      </c>
      <c r="AP156" s="48">
        <v>1.1833042225128201</v>
      </c>
      <c r="AQ156" s="48"/>
      <c r="AR156" s="48">
        <v>4.1189999999999998</v>
      </c>
      <c r="AS156" s="48"/>
      <c r="AT156" s="48" t="s">
        <v>55</v>
      </c>
      <c r="AU156" s="38"/>
      <c r="AV156" s="38"/>
      <c r="AW156" s="38"/>
      <c r="AX156" s="38"/>
      <c r="AY156" s="38"/>
    </row>
    <row r="157" spans="2:68" s="1" customFormat="1" ht="15">
      <c r="B157" s="48" t="s">
        <v>56</v>
      </c>
      <c r="C157" s="163"/>
      <c r="D157" s="39"/>
      <c r="E157" s="39"/>
      <c r="F157" s="39"/>
      <c r="G157" s="39"/>
      <c r="H157" s="39"/>
      <c r="I157" s="39"/>
      <c r="J157" s="39"/>
      <c r="K157" s="39"/>
      <c r="L157" s="39"/>
      <c r="M157" s="65"/>
      <c r="N157" s="39"/>
      <c r="O157" s="39"/>
      <c r="P157" s="92"/>
      <c r="Q157" s="92"/>
      <c r="R157" s="48" t="s">
        <v>56</v>
      </c>
      <c r="S157" s="2"/>
      <c r="T157" s="2"/>
      <c r="U157" s="2"/>
      <c r="V157" s="2"/>
      <c r="W157" s="65"/>
      <c r="X157" s="48"/>
      <c r="Y157" s="48"/>
      <c r="Z157" s="48"/>
      <c r="AA157" s="48"/>
      <c r="AB157" s="48"/>
      <c r="AC157" s="48"/>
      <c r="AD157" s="48"/>
      <c r="AE157" s="48"/>
      <c r="AF157" s="48"/>
      <c r="AG157" s="40"/>
      <c r="AH157" s="40"/>
      <c r="AI157" s="40"/>
      <c r="AJ157" s="40"/>
      <c r="AK157" s="48" t="s">
        <v>56</v>
      </c>
      <c r="AL157" s="48">
        <v>20.285209083627901</v>
      </c>
      <c r="AM157" s="48">
        <v>16.1077845683443</v>
      </c>
      <c r="AN157" s="48">
        <v>39.821140521826997</v>
      </c>
      <c r="AO157" s="48">
        <v>2.0763360283721202</v>
      </c>
      <c r="AP157" s="48">
        <v>1.2621284277615501</v>
      </c>
      <c r="AQ157" s="48"/>
      <c r="AR157" s="48">
        <v>16.476299999999998</v>
      </c>
      <c r="AS157" s="48"/>
      <c r="AT157" s="48" t="s">
        <v>56</v>
      </c>
      <c r="AU157" s="38"/>
      <c r="AV157" s="38"/>
      <c r="AW157" s="38"/>
      <c r="AX157" s="38"/>
      <c r="AY157" s="38"/>
    </row>
    <row r="158" spans="2:68" s="1" customFormat="1" ht="15">
      <c r="B158" s="48" t="s">
        <v>57</v>
      </c>
      <c r="C158" s="163"/>
      <c r="D158" s="39"/>
      <c r="E158" s="39"/>
      <c r="F158" s="39"/>
      <c r="G158" s="39"/>
      <c r="H158" s="39"/>
      <c r="I158" s="39"/>
      <c r="J158" s="39"/>
      <c r="K158" s="39"/>
      <c r="L158" s="39"/>
      <c r="M158" s="65"/>
      <c r="N158" s="39"/>
      <c r="O158" s="39"/>
      <c r="P158" s="92"/>
      <c r="Q158" s="92"/>
      <c r="R158" s="48" t="s">
        <v>57</v>
      </c>
      <c r="S158" s="2"/>
      <c r="T158" s="2"/>
      <c r="U158" s="2"/>
      <c r="V158" s="2"/>
      <c r="W158" s="65"/>
      <c r="X158" s="48"/>
      <c r="Y158" s="48"/>
      <c r="Z158" s="48"/>
      <c r="AA158" s="48"/>
      <c r="AB158" s="48"/>
      <c r="AC158" s="48"/>
      <c r="AD158" s="48"/>
      <c r="AE158" s="48"/>
      <c r="AF158" s="48"/>
      <c r="AG158" s="40"/>
      <c r="AH158" s="40"/>
      <c r="AI158" s="40"/>
      <c r="AJ158" s="40"/>
      <c r="AK158" s="48" t="s">
        <v>57</v>
      </c>
      <c r="AL158" s="48">
        <v>19.4537179813473</v>
      </c>
      <c r="AM158" s="48">
        <v>15.7841832067512</v>
      </c>
      <c r="AN158" s="48">
        <v>39.033909195338403</v>
      </c>
      <c r="AO158" s="48">
        <v>2.0076180817806</v>
      </c>
      <c r="AP158" s="48">
        <v>1.2324150774893701</v>
      </c>
      <c r="AQ158" s="48"/>
      <c r="AR158" s="48">
        <v>9.7142199999999992</v>
      </c>
      <c r="AS158" s="48"/>
      <c r="AT158" s="48" t="s">
        <v>57</v>
      </c>
      <c r="AU158" s="38"/>
      <c r="AV158" s="38"/>
      <c r="AW158" s="38"/>
      <c r="AX158" s="38"/>
      <c r="AY158" s="38"/>
    </row>
    <row r="159" spans="2:68" s="1" customFormat="1" ht="15">
      <c r="B159" s="48"/>
      <c r="C159" s="163"/>
      <c r="D159" s="39"/>
      <c r="E159" s="39"/>
      <c r="F159" s="39"/>
      <c r="G159" s="39"/>
      <c r="H159" s="39"/>
      <c r="I159" s="39"/>
      <c r="J159" s="39"/>
      <c r="K159" s="39"/>
      <c r="L159" s="39"/>
      <c r="M159" s="65"/>
      <c r="N159" s="39"/>
      <c r="O159" s="39"/>
      <c r="P159" s="92"/>
      <c r="Q159" s="92"/>
      <c r="R159" s="48"/>
      <c r="S159" s="2"/>
      <c r="T159" s="2"/>
      <c r="U159" s="2"/>
      <c r="V159" s="2"/>
      <c r="W159" s="65"/>
      <c r="X159" s="39"/>
      <c r="Y159" s="39"/>
      <c r="Z159" s="39"/>
      <c r="AA159" s="39"/>
      <c r="AB159" s="39"/>
      <c r="AC159" s="39"/>
      <c r="AD159" s="39"/>
      <c r="AE159" s="39"/>
      <c r="AF159" s="39"/>
      <c r="AG159" s="40"/>
      <c r="AH159" s="40"/>
      <c r="AI159" s="40"/>
      <c r="AJ159" s="40"/>
      <c r="AK159" s="48"/>
      <c r="AL159" s="39"/>
      <c r="AM159" s="39"/>
      <c r="AN159" s="39"/>
      <c r="AO159" s="39"/>
      <c r="AP159" s="39"/>
      <c r="AQ159" s="39"/>
      <c r="AR159" s="39"/>
      <c r="AS159" s="39"/>
      <c r="AT159" s="48"/>
      <c r="AU159" s="38"/>
      <c r="AV159" s="38"/>
      <c r="AW159" s="38"/>
      <c r="AX159" s="38"/>
      <c r="AY159" s="38"/>
    </row>
    <row r="160" spans="2:68" s="1" customFormat="1" ht="18">
      <c r="B160" s="27" t="s">
        <v>32</v>
      </c>
      <c r="C160" s="158"/>
      <c r="D160" s="30"/>
      <c r="E160" s="30"/>
      <c r="F160" s="30"/>
      <c r="G160" s="30"/>
      <c r="H160" s="30"/>
      <c r="I160" s="30"/>
      <c r="J160" s="30"/>
      <c r="K160" s="30"/>
      <c r="L160" s="30"/>
      <c r="M160" s="62"/>
      <c r="N160" s="30"/>
      <c r="O160" s="30"/>
      <c r="P160" s="88"/>
      <c r="Q160" s="88"/>
      <c r="R160" s="27" t="s">
        <v>32</v>
      </c>
      <c r="S160" s="2"/>
      <c r="T160" s="2"/>
      <c r="U160" s="2"/>
      <c r="V160" s="2"/>
      <c r="W160" s="40"/>
      <c r="AG160" s="40"/>
      <c r="AH160" s="40"/>
      <c r="AI160" s="40"/>
      <c r="AJ160" s="40"/>
      <c r="AK160" s="27" t="s">
        <v>32</v>
      </c>
      <c r="AL160" s="32" t="s">
        <v>116</v>
      </c>
      <c r="AM160" s="32" t="s">
        <v>117</v>
      </c>
      <c r="AN160" s="32" t="s">
        <v>118</v>
      </c>
      <c r="AO160" s="33" t="s">
        <v>119</v>
      </c>
      <c r="AP160" s="33" t="s">
        <v>120</v>
      </c>
      <c r="AQ160" s="38" t="s">
        <v>121</v>
      </c>
      <c r="AR160" s="33" t="s">
        <v>115</v>
      </c>
      <c r="AS160" s="38"/>
      <c r="AT160" s="27" t="s">
        <v>32</v>
      </c>
      <c r="AU160" s="38"/>
      <c r="AV160" s="38"/>
      <c r="AW160" s="38"/>
      <c r="AX160" s="38"/>
      <c r="AY160" s="38"/>
    </row>
    <row r="161" spans="2:68" s="1" customFormat="1" ht="15">
      <c r="B161" s="27" t="s">
        <v>94</v>
      </c>
      <c r="C161" s="158"/>
      <c r="D161" s="30"/>
      <c r="E161" s="30"/>
      <c r="F161" s="30"/>
      <c r="G161" s="30"/>
      <c r="H161" s="30"/>
      <c r="I161" s="30"/>
      <c r="J161" s="30"/>
      <c r="K161" s="30"/>
      <c r="L161" s="30"/>
      <c r="M161" s="62"/>
      <c r="N161" s="30"/>
      <c r="O161" s="30"/>
      <c r="P161" s="88"/>
      <c r="Q161" s="88"/>
      <c r="R161" s="27" t="s">
        <v>94</v>
      </c>
      <c r="S161" s="2"/>
      <c r="T161" s="2"/>
      <c r="U161" s="2"/>
      <c r="V161" s="2"/>
      <c r="W161" s="62"/>
      <c r="X161" s="27"/>
      <c r="Y161" s="27"/>
      <c r="Z161" s="27"/>
      <c r="AA161" s="27"/>
      <c r="AB161" s="27"/>
      <c r="AC161" s="27"/>
      <c r="AD161" s="27"/>
      <c r="AE161" s="27"/>
      <c r="AF161" s="27"/>
      <c r="AG161" s="40"/>
      <c r="AH161" s="40"/>
      <c r="AI161" s="40"/>
      <c r="AJ161" s="40"/>
      <c r="AK161" s="27" t="s">
        <v>94</v>
      </c>
      <c r="AL161" s="27">
        <v>19.027522128068501</v>
      </c>
      <c r="AM161" s="27">
        <v>15.4261040746605</v>
      </c>
      <c r="AN161" s="27">
        <v>38.354949732945101</v>
      </c>
      <c r="AO161" s="27">
        <v>2.0159299131038</v>
      </c>
      <c r="AP161" s="27">
        <v>1.23345359170585</v>
      </c>
      <c r="AQ161" s="38">
        <f t="shared" ref="AQ161:AQ171" si="103">AR161*1.4%</f>
        <v>7.989099999999999E-2</v>
      </c>
      <c r="AR161" s="27">
        <v>5.7065000000000001</v>
      </c>
      <c r="AS161" s="27"/>
      <c r="AT161" s="27" t="s">
        <v>94</v>
      </c>
      <c r="AU161" s="38"/>
      <c r="AV161" s="38"/>
      <c r="AW161" s="38"/>
      <c r="AX161" s="38"/>
      <c r="AY161" s="38"/>
    </row>
    <row r="162" spans="2:68" s="1" customFormat="1" ht="15">
      <c r="B162" s="27" t="s">
        <v>96</v>
      </c>
      <c r="C162" s="158"/>
      <c r="D162" s="30"/>
      <c r="E162" s="30"/>
      <c r="F162" s="30"/>
      <c r="H162" s="30"/>
      <c r="I162" s="30"/>
      <c r="J162" s="30"/>
      <c r="K162" s="30"/>
      <c r="L162" s="30"/>
      <c r="M162" s="62"/>
      <c r="N162" s="30"/>
      <c r="O162" s="30"/>
      <c r="P162" s="88"/>
      <c r="Q162" s="88"/>
      <c r="R162" s="27" t="s">
        <v>96</v>
      </c>
      <c r="S162" s="2"/>
      <c r="T162" s="2"/>
      <c r="U162" s="2"/>
      <c r="V162" s="2"/>
      <c r="W162" s="62"/>
      <c r="X162" s="27"/>
      <c r="Y162" s="27"/>
      <c r="Z162" s="27"/>
      <c r="AA162" s="27"/>
      <c r="AB162" s="27"/>
      <c r="AC162" s="27"/>
      <c r="AD162" s="27"/>
      <c r="AE162" s="27"/>
      <c r="AF162" s="27"/>
      <c r="AG162" s="40"/>
      <c r="AH162" s="40"/>
      <c r="AI162" s="40"/>
      <c r="AJ162" s="40"/>
      <c r="AK162" s="27" t="s">
        <v>96</v>
      </c>
      <c r="AL162" s="27">
        <v>19.119662873327801</v>
      </c>
      <c r="AM162" s="27">
        <v>15.8370869846155</v>
      </c>
      <c r="AN162" s="27">
        <v>38.700078444244397</v>
      </c>
      <c r="AO162" s="27">
        <v>2.0241082025855999</v>
      </c>
      <c r="AP162" s="27">
        <v>1.20726931956741</v>
      </c>
      <c r="AQ162" s="38">
        <f t="shared" si="103"/>
        <v>0.1113434</v>
      </c>
      <c r="AR162" s="27">
        <v>7.9531000000000001</v>
      </c>
      <c r="AS162" s="27"/>
      <c r="AT162" s="27" t="s">
        <v>96</v>
      </c>
      <c r="AU162" s="38"/>
      <c r="AV162" s="38"/>
      <c r="AW162" s="38"/>
      <c r="AX162" s="38"/>
      <c r="AY162" s="38"/>
    </row>
    <row r="163" spans="2:68" s="1" customFormat="1" ht="15">
      <c r="B163" s="27" t="s">
        <v>98</v>
      </c>
      <c r="C163" s="158"/>
      <c r="D163" s="30"/>
      <c r="E163" s="30"/>
      <c r="F163" s="30"/>
      <c r="H163" s="30"/>
      <c r="I163" s="30"/>
      <c r="J163" s="30"/>
      <c r="K163" s="30"/>
      <c r="L163" s="30"/>
      <c r="M163" s="62"/>
      <c r="N163" s="30"/>
      <c r="O163" s="30"/>
      <c r="P163" s="88"/>
      <c r="Q163" s="88"/>
      <c r="R163" s="27" t="s">
        <v>98</v>
      </c>
      <c r="S163" s="2"/>
      <c r="T163" s="2"/>
      <c r="U163" s="2"/>
      <c r="V163" s="2"/>
      <c r="W163" s="62"/>
      <c r="X163" s="27"/>
      <c r="Y163" s="27"/>
      <c r="Z163" s="27"/>
      <c r="AA163" s="27"/>
      <c r="AB163" s="27"/>
      <c r="AC163" s="27"/>
      <c r="AD163" s="27"/>
      <c r="AE163" s="27"/>
      <c r="AF163" s="27"/>
      <c r="AG163" s="40"/>
      <c r="AH163" s="40"/>
      <c r="AI163" s="40"/>
      <c r="AJ163" s="40"/>
      <c r="AK163" s="27" t="s">
        <v>98</v>
      </c>
      <c r="AL163" s="27">
        <v>19.921799688170498</v>
      </c>
      <c r="AM163" s="27">
        <v>16.017668781483199</v>
      </c>
      <c r="AN163" s="27">
        <v>39.363012819738202</v>
      </c>
      <c r="AO163" s="27">
        <v>1.97595517677487</v>
      </c>
      <c r="AP163" s="27">
        <v>1.2438234224773099</v>
      </c>
      <c r="AQ163" s="38">
        <f t="shared" si="103"/>
        <v>0.14366099999999998</v>
      </c>
      <c r="AR163" s="27">
        <v>10.2615</v>
      </c>
      <c r="AS163" s="27"/>
      <c r="AT163" s="27" t="s">
        <v>98</v>
      </c>
      <c r="AU163" s="38"/>
      <c r="AV163" s="38"/>
      <c r="AW163" s="38"/>
      <c r="AX163" s="38"/>
      <c r="AY163" s="38"/>
    </row>
    <row r="164" spans="2:68" s="1" customFormat="1" ht="15">
      <c r="B164" s="27" t="s">
        <v>100</v>
      </c>
      <c r="C164" s="158"/>
      <c r="D164" s="30"/>
      <c r="E164" s="30"/>
      <c r="F164" s="30"/>
      <c r="H164" s="30"/>
      <c r="I164" s="30"/>
      <c r="J164" s="30"/>
      <c r="K164" s="30"/>
      <c r="L164" s="30"/>
      <c r="M164" s="62"/>
      <c r="N164" s="30"/>
      <c r="O164" s="30"/>
      <c r="P164" s="88"/>
      <c r="Q164" s="88"/>
      <c r="R164" s="27" t="s">
        <v>100</v>
      </c>
      <c r="S164" s="2"/>
      <c r="T164" s="2"/>
      <c r="U164" s="2"/>
      <c r="V164" s="2"/>
      <c r="W164" s="62"/>
      <c r="X164" s="27"/>
      <c r="Y164" s="27"/>
      <c r="Z164" s="27"/>
      <c r="AA164" s="27"/>
      <c r="AB164" s="27"/>
      <c r="AC164" s="27"/>
      <c r="AD164" s="27"/>
      <c r="AE164" s="27"/>
      <c r="AF164" s="27"/>
      <c r="AG164" s="40"/>
      <c r="AH164" s="40"/>
      <c r="AI164" s="40"/>
      <c r="AJ164" s="40"/>
      <c r="AK164" s="27" t="s">
        <v>100</v>
      </c>
      <c r="AL164" s="27">
        <v>18.669281217921501</v>
      </c>
      <c r="AM164" s="27">
        <v>15.590924746022701</v>
      </c>
      <c r="AN164" s="27">
        <v>38.534625866205097</v>
      </c>
      <c r="AO164" s="27">
        <v>2.0640658532270599</v>
      </c>
      <c r="AP164" s="27">
        <v>1.1974454063530899</v>
      </c>
      <c r="AQ164" s="38">
        <f t="shared" si="103"/>
        <v>6.3384999999999997E-2</v>
      </c>
      <c r="AR164" s="27">
        <v>4.5274999999999999</v>
      </c>
      <c r="AS164" s="27"/>
      <c r="AT164" s="27" t="s">
        <v>100</v>
      </c>
      <c r="AU164" s="38"/>
      <c r="AV164" s="38"/>
      <c r="AW164" s="38"/>
      <c r="AX164" s="38"/>
      <c r="AY164" s="38"/>
    </row>
    <row r="165" spans="2:68" s="1" customFormat="1" ht="15">
      <c r="B165" s="27" t="s">
        <v>102</v>
      </c>
      <c r="C165" s="158"/>
      <c r="D165" s="30"/>
      <c r="E165" s="30"/>
      <c r="F165" s="30"/>
      <c r="H165" s="30"/>
      <c r="I165" s="30"/>
      <c r="J165" s="30"/>
      <c r="K165" s="30"/>
      <c r="L165" s="30"/>
      <c r="M165" s="62"/>
      <c r="N165" s="30"/>
      <c r="O165" s="30"/>
      <c r="P165" s="88"/>
      <c r="Q165" s="88"/>
      <c r="R165" s="27" t="s">
        <v>102</v>
      </c>
      <c r="S165" s="2"/>
      <c r="T165" s="2"/>
      <c r="U165" s="2"/>
      <c r="V165" s="2"/>
      <c r="W165" s="62"/>
      <c r="X165" s="27"/>
      <c r="Y165" s="27"/>
      <c r="Z165" s="27"/>
      <c r="AA165" s="27"/>
      <c r="AB165" s="27"/>
      <c r="AC165" s="27"/>
      <c r="AD165" s="27"/>
      <c r="AE165" s="27"/>
      <c r="AF165" s="27"/>
      <c r="AG165" s="40"/>
      <c r="AH165" s="40"/>
      <c r="AI165" s="40"/>
      <c r="AJ165" s="40"/>
      <c r="AK165" s="27" t="s">
        <v>102</v>
      </c>
      <c r="AL165" s="66">
        <v>19.531134387418501</v>
      </c>
      <c r="AM165" s="66">
        <v>15.3417927414577</v>
      </c>
      <c r="AN165" s="66">
        <v>39.333937088264499</v>
      </c>
      <c r="AO165" s="66">
        <v>2.0139094999828799</v>
      </c>
      <c r="AP165" s="27">
        <v>1.27306728206803</v>
      </c>
      <c r="AQ165" s="38">
        <f t="shared" si="103"/>
        <v>3.6749999999999998E-2</v>
      </c>
      <c r="AR165" s="27">
        <v>2.625</v>
      </c>
      <c r="AS165" s="27"/>
      <c r="AT165" s="27" t="s">
        <v>102</v>
      </c>
      <c r="AU165" s="38"/>
      <c r="AV165" s="38"/>
      <c r="AW165" s="38"/>
      <c r="AX165" s="38"/>
      <c r="AY165" s="38"/>
    </row>
    <row r="166" spans="2:68" s="1" customFormat="1" ht="15">
      <c r="B166" s="27" t="s">
        <v>104</v>
      </c>
      <c r="C166" s="158"/>
      <c r="D166" s="30"/>
      <c r="E166" s="30"/>
      <c r="F166" s="30"/>
      <c r="H166" s="30"/>
      <c r="I166" s="30"/>
      <c r="J166" s="30"/>
      <c r="K166" s="30"/>
      <c r="L166" s="30"/>
      <c r="M166" s="62"/>
      <c r="N166" s="30"/>
      <c r="O166" s="30"/>
      <c r="P166" s="88"/>
      <c r="Q166" s="88"/>
      <c r="R166" s="27" t="s">
        <v>104</v>
      </c>
      <c r="S166" s="2"/>
      <c r="T166" s="2"/>
      <c r="U166" s="2"/>
      <c r="V166" s="2"/>
      <c r="W166" s="62"/>
      <c r="X166" s="27"/>
      <c r="Y166" s="27"/>
      <c r="Z166" s="27"/>
      <c r="AA166" s="27"/>
      <c r="AB166" s="27"/>
      <c r="AC166" s="27"/>
      <c r="AD166" s="27"/>
      <c r="AE166" s="27"/>
      <c r="AF166" s="27"/>
      <c r="AG166" s="40"/>
      <c r="AH166" s="40"/>
      <c r="AI166" s="40"/>
      <c r="AJ166" s="40"/>
      <c r="AK166" s="27" t="s">
        <v>104</v>
      </c>
      <c r="AL166" s="27">
        <v>19.842457754035699</v>
      </c>
      <c r="AM166" s="27">
        <v>15.7364112761974</v>
      </c>
      <c r="AN166" s="27">
        <v>39.136287811986897</v>
      </c>
      <c r="AO166" s="27">
        <v>1.9723313966068099</v>
      </c>
      <c r="AP166" s="27">
        <v>1.26092992923227</v>
      </c>
      <c r="AQ166" s="38">
        <f t="shared" si="103"/>
        <v>0.1047844</v>
      </c>
      <c r="AR166" s="27">
        <v>7.4846000000000004</v>
      </c>
      <c r="AS166" s="27"/>
      <c r="AT166" s="27" t="s">
        <v>104</v>
      </c>
      <c r="AU166" s="38"/>
      <c r="AV166" s="38"/>
      <c r="AW166" s="38"/>
      <c r="AX166" s="38"/>
      <c r="AY166" s="38"/>
    </row>
    <row r="167" spans="2:68" s="1" customFormat="1" ht="15">
      <c r="B167" s="27" t="s">
        <v>106</v>
      </c>
      <c r="C167" s="158"/>
      <c r="D167" s="30"/>
      <c r="E167" s="30"/>
      <c r="F167" s="30"/>
      <c r="H167" s="30"/>
      <c r="I167" s="30"/>
      <c r="J167" s="30"/>
      <c r="K167" s="30"/>
      <c r="L167" s="30"/>
      <c r="M167" s="62"/>
      <c r="N167" s="30"/>
      <c r="O167" s="30"/>
      <c r="P167" s="88"/>
      <c r="Q167" s="88"/>
      <c r="R167" s="27" t="s">
        <v>106</v>
      </c>
      <c r="S167" s="2"/>
      <c r="T167" s="2"/>
      <c r="U167" s="2"/>
      <c r="V167" s="2"/>
      <c r="W167" s="62"/>
      <c r="X167" s="27"/>
      <c r="Y167" s="27"/>
      <c r="Z167" s="27"/>
      <c r="AA167" s="27"/>
      <c r="AB167" s="27"/>
      <c r="AC167" s="27"/>
      <c r="AD167" s="27"/>
      <c r="AE167" s="27"/>
      <c r="AF167" s="27"/>
      <c r="AG167" s="40"/>
      <c r="AH167" s="40"/>
      <c r="AI167" s="40"/>
      <c r="AJ167" s="40"/>
      <c r="AK167" s="27" t="s">
        <v>106</v>
      </c>
      <c r="AL167" s="27">
        <v>19.985399104908101</v>
      </c>
      <c r="AM167" s="27">
        <v>15.8444279006559</v>
      </c>
      <c r="AN167" s="27">
        <v>39.664225558737698</v>
      </c>
      <c r="AO167" s="27">
        <v>1.98483261414958</v>
      </c>
      <c r="AP167" s="27">
        <v>1.2614112178841801</v>
      </c>
      <c r="AQ167" s="38">
        <f t="shared" si="103"/>
        <v>0.11784779999999999</v>
      </c>
      <c r="AR167" s="27">
        <v>8.4177</v>
      </c>
      <c r="AS167" s="27"/>
      <c r="AT167" s="27" t="s">
        <v>106</v>
      </c>
      <c r="AU167" s="38"/>
      <c r="AV167" s="38"/>
      <c r="AW167" s="38"/>
      <c r="AX167" s="38"/>
      <c r="AY167" s="38"/>
    </row>
    <row r="168" spans="2:68" s="1" customFormat="1" ht="15">
      <c r="B168" s="27" t="s">
        <v>108</v>
      </c>
      <c r="C168" s="158"/>
      <c r="D168" s="30"/>
      <c r="E168" s="30"/>
      <c r="F168" s="30"/>
      <c r="H168" s="30"/>
      <c r="I168" s="30"/>
      <c r="J168" s="30"/>
      <c r="K168" s="30"/>
      <c r="L168" s="30"/>
      <c r="M168" s="62"/>
      <c r="N168" s="30"/>
      <c r="O168" s="30"/>
      <c r="P168" s="88"/>
      <c r="Q168" s="88"/>
      <c r="R168" s="27" t="s">
        <v>108</v>
      </c>
      <c r="S168" s="19"/>
      <c r="T168" s="19"/>
      <c r="U168" s="19"/>
      <c r="V168" s="27"/>
      <c r="W168" s="62"/>
      <c r="X168" s="27"/>
      <c r="Y168" s="27"/>
      <c r="Z168" s="27"/>
      <c r="AA168" s="27"/>
      <c r="AB168" s="27"/>
      <c r="AC168" s="27"/>
      <c r="AD168" s="27"/>
      <c r="AE168" s="27"/>
      <c r="AF168" s="27"/>
      <c r="AG168" s="62"/>
      <c r="AH168" s="62"/>
      <c r="AI168" s="62"/>
      <c r="AJ168" s="62"/>
      <c r="AK168" s="27" t="s">
        <v>108</v>
      </c>
      <c r="AL168" s="27">
        <v>19.382045608469902</v>
      </c>
      <c r="AM168" s="27">
        <v>15.710127218530999</v>
      </c>
      <c r="AN168" s="27">
        <v>38.766193617422502</v>
      </c>
      <c r="AO168" s="27">
        <v>2.0001670328942001</v>
      </c>
      <c r="AP168" s="27">
        <v>1.2337107897136901</v>
      </c>
      <c r="AQ168" s="38">
        <f t="shared" si="103"/>
        <v>8.6638999999999994E-2</v>
      </c>
      <c r="AR168" s="27">
        <v>6.1885000000000003</v>
      </c>
      <c r="AS168" s="27"/>
      <c r="AT168" s="27" t="s">
        <v>108</v>
      </c>
      <c r="AU168" s="38"/>
      <c r="AV168" s="38"/>
      <c r="AW168" s="38"/>
      <c r="AX168" s="38"/>
      <c r="AY168" s="38"/>
    </row>
    <row r="169" spans="2:68" s="1" customFormat="1" ht="15">
      <c r="B169" s="27" t="s">
        <v>110</v>
      </c>
      <c r="C169" s="158"/>
      <c r="D169" s="30"/>
      <c r="E169" s="30"/>
      <c r="F169" s="30"/>
      <c r="H169" s="30"/>
      <c r="I169" s="30"/>
      <c r="J169" s="30"/>
      <c r="K169" s="30"/>
      <c r="L169" s="30"/>
      <c r="M169" s="62"/>
      <c r="N169" s="30"/>
      <c r="O169" s="30"/>
      <c r="P169" s="88"/>
      <c r="Q169" s="88"/>
      <c r="R169" s="27" t="s">
        <v>110</v>
      </c>
      <c r="S169" s="19"/>
      <c r="T169" s="19"/>
      <c r="U169" s="19"/>
      <c r="V169" s="27"/>
      <c r="W169" s="62"/>
      <c r="X169" s="27"/>
      <c r="Y169" s="27"/>
      <c r="Z169" s="27"/>
      <c r="AA169" s="27"/>
      <c r="AB169" s="27"/>
      <c r="AC169" s="27"/>
      <c r="AD169" s="27"/>
      <c r="AE169" s="27"/>
      <c r="AF169" s="27"/>
      <c r="AG169" s="62"/>
      <c r="AH169" s="62"/>
      <c r="AI169" s="62"/>
      <c r="AJ169" s="62"/>
      <c r="AK169" s="27" t="s">
        <v>110</v>
      </c>
      <c r="AL169" s="27">
        <v>19.6015065970848</v>
      </c>
      <c r="AM169" s="27">
        <v>15.6996946746796</v>
      </c>
      <c r="AN169" s="27">
        <v>38.667366389927601</v>
      </c>
      <c r="AO169" s="27">
        <v>1.97265342434754</v>
      </c>
      <c r="AP169" s="27">
        <v>1.2485648874355999</v>
      </c>
      <c r="AQ169" s="38">
        <f t="shared" si="103"/>
        <v>0.12702059999999998</v>
      </c>
      <c r="AR169" s="27">
        <v>9.0729000000000006</v>
      </c>
      <c r="AS169" s="27"/>
      <c r="AT169" s="27" t="s">
        <v>110</v>
      </c>
      <c r="AU169" s="38"/>
      <c r="AV169" s="38"/>
      <c r="AW169" s="38"/>
      <c r="AX169" s="38"/>
      <c r="AY169" s="38"/>
    </row>
    <row r="170" spans="2:68" s="1" customFormat="1" ht="15">
      <c r="B170" s="27" t="s">
        <v>112</v>
      </c>
      <c r="C170" s="158"/>
      <c r="D170" s="30"/>
      <c r="E170" s="30"/>
      <c r="F170" s="30"/>
      <c r="H170" s="30"/>
      <c r="I170" s="30"/>
      <c r="J170" s="30"/>
      <c r="K170" s="30"/>
      <c r="L170" s="30"/>
      <c r="M170" s="62"/>
      <c r="N170" s="30"/>
      <c r="O170" s="30"/>
      <c r="P170" s="88"/>
      <c r="Q170" s="88"/>
      <c r="R170" s="27" t="s">
        <v>112</v>
      </c>
      <c r="S170" s="19"/>
      <c r="T170" s="19"/>
      <c r="U170" s="19"/>
      <c r="V170" s="27"/>
      <c r="W170" s="62"/>
      <c r="X170" s="27"/>
      <c r="Y170" s="27"/>
      <c r="Z170" s="27"/>
      <c r="AA170" s="27"/>
      <c r="AB170" s="27"/>
      <c r="AC170" s="27"/>
      <c r="AD170" s="27"/>
      <c r="AE170" s="27"/>
      <c r="AF170" s="27"/>
      <c r="AG170" s="62"/>
      <c r="AH170" s="62"/>
      <c r="AI170" s="62"/>
      <c r="AJ170" s="62"/>
      <c r="AK170" s="27" t="s">
        <v>112</v>
      </c>
      <c r="AL170" s="27">
        <v>20.455588912010001</v>
      </c>
      <c r="AM170" s="27">
        <v>15.9279542187101</v>
      </c>
      <c r="AN170" s="27">
        <v>39.539375749802097</v>
      </c>
      <c r="AO170" s="27">
        <v>1.9329402215520799</v>
      </c>
      <c r="AP170" s="27">
        <v>1.28427674624805</v>
      </c>
      <c r="AQ170" s="38">
        <f t="shared" si="103"/>
        <v>0.1123164</v>
      </c>
      <c r="AR170" s="27">
        <v>8.0226000000000006</v>
      </c>
      <c r="AS170" s="27"/>
      <c r="AT170" s="27" t="s">
        <v>112</v>
      </c>
      <c r="AU170" s="38"/>
      <c r="AV170" s="38"/>
      <c r="AW170" s="38"/>
      <c r="AX170" s="38"/>
      <c r="AY170" s="38"/>
    </row>
    <row r="171" spans="2:68" s="1" customFormat="1" ht="15">
      <c r="B171" s="27" t="s">
        <v>114</v>
      </c>
      <c r="C171" s="158"/>
      <c r="D171" s="30"/>
      <c r="E171" s="30"/>
      <c r="F171" s="30"/>
      <c r="H171" s="30"/>
      <c r="I171" s="30"/>
      <c r="J171" s="30"/>
      <c r="K171" s="30"/>
      <c r="L171" s="30"/>
      <c r="M171" s="62"/>
      <c r="N171" s="30"/>
      <c r="O171" s="30"/>
      <c r="P171" s="88"/>
      <c r="Q171" s="88"/>
      <c r="R171" s="27" t="s">
        <v>114</v>
      </c>
      <c r="S171" s="19"/>
      <c r="T171" s="19"/>
      <c r="U171" s="19"/>
      <c r="V171" s="27"/>
      <c r="W171" s="62"/>
      <c r="X171" s="27"/>
      <c r="Y171" s="27"/>
      <c r="Z171" s="27"/>
      <c r="AA171" s="27"/>
      <c r="AB171" s="27"/>
      <c r="AC171" s="27"/>
      <c r="AD171" s="27"/>
      <c r="AE171" s="27"/>
      <c r="AF171" s="27"/>
      <c r="AG171" s="62"/>
      <c r="AH171" s="62"/>
      <c r="AI171" s="62"/>
      <c r="AJ171" s="62"/>
      <c r="AK171" s="27" t="s">
        <v>114</v>
      </c>
      <c r="AL171" s="27">
        <v>19.4622703613882</v>
      </c>
      <c r="AM171" s="27">
        <v>15.7198401195063</v>
      </c>
      <c r="AN171" s="27">
        <v>39.102569895060199</v>
      </c>
      <c r="AO171" s="27">
        <v>2.0091475834268699</v>
      </c>
      <c r="AP171" s="27">
        <v>1.2381264599685899</v>
      </c>
      <c r="AQ171" s="38">
        <f t="shared" si="103"/>
        <v>0.11154779999999999</v>
      </c>
      <c r="AR171" s="27">
        <v>7.9676999999999998</v>
      </c>
      <c r="AS171" s="27"/>
      <c r="AT171" s="27" t="s">
        <v>114</v>
      </c>
      <c r="AU171" s="38"/>
      <c r="AV171" s="38"/>
      <c r="AW171" s="38"/>
      <c r="AX171" s="38"/>
      <c r="AY171" s="38"/>
    </row>
    <row r="172" spans="2:68" s="1" customFormat="1" ht="15">
      <c r="B172" s="48" t="s">
        <v>55</v>
      </c>
      <c r="C172" s="163"/>
      <c r="D172" s="30"/>
      <c r="E172" s="30"/>
      <c r="F172" s="30"/>
      <c r="H172" s="30"/>
      <c r="I172" s="30"/>
      <c r="J172" s="30"/>
      <c r="K172" s="30"/>
      <c r="L172" s="30"/>
      <c r="M172" s="62"/>
      <c r="N172" s="30"/>
      <c r="O172" s="30"/>
      <c r="P172" s="88"/>
      <c r="Q172" s="88"/>
      <c r="R172" s="48" t="s">
        <v>55</v>
      </c>
      <c r="S172" s="19"/>
      <c r="T172" s="19"/>
      <c r="U172" s="19"/>
      <c r="V172" s="27"/>
      <c r="W172" s="62"/>
      <c r="X172" s="27"/>
      <c r="Y172" s="27"/>
      <c r="Z172" s="27"/>
      <c r="AA172" s="27"/>
      <c r="AB172" s="27"/>
      <c r="AC172" s="27"/>
      <c r="AD172" s="27"/>
      <c r="AE172" s="27"/>
      <c r="AF172" s="27"/>
      <c r="AG172" s="62"/>
      <c r="AH172" s="62"/>
      <c r="AI172" s="62"/>
      <c r="AJ172" s="62"/>
      <c r="AK172" s="48" t="s">
        <v>55</v>
      </c>
      <c r="AL172" s="27"/>
      <c r="AM172" s="27"/>
      <c r="AN172" s="27"/>
      <c r="AO172" s="27"/>
      <c r="AP172" s="27"/>
      <c r="AQ172" s="38"/>
      <c r="AR172" s="27"/>
      <c r="AS172" s="27"/>
      <c r="AT172" s="48" t="s">
        <v>55</v>
      </c>
      <c r="AU172" s="38"/>
      <c r="AV172" s="38"/>
      <c r="AW172" s="38"/>
      <c r="AX172" s="38"/>
      <c r="AY172" s="38"/>
    </row>
    <row r="173" spans="2:68" s="1" customFormat="1" ht="15">
      <c r="B173" s="48" t="s">
        <v>56</v>
      </c>
      <c r="C173" s="163"/>
      <c r="D173" s="30"/>
      <c r="E173" s="30"/>
      <c r="F173" s="30"/>
      <c r="H173" s="30"/>
      <c r="I173" s="30"/>
      <c r="J173" s="30"/>
      <c r="K173" s="30"/>
      <c r="L173" s="30"/>
      <c r="M173" s="62"/>
      <c r="N173" s="30"/>
      <c r="O173" s="30"/>
      <c r="P173" s="88"/>
      <c r="Q173" s="88"/>
      <c r="R173" s="48" t="s">
        <v>56</v>
      </c>
      <c r="S173" s="19"/>
      <c r="T173" s="19"/>
      <c r="U173" s="19"/>
      <c r="V173" s="27"/>
      <c r="W173" s="62"/>
      <c r="X173" s="27"/>
      <c r="Y173" s="27"/>
      <c r="Z173" s="27"/>
      <c r="AA173" s="27"/>
      <c r="AB173" s="27"/>
      <c r="AC173" s="27"/>
      <c r="AD173" s="27"/>
      <c r="AE173" s="27"/>
      <c r="AF173" s="27"/>
      <c r="AG173" s="62"/>
      <c r="AH173" s="62"/>
      <c r="AI173" s="62"/>
      <c r="AJ173" s="62"/>
      <c r="AK173" s="48" t="s">
        <v>56</v>
      </c>
      <c r="AL173" s="27"/>
      <c r="AM173" s="27"/>
      <c r="AN173" s="27"/>
      <c r="AO173" s="27"/>
      <c r="AP173" s="27"/>
      <c r="AQ173" s="38"/>
      <c r="AR173" s="27"/>
      <c r="AS173" s="27"/>
      <c r="AT173" s="48" t="s">
        <v>56</v>
      </c>
      <c r="AU173" s="38"/>
      <c r="AV173" s="38"/>
      <c r="AW173" s="38"/>
      <c r="AX173" s="38"/>
      <c r="AY173" s="38"/>
    </row>
    <row r="174" spans="2:68" s="1" customFormat="1" ht="15">
      <c r="B174" s="48" t="s">
        <v>57</v>
      </c>
      <c r="C174" s="163"/>
      <c r="D174" s="39"/>
      <c r="E174" s="39"/>
      <c r="F174" s="39"/>
      <c r="H174" s="39"/>
      <c r="I174" s="39"/>
      <c r="J174" s="39"/>
      <c r="K174" s="39"/>
      <c r="L174" s="39"/>
      <c r="M174" s="65"/>
      <c r="N174" s="39"/>
      <c r="O174" s="39"/>
      <c r="P174" s="92"/>
      <c r="Q174" s="92"/>
      <c r="R174" s="48" t="s">
        <v>57</v>
      </c>
      <c r="S174" s="20"/>
      <c r="T174" s="20"/>
      <c r="U174" s="20"/>
      <c r="V174" s="48"/>
      <c r="W174" s="65"/>
      <c r="X174" s="48"/>
      <c r="Y174" s="48"/>
      <c r="Z174" s="48"/>
      <c r="AA174" s="48"/>
      <c r="AB174" s="48"/>
      <c r="AC174" s="48"/>
      <c r="AD174" s="48"/>
      <c r="AE174" s="48"/>
      <c r="AF174" s="48"/>
      <c r="AG174" s="65"/>
      <c r="AH174" s="65"/>
      <c r="AI174" s="65"/>
      <c r="AJ174" s="65"/>
      <c r="AK174" s="48" t="s">
        <v>57</v>
      </c>
      <c r="AL174" s="48">
        <v>18.669281217921501</v>
      </c>
      <c r="AM174" s="48">
        <v>15.3417927414577</v>
      </c>
      <c r="AN174" s="48">
        <v>38.354949732945101</v>
      </c>
      <c r="AO174" s="48">
        <v>1.9329402215520799</v>
      </c>
      <c r="AP174" s="48">
        <v>1.1974454063530899</v>
      </c>
      <c r="AQ174" s="48"/>
      <c r="AR174" s="48">
        <v>2.625</v>
      </c>
      <c r="AS174" s="48"/>
      <c r="AT174" s="48" t="s">
        <v>57</v>
      </c>
      <c r="AU174" s="38"/>
      <c r="AV174" s="38"/>
      <c r="AW174" s="38"/>
      <c r="AX174" s="38"/>
      <c r="AY174" s="38"/>
    </row>
    <row r="175" spans="2:68" s="82" customFormat="1" ht="15">
      <c r="B175" s="83"/>
      <c r="C175" s="171"/>
      <c r="D175" s="84"/>
      <c r="E175" s="84"/>
      <c r="F175" s="84"/>
      <c r="H175" s="84"/>
      <c r="I175" s="84"/>
      <c r="J175" s="84"/>
      <c r="K175" s="84"/>
      <c r="L175" s="84"/>
      <c r="M175" s="126"/>
      <c r="N175" s="84"/>
      <c r="O175" s="84"/>
      <c r="P175" s="98"/>
      <c r="Q175" s="98"/>
      <c r="R175" s="83"/>
      <c r="V175" s="83"/>
      <c r="W175" s="126"/>
      <c r="AG175" s="126"/>
      <c r="AH175" s="126"/>
      <c r="AI175" s="126"/>
      <c r="AJ175" s="126"/>
      <c r="AK175" s="83"/>
      <c r="AQ175" s="175"/>
      <c r="AR175" s="175"/>
      <c r="AS175" s="175"/>
      <c r="AT175" s="176"/>
      <c r="AU175" s="85"/>
      <c r="AV175" s="85"/>
      <c r="AW175" s="85"/>
      <c r="AX175" s="85"/>
      <c r="AY175" s="175"/>
      <c r="BG175" s="86"/>
      <c r="BI175" s="86"/>
      <c r="BJ175" s="86"/>
      <c r="BK175" s="86"/>
      <c r="BL175" s="86"/>
      <c r="BM175" s="86"/>
      <c r="BN175" s="86"/>
      <c r="BO175" s="86"/>
      <c r="BP175" s="86"/>
    </row>
    <row r="176" spans="2:68" s="1" customFormat="1" ht="15.75">
      <c r="B176" s="2"/>
      <c r="C176" s="157"/>
      <c r="D176" s="80" t="s">
        <v>127</v>
      </c>
      <c r="E176" s="24"/>
      <c r="H176" s="24"/>
      <c r="I176" s="24"/>
      <c r="J176" s="24"/>
      <c r="L176" s="24"/>
      <c r="M176" s="40"/>
      <c r="N176" s="24"/>
      <c r="O176" s="24"/>
      <c r="P176" s="87"/>
      <c r="Q176" s="87"/>
      <c r="R176" s="2"/>
      <c r="V176" s="2"/>
      <c r="W176" s="40"/>
      <c r="AG176" s="40"/>
      <c r="AH176" s="40"/>
      <c r="AI176" s="40"/>
      <c r="AJ176" s="40"/>
      <c r="AK176" s="2"/>
      <c r="AQ176" s="38"/>
      <c r="AR176" s="38"/>
      <c r="AS176" s="38"/>
      <c r="AT176" s="27"/>
      <c r="AU176" s="36"/>
      <c r="AV176" s="36"/>
      <c r="AW176" s="36"/>
      <c r="AX176" s="36"/>
      <c r="AY176" s="19"/>
      <c r="AZ176" s="19"/>
      <c r="BA176" s="19"/>
      <c r="BB176" s="19"/>
      <c r="BC176" s="19"/>
      <c r="BD176" s="19"/>
      <c r="BE176" s="19"/>
      <c r="BF176" s="19"/>
      <c r="BG176" s="10"/>
      <c r="BI176" s="10"/>
      <c r="BJ176" s="10"/>
      <c r="BK176" s="10"/>
      <c r="BL176" s="10"/>
      <c r="BM176" s="10"/>
      <c r="BN176" s="10"/>
      <c r="BO176" s="10"/>
      <c r="BP176" s="10"/>
    </row>
    <row r="177" spans="2:68" s="1" customFormat="1" ht="18">
      <c r="B177" s="27" t="s">
        <v>32</v>
      </c>
      <c r="C177" s="158"/>
      <c r="D177" s="17" t="s">
        <v>1</v>
      </c>
      <c r="E177" s="28" t="s">
        <v>2</v>
      </c>
      <c r="F177" s="17" t="s">
        <v>3</v>
      </c>
      <c r="G177" s="17" t="s">
        <v>4</v>
      </c>
      <c r="H177" s="29" t="s">
        <v>5</v>
      </c>
      <c r="I177" s="29" t="s">
        <v>6</v>
      </c>
      <c r="J177" s="29" t="s">
        <v>7</v>
      </c>
      <c r="K177" s="29" t="s">
        <v>8</v>
      </c>
      <c r="L177" s="29" t="s">
        <v>9</v>
      </c>
      <c r="M177" s="138" t="s">
        <v>10</v>
      </c>
      <c r="N177" s="40" t="s">
        <v>11</v>
      </c>
      <c r="O177" s="40"/>
      <c r="P177" s="88" t="s">
        <v>12</v>
      </c>
      <c r="Q177" s="88" t="s">
        <v>13</v>
      </c>
      <c r="R177" s="27" t="s">
        <v>32</v>
      </c>
      <c r="S177" s="20" t="s">
        <v>14</v>
      </c>
      <c r="T177" s="20" t="s">
        <v>15</v>
      </c>
      <c r="U177" s="20" t="s">
        <v>16</v>
      </c>
      <c r="V177" s="48" t="s">
        <v>17</v>
      </c>
      <c r="W177" s="62" t="s">
        <v>25</v>
      </c>
      <c r="X177" s="31" t="s">
        <v>18</v>
      </c>
      <c r="Y177" s="31" t="s">
        <v>19</v>
      </c>
      <c r="Z177" s="31" t="s">
        <v>20</v>
      </c>
      <c r="AA177" s="30" t="s">
        <v>21</v>
      </c>
      <c r="AB177" s="31" t="s">
        <v>22</v>
      </c>
      <c r="AC177" s="30" t="s">
        <v>23</v>
      </c>
      <c r="AD177" s="30" t="s">
        <v>24</v>
      </c>
      <c r="AE177" s="30" t="s">
        <v>26</v>
      </c>
      <c r="AF177" s="30" t="s">
        <v>27</v>
      </c>
      <c r="AG177" s="65" t="s">
        <v>28</v>
      </c>
      <c r="AH177" s="65" t="s">
        <v>29</v>
      </c>
      <c r="AI177" s="65" t="s">
        <v>30</v>
      </c>
      <c r="AJ177" s="65" t="s">
        <v>31</v>
      </c>
      <c r="AK177" s="27" t="s">
        <v>32</v>
      </c>
      <c r="AL177" s="32" t="s">
        <v>116</v>
      </c>
      <c r="AM177" s="32" t="s">
        <v>117</v>
      </c>
      <c r="AN177" s="32" t="s">
        <v>118</v>
      </c>
      <c r="AO177" s="33" t="s">
        <v>119</v>
      </c>
      <c r="AP177" s="33" t="s">
        <v>120</v>
      </c>
      <c r="AQ177" s="38" t="s">
        <v>121</v>
      </c>
      <c r="AR177" s="33" t="s">
        <v>14</v>
      </c>
      <c r="AS177" s="38"/>
      <c r="AT177" s="27" t="s">
        <v>32</v>
      </c>
      <c r="AU177" s="34" t="s">
        <v>122</v>
      </c>
      <c r="AV177" s="34" t="s">
        <v>123</v>
      </c>
      <c r="AW177" s="34" t="s">
        <v>124</v>
      </c>
      <c r="AX177" s="34" t="s">
        <v>33</v>
      </c>
      <c r="AY177" s="20" t="s">
        <v>14</v>
      </c>
      <c r="AZ177" s="20"/>
      <c r="BA177" s="20"/>
      <c r="BB177" s="20"/>
      <c r="BC177" s="20"/>
      <c r="BD177" s="20"/>
      <c r="BE177" s="20"/>
      <c r="BF177" s="20"/>
    </row>
    <row r="178" spans="2:68" s="1" customFormat="1" ht="15">
      <c r="B178" s="68" t="s">
        <v>37</v>
      </c>
      <c r="C178" s="158" t="s">
        <v>142</v>
      </c>
      <c r="D178" s="24">
        <f>(D12/D28)*(0.52/1)-1</f>
        <v>-0.44300353303557982</v>
      </c>
      <c r="E178" s="24">
        <f t="shared" ref="E178:AX178" si="104">(E12/E28)*(0.52/1)-1</f>
        <v>2.9309608198828663E-3</v>
      </c>
      <c r="F178" s="24">
        <f t="shared" si="104"/>
        <v>-0.46128752605488632</v>
      </c>
      <c r="G178" s="24">
        <f t="shared" si="104"/>
        <v>-0.46154787846905232</v>
      </c>
      <c r="H178" s="24">
        <f t="shared" si="104"/>
        <v>-0.1500585077797616</v>
      </c>
      <c r="I178" s="24">
        <f t="shared" si="104"/>
        <v>-0.84887276275971568</v>
      </c>
      <c r="J178" s="24">
        <f t="shared" si="104"/>
        <v>-0.95628872325724479</v>
      </c>
      <c r="K178" s="24">
        <f t="shared" si="104"/>
        <v>-0.8916462438572812</v>
      </c>
      <c r="L178" s="24">
        <f t="shared" si="104"/>
        <v>-0.7387027259861072</v>
      </c>
      <c r="M178" s="40">
        <f t="shared" si="104"/>
        <v>-0.21405410248811008</v>
      </c>
      <c r="N178" s="24">
        <f t="shared" si="104"/>
        <v>-0.52418223234624495</v>
      </c>
      <c r="O178" s="24"/>
      <c r="P178" s="24"/>
      <c r="Q178" s="24"/>
      <c r="R178" s="68" t="s">
        <v>37</v>
      </c>
      <c r="S178" s="24">
        <f t="shared" si="104"/>
        <v>-0.47425859465395848</v>
      </c>
      <c r="T178" s="24">
        <f t="shared" si="104"/>
        <v>-0.68421708456769381</v>
      </c>
      <c r="U178" s="24">
        <f t="shared" si="104"/>
        <v>-0.58087312086590492</v>
      </c>
      <c r="V178" s="2">
        <f t="shared" si="104"/>
        <v>0.52310425085787515</v>
      </c>
      <c r="W178" s="40">
        <f>(W12/W28)*(0.52/1)-1</f>
        <v>-0.13061180292365993</v>
      </c>
      <c r="X178" s="24">
        <f t="shared" si="104"/>
        <v>-0.54712798323159961</v>
      </c>
      <c r="Y178" s="24">
        <f t="shared" si="104"/>
        <v>-0.52831455362067614</v>
      </c>
      <c r="Z178" s="24">
        <f t="shared" si="104"/>
        <v>-0.16353133014723942</v>
      </c>
      <c r="AA178" s="24">
        <f t="shared" si="104"/>
        <v>-0.71577858064270439</v>
      </c>
      <c r="AB178" s="24">
        <f t="shared" si="104"/>
        <v>-0.76825414444807194</v>
      </c>
      <c r="AC178" s="24">
        <f t="shared" si="104"/>
        <v>-0.80055946423703017</v>
      </c>
      <c r="AD178" s="24">
        <f t="shared" si="104"/>
        <v>-0.83052558894272266</v>
      </c>
      <c r="AE178" s="24">
        <f t="shared" si="104"/>
        <v>-0.76663420406762806</v>
      </c>
      <c r="AF178" s="24">
        <f t="shared" si="104"/>
        <v>-0.86246954941310117</v>
      </c>
      <c r="AG178" s="40">
        <f t="shared" si="104"/>
        <v>0.3799114260407439</v>
      </c>
      <c r="AH178" s="40">
        <f t="shared" si="104"/>
        <v>0.41928659286592884</v>
      </c>
      <c r="AI178" s="40">
        <f>(AI12/AI28)*(0.52/1)-1</f>
        <v>-0.10177493138151883</v>
      </c>
      <c r="AJ178" s="40">
        <f t="shared" si="104"/>
        <v>1.3844311377245511E-2</v>
      </c>
      <c r="AK178" s="68" t="s">
        <v>37</v>
      </c>
      <c r="AL178" s="24"/>
      <c r="AM178" s="24"/>
      <c r="AN178" s="24"/>
      <c r="AO178" s="24"/>
      <c r="AP178" s="24"/>
      <c r="AQ178" s="30"/>
      <c r="AR178" s="30"/>
      <c r="AS178" s="30"/>
      <c r="AT178" s="68" t="s">
        <v>37</v>
      </c>
      <c r="AU178" s="30">
        <f t="shared" si="104"/>
        <v>-0.49154905241987101</v>
      </c>
      <c r="AV178" s="30">
        <f t="shared" si="104"/>
        <v>-0.48009884245890511</v>
      </c>
      <c r="AW178" s="30">
        <f t="shared" si="104"/>
        <v>-0.47853974488052897</v>
      </c>
      <c r="AX178" s="30">
        <f t="shared" si="104"/>
        <v>-0.48232296748583969</v>
      </c>
      <c r="AY178" s="27">
        <f t="shared" ref="AY178" si="105">(AY12/$E12)/(AY$28/$E$28)-1</f>
        <v>-0.47579501891510578</v>
      </c>
      <c r="AZ178" s="2"/>
      <c r="BA178" s="2"/>
      <c r="BB178" s="2"/>
      <c r="BC178" s="2"/>
      <c r="BD178" s="2"/>
      <c r="BE178" s="2"/>
      <c r="BF178" s="2"/>
      <c r="BG178" s="2"/>
      <c r="BI178" s="2"/>
      <c r="BJ178" s="2"/>
      <c r="BK178" s="2"/>
      <c r="BL178" s="2"/>
      <c r="BM178" s="2"/>
      <c r="BN178" s="2"/>
      <c r="BO178" s="2"/>
      <c r="BP178" s="2"/>
    </row>
    <row r="179" spans="2:68" s="1" customFormat="1" ht="15">
      <c r="B179" s="68" t="s">
        <v>38</v>
      </c>
      <c r="C179" s="172">
        <v>15</v>
      </c>
      <c r="D179" s="24">
        <f>(D13/D28)*(0.52/1.02)-1</f>
        <v>-0.45260932309566393</v>
      </c>
      <c r="E179" s="24">
        <f t="shared" ref="E179:AX179" si="106">(E13/E28)*(0.52/1.02)-1</f>
        <v>-8.4489340787730072E-4</v>
      </c>
      <c r="F179" s="24">
        <f t="shared" si="106"/>
        <v>-0.46848976655932806</v>
      </c>
      <c r="G179" s="24">
        <f t="shared" si="106"/>
        <v>-0.49623743198677162</v>
      </c>
      <c r="H179" s="24">
        <f t="shared" si="106"/>
        <v>-0.13787706515666531</v>
      </c>
      <c r="I179" s="24">
        <f t="shared" si="106"/>
        <v>-0.85033933322101629</v>
      </c>
      <c r="J179" s="24">
        <f t="shared" si="106"/>
        <v>-0.95534779693091043</v>
      </c>
      <c r="K179" s="24">
        <f t="shared" si="106"/>
        <v>-0.88157075232099436</v>
      </c>
      <c r="L179" s="24">
        <f t="shared" si="106"/>
        <v>-0.72076218997945718</v>
      </c>
      <c r="M179" s="40">
        <f t="shared" si="106"/>
        <v>-0.26364558741616095</v>
      </c>
      <c r="N179" s="24">
        <f t="shared" si="106"/>
        <v>-0.55774360471323581</v>
      </c>
      <c r="O179" s="24"/>
      <c r="P179" s="24" t="s">
        <v>143</v>
      </c>
      <c r="Q179" s="24"/>
      <c r="R179" s="68" t="s">
        <v>38</v>
      </c>
      <c r="S179" s="24">
        <f t="shared" si="106"/>
        <v>-0.46827264019294457</v>
      </c>
      <c r="T179" s="24">
        <f t="shared" si="106"/>
        <v>-0.50728659461015368</v>
      </c>
      <c r="U179" s="24">
        <f t="shared" si="106"/>
        <v>-0.59270866494523244</v>
      </c>
      <c r="V179" s="2">
        <f t="shared" si="106"/>
        <v>9.3267118465051979E-2</v>
      </c>
      <c r="W179" s="40">
        <f>(W13/W28)*(0.52/1.02)-1</f>
        <v>-0.5771415225537968</v>
      </c>
      <c r="X179" s="24">
        <f t="shared" si="106"/>
        <v>-0.30093941278105663</v>
      </c>
      <c r="Y179" s="24">
        <f t="shared" si="106"/>
        <v>-0.40159023712445086</v>
      </c>
      <c r="Z179" s="24">
        <f t="shared" si="106"/>
        <v>-0.31242064045623807</v>
      </c>
      <c r="AA179" s="24">
        <f t="shared" si="106"/>
        <v>-0.76739578786184337</v>
      </c>
      <c r="AB179" s="24">
        <f t="shared" si="106"/>
        <v>-0.7024211244333769</v>
      </c>
      <c r="AC179" s="24">
        <f t="shared" si="106"/>
        <v>-0.70225607370301757</v>
      </c>
      <c r="AD179" s="24">
        <f t="shared" si="106"/>
        <v>-0.75374457609911483</v>
      </c>
      <c r="AE179" s="24">
        <f t="shared" si="106"/>
        <v>-0.5563516605818859</v>
      </c>
      <c r="AF179" s="24">
        <f t="shared" si="106"/>
        <v>-0.84646041680587425</v>
      </c>
      <c r="AG179" s="40">
        <f t="shared" si="106"/>
        <v>-6.7541985793431736E-2</v>
      </c>
      <c r="AH179" s="40">
        <f t="shared" si="106"/>
        <v>-1.0853049706968099E-3</v>
      </c>
      <c r="AI179" s="40">
        <f t="shared" si="106"/>
        <v>-0.31948406077893199</v>
      </c>
      <c r="AJ179" s="40">
        <f t="shared" si="106"/>
        <v>-0.21850416813431961</v>
      </c>
      <c r="AK179" s="68" t="s">
        <v>38</v>
      </c>
      <c r="AL179" s="24"/>
      <c r="AM179" s="24"/>
      <c r="AN179" s="24"/>
      <c r="AO179" s="24"/>
      <c r="AP179" s="24"/>
      <c r="AQ179" s="30"/>
      <c r="AR179" s="30"/>
      <c r="AS179" s="30"/>
      <c r="AT179" s="68" t="s">
        <v>38</v>
      </c>
      <c r="AU179" s="30">
        <f t="shared" si="106"/>
        <v>-0.47484446112722711</v>
      </c>
      <c r="AV179" s="30">
        <f t="shared" si="106"/>
        <v>-0.46149685461057077</v>
      </c>
      <c r="AW179" s="30">
        <f t="shared" si="106"/>
        <v>-0.46523515115282743</v>
      </c>
      <c r="AX179" s="30">
        <f t="shared" si="106"/>
        <v>-0.46699279632750046</v>
      </c>
      <c r="AY179" s="27">
        <f t="shared" ref="AY179" si="107">(AY13/$E13)/(AY$28/$E$28)-1</f>
        <v>-0.46782300736003912</v>
      </c>
      <c r="AZ179" s="2"/>
      <c r="BA179" s="2"/>
      <c r="BB179" s="2"/>
      <c r="BC179" s="2"/>
      <c r="BD179" s="2"/>
      <c r="BE179" s="2"/>
      <c r="BF179" s="2"/>
      <c r="BG179" s="2"/>
      <c r="BI179" s="2"/>
      <c r="BJ179" s="2"/>
      <c r="BK179" s="2"/>
      <c r="BL179" s="2"/>
      <c r="BM179" s="2"/>
      <c r="BN179" s="2"/>
      <c r="BO179" s="2"/>
      <c r="BP179" s="2"/>
    </row>
    <row r="180" spans="2:68" s="1" customFormat="1" ht="15">
      <c r="B180" s="68" t="s">
        <v>39</v>
      </c>
      <c r="C180" s="156">
        <v>30</v>
      </c>
      <c r="D180" s="24">
        <f>(D14/D28)*(0.52/0.7)-1</f>
        <v>-0.19346057941116579</v>
      </c>
      <c r="E180" s="24">
        <f t="shared" ref="E180:AX180" si="108">(E14/E28)*(0.52/0.7)-1</f>
        <v>1.0606950184822717E-2</v>
      </c>
      <c r="F180" s="24">
        <f t="shared" si="108"/>
        <v>-0.1675042304804214</v>
      </c>
      <c r="G180" s="24">
        <f t="shared" si="108"/>
        <v>-0.24934289984137381</v>
      </c>
      <c r="H180" s="24">
        <f t="shared" si="108"/>
        <v>-0.1520060729055932</v>
      </c>
      <c r="I180" s="24">
        <f t="shared" si="108"/>
        <v>-0.72786882722503121</v>
      </c>
      <c r="J180" s="24">
        <f t="shared" si="108"/>
        <v>-0.95434482279658228</v>
      </c>
      <c r="K180" s="24">
        <f t="shared" si="108"/>
        <v>-0.89326311187584173</v>
      </c>
      <c r="L180" s="24">
        <f t="shared" si="108"/>
        <v>-0.3895095230643898</v>
      </c>
      <c r="M180" s="40">
        <f t="shared" si="108"/>
        <v>-0.19841801674145032</v>
      </c>
      <c r="N180" s="24">
        <f t="shared" si="108"/>
        <v>-0.5464958749457256</v>
      </c>
      <c r="O180" s="24"/>
      <c r="P180" s="24"/>
      <c r="Q180" s="24"/>
      <c r="R180" s="68" t="s">
        <v>39</v>
      </c>
      <c r="S180" s="24">
        <f t="shared" si="108"/>
        <v>-0.11643253571358536</v>
      </c>
      <c r="T180" s="24">
        <f t="shared" si="108"/>
        <v>-0.31235669419708756</v>
      </c>
      <c r="U180" s="24">
        <f t="shared" si="108"/>
        <v>-0.33790567820633965</v>
      </c>
      <c r="V180" s="2">
        <f t="shared" si="108"/>
        <v>0.27453257511959639</v>
      </c>
      <c r="W180" s="40">
        <f>(W14/W28)*(0.52/0.7)-1</f>
        <v>0.92209761002397705</v>
      </c>
      <c r="X180" s="24">
        <f t="shared" si="108"/>
        <v>-0.3644921230665521</v>
      </c>
      <c r="Y180" s="24">
        <f t="shared" si="108"/>
        <v>-0.38172308084844531</v>
      </c>
      <c r="Z180" s="24">
        <f t="shared" si="108"/>
        <v>-0.20750901034405489</v>
      </c>
      <c r="AA180" s="24">
        <f t="shared" si="108"/>
        <v>-0.76471823453130661</v>
      </c>
      <c r="AB180" s="24">
        <f t="shared" si="108"/>
        <v>-0.7019180282843358</v>
      </c>
      <c r="AC180" s="24">
        <f t="shared" si="108"/>
        <v>-0.63883816676696625</v>
      </c>
      <c r="AD180" s="24">
        <f t="shared" si="108"/>
        <v>-0.61653215531088312</v>
      </c>
      <c r="AE180" s="24">
        <f t="shared" si="108"/>
        <v>-0.60890952896120587</v>
      </c>
      <c r="AF180" s="24">
        <f t="shared" si="108"/>
        <v>-0.87561854275977713</v>
      </c>
      <c r="AG180" s="40">
        <f t="shared" si="108"/>
        <v>0.14224977856510179</v>
      </c>
      <c r="AH180" s="40">
        <f t="shared" si="108"/>
        <v>0.10309260235459505</v>
      </c>
      <c r="AI180" s="40">
        <f t="shared" si="108"/>
        <v>-8.7910077114102703E-2</v>
      </c>
      <c r="AJ180" s="40">
        <f t="shared" si="108"/>
        <v>-2.2275449101796241E-2</v>
      </c>
      <c r="AK180" s="68" t="s">
        <v>39</v>
      </c>
      <c r="AL180" s="24"/>
      <c r="AM180" s="24"/>
      <c r="AN180" s="24"/>
      <c r="AO180" s="24"/>
      <c r="AP180" s="24"/>
      <c r="AQ180" s="30"/>
      <c r="AR180" s="30"/>
      <c r="AS180" s="30"/>
      <c r="AT180" s="68" t="s">
        <v>39</v>
      </c>
      <c r="AU180" s="30">
        <f t="shared" si="108"/>
        <v>-0.1373675569773416</v>
      </c>
      <c r="AV180" s="30">
        <f t="shared" si="108"/>
        <v>-0.12512484488236841</v>
      </c>
      <c r="AW180" s="30">
        <f t="shared" si="108"/>
        <v>-0.12020722238456927</v>
      </c>
      <c r="AX180" s="30">
        <f t="shared" si="108"/>
        <v>-0.12580423856211409</v>
      </c>
      <c r="AY180" s="27">
        <f t="shared" ref="AY180" si="109">(AY14/$E14)/(AY$28/$E$28)-1</f>
        <v>-0.12570612726854369</v>
      </c>
      <c r="AZ180" s="2"/>
      <c r="BA180" s="2"/>
      <c r="BB180" s="2"/>
      <c r="BC180" s="2"/>
      <c r="BD180" s="2"/>
      <c r="BE180" s="2"/>
      <c r="BF180" s="2"/>
      <c r="BG180" s="2"/>
      <c r="BI180" s="2"/>
      <c r="BJ180" s="2"/>
      <c r="BK180" s="2"/>
      <c r="BL180" s="2"/>
      <c r="BM180" s="2"/>
      <c r="BN180" s="2"/>
      <c r="BO180" s="2"/>
      <c r="BP180" s="2"/>
    </row>
    <row r="181" spans="2:68" s="1" customFormat="1" ht="15">
      <c r="B181" s="68" t="s">
        <v>40</v>
      </c>
      <c r="C181" s="172">
        <v>45</v>
      </c>
      <c r="D181" s="24">
        <f>(D15/D28)*(0.52/0.61)-1</f>
        <v>-0.14056390685028242</v>
      </c>
      <c r="E181" s="24">
        <f t="shared" ref="E181:AX181" si="110">(E15/E28)*(0.52/0.61)-1</f>
        <v>-3.0850544842475625E-3</v>
      </c>
      <c r="F181" s="24">
        <f t="shared" si="110"/>
        <v>1.8937502442690324E-2</v>
      </c>
      <c r="G181" s="24">
        <f t="shared" si="110"/>
        <v>0.84172550213896069</v>
      </c>
      <c r="H181" s="24">
        <f t="shared" si="110"/>
        <v>-0.83088050031429228</v>
      </c>
      <c r="I181" s="24">
        <f t="shared" si="110"/>
        <v>-0.68325722917009601</v>
      </c>
      <c r="J181" s="24">
        <f t="shared" si="110"/>
        <v>-0.96113849794456074</v>
      </c>
      <c r="K181" s="24">
        <f t="shared" si="110"/>
        <v>-0.88232152937980723</v>
      </c>
      <c r="L181" s="24">
        <f t="shared" si="110"/>
        <v>-0.22147298588456743</v>
      </c>
      <c r="M181" s="40">
        <f t="shared" si="110"/>
        <v>-0.25836125284885181</v>
      </c>
      <c r="N181" s="24">
        <f t="shared" si="110"/>
        <v>-0.43825106731061181</v>
      </c>
      <c r="O181" s="24"/>
      <c r="P181" s="24"/>
      <c r="Q181" s="24"/>
      <c r="R181" s="68" t="s">
        <v>40</v>
      </c>
      <c r="S181" s="24">
        <f t="shared" si="110"/>
        <v>-0.17321623134394326</v>
      </c>
      <c r="T181" s="24">
        <f t="shared" si="110"/>
        <v>5.1938019038483052E-2</v>
      </c>
      <c r="U181" s="24">
        <f t="shared" si="110"/>
        <v>-0.27876738661120026</v>
      </c>
      <c r="V181" s="2">
        <f t="shared" si="110"/>
        <v>-0.31053820176392022</v>
      </c>
      <c r="W181" s="40">
        <f>(W15/W28)*(0.52/0.61)-1</f>
        <v>-0.54861672006887552</v>
      </c>
      <c r="X181" s="24">
        <f t="shared" si="110"/>
        <v>-0.22370616143386535</v>
      </c>
      <c r="Y181" s="24">
        <f t="shared" si="110"/>
        <v>-0.20022321226737416</v>
      </c>
      <c r="Z181" s="24">
        <f t="shared" si="110"/>
        <v>-0.89282611397505485</v>
      </c>
      <c r="AA181" s="24">
        <f t="shared" si="110"/>
        <v>-0.88157011413474318</v>
      </c>
      <c r="AB181" s="24">
        <f t="shared" si="110"/>
        <v>-0.69976694634294856</v>
      </c>
      <c r="AC181" s="24">
        <f t="shared" si="110"/>
        <v>-0.19558724919540826</v>
      </c>
      <c r="AD181" s="24">
        <f t="shared" si="110"/>
        <v>-0.22542856080957296</v>
      </c>
      <c r="AE181" s="24">
        <f t="shared" si="110"/>
        <v>-0.64247435312219603</v>
      </c>
      <c r="AF181" s="24">
        <f t="shared" si="110"/>
        <v>-0.93545971781677328</v>
      </c>
      <c r="AG181" s="40">
        <f t="shared" si="110"/>
        <v>-1.0875720570938996E-2</v>
      </c>
      <c r="AH181" s="40">
        <f t="shared" si="110"/>
        <v>-5.4745629423507358E-2</v>
      </c>
      <c r="AI181" s="40">
        <f t="shared" si="110"/>
        <v>-9.2166244206800196E-2</v>
      </c>
      <c r="AJ181" s="40">
        <f t="shared" si="110"/>
        <v>-6.7910081476391437E-2</v>
      </c>
      <c r="AK181" s="68" t="s">
        <v>40</v>
      </c>
      <c r="AL181" s="24"/>
      <c r="AM181" s="24"/>
      <c r="AN181" s="24"/>
      <c r="AO181" s="24"/>
      <c r="AP181" s="24"/>
      <c r="AQ181" s="30"/>
      <c r="AR181" s="30"/>
      <c r="AS181" s="30"/>
      <c r="AT181" s="68" t="s">
        <v>40</v>
      </c>
      <c r="AU181" s="30">
        <f t="shared" si="110"/>
        <v>-0.18474280651225672</v>
      </c>
      <c r="AV181" s="30">
        <f t="shared" si="110"/>
        <v>-0.18719426287532548</v>
      </c>
      <c r="AW181" s="30">
        <f t="shared" si="110"/>
        <v>-0.17126947472686105</v>
      </c>
      <c r="AX181" s="30">
        <f t="shared" si="110"/>
        <v>-0.17822185751530351</v>
      </c>
      <c r="AY181" s="27">
        <f t="shared" ref="AY181" si="111">(AY15/$E15)/(AY$28/$E$28)-1</f>
        <v>-0.17065766505454349</v>
      </c>
      <c r="AZ181" s="2"/>
      <c r="BA181" s="2"/>
      <c r="BB181" s="2"/>
      <c r="BC181" s="2"/>
      <c r="BD181" s="2"/>
      <c r="BE181" s="2"/>
      <c r="BF181" s="2"/>
      <c r="BG181" s="2"/>
      <c r="BI181" s="2"/>
      <c r="BJ181" s="2"/>
      <c r="BK181" s="2"/>
      <c r="BL181" s="2"/>
      <c r="BM181" s="2"/>
      <c r="BN181" s="2"/>
      <c r="BO181" s="2"/>
      <c r="BP181" s="2"/>
    </row>
    <row r="182" spans="2:68" s="1" customFormat="1" ht="15">
      <c r="B182" s="68" t="s">
        <v>41</v>
      </c>
      <c r="C182" s="172">
        <v>60</v>
      </c>
      <c r="D182" s="1">
        <f>(D16/D28)*(0.52/0.62)-1</f>
        <v>-5.3708917626517305E-2</v>
      </c>
      <c r="E182" s="1">
        <f t="shared" ref="E182:AX182" si="112">(E16/E28)*(0.52/0.62)-1</f>
        <v>9.9999351366062417E-3</v>
      </c>
      <c r="F182" s="1">
        <f t="shared" si="112"/>
        <v>-6.8709261734512306E-2</v>
      </c>
      <c r="G182" s="1">
        <f t="shared" si="112"/>
        <v>-0.50110291933753115</v>
      </c>
      <c r="H182" s="1">
        <f t="shared" si="112"/>
        <v>-0.83334781791059032</v>
      </c>
      <c r="I182" s="1">
        <f t="shared" si="112"/>
        <v>-0.66575938760719344</v>
      </c>
      <c r="J182" s="1">
        <f t="shared" si="112"/>
        <v>-0.95319555737063388</v>
      </c>
      <c r="K182" s="1">
        <f t="shared" si="112"/>
        <v>-0.88421956922851996</v>
      </c>
      <c r="L182" s="1">
        <f t="shared" si="112"/>
        <v>-0.19447262286753098</v>
      </c>
      <c r="M182" s="40">
        <f t="shared" si="112"/>
        <v>-0.61915074857802477</v>
      </c>
      <c r="N182" s="1">
        <f t="shared" si="112"/>
        <v>-0.62705445975441798</v>
      </c>
      <c r="R182" s="68" t="s">
        <v>41</v>
      </c>
      <c r="S182" s="1">
        <f t="shared" si="112"/>
        <v>6.733952417915634E-2</v>
      </c>
      <c r="T182" s="1">
        <f t="shared" si="112"/>
        <v>2.2701724968547721E-2</v>
      </c>
      <c r="U182" s="1">
        <f t="shared" si="112"/>
        <v>-0.32903225806451608</v>
      </c>
      <c r="V182" s="2">
        <f t="shared" si="112"/>
        <v>-0.50527216192989999</v>
      </c>
      <c r="W182" s="40">
        <f>(W16/W28)*(0.52/0.62)-1</f>
        <v>-0.76296348044780549</v>
      </c>
      <c r="X182" s="1">
        <f t="shared" si="112"/>
        <v>0.68572979373980747</v>
      </c>
      <c r="Y182" s="1">
        <f t="shared" si="112"/>
        <v>-5.2787387217933524E-2</v>
      </c>
      <c r="Z182" s="1">
        <f t="shared" si="112"/>
        <v>-0.88791488843609101</v>
      </c>
      <c r="AA182" s="1">
        <f t="shared" si="112"/>
        <v>-0.86067616622835641</v>
      </c>
      <c r="AB182" s="1">
        <f t="shared" si="112"/>
        <v>-0.66272261013343448</v>
      </c>
      <c r="AC182" s="1">
        <f t="shared" si="112"/>
        <v>-0.8019537055766135</v>
      </c>
      <c r="AD182" s="1">
        <f t="shared" si="112"/>
        <v>-0.50712184767101398</v>
      </c>
      <c r="AE182" s="1">
        <f t="shared" si="112"/>
        <v>3.5381739234634502E-2</v>
      </c>
      <c r="AF182" s="1">
        <f t="shared" si="112"/>
        <v>-0.87504400825689199</v>
      </c>
      <c r="AG182" s="40">
        <f t="shared" si="112"/>
        <v>5.5630160861738887E-2</v>
      </c>
      <c r="AH182" s="40">
        <f t="shared" si="112"/>
        <v>3.8328770384478128E-2</v>
      </c>
      <c r="AI182" s="40">
        <f t="shared" si="112"/>
        <v>-9.5298527285069157E-2</v>
      </c>
      <c r="AJ182" s="40">
        <f t="shared" si="112"/>
        <v>-3.0712768012362224E-2</v>
      </c>
      <c r="AK182" s="68" t="s">
        <v>41</v>
      </c>
      <c r="AQ182" s="38"/>
      <c r="AR182" s="38"/>
      <c r="AS182" s="38"/>
      <c r="AT182" s="68" t="s">
        <v>41</v>
      </c>
      <c r="AU182" s="38">
        <f t="shared" si="112"/>
        <v>5.4112678323609664E-2</v>
      </c>
      <c r="AV182" s="38">
        <f t="shared" si="112"/>
        <v>4.1412796511741456E-2</v>
      </c>
      <c r="AW182" s="38">
        <f t="shared" si="112"/>
        <v>5.8147134788264498E-2</v>
      </c>
      <c r="AX182" s="38">
        <f t="shared" si="112"/>
        <v>5.3528156856136544E-2</v>
      </c>
      <c r="AY182" s="27">
        <f t="shared" ref="AY182" si="113">(AY16/$E16)/(AY$28/$E$28)-1</f>
        <v>5.6771873985115295E-2</v>
      </c>
      <c r="AZ182" s="2"/>
      <c r="BA182" s="2"/>
      <c r="BB182" s="2"/>
      <c r="BC182" s="2"/>
      <c r="BD182" s="2"/>
      <c r="BE182" s="2"/>
      <c r="BF182" s="2"/>
      <c r="BG182" s="2"/>
      <c r="BI182" s="2"/>
      <c r="BJ182" s="2"/>
      <c r="BK182" s="2"/>
      <c r="BL182" s="2"/>
      <c r="BM182" s="2"/>
      <c r="BN182" s="2"/>
      <c r="BO182" s="2"/>
      <c r="BP182" s="2"/>
    </row>
    <row r="183" spans="2:68" s="1" customFormat="1" ht="15">
      <c r="B183" s="68" t="s">
        <v>42</v>
      </c>
      <c r="C183" s="172">
        <v>75</v>
      </c>
      <c r="D183" s="1">
        <f>(D17/D28)*(0.52/0.46)-1</f>
        <v>-5.1115025995400298E-2</v>
      </c>
      <c r="E183" s="1">
        <f t="shared" ref="E183:AX183" si="114">(E17/E28)*(0.52/0.46)-1</f>
        <v>6.69179590703739E-3</v>
      </c>
      <c r="F183" s="1">
        <f t="shared" si="114"/>
        <v>0.11489717925903209</v>
      </c>
      <c r="G183" s="1">
        <f t="shared" si="114"/>
        <v>5.1136346674894302</v>
      </c>
      <c r="H183" s="1">
        <f t="shared" si="114"/>
        <v>-0.84113667672563364</v>
      </c>
      <c r="I183" s="1">
        <f t="shared" si="114"/>
        <v>-0.64194393535879268</v>
      </c>
      <c r="J183" s="1">
        <f t="shared" si="114"/>
        <v>-0.94794691109733531</v>
      </c>
      <c r="K183" s="1">
        <f t="shared" si="114"/>
        <v>-0.84394811504713563</v>
      </c>
      <c r="L183" s="1">
        <f t="shared" si="114"/>
        <v>-0.17973783417773914</v>
      </c>
      <c r="M183" s="40">
        <f t="shared" si="114"/>
        <v>-0.2542768707473867</v>
      </c>
      <c r="N183" s="1">
        <f t="shared" si="114"/>
        <v>-4.8477840383484905E-2</v>
      </c>
      <c r="R183" s="68" t="s">
        <v>42</v>
      </c>
      <c r="S183" s="1">
        <f t="shared" si="114"/>
        <v>-0.20388269711705309</v>
      </c>
      <c r="T183" s="1">
        <f t="shared" si="114"/>
        <v>0.29448356480221216</v>
      </c>
      <c r="U183" s="1">
        <f t="shared" si="114"/>
        <v>0.45331904102068021</v>
      </c>
      <c r="V183" s="2">
        <f t="shared" si="114"/>
        <v>0.17739361840268253</v>
      </c>
      <c r="W183" s="40">
        <f>(W17/W28)*(0.52/0.46)-1</f>
        <v>-0.11070831665921244</v>
      </c>
      <c r="X183" s="1">
        <f t="shared" si="114"/>
        <v>0.49840713414748228</v>
      </c>
      <c r="Y183" s="1">
        <f t="shared" si="114"/>
        <v>0.51526529698668111</v>
      </c>
      <c r="Z183" s="1">
        <f t="shared" si="114"/>
        <v>-0.87632946715581339</v>
      </c>
      <c r="AA183" s="1">
        <f t="shared" si="114"/>
        <v>-0.88360472968707926</v>
      </c>
      <c r="AB183" s="1">
        <f t="shared" si="114"/>
        <v>-0.71706119951233438</v>
      </c>
      <c r="AC183" s="1">
        <f t="shared" si="114"/>
        <v>3.1851224409341929</v>
      </c>
      <c r="AD183" s="1">
        <f t="shared" si="114"/>
        <v>1.0511108364660382</v>
      </c>
      <c r="AE183" s="1">
        <f t="shared" si="114"/>
        <v>-0.34058307428679813</v>
      </c>
      <c r="AF183" s="1">
        <f t="shared" si="114"/>
        <v>-0.91930382101641339</v>
      </c>
      <c r="AG183" s="40">
        <f t="shared" si="114"/>
        <v>-9.4450648900527678E-2</v>
      </c>
      <c r="AH183" s="40">
        <f t="shared" si="114"/>
        <v>-1.6257553879886588E-2</v>
      </c>
      <c r="AI183" s="40">
        <f t="shared" si="114"/>
        <v>-9.2859700067623896E-2</v>
      </c>
      <c r="AJ183" s="40">
        <f t="shared" si="114"/>
        <v>2.754491017964078E-2</v>
      </c>
      <c r="AK183" s="68" t="s">
        <v>42</v>
      </c>
      <c r="AQ183" s="38"/>
      <c r="AR183" s="38"/>
      <c r="AS183" s="38"/>
      <c r="AT183" s="68" t="s">
        <v>42</v>
      </c>
      <c r="AU183" s="38">
        <f t="shared" si="114"/>
        <v>-0.21856396983521265</v>
      </c>
      <c r="AV183" s="38">
        <f t="shared" si="114"/>
        <v>-0.20676012385154685</v>
      </c>
      <c r="AW183" s="38">
        <f t="shared" si="114"/>
        <v>-0.20614134159108943</v>
      </c>
      <c r="AX183" s="38">
        <f t="shared" si="114"/>
        <v>-0.20956948235811979</v>
      </c>
      <c r="AY183" s="27">
        <f t="shared" ref="AY183" si="115">(AY17/$E17)/(AY$28/$E$28)-1</f>
        <v>-0.20917473836603706</v>
      </c>
      <c r="AZ183" s="2"/>
      <c r="BA183" s="2"/>
      <c r="BB183" s="2"/>
      <c r="BC183" s="2"/>
      <c r="BD183" s="2"/>
      <c r="BE183" s="2"/>
      <c r="BF183" s="2"/>
      <c r="BG183" s="2"/>
      <c r="BI183" s="2"/>
      <c r="BJ183" s="2"/>
      <c r="BK183" s="2"/>
      <c r="BL183" s="2"/>
      <c r="BM183" s="2"/>
      <c r="BN183" s="2"/>
      <c r="BO183" s="2"/>
      <c r="BP183" s="2"/>
    </row>
    <row r="184" spans="2:68" s="1" customFormat="1" ht="15">
      <c r="B184" s="68" t="s">
        <v>43</v>
      </c>
      <c r="C184" s="172">
        <v>90</v>
      </c>
      <c r="D184" s="1">
        <f>(D18/D28)*(0.52/0.6)-1</f>
        <v>-1.960285852952437E-2</v>
      </c>
      <c r="E184" s="1">
        <f t="shared" ref="E184:AX184" si="116">(E18/E28)*(0.52/0.6)-1</f>
        <v>4.6312932402170492E-3</v>
      </c>
      <c r="F184" s="1">
        <f t="shared" si="116"/>
        <v>-4.7514344619089433E-2</v>
      </c>
      <c r="G184" s="1">
        <f t="shared" si="116"/>
        <v>-0.49695229801180407</v>
      </c>
      <c r="H184" s="1">
        <f t="shared" si="116"/>
        <v>-0.87035548174169719</v>
      </c>
      <c r="I184" s="1">
        <f t="shared" si="116"/>
        <v>-0.6545847596404496</v>
      </c>
      <c r="J184" s="1">
        <f t="shared" si="116"/>
        <v>-0.96193416272415799</v>
      </c>
      <c r="K184" s="1">
        <f t="shared" si="116"/>
        <v>-0.88036022153613736</v>
      </c>
      <c r="L184" s="1">
        <f t="shared" si="116"/>
        <v>-7.608755964113223E-2</v>
      </c>
      <c r="M184" s="40">
        <f t="shared" si="116"/>
        <v>-0.58361231194686214</v>
      </c>
      <c r="N184" s="1">
        <f t="shared" si="116"/>
        <v>-0.6392580823431967</v>
      </c>
      <c r="R184" s="68" t="s">
        <v>43</v>
      </c>
      <c r="S184" s="1">
        <f t="shared" si="116"/>
        <v>0.37853555856262244</v>
      </c>
      <c r="T184" s="1">
        <f t="shared" si="116"/>
        <v>0.16241978777482546</v>
      </c>
      <c r="U184" s="1">
        <f t="shared" si="116"/>
        <v>6.9392663860493142E-2</v>
      </c>
      <c r="V184" s="2">
        <f t="shared" si="116"/>
        <v>-0.55394073213567263</v>
      </c>
      <c r="W184" s="40">
        <f>(W18/W28)*(0.52/0.6)-1</f>
        <v>-0.77195452084461291</v>
      </c>
      <c r="X184" s="1">
        <f t="shared" si="116"/>
        <v>-8.747265750171096E-2</v>
      </c>
      <c r="Y184" s="1">
        <f t="shared" si="116"/>
        <v>-0.36420560502193156</v>
      </c>
      <c r="Z184" s="1">
        <f t="shared" si="116"/>
        <v>-0.94542971526274733</v>
      </c>
      <c r="AA184" s="1">
        <f t="shared" si="116"/>
        <v>-0.92009526484229098</v>
      </c>
      <c r="AB184" s="1">
        <f t="shared" si="116"/>
        <v>-0.80666545749144503</v>
      </c>
      <c r="AC184" s="1">
        <f t="shared" si="116"/>
        <v>-0.62012211209512169</v>
      </c>
      <c r="AD184" s="1">
        <f t="shared" si="116"/>
        <v>-0.2972926472788372</v>
      </c>
      <c r="AE184" s="1">
        <f t="shared" si="116"/>
        <v>-0.39634945142922495</v>
      </c>
      <c r="AF184" s="1">
        <f t="shared" si="116"/>
        <v>-0.91725679666792881</v>
      </c>
      <c r="AG184" s="40">
        <f t="shared" si="116"/>
        <v>-6.5780927074106765E-2</v>
      </c>
      <c r="AH184" s="40">
        <f t="shared" si="116"/>
        <v>4.9220992209922265E-2</v>
      </c>
      <c r="AI184" s="40">
        <f t="shared" si="116"/>
        <v>-0.16029277218664228</v>
      </c>
      <c r="AJ184" s="40">
        <f t="shared" si="116"/>
        <v>4.9341317365269477E-2</v>
      </c>
      <c r="AK184" s="68" t="s">
        <v>43</v>
      </c>
      <c r="AQ184" s="38"/>
      <c r="AR184" s="38"/>
      <c r="AS184" s="38"/>
      <c r="AT184" s="68" t="s">
        <v>43</v>
      </c>
      <c r="AU184" s="38">
        <f t="shared" si="116"/>
        <v>0.36750564367215444</v>
      </c>
      <c r="AV184" s="38">
        <f t="shared" si="116"/>
        <v>0.37721174846252881</v>
      </c>
      <c r="AW184" s="38">
        <f t="shared" si="116"/>
        <v>0.38458117864340169</v>
      </c>
      <c r="AX184" s="38">
        <f t="shared" si="116"/>
        <v>0.37848680247450806</v>
      </c>
      <c r="AY184" s="27">
        <f t="shared" ref="AY184" si="117">(AY18/$E18)/(AY$28/$E$28)-1</f>
        <v>0.3721805878816089</v>
      </c>
      <c r="AZ184" s="2"/>
      <c r="BA184" s="2"/>
      <c r="BB184" s="2"/>
      <c r="BC184" s="2"/>
      <c r="BD184" s="2"/>
      <c r="BE184" s="2"/>
      <c r="BF184" s="2"/>
      <c r="BG184" s="2"/>
      <c r="BI184" s="2"/>
      <c r="BJ184" s="2"/>
      <c r="BK184" s="2"/>
      <c r="BL184" s="2"/>
      <c r="BM184" s="2"/>
      <c r="BN184" s="2"/>
      <c r="BO184" s="2"/>
      <c r="BP184" s="2"/>
    </row>
    <row r="185" spans="2:68" s="1" customFormat="1" ht="15">
      <c r="B185" s="68" t="s">
        <v>44</v>
      </c>
      <c r="C185" s="172">
        <v>110</v>
      </c>
      <c r="D185" s="1">
        <f>(D19/D28)*(0.52/0.57)-1</f>
        <v>-9.7272086477561803E-2</v>
      </c>
      <c r="E185" s="1">
        <f t="shared" ref="E185:AX185" si="118">(E19/E28)*(0.52/0.57)-1</f>
        <v>1.2208099937474737E-2</v>
      </c>
      <c r="F185" s="1">
        <f t="shared" si="118"/>
        <v>0.32281266511740303</v>
      </c>
      <c r="G185" s="1">
        <f t="shared" si="118"/>
        <v>0.41741284469525475</v>
      </c>
      <c r="H185" s="1">
        <f t="shared" si="118"/>
        <v>-0.36736993753907787</v>
      </c>
      <c r="I185" s="1">
        <f t="shared" si="118"/>
        <v>-0.55218321421305583</v>
      </c>
      <c r="J185" s="1">
        <f t="shared" si="118"/>
        <v>-0.95615815980513985</v>
      </c>
      <c r="K185" s="1">
        <f t="shared" si="118"/>
        <v>-0.87406339109067088</v>
      </c>
      <c r="L185" s="1">
        <f t="shared" si="118"/>
        <v>4.5225339176178103E-3</v>
      </c>
      <c r="M185" s="40">
        <f t="shared" si="118"/>
        <v>-0.72089850185547577</v>
      </c>
      <c r="N185" s="1">
        <f t="shared" si="118"/>
        <v>-0.35455615057153689</v>
      </c>
      <c r="R185" s="68" t="s">
        <v>44</v>
      </c>
      <c r="S185" s="1">
        <f t="shared" si="118"/>
        <v>-0.39616753833751872</v>
      </c>
      <c r="T185" s="1">
        <f t="shared" si="118"/>
        <v>0.15185550127851988</v>
      </c>
      <c r="U185" s="1">
        <f t="shared" si="118"/>
        <v>0.12787078942093677</v>
      </c>
      <c r="V185" s="2">
        <f t="shared" si="118"/>
        <v>0.39992702073534758</v>
      </c>
      <c r="W185" s="40">
        <f>(W19/W28)*(0.52/0.57)-1</f>
        <v>-0.65869736604641005</v>
      </c>
      <c r="X185" s="1">
        <f t="shared" si="118"/>
        <v>0.73588402149380028</v>
      </c>
      <c r="Y185" s="1">
        <f t="shared" si="118"/>
        <v>0.15650774297390835</v>
      </c>
      <c r="Z185" s="1">
        <f t="shared" si="118"/>
        <v>-0.31200714381223837</v>
      </c>
      <c r="AA185" s="1">
        <f t="shared" si="118"/>
        <v>0.2813774336164574</v>
      </c>
      <c r="AB185" s="1">
        <f t="shared" si="118"/>
        <v>-3.1995285489451741E-2</v>
      </c>
      <c r="AC185" s="1">
        <f t="shared" si="118"/>
        <v>-0.17783155814906848</v>
      </c>
      <c r="AD185" s="1">
        <f t="shared" si="118"/>
        <v>-0.19973991000425795</v>
      </c>
      <c r="AE185" s="1">
        <f t="shared" si="118"/>
        <v>-0.23392165436751933</v>
      </c>
      <c r="AF185" s="1">
        <f t="shared" si="118"/>
        <v>-0.93846924012036914</v>
      </c>
      <c r="AG185" s="40">
        <f t="shared" si="118"/>
        <v>-6.1069414013331658E-3</v>
      </c>
      <c r="AH185" s="40">
        <f t="shared" si="118"/>
        <v>5.3106320536889573E-2</v>
      </c>
      <c r="AI185" s="40">
        <f t="shared" si="118"/>
        <v>-6.7687517054300761E-2</v>
      </c>
      <c r="AJ185" s="40">
        <f t="shared" si="118"/>
        <v>5.5404979514654951E-2</v>
      </c>
      <c r="AK185" s="68" t="s">
        <v>44</v>
      </c>
      <c r="AQ185" s="38"/>
      <c r="AR185" s="38"/>
      <c r="AS185" s="38"/>
      <c r="AT185" s="68" t="s">
        <v>44</v>
      </c>
      <c r="AU185" s="38">
        <f t="shared" si="118"/>
        <v>-0.39640643423104682</v>
      </c>
      <c r="AV185" s="38">
        <f t="shared" si="118"/>
        <v>-0.39826013255240267</v>
      </c>
      <c r="AW185" s="38">
        <f t="shared" si="118"/>
        <v>-0.38975063921295094</v>
      </c>
      <c r="AX185" s="38">
        <f t="shared" si="118"/>
        <v>-0.39332137108539611</v>
      </c>
      <c r="AY185" s="27">
        <f t="shared" ref="AY185" si="119">(AY19/$E19)/(AY$28/$E$28)-1</f>
        <v>-0.40345027697389435</v>
      </c>
      <c r="AZ185" s="2"/>
      <c r="BA185" s="2"/>
      <c r="BB185" s="2"/>
      <c r="BC185" s="2"/>
      <c r="BD185" s="2"/>
      <c r="BE185" s="2"/>
      <c r="BF185" s="2"/>
      <c r="BG185" s="2"/>
      <c r="BI185" s="2"/>
      <c r="BJ185" s="2"/>
      <c r="BK185" s="2"/>
      <c r="BL185" s="2"/>
      <c r="BM185" s="2"/>
      <c r="BN185" s="2"/>
      <c r="BO185" s="2"/>
      <c r="BP185" s="2"/>
    </row>
    <row r="186" spans="2:68" s="1" customFormat="1" ht="15">
      <c r="B186" s="68" t="s">
        <v>45</v>
      </c>
      <c r="C186" s="172">
        <v>150</v>
      </c>
      <c r="D186" s="1">
        <f>(D20/D29)*(0.52/0.55)-1</f>
        <v>0.33608661975801479</v>
      </c>
      <c r="E186" s="1">
        <f t="shared" ref="E186:AX186" si="120">(E20/E29)*(0.52/0.55)-1</f>
        <v>0.11549277323567231</v>
      </c>
      <c r="F186" s="1">
        <f t="shared" si="120"/>
        <v>0.10711472470247574</v>
      </c>
      <c r="G186" s="1">
        <f t="shared" si="120"/>
        <v>-0.6309801927415869</v>
      </c>
      <c r="H186" s="1">
        <f t="shared" si="120"/>
        <v>-0.94421491469302776</v>
      </c>
      <c r="I186" s="1">
        <f t="shared" si="120"/>
        <v>-0.82848397804790064</v>
      </c>
      <c r="J186" s="1">
        <f t="shared" si="120"/>
        <v>-0.99048453906484568</v>
      </c>
      <c r="K186" s="1">
        <f t="shared" si="120"/>
        <v>-0.89066701024402728</v>
      </c>
      <c r="L186" s="1">
        <f t="shared" si="120"/>
        <v>8.8788901543317644E-2</v>
      </c>
      <c r="M186" s="40">
        <f t="shared" si="120"/>
        <v>-0.78001730511024203</v>
      </c>
      <c r="N186" s="1">
        <f t="shared" si="120"/>
        <v>-0.78681184113668712</v>
      </c>
      <c r="R186" s="68" t="s">
        <v>45</v>
      </c>
      <c r="S186" s="1">
        <f t="shared" si="120"/>
        <v>0.35940031801317485</v>
      </c>
      <c r="T186" s="1">
        <f t="shared" si="120"/>
        <v>0.17088355675716271</v>
      </c>
      <c r="U186" s="1">
        <f t="shared" si="120"/>
        <v>0.11229946524064172</v>
      </c>
      <c r="V186" s="2">
        <f t="shared" si="120"/>
        <v>-0.55300562925778141</v>
      </c>
      <c r="W186" s="40">
        <f>(W20/W29)*(0.52/0.55)-1</f>
        <v>-0.85238478335823475</v>
      </c>
      <c r="X186" s="1">
        <f t="shared" si="120"/>
        <v>1.1063619012619195</v>
      </c>
      <c r="Y186" s="1">
        <f t="shared" si="120"/>
        <v>1.1452996601454934E-2</v>
      </c>
      <c r="Z186" s="1">
        <f t="shared" si="120"/>
        <v>-0.98415548750144222</v>
      </c>
      <c r="AA186" s="1">
        <f t="shared" si="120"/>
        <v>-0.91710787177962794</v>
      </c>
      <c r="AB186" s="1">
        <f t="shared" si="120"/>
        <v>-0.72029621185975068</v>
      </c>
      <c r="AC186" s="1">
        <f t="shared" si="120"/>
        <v>-0.47975732674162852</v>
      </c>
      <c r="AD186" s="1">
        <f t="shared" si="120"/>
        <v>-9.1931933954717993E-2</v>
      </c>
      <c r="AE186" s="1">
        <f t="shared" si="120"/>
        <v>-0.12948384899461074</v>
      </c>
      <c r="AF186" s="1">
        <f t="shared" si="120"/>
        <v>-0.97827100069396256</v>
      </c>
      <c r="AG186" s="40">
        <f t="shared" si="120"/>
        <v>-0.25094422485726842</v>
      </c>
      <c r="AH186" s="40">
        <f t="shared" si="120"/>
        <v>-0.14051892313694903</v>
      </c>
      <c r="AI186" s="40">
        <f t="shared" si="120"/>
        <v>-6.3769401330377007E-2</v>
      </c>
      <c r="AJ186" s="40">
        <f t="shared" si="120"/>
        <v>2.9166666666666563E-2</v>
      </c>
      <c r="AK186" s="68" t="s">
        <v>45</v>
      </c>
      <c r="AQ186" s="38"/>
      <c r="AR186" s="38"/>
      <c r="AS186" s="38"/>
      <c r="AT186" s="68" t="s">
        <v>45</v>
      </c>
      <c r="AU186" s="38">
        <f t="shared" si="120"/>
        <v>0.32590424333057699</v>
      </c>
      <c r="AV186" s="38">
        <f t="shared" si="120"/>
        <v>0.39538788252809765</v>
      </c>
      <c r="AW186" s="38">
        <f t="shared" si="120"/>
        <v>0.37766936614097801</v>
      </c>
      <c r="AX186" s="38">
        <f t="shared" si="120"/>
        <v>0.36730855621352854</v>
      </c>
      <c r="AY186" s="27">
        <f t="shared" ref="AY186" si="121">(AY20/$E20)/(AY$28/$E$28)-1</f>
        <v>-8.4828696291935346E-2</v>
      </c>
      <c r="AZ186" s="2"/>
      <c r="BA186" s="2"/>
      <c r="BB186" s="2"/>
      <c r="BC186" s="2"/>
      <c r="BD186" s="2"/>
      <c r="BE186" s="2"/>
      <c r="BF186" s="2"/>
      <c r="BG186" s="2"/>
      <c r="BI186" s="2"/>
      <c r="BJ186" s="2"/>
      <c r="BK186" s="2"/>
      <c r="BL186" s="2"/>
      <c r="BM186" s="2"/>
      <c r="BN186" s="2"/>
      <c r="BO186" s="2"/>
      <c r="BP186" s="2"/>
    </row>
    <row r="187" spans="2:68" s="1" customFormat="1" ht="15">
      <c r="B187" s="68" t="s">
        <v>46</v>
      </c>
      <c r="C187" s="172">
        <v>175</v>
      </c>
      <c r="D187" s="1">
        <f>(D21/D28)*(0.52/0.49)-1</f>
        <v>0.13348828856021777</v>
      </c>
      <c r="E187" s="1">
        <f t="shared" ref="E187:AX187" si="122">(E21/E28)*(0.52/0.49)-1</f>
        <v>-4.0013965055263334E-5</v>
      </c>
      <c r="F187" s="1">
        <f t="shared" si="122"/>
        <v>0.20532288704947677</v>
      </c>
      <c r="G187" s="1">
        <f t="shared" si="122"/>
        <v>0.46749189291136495</v>
      </c>
      <c r="H187" s="1">
        <f t="shared" si="122"/>
        <v>-0.42474088334350946</v>
      </c>
      <c r="I187" s="1">
        <f t="shared" si="122"/>
        <v>-0.48250917946842076</v>
      </c>
      <c r="J187" s="1">
        <f t="shared" si="122"/>
        <v>-0.94926147829876983</v>
      </c>
      <c r="K187" s="1">
        <f t="shared" si="122"/>
        <v>-0.85350231208506611</v>
      </c>
      <c r="L187" s="1">
        <f t="shared" si="122"/>
        <v>-0.13149314999863071</v>
      </c>
      <c r="M187" s="40">
        <f t="shared" si="122"/>
        <v>-0.35398708824672076</v>
      </c>
      <c r="N187" s="1">
        <f t="shared" si="122"/>
        <v>-0.33332704265497382</v>
      </c>
      <c r="R187" s="68" t="s">
        <v>46</v>
      </c>
      <c r="S187" s="1">
        <f t="shared" si="122"/>
        <v>-1.6970341704958591E-2</v>
      </c>
      <c r="T187" s="1">
        <f t="shared" si="122"/>
        <v>2.2083133103591113E-2</v>
      </c>
      <c r="U187" s="1">
        <f t="shared" si="122"/>
        <v>0.3132892363199038</v>
      </c>
      <c r="V187" s="2">
        <f t="shared" si="122"/>
        <v>-5.9765532818166767E-2</v>
      </c>
      <c r="W187" s="40">
        <f>(W21/W28)*(0.52/0.49)-1</f>
        <v>-0.68686120902069547</v>
      </c>
      <c r="X187" s="1">
        <f t="shared" si="122"/>
        <v>0.26005426546031907</v>
      </c>
      <c r="Y187" s="1">
        <f t="shared" si="122"/>
        <v>-3.0547653621372794E-2</v>
      </c>
      <c r="Z187" s="1">
        <f t="shared" si="122"/>
        <v>-0.49788478871181763</v>
      </c>
      <c r="AA187" s="1">
        <f t="shared" si="122"/>
        <v>-0.62588074628940493</v>
      </c>
      <c r="AB187" s="1">
        <f t="shared" si="122"/>
        <v>-2.4777925099738307E-2</v>
      </c>
      <c r="AC187" s="1">
        <f t="shared" si="122"/>
        <v>0.38461554338639448</v>
      </c>
      <c r="AD187" s="1">
        <f t="shared" si="122"/>
        <v>-8.3756071565380452E-2</v>
      </c>
      <c r="AE187" s="1">
        <f t="shared" si="122"/>
        <v>-0.223648749888267</v>
      </c>
      <c r="AF187" s="1">
        <f t="shared" si="122"/>
        <v>-0.91549743835436481</v>
      </c>
      <c r="AG187" s="40">
        <f t="shared" si="122"/>
        <v>-7.7326874062290996E-2</v>
      </c>
      <c r="AH187" s="40">
        <f t="shared" si="122"/>
        <v>-6.3759821271681894E-2</v>
      </c>
      <c r="AI187" s="40">
        <f t="shared" si="122"/>
        <v>-0.11169781727878714</v>
      </c>
      <c r="AJ187" s="40">
        <f t="shared" si="122"/>
        <v>-5.1888060613466847E-2</v>
      </c>
      <c r="AK187" s="68" t="s">
        <v>46</v>
      </c>
      <c r="AQ187" s="38"/>
      <c r="AR187" s="38"/>
      <c r="AS187" s="38"/>
      <c r="AT187" s="68" t="s">
        <v>46</v>
      </c>
      <c r="AU187" s="38">
        <f t="shared" si="122"/>
        <v>-3.0842788462839388E-2</v>
      </c>
      <c r="AV187" s="38">
        <f t="shared" si="122"/>
        <v>-2.2483308576838112E-2</v>
      </c>
      <c r="AW187" s="38">
        <f t="shared" si="122"/>
        <v>-1.6601849629102605E-2</v>
      </c>
      <c r="AX187" s="38">
        <f t="shared" si="122"/>
        <v>-2.1628430329955983E-2</v>
      </c>
      <c r="AY187" s="27">
        <f t="shared" ref="AY187" si="123">(AY21/$E21)/(AY$28/$E$28)-1</f>
        <v>-1.693100521655444E-2</v>
      </c>
      <c r="AZ187" s="2"/>
      <c r="BA187" s="2"/>
      <c r="BB187" s="2"/>
      <c r="BC187" s="2"/>
      <c r="BD187" s="2"/>
      <c r="BE187" s="2"/>
      <c r="BF187" s="2"/>
      <c r="BG187" s="2"/>
      <c r="BI187" s="2"/>
      <c r="BJ187" s="2"/>
      <c r="BK187" s="2"/>
      <c r="BL187" s="2"/>
      <c r="BM187" s="2"/>
      <c r="BN187" s="2"/>
      <c r="BO187" s="2"/>
      <c r="BP187" s="2"/>
    </row>
    <row r="188" spans="2:68" s="1" customFormat="1" ht="15">
      <c r="B188" s="68" t="s">
        <v>47</v>
      </c>
      <c r="C188" s="172">
        <v>190</v>
      </c>
      <c r="D188" s="1">
        <f>(D22/D28)*(0.52/0.62)-1</f>
        <v>-4.3405015779576228E-3</v>
      </c>
      <c r="E188" s="1">
        <f t="shared" ref="E188:AX188" si="124">(E22/E28)*(0.52/0.62)-1</f>
        <v>2.2016789320116192E-3</v>
      </c>
      <c r="F188" s="1">
        <f t="shared" si="124"/>
        <v>-0.17508338020583758</v>
      </c>
      <c r="G188" s="1">
        <f t="shared" si="124"/>
        <v>-0.79575403759739605</v>
      </c>
      <c r="H188" s="1">
        <f t="shared" si="124"/>
        <v>-0.74457636620109724</v>
      </c>
      <c r="I188" s="1">
        <f t="shared" si="124"/>
        <v>-0.64874766089416869</v>
      </c>
      <c r="J188" s="1">
        <f t="shared" si="124"/>
        <v>-0.95761054588018213</v>
      </c>
      <c r="K188" s="1">
        <f t="shared" si="124"/>
        <v>-0.87904994233905531</v>
      </c>
      <c r="L188" s="1">
        <f t="shared" si="124"/>
        <v>-0.12037844986923951</v>
      </c>
      <c r="M188" s="40">
        <f t="shared" si="124"/>
        <v>-0.67395924391551798</v>
      </c>
      <c r="N188" s="1">
        <f t="shared" si="124"/>
        <v>-0.71749590321905155</v>
      </c>
      <c r="R188" s="68" t="s">
        <v>47</v>
      </c>
      <c r="S188" s="1">
        <f t="shared" si="124"/>
        <v>-3.6915685943313181E-2</v>
      </c>
      <c r="T188" s="1">
        <f t="shared" si="124"/>
        <v>0.23769637703076318</v>
      </c>
      <c r="U188" s="1">
        <f t="shared" si="124"/>
        <v>-0.21555680561751978</v>
      </c>
      <c r="V188" s="2">
        <f t="shared" si="124"/>
        <v>-0.59838150894298825</v>
      </c>
      <c r="W188" s="40">
        <f>(W22/W28)*(0.52/0.62)-1</f>
        <v>-0.84333793247987143</v>
      </c>
      <c r="X188" s="1">
        <f t="shared" si="124"/>
        <v>-0.33733946472922172</v>
      </c>
      <c r="Y188" s="1">
        <f t="shared" si="124"/>
        <v>-0.4796651254847436</v>
      </c>
      <c r="Z188" s="1">
        <f t="shared" si="124"/>
        <v>-0.82579642869991554</v>
      </c>
      <c r="AA188" s="1">
        <f t="shared" si="124"/>
        <v>-0.87441771691441295</v>
      </c>
      <c r="AB188" s="1">
        <f t="shared" si="124"/>
        <v>-0.83439690045484483</v>
      </c>
      <c r="AC188" s="1">
        <f t="shared" si="124"/>
        <v>-0.8082528609893509</v>
      </c>
      <c r="AD188" s="1">
        <f t="shared" si="124"/>
        <v>-0.38448083905938446</v>
      </c>
      <c r="AE188" s="1">
        <f t="shared" si="124"/>
        <v>-0.36162060461127654</v>
      </c>
      <c r="AF188" s="1">
        <f t="shared" si="124"/>
        <v>-0.884202806854686</v>
      </c>
      <c r="AG188" s="40">
        <f t="shared" si="124"/>
        <v>-5.2858653104373987E-3</v>
      </c>
      <c r="AH188" s="40">
        <f t="shared" si="124"/>
        <v>2.079117565369204E-2</v>
      </c>
      <c r="AI188" s="40">
        <f t="shared" si="124"/>
        <v>-0.1428740076144378</v>
      </c>
      <c r="AJ188" s="40">
        <f t="shared" si="124"/>
        <v>-5.4819393471122191E-2</v>
      </c>
      <c r="AK188" s="68" t="s">
        <v>47</v>
      </c>
      <c r="AQ188" s="38"/>
      <c r="AR188" s="38"/>
      <c r="AS188" s="38"/>
      <c r="AT188" s="68" t="s">
        <v>47</v>
      </c>
      <c r="AU188" s="38">
        <f t="shared" si="124"/>
        <v>-3.645196904714687E-2</v>
      </c>
      <c r="AV188" s="38">
        <f t="shared" si="124"/>
        <v>-4.228648259658907E-2</v>
      </c>
      <c r="AW188" s="38">
        <f t="shared" si="124"/>
        <v>-2.3720668646585508E-2</v>
      </c>
      <c r="AX188" s="38">
        <f t="shared" si="124"/>
        <v>-3.1036104166117795E-2</v>
      </c>
      <c r="AY188" s="27">
        <f t="shared" ref="AY188" si="125">(AY22/$E22)/(AY$28/$E$28)-1</f>
        <v>-3.903143019777211E-2</v>
      </c>
      <c r="AZ188" s="2"/>
      <c r="BA188" s="2"/>
      <c r="BB188" s="2"/>
      <c r="BC188" s="2"/>
      <c r="BD188" s="2"/>
      <c r="BE188" s="2"/>
      <c r="BF188" s="2"/>
      <c r="BG188" s="2"/>
      <c r="BI188" s="2"/>
      <c r="BJ188" s="2"/>
      <c r="BK188" s="2"/>
      <c r="BL188" s="2"/>
      <c r="BM188" s="2"/>
      <c r="BN188" s="2"/>
      <c r="BO188" s="2"/>
      <c r="BP188" s="2"/>
    </row>
    <row r="189" spans="2:68" s="1" customFormat="1" ht="15">
      <c r="B189" s="68" t="s">
        <v>48</v>
      </c>
      <c r="C189" s="172">
        <v>220</v>
      </c>
      <c r="D189" s="1">
        <f>(D23/D28)*(0.52/0.52)-1</f>
        <v>-0.11093258755177071</v>
      </c>
      <c r="E189" s="1">
        <f t="shared" ref="E189:AX189" si="126">(E23/E28)*(0.52/0.52)-1</f>
        <v>1.1069261861679669E-2</v>
      </c>
      <c r="F189" s="1">
        <f t="shared" si="126"/>
        <v>0.20250835556366198</v>
      </c>
      <c r="G189" s="1">
        <f t="shared" si="126"/>
        <v>2.537887206424974</v>
      </c>
      <c r="H189" s="1">
        <f t="shared" si="126"/>
        <v>-0.51769229286035934</v>
      </c>
      <c r="I189" s="1">
        <f t="shared" si="126"/>
        <v>-0.37195001309758557</v>
      </c>
      <c r="J189" s="1">
        <f t="shared" si="126"/>
        <v>-0.94704877087573303</v>
      </c>
      <c r="K189" s="1">
        <f t="shared" si="126"/>
        <v>-0.6987268836203262</v>
      </c>
      <c r="L189" s="1">
        <f t="shared" si="126"/>
        <v>-1.901711533786743E-2</v>
      </c>
      <c r="M189" s="40">
        <f t="shared" si="126"/>
        <v>2.1219494172732953</v>
      </c>
      <c r="N189" s="1">
        <f t="shared" si="126"/>
        <v>-3.5823582358239681E-2</v>
      </c>
      <c r="R189" s="68" t="s">
        <v>48</v>
      </c>
      <c r="S189" s="1">
        <f t="shared" si="126"/>
        <v>-2.7479359102586809E-2</v>
      </c>
      <c r="T189" s="1">
        <f t="shared" si="126"/>
        <v>0.10016390271712017</v>
      </c>
      <c r="U189" s="1">
        <f t="shared" si="126"/>
        <v>8.1659651232711905E-2</v>
      </c>
      <c r="V189" s="2">
        <f t="shared" si="126"/>
        <v>1.1050829862698817</v>
      </c>
      <c r="W189" s="40">
        <f>(W23/W28)*(0.52/0.52)-1</f>
        <v>0.15646995127233354</v>
      </c>
      <c r="X189" s="1">
        <f t="shared" si="126"/>
        <v>0.68332516180692804</v>
      </c>
      <c r="Y189" s="1">
        <f t="shared" si="126"/>
        <v>2.1392103024756137E-2</v>
      </c>
      <c r="Z189" s="1">
        <f t="shared" si="126"/>
        <v>-0.56403122747824819</v>
      </c>
      <c r="AA189" s="1">
        <f t="shared" si="126"/>
        <v>-0.10489287465310992</v>
      </c>
      <c r="AB189" s="1">
        <f t="shared" si="126"/>
        <v>0.88184242028512361</v>
      </c>
      <c r="AC189" s="1">
        <f t="shared" si="126"/>
        <v>1.9112939396870909</v>
      </c>
      <c r="AD189" s="1">
        <f t="shared" si="126"/>
        <v>8.3105083263323776E-2</v>
      </c>
      <c r="AE189" s="1">
        <f t="shared" si="126"/>
        <v>0.24022673402866057</v>
      </c>
      <c r="AF189" s="1">
        <f t="shared" si="126"/>
        <v>-0.83717379780386214</v>
      </c>
      <c r="AG189" s="40">
        <f t="shared" si="126"/>
        <v>2.391496899911405E-2</v>
      </c>
      <c r="AH189" s="40">
        <f t="shared" si="126"/>
        <v>8.3333333333333481E-2</v>
      </c>
      <c r="AI189" s="40">
        <f t="shared" si="126"/>
        <v>-7.8682525160109762E-2</v>
      </c>
      <c r="AJ189" s="40">
        <f t="shared" si="126"/>
        <v>7.5449101796407181E-2</v>
      </c>
      <c r="AK189" s="68" t="s">
        <v>48</v>
      </c>
      <c r="AQ189" s="38"/>
      <c r="AR189" s="38"/>
      <c r="AS189" s="38"/>
      <c r="AT189" s="68" t="s">
        <v>48</v>
      </c>
      <c r="AU189" s="38">
        <f t="shared" si="126"/>
        <v>-2.7219408222952102E-2</v>
      </c>
      <c r="AV189" s="38">
        <f t="shared" si="126"/>
        <v>-3.9331968582152377E-2</v>
      </c>
      <c r="AW189" s="38">
        <f t="shared" si="126"/>
        <v>-2.8431527103268461E-2</v>
      </c>
      <c r="AX189" s="38">
        <f t="shared" si="126"/>
        <v>-3.0421093338130811E-2</v>
      </c>
      <c r="AY189" s="27">
        <f t="shared" ref="AY189" si="127">(AY23/$E23)/(AY$28/$E$28)-1</f>
        <v>-3.8126587780234811E-2</v>
      </c>
      <c r="AZ189" s="2"/>
      <c r="BA189" s="2"/>
      <c r="BB189" s="2"/>
      <c r="BC189" s="2"/>
      <c r="BD189" s="2"/>
      <c r="BE189" s="2"/>
      <c r="BF189" s="2"/>
      <c r="BG189" s="2"/>
      <c r="BI189" s="2"/>
      <c r="BJ189" s="2"/>
      <c r="BK189" s="2"/>
      <c r="BL189" s="2"/>
      <c r="BM189" s="2"/>
      <c r="BN189" s="2"/>
      <c r="BO189" s="2"/>
      <c r="BP189" s="2"/>
    </row>
    <row r="190" spans="2:68" s="1" customFormat="1" ht="15">
      <c r="B190" s="68" t="s">
        <v>49</v>
      </c>
      <c r="C190" s="172">
        <v>250</v>
      </c>
      <c r="D190" s="1">
        <f>(D24/D28)*(0.52/0.48)-1</f>
        <v>0.12818132569280971</v>
      </c>
      <c r="E190" s="1">
        <f t="shared" ref="E190:AX190" si="128">(E24/E28)*(0.52/0.48)-1</f>
        <v>2.7187356286677566E-3</v>
      </c>
      <c r="F190" s="1">
        <f t="shared" si="128"/>
        <v>3.182419981328799E-2</v>
      </c>
      <c r="G190" s="1">
        <f t="shared" si="128"/>
        <v>0.75441955544165684</v>
      </c>
      <c r="H190" s="1">
        <f t="shared" si="128"/>
        <v>-0.58128228622099654</v>
      </c>
      <c r="I190" s="1">
        <f t="shared" si="128"/>
        <v>-0.20536625587735335</v>
      </c>
      <c r="J190" s="1">
        <f t="shared" si="128"/>
        <v>-0.95055567422396869</v>
      </c>
      <c r="K190" s="1">
        <f t="shared" si="128"/>
        <v>-0.74687849833603437</v>
      </c>
      <c r="L190" s="1">
        <f t="shared" si="128"/>
        <v>-7.338736859121775E-2</v>
      </c>
      <c r="M190" s="40">
        <f t="shared" si="128"/>
        <v>0.17671992798775915</v>
      </c>
      <c r="N190" s="1">
        <f t="shared" si="128"/>
        <v>-5.3025673079153512E-2</v>
      </c>
      <c r="R190" s="68" t="s">
        <v>49</v>
      </c>
      <c r="S190" s="1">
        <f t="shared" si="128"/>
        <v>-0.20043112183195722</v>
      </c>
      <c r="T190" s="1">
        <f t="shared" si="128"/>
        <v>2.4153593473753787E-2</v>
      </c>
      <c r="U190" s="1">
        <f t="shared" si="128"/>
        <v>-7.6398075766686557E-2</v>
      </c>
      <c r="V190" s="2">
        <f t="shared" si="128"/>
        <v>0.64461595077534906</v>
      </c>
      <c r="W190" s="40">
        <f>(W24/W28)*(0.52/0.48)-1</f>
        <v>-0.14189676953618457</v>
      </c>
      <c r="X190" s="1">
        <f t="shared" si="128"/>
        <v>0.45297839648246141</v>
      </c>
      <c r="Y190" s="1">
        <f t="shared" si="128"/>
        <v>0.10579238130258561</v>
      </c>
      <c r="Z190" s="1">
        <f t="shared" si="128"/>
        <v>-0.61226183142691104</v>
      </c>
      <c r="AA190" s="1">
        <f t="shared" si="128"/>
        <v>-0.49582026297793058</v>
      </c>
      <c r="AB190" s="1">
        <f t="shared" si="128"/>
        <v>0.31814594140336894</v>
      </c>
      <c r="AC190" s="1">
        <f t="shared" si="128"/>
        <v>0.49175081935735432</v>
      </c>
      <c r="AD190" s="1">
        <f t="shared" si="128"/>
        <v>-0.33129322845338505</v>
      </c>
      <c r="AE190" s="1">
        <f t="shared" si="128"/>
        <v>-3.4218276433922168E-2</v>
      </c>
      <c r="AF190" s="1">
        <f t="shared" si="128"/>
        <v>-0.89889763978291048</v>
      </c>
      <c r="AG190" s="40">
        <f t="shared" si="128"/>
        <v>-1.0702686743430667E-2</v>
      </c>
      <c r="AH190" s="40">
        <f t="shared" si="128"/>
        <v>-3.4927224272242596E-2</v>
      </c>
      <c r="AI190" s="40">
        <f t="shared" si="128"/>
        <v>-6.2366575175358041E-2</v>
      </c>
      <c r="AJ190" s="40">
        <f t="shared" si="128"/>
        <v>-2.0459081836327164E-2</v>
      </c>
      <c r="AK190" s="68" t="s">
        <v>49</v>
      </c>
      <c r="AQ190" s="38"/>
      <c r="AR190" s="38"/>
      <c r="AS190" s="38"/>
      <c r="AT190" s="68" t="s">
        <v>49</v>
      </c>
      <c r="AU190" s="38">
        <f t="shared" si="128"/>
        <v>-0.21789730444607847</v>
      </c>
      <c r="AV190" s="38">
        <f t="shared" si="128"/>
        <v>-0.21499933932037141</v>
      </c>
      <c r="AW190" s="38">
        <f t="shared" si="128"/>
        <v>-0.20785414936719693</v>
      </c>
      <c r="AX190" s="38">
        <f t="shared" si="128"/>
        <v>-0.21203460096121507</v>
      </c>
      <c r="AY190" s="27">
        <f t="shared" ref="AY190" si="129">(AY24/$E24)/(AY$28/$E$28)-1</f>
        <v>-0.20259904422076802</v>
      </c>
      <c r="AZ190" s="2"/>
      <c r="BA190" s="2"/>
      <c r="BB190" s="2"/>
      <c r="BC190" s="2"/>
      <c r="BD190" s="2"/>
      <c r="BE190" s="2"/>
      <c r="BF190" s="2"/>
      <c r="BG190" s="2"/>
      <c r="BI190" s="2"/>
      <c r="BJ190" s="2"/>
      <c r="BK190" s="2"/>
      <c r="BL190" s="2"/>
      <c r="BM190" s="2"/>
      <c r="BN190" s="2"/>
      <c r="BO190" s="2"/>
      <c r="BP190" s="2"/>
    </row>
    <row r="191" spans="2:68" s="1" customFormat="1" ht="15">
      <c r="B191" s="68" t="s">
        <v>50</v>
      </c>
      <c r="C191" s="172">
        <v>275</v>
      </c>
      <c r="D191" s="1">
        <f>(D25/D28)*(0.52/0.55)-1</f>
        <v>-2.6756366090801453E-2</v>
      </c>
      <c r="E191" s="1">
        <f t="shared" ref="E191:AX191" si="130">(E25/E28)*(0.52/0.55)-1</f>
        <v>2.1154951899282626E-3</v>
      </c>
      <c r="F191" s="1">
        <f t="shared" si="130"/>
        <v>-4.9069671563336859E-2</v>
      </c>
      <c r="G191" s="1">
        <f t="shared" si="130"/>
        <v>0.21085874315135511</v>
      </c>
      <c r="H191" s="1">
        <f t="shared" si="130"/>
        <v>-0.5474163439836317</v>
      </c>
      <c r="I191" s="1">
        <f t="shared" si="130"/>
        <v>-0.14501735038649388</v>
      </c>
      <c r="J191" s="1">
        <f t="shared" si="130"/>
        <v>-0.952623157710627</v>
      </c>
      <c r="K191" s="1">
        <f t="shared" si="130"/>
        <v>-0.4785778105744809</v>
      </c>
      <c r="L191" s="1">
        <f t="shared" si="130"/>
        <v>-0.11064585185217368</v>
      </c>
      <c r="M191" s="40">
        <f t="shared" si="130"/>
        <v>-0.46328902910058822</v>
      </c>
      <c r="N191" s="1">
        <f t="shared" si="130"/>
        <v>-0.10817724375591409</v>
      </c>
      <c r="R191" s="68" t="s">
        <v>50</v>
      </c>
      <c r="S191" s="1">
        <f t="shared" si="130"/>
        <v>-0.14253274642049119</v>
      </c>
      <c r="T191" s="1">
        <f t="shared" si="130"/>
        <v>7.2052226753994919E-2</v>
      </c>
      <c r="U191" s="1">
        <f t="shared" si="130"/>
        <v>-0.17905209643032849</v>
      </c>
      <c r="V191" s="2">
        <f t="shared" si="130"/>
        <v>0.38945219212653748</v>
      </c>
      <c r="W191" s="40">
        <f>(W25/W28)*(0.52/0.55)-1</f>
        <v>-0.18968351626716551</v>
      </c>
      <c r="X191" s="1">
        <f t="shared" si="130"/>
        <v>0.6702377826597159</v>
      </c>
      <c r="Y191" s="1">
        <f t="shared" si="130"/>
        <v>0.22418034254768937</v>
      </c>
      <c r="Z191" s="1">
        <f t="shared" si="130"/>
        <v>-0.5270783176424334</v>
      </c>
      <c r="AA191" s="1">
        <f t="shared" si="130"/>
        <v>-0.14397797213282659</v>
      </c>
      <c r="AB191" s="1">
        <f t="shared" si="130"/>
        <v>0.38298149632135914</v>
      </c>
      <c r="AC191" s="1">
        <f t="shared" si="130"/>
        <v>-0.53845201822547095</v>
      </c>
      <c r="AD191" s="1">
        <f t="shared" si="130"/>
        <v>-0.35585584360284284</v>
      </c>
      <c r="AE191" s="1">
        <f t="shared" si="130"/>
        <v>0.16630423469626465</v>
      </c>
      <c r="AF191" s="1">
        <f t="shared" si="130"/>
        <v>-0.85702121097380468</v>
      </c>
      <c r="AG191" s="40">
        <f t="shared" si="130"/>
        <v>5.0132860938883805E-2</v>
      </c>
      <c r="AH191" s="40">
        <f t="shared" si="130"/>
        <v>-3.3769428603375173E-3</v>
      </c>
      <c r="AI191" s="40">
        <f t="shared" si="130"/>
        <v>-6.2330533144805744E-2</v>
      </c>
      <c r="AJ191" s="40">
        <f t="shared" si="130"/>
        <v>-2.3973870440936351E-2</v>
      </c>
      <c r="AK191" s="68" t="s">
        <v>50</v>
      </c>
      <c r="AQ191" s="38"/>
      <c r="AR191" s="38"/>
      <c r="AS191" s="38"/>
      <c r="AT191" s="68" t="s">
        <v>50</v>
      </c>
      <c r="AU191" s="38">
        <f t="shared" si="130"/>
        <v>-0.14819259213545122</v>
      </c>
      <c r="AV191" s="38">
        <f t="shared" si="130"/>
        <v>-0.14724635657771246</v>
      </c>
      <c r="AW191" s="38">
        <f t="shared" si="130"/>
        <v>-0.13632194871542347</v>
      </c>
      <c r="AX191" s="38">
        <f t="shared" si="130"/>
        <v>-0.14178873288444227</v>
      </c>
      <c r="AY191" s="27">
        <f t="shared" ref="AY191" si="131">(AY25/$E25)/(AY$28/$E$28)-1</f>
        <v>-0.14434288493164626</v>
      </c>
      <c r="AZ191" s="2"/>
      <c r="BA191" s="2"/>
      <c r="BB191" s="2"/>
      <c r="BC191" s="2"/>
      <c r="BD191" s="2"/>
      <c r="BE191" s="2"/>
      <c r="BF191" s="2"/>
      <c r="BG191" s="2"/>
      <c r="BI191" s="2"/>
      <c r="BJ191" s="2"/>
      <c r="BK191" s="2"/>
      <c r="BL191" s="2"/>
      <c r="BM191" s="2"/>
      <c r="BN191" s="2"/>
      <c r="BO191" s="2"/>
      <c r="BP191" s="2"/>
    </row>
    <row r="192" spans="2:68" s="1" customFormat="1" ht="15">
      <c r="B192" s="68" t="s">
        <v>51</v>
      </c>
      <c r="C192" s="172">
        <v>290</v>
      </c>
      <c r="D192" s="1">
        <f>(D26/D28)*(0.52/0.57)-1</f>
        <v>-5.8754216989802099E-2</v>
      </c>
      <c r="E192" s="1">
        <f t="shared" ref="E192:AX192" si="132">(E26/E28)*(0.52/0.57)-1</f>
        <v>-2.0090314984121393E-3</v>
      </c>
      <c r="F192" s="1">
        <f t="shared" si="132"/>
        <v>-4.7740550271994642E-2</v>
      </c>
      <c r="G192" s="1">
        <f t="shared" si="132"/>
        <v>-0.15208596144799091</v>
      </c>
      <c r="H192" s="1">
        <f t="shared" si="132"/>
        <v>-0.51940066263402751</v>
      </c>
      <c r="I192" s="1">
        <f t="shared" si="132"/>
        <v>-5.0920626740193042E-2</v>
      </c>
      <c r="J192" s="1">
        <f t="shared" si="132"/>
        <v>-0.92191422758463892</v>
      </c>
      <c r="K192" s="1">
        <f t="shared" si="132"/>
        <v>-0.1687286183158504</v>
      </c>
      <c r="L192" s="1">
        <f t="shared" si="132"/>
        <v>-8.5255751908306254E-2</v>
      </c>
      <c r="M192" s="40">
        <f t="shared" si="132"/>
        <v>-0.20122848099815949</v>
      </c>
      <c r="N192" s="1">
        <f t="shared" si="132"/>
        <v>-0.19835129409598029</v>
      </c>
      <c r="R192" s="68" t="s">
        <v>51</v>
      </c>
      <c r="S192" s="1">
        <f t="shared" si="132"/>
        <v>-0.22836771676597889</v>
      </c>
      <c r="T192" s="1">
        <f t="shared" si="132"/>
        <v>8.9296350650726053E-2</v>
      </c>
      <c r="U192" s="1">
        <f t="shared" si="132"/>
        <v>-0.34017364517728466</v>
      </c>
      <c r="V192" s="2">
        <f t="shared" si="132"/>
        <v>-9.476196350791033E-2</v>
      </c>
      <c r="W192" s="40">
        <f>(W26/W28)*(0.52/0.57)-1</f>
        <v>-0.68240579792741196</v>
      </c>
      <c r="X192" s="1">
        <f t="shared" si="132"/>
        <v>-0.13587259525462503</v>
      </c>
      <c r="Y192" s="1">
        <f t="shared" si="132"/>
        <v>2.8473002694270111E-2</v>
      </c>
      <c r="Z192" s="1">
        <f t="shared" si="132"/>
        <v>-0.53836501904555445</v>
      </c>
      <c r="AA192" s="1">
        <f t="shared" si="132"/>
        <v>-0.6758439956785256</v>
      </c>
      <c r="AB192" s="1">
        <f t="shared" si="132"/>
        <v>-0.6894979313557591</v>
      </c>
      <c r="AC192" s="1">
        <f t="shared" si="132"/>
        <v>-0.78309895902040627</v>
      </c>
      <c r="AD192" s="1">
        <f t="shared" si="132"/>
        <v>-5.6104493104142339E-2</v>
      </c>
      <c r="AE192" s="1">
        <f t="shared" si="132"/>
        <v>-3.359973347087275E-2</v>
      </c>
      <c r="AF192" s="1">
        <f t="shared" si="132"/>
        <v>-0.84238995064336342</v>
      </c>
      <c r="AG192" s="40">
        <f t="shared" si="132"/>
        <v>8.7626062499028823E-2</v>
      </c>
      <c r="AH192" s="40">
        <f t="shared" si="132"/>
        <v>-6.1910619106190889E-2</v>
      </c>
      <c r="AI192" s="40">
        <f t="shared" si="132"/>
        <v>3.0802073802988605E-2</v>
      </c>
      <c r="AJ192" s="40">
        <f t="shared" si="132"/>
        <v>-9.6459712154638111E-2</v>
      </c>
      <c r="AK192" s="68" t="s">
        <v>51</v>
      </c>
      <c r="AQ192" s="38"/>
      <c r="AR192" s="38"/>
      <c r="AS192" s="38"/>
      <c r="AT192" s="68" t="s">
        <v>51</v>
      </c>
      <c r="AU192" s="38">
        <f t="shared" si="132"/>
        <v>-0.23307554886653659</v>
      </c>
      <c r="AV192" s="38">
        <f t="shared" si="132"/>
        <v>-0.23141102457016738</v>
      </c>
      <c r="AW192" s="38">
        <f t="shared" si="132"/>
        <v>-0.21799727628433696</v>
      </c>
      <c r="AX192" s="38">
        <f t="shared" si="132"/>
        <v>-0.22484318198348208</v>
      </c>
      <c r="AY192" s="27">
        <f t="shared" ref="AY192" si="133">(AY26/$E26)/(AY$28/$E$28)-1</f>
        <v>-0.22681436246605335</v>
      </c>
      <c r="AZ192" s="2"/>
      <c r="BA192" s="2"/>
      <c r="BB192" s="2"/>
      <c r="BC192" s="2"/>
      <c r="BD192" s="2"/>
      <c r="BE192" s="2"/>
      <c r="BF192" s="2"/>
      <c r="BG192" s="2"/>
      <c r="BI192" s="2"/>
      <c r="BJ192" s="2"/>
      <c r="BK192" s="2"/>
      <c r="BL192" s="2"/>
      <c r="BM192" s="2"/>
      <c r="BN192" s="2"/>
      <c r="BO192" s="2"/>
      <c r="BP192" s="2"/>
    </row>
    <row r="193" spans="2:68" s="1" customFormat="1" ht="15">
      <c r="B193" s="68" t="s">
        <v>52</v>
      </c>
      <c r="C193" s="172">
        <v>320</v>
      </c>
      <c r="D193" s="1">
        <f>(D27/D28)*(0.52/0.47)-1</f>
        <v>0.15408972250387798</v>
      </c>
      <c r="E193" s="1">
        <f t="shared" ref="E193:AX193" si="134">(E27/E28)*(0.52/0.47)-1</f>
        <v>-5.174831429318183E-3</v>
      </c>
      <c r="F193" s="1">
        <f t="shared" si="134"/>
        <v>4.4152440545798699E-2</v>
      </c>
      <c r="G193" s="1">
        <f t="shared" si="134"/>
        <v>0.30633517222682483</v>
      </c>
      <c r="H193" s="1">
        <f t="shared" si="134"/>
        <v>-0.46423814617792059</v>
      </c>
      <c r="I193" s="1">
        <f t="shared" si="134"/>
        <v>-0.25967794960273294</v>
      </c>
      <c r="J193" s="1">
        <f t="shared" si="134"/>
        <v>-0.89125174286249687</v>
      </c>
      <c r="K193" s="1">
        <f t="shared" si="134"/>
        <v>2.5525852659366022E-2</v>
      </c>
      <c r="L193" s="1">
        <f t="shared" si="134"/>
        <v>7.0501671979237734E-2</v>
      </c>
      <c r="M193" s="40">
        <f t="shared" si="134"/>
        <v>0.19128223967497671</v>
      </c>
      <c r="N193" s="1">
        <f t="shared" si="134"/>
        <v>8.1782689942097253E-2</v>
      </c>
      <c r="R193" s="68" t="s">
        <v>52</v>
      </c>
      <c r="S193" s="1">
        <f t="shared" si="134"/>
        <v>5.1028028725970342E-2</v>
      </c>
      <c r="T193" s="1">
        <f t="shared" si="134"/>
        <v>2.5692676882049126E-2</v>
      </c>
      <c r="U193" s="1">
        <f t="shared" si="134"/>
        <v>0.39046327452309959</v>
      </c>
      <c r="V193" s="2">
        <f t="shared" si="134"/>
        <v>0.21690232097560447</v>
      </c>
      <c r="W193" s="40">
        <f>(W27/W28)*(0.52/0.47)-1</f>
        <v>-0.29735396099482769</v>
      </c>
      <c r="X193" s="1">
        <f t="shared" si="134"/>
        <v>0.34324897915898633</v>
      </c>
      <c r="Y193" s="1">
        <f t="shared" si="134"/>
        <v>5.0425526326524972E-2</v>
      </c>
      <c r="Z193" s="1">
        <f t="shared" si="134"/>
        <v>-0.55018447927057446</v>
      </c>
      <c r="AA193" s="1">
        <f t="shared" si="134"/>
        <v>-0.41604975669465682</v>
      </c>
      <c r="AB193" s="1">
        <f t="shared" si="134"/>
        <v>-0.21231768789232264</v>
      </c>
      <c r="AC193" s="1">
        <f t="shared" si="134"/>
        <v>-0.35145818040357168</v>
      </c>
      <c r="AD193" s="1">
        <f t="shared" si="134"/>
        <v>0.34349778683541099</v>
      </c>
      <c r="AE193" s="1">
        <f t="shared" si="134"/>
        <v>9.7817275638368395E-2</v>
      </c>
      <c r="AF193" s="1">
        <f t="shared" si="134"/>
        <v>-0.82139350826169977</v>
      </c>
      <c r="AG193" s="40">
        <f t="shared" si="134"/>
        <v>8.5803667338823608E-2</v>
      </c>
      <c r="AH193" s="40">
        <f t="shared" si="134"/>
        <v>3.3236502577791871E-2</v>
      </c>
      <c r="AI193" s="40">
        <f t="shared" si="134"/>
        <v>-1.8259329193512919E-3</v>
      </c>
      <c r="AJ193" s="40">
        <f t="shared" si="134"/>
        <v>9.6572811823163462E-3</v>
      </c>
      <c r="AK193" s="68" t="s">
        <v>52</v>
      </c>
      <c r="AQ193" s="38"/>
      <c r="AR193" s="38"/>
      <c r="AS193" s="38"/>
      <c r="AT193" s="68" t="s">
        <v>52</v>
      </c>
      <c r="AU193" s="38">
        <f t="shared" si="134"/>
        <v>7.653176323840083E-2</v>
      </c>
      <c r="AV193" s="38">
        <f t="shared" si="134"/>
        <v>4.7307166146119295E-2</v>
      </c>
      <c r="AW193" s="38">
        <f t="shared" si="134"/>
        <v>4.9930435232914183E-2</v>
      </c>
      <c r="AX193" s="38">
        <f t="shared" si="134"/>
        <v>5.643414780260958E-2</v>
      </c>
      <c r="AY193" s="27">
        <f t="shared" ref="AY193" si="135">(AY27/$E27)/(AY$28/$E$28)-1</f>
        <v>5.6495213360995056E-2</v>
      </c>
      <c r="AZ193" s="2"/>
      <c r="BA193" s="2"/>
      <c r="BB193" s="2"/>
      <c r="BC193" s="2"/>
      <c r="BD193" s="2"/>
      <c r="BE193" s="2"/>
      <c r="BF193" s="2"/>
      <c r="BG193" s="2"/>
      <c r="BI193" s="2"/>
      <c r="BJ193" s="2"/>
      <c r="BK193" s="2"/>
      <c r="BL193" s="2"/>
      <c r="BM193" s="2"/>
      <c r="BN193" s="2"/>
      <c r="BO193" s="2"/>
      <c r="BP193" s="2"/>
    </row>
    <row r="194" spans="2:68" s="1" customFormat="1" ht="15">
      <c r="B194" s="68" t="s">
        <v>53</v>
      </c>
      <c r="C194" s="173">
        <v>370</v>
      </c>
      <c r="D194" s="1">
        <f>(D28/D28)*(0.52/0.52-1)</f>
        <v>0</v>
      </c>
      <c r="E194" s="30"/>
      <c r="F194" s="30"/>
      <c r="G194" s="30"/>
      <c r="H194" s="30"/>
      <c r="I194" s="30"/>
      <c r="J194" s="30"/>
      <c r="K194" s="30"/>
      <c r="L194" s="30"/>
      <c r="M194" s="62"/>
      <c r="N194" s="16"/>
      <c r="O194" s="16"/>
      <c r="P194" s="99"/>
      <c r="Q194" s="99"/>
      <c r="R194" s="68" t="s">
        <v>53</v>
      </c>
      <c r="S194" s="63"/>
      <c r="T194" s="69"/>
      <c r="U194" s="69"/>
      <c r="V194" s="69"/>
      <c r="W194" s="127"/>
      <c r="X194" s="69"/>
      <c r="Y194" s="69"/>
      <c r="Z194" s="69"/>
      <c r="AA194" s="69"/>
      <c r="AB194" s="69"/>
      <c r="AC194" s="69"/>
      <c r="AD194" s="69"/>
      <c r="AE194" s="69"/>
      <c r="AF194" s="69"/>
      <c r="AG194" s="127"/>
      <c r="AH194" s="127"/>
      <c r="AI194" s="127"/>
      <c r="AJ194" s="127"/>
      <c r="AK194" s="68" t="s">
        <v>53</v>
      </c>
      <c r="AL194" s="69"/>
      <c r="AM194" s="69"/>
      <c r="AN194" s="69"/>
      <c r="AO194" s="69"/>
      <c r="AP194" s="69"/>
      <c r="AQ194" s="69"/>
      <c r="AR194" s="69"/>
      <c r="AS194" s="38"/>
      <c r="AT194" s="68" t="s">
        <v>53</v>
      </c>
      <c r="AU194" s="54">
        <f t="shared" ref="AU194:AY194" si="136">(AU28/$E28)/(AU$28/$E$28)-1</f>
        <v>0</v>
      </c>
      <c r="AV194" s="54">
        <f t="shared" si="136"/>
        <v>0</v>
      </c>
      <c r="AW194" s="54">
        <f t="shared" si="136"/>
        <v>0</v>
      </c>
      <c r="AX194" s="54">
        <f t="shared" si="136"/>
        <v>0</v>
      </c>
      <c r="AY194" s="27">
        <f t="shared" si="136"/>
        <v>0</v>
      </c>
      <c r="AZ194" s="2"/>
      <c r="BA194" s="2"/>
      <c r="BB194" s="2"/>
      <c r="BC194" s="2"/>
      <c r="BD194" s="2"/>
      <c r="BE194" s="2"/>
      <c r="BF194" s="2"/>
      <c r="BG194" s="2"/>
      <c r="BI194" s="2"/>
      <c r="BJ194" s="2"/>
      <c r="BK194" s="2"/>
      <c r="BL194" s="2"/>
      <c r="BM194" s="2"/>
      <c r="BN194" s="2"/>
      <c r="BO194" s="2"/>
      <c r="BP194" s="2"/>
    </row>
    <row r="195" spans="2:68" s="1" customFormat="1" ht="15">
      <c r="B195" s="68" t="s">
        <v>54</v>
      </c>
      <c r="C195" s="172">
        <v>400</v>
      </c>
      <c r="E195" s="30"/>
      <c r="F195" s="30"/>
      <c r="G195" s="30"/>
      <c r="H195" s="30"/>
      <c r="I195" s="30"/>
      <c r="J195" s="30"/>
      <c r="K195" s="30"/>
      <c r="L195" s="30"/>
      <c r="M195" s="62"/>
      <c r="N195" s="24"/>
      <c r="O195" s="24"/>
      <c r="P195" s="87"/>
      <c r="Q195" s="87"/>
      <c r="R195" s="68" t="s">
        <v>54</v>
      </c>
      <c r="S195" s="35"/>
      <c r="V195" s="2"/>
      <c r="W195" s="40"/>
      <c r="AD195" s="35"/>
      <c r="AE195" s="35"/>
      <c r="AF195" s="35"/>
      <c r="AG195" s="136"/>
      <c r="AH195" s="136"/>
      <c r="AI195" s="40"/>
      <c r="AJ195" s="40"/>
      <c r="AK195" s="68" t="s">
        <v>54</v>
      </c>
      <c r="AQ195" s="35"/>
      <c r="AR195" s="35"/>
      <c r="AS195" s="38"/>
      <c r="AT195" s="68" t="s">
        <v>54</v>
      </c>
      <c r="AU195" s="54">
        <f t="shared" ref="AU195:AY195" si="137">(AU29/$E29)/(AU$28/$E$28)-1</f>
        <v>-0.22454749118723938</v>
      </c>
      <c r="AV195" s="54">
        <f t="shared" si="137"/>
        <v>-0.25787772354299798</v>
      </c>
      <c r="AW195" s="54">
        <f t="shared" si="137"/>
        <v>-0.24223273717220739</v>
      </c>
      <c r="AX195" s="54">
        <f t="shared" si="137"/>
        <v>-0.24085637477274446</v>
      </c>
      <c r="AY195" s="27">
        <f t="shared" si="137"/>
        <v>-0.24903138388914148</v>
      </c>
      <c r="AZ195" s="2"/>
      <c r="BA195" s="2"/>
      <c r="BB195" s="2"/>
      <c r="BC195" s="2"/>
      <c r="BD195" s="2"/>
      <c r="BE195" s="2"/>
      <c r="BF195" s="2"/>
      <c r="BG195" s="2"/>
      <c r="BI195" s="2"/>
      <c r="BJ195" s="2"/>
      <c r="BK195" s="2"/>
      <c r="BL195" s="2"/>
      <c r="BM195" s="2"/>
      <c r="BN195" s="2"/>
      <c r="BO195" s="2"/>
      <c r="BP195" s="2"/>
    </row>
    <row r="196" spans="2:68" s="104" customFormat="1" ht="15">
      <c r="B196" s="56" t="s">
        <v>55</v>
      </c>
      <c r="C196" s="172">
        <v>420</v>
      </c>
      <c r="D196" s="105">
        <f>MIN(D178:D194)</f>
        <v>-0.45260932309566393</v>
      </c>
      <c r="E196" s="105">
        <f t="shared" ref="E196:AY196" si="138">MIN(E178:E194)</f>
        <v>-5.174831429318183E-3</v>
      </c>
      <c r="F196" s="105">
        <f t="shared" si="138"/>
        <v>-0.46848976655932806</v>
      </c>
      <c r="G196" s="105">
        <f t="shared" si="138"/>
        <v>-0.79575403759739605</v>
      </c>
      <c r="H196" s="105">
        <f t="shared" si="138"/>
        <v>-0.94421491469302776</v>
      </c>
      <c r="I196" s="105">
        <f t="shared" si="138"/>
        <v>-0.85033933322101629</v>
      </c>
      <c r="J196" s="105">
        <f t="shared" si="138"/>
        <v>-0.99048453906484568</v>
      </c>
      <c r="K196" s="105">
        <f t="shared" si="138"/>
        <v>-0.89326311187584173</v>
      </c>
      <c r="L196" s="105">
        <f t="shared" si="138"/>
        <v>-0.7387027259861072</v>
      </c>
      <c r="M196" s="128">
        <f t="shared" si="138"/>
        <v>-0.78001730511024203</v>
      </c>
      <c r="N196" s="105">
        <f t="shared" si="138"/>
        <v>-0.78681184113668712</v>
      </c>
      <c r="O196" s="105"/>
      <c r="P196" s="105"/>
      <c r="Q196" s="105"/>
      <c r="R196" s="56" t="s">
        <v>55</v>
      </c>
      <c r="S196" s="105">
        <f t="shared" si="138"/>
        <v>-0.47425859465395848</v>
      </c>
      <c r="T196" s="105">
        <f t="shared" si="138"/>
        <v>-0.68421708456769381</v>
      </c>
      <c r="U196" s="105">
        <f t="shared" si="138"/>
        <v>-0.59270866494523244</v>
      </c>
      <c r="V196" s="145">
        <f t="shared" si="138"/>
        <v>-0.59838150894298825</v>
      </c>
      <c r="W196" s="105">
        <f>MIN(W178:W194)</f>
        <v>-0.85238478335823475</v>
      </c>
      <c r="X196" s="105">
        <f t="shared" si="138"/>
        <v>-0.54712798323159961</v>
      </c>
      <c r="Y196" s="105">
        <f t="shared" si="138"/>
        <v>-0.52831455362067614</v>
      </c>
      <c r="Z196" s="105">
        <f t="shared" si="138"/>
        <v>-0.98415548750144222</v>
      </c>
      <c r="AA196" s="105">
        <f t="shared" si="138"/>
        <v>-0.92009526484229098</v>
      </c>
      <c r="AB196" s="105">
        <f t="shared" si="138"/>
        <v>-0.83439690045484483</v>
      </c>
      <c r="AC196" s="105">
        <f t="shared" si="138"/>
        <v>-0.8082528609893509</v>
      </c>
      <c r="AD196" s="105">
        <f t="shared" si="138"/>
        <v>-0.83052558894272266</v>
      </c>
      <c r="AE196" s="105">
        <f t="shared" si="138"/>
        <v>-0.76663420406762806</v>
      </c>
      <c r="AF196" s="105">
        <f t="shared" si="138"/>
        <v>-0.97827100069396256</v>
      </c>
      <c r="AG196" s="128">
        <f t="shared" si="138"/>
        <v>-0.25094422485726842</v>
      </c>
      <c r="AH196" s="128">
        <f t="shared" si="138"/>
        <v>-0.14051892313694903</v>
      </c>
      <c r="AI196" s="128">
        <f t="shared" si="138"/>
        <v>-0.31948406077893199</v>
      </c>
      <c r="AJ196" s="128">
        <f t="shared" si="138"/>
        <v>-0.21850416813431961</v>
      </c>
      <c r="AK196" s="56" t="s">
        <v>55</v>
      </c>
      <c r="AL196" s="105"/>
      <c r="AM196" s="105"/>
      <c r="AN196" s="105"/>
      <c r="AO196" s="105"/>
      <c r="AP196" s="105"/>
      <c r="AQ196" s="177"/>
      <c r="AR196" s="177"/>
      <c r="AS196" s="177"/>
      <c r="AT196" s="56" t="s">
        <v>55</v>
      </c>
      <c r="AU196" s="177">
        <f t="shared" si="138"/>
        <v>-0.49154905241987101</v>
      </c>
      <c r="AV196" s="177">
        <f t="shared" si="138"/>
        <v>-0.48009884245890511</v>
      </c>
      <c r="AW196" s="177">
        <f t="shared" si="138"/>
        <v>-0.47853974488052897</v>
      </c>
      <c r="AX196" s="177">
        <f t="shared" si="138"/>
        <v>-0.48232296748583969</v>
      </c>
      <c r="AY196" s="177">
        <f t="shared" si="138"/>
        <v>-0.47579501891510578</v>
      </c>
      <c r="AZ196" s="57"/>
      <c r="BA196" s="57"/>
      <c r="BB196" s="57"/>
      <c r="BC196" s="57"/>
      <c r="BD196" s="57"/>
      <c r="BE196" s="57"/>
      <c r="BF196" s="57"/>
      <c r="BG196" s="57"/>
      <c r="BI196" s="57"/>
      <c r="BJ196" s="57"/>
      <c r="BK196" s="57"/>
      <c r="BL196" s="57"/>
      <c r="BM196" s="57"/>
      <c r="BN196" s="57"/>
      <c r="BO196" s="57"/>
      <c r="BP196" s="57"/>
    </row>
    <row r="197" spans="2:68" s="104" customFormat="1" ht="15">
      <c r="B197" s="56" t="s">
        <v>56</v>
      </c>
      <c r="C197" s="164"/>
      <c r="D197" s="105">
        <f>MAX(D178:D194)</f>
        <v>0.33608661975801479</v>
      </c>
      <c r="E197" s="105">
        <f t="shared" ref="E197:AY197" si="139">MAX(E178:E194)</f>
        <v>0.11549277323567231</v>
      </c>
      <c r="F197" s="105">
        <f t="shared" si="139"/>
        <v>0.32281266511740303</v>
      </c>
      <c r="G197" s="105">
        <f t="shared" si="139"/>
        <v>5.1136346674894302</v>
      </c>
      <c r="H197" s="105">
        <f t="shared" si="139"/>
        <v>-0.13787706515666531</v>
      </c>
      <c r="I197" s="105">
        <f t="shared" si="139"/>
        <v>-5.0920626740193042E-2</v>
      </c>
      <c r="J197" s="105">
        <f t="shared" si="139"/>
        <v>-0.89125174286249687</v>
      </c>
      <c r="K197" s="105">
        <f t="shared" si="139"/>
        <v>2.5525852659366022E-2</v>
      </c>
      <c r="L197" s="105">
        <f t="shared" si="139"/>
        <v>8.8788901543317644E-2</v>
      </c>
      <c r="M197" s="128">
        <f t="shared" si="139"/>
        <v>2.1219494172732953</v>
      </c>
      <c r="N197" s="105">
        <f t="shared" si="139"/>
        <v>8.1782689942097253E-2</v>
      </c>
      <c r="O197" s="105"/>
      <c r="P197" s="105"/>
      <c r="Q197" s="105"/>
      <c r="R197" s="56" t="s">
        <v>56</v>
      </c>
      <c r="S197" s="105">
        <f t="shared" si="139"/>
        <v>0.37853555856262244</v>
      </c>
      <c r="T197" s="105">
        <f t="shared" si="139"/>
        <v>0.29448356480221216</v>
      </c>
      <c r="U197" s="105">
        <f t="shared" si="139"/>
        <v>0.45331904102068021</v>
      </c>
      <c r="V197" s="145">
        <f t="shared" si="139"/>
        <v>1.1050829862698817</v>
      </c>
      <c r="W197" s="105">
        <f>MAX(W178:W194)</f>
        <v>0.92209761002397705</v>
      </c>
      <c r="X197" s="105">
        <f t="shared" si="139"/>
        <v>1.1063619012619195</v>
      </c>
      <c r="Y197" s="105">
        <f t="shared" si="139"/>
        <v>0.51526529698668111</v>
      </c>
      <c r="Z197" s="105">
        <f t="shared" si="139"/>
        <v>-0.16353133014723942</v>
      </c>
      <c r="AA197" s="105">
        <f t="shared" si="139"/>
        <v>0.2813774336164574</v>
      </c>
      <c r="AB197" s="105">
        <f t="shared" si="139"/>
        <v>0.88184242028512361</v>
      </c>
      <c r="AC197" s="105">
        <f t="shared" si="139"/>
        <v>3.1851224409341929</v>
      </c>
      <c r="AD197" s="105">
        <f t="shared" si="139"/>
        <v>1.0511108364660382</v>
      </c>
      <c r="AE197" s="105">
        <f t="shared" si="139"/>
        <v>0.24022673402866057</v>
      </c>
      <c r="AF197" s="105">
        <f t="shared" si="139"/>
        <v>-0.82139350826169977</v>
      </c>
      <c r="AG197" s="128">
        <f t="shared" si="139"/>
        <v>0.3799114260407439</v>
      </c>
      <c r="AH197" s="128">
        <f t="shared" si="139"/>
        <v>0.41928659286592884</v>
      </c>
      <c r="AI197" s="128">
        <f t="shared" si="139"/>
        <v>3.0802073802988605E-2</v>
      </c>
      <c r="AJ197" s="128">
        <f t="shared" si="139"/>
        <v>7.5449101796407181E-2</v>
      </c>
      <c r="AK197" s="56" t="s">
        <v>56</v>
      </c>
      <c r="AL197" s="105"/>
      <c r="AM197" s="105"/>
      <c r="AN197" s="105"/>
      <c r="AO197" s="105"/>
      <c r="AP197" s="105"/>
      <c r="AQ197" s="177"/>
      <c r="AR197" s="177"/>
      <c r="AS197" s="177"/>
      <c r="AT197" s="56" t="s">
        <v>56</v>
      </c>
      <c r="AU197" s="177">
        <f t="shared" si="139"/>
        <v>0.36750564367215444</v>
      </c>
      <c r="AV197" s="177">
        <f t="shared" si="139"/>
        <v>0.39538788252809765</v>
      </c>
      <c r="AW197" s="177">
        <f t="shared" si="139"/>
        <v>0.38458117864340169</v>
      </c>
      <c r="AX197" s="177">
        <f t="shared" si="139"/>
        <v>0.37848680247450806</v>
      </c>
      <c r="AY197" s="177">
        <f t="shared" si="139"/>
        <v>0.3721805878816089</v>
      </c>
      <c r="AZ197" s="57"/>
      <c r="BA197" s="57"/>
      <c r="BB197" s="57"/>
      <c r="BC197" s="57"/>
      <c r="BD197" s="57"/>
      <c r="BE197" s="57"/>
      <c r="BF197" s="57"/>
      <c r="BG197" s="57"/>
      <c r="BI197" s="57"/>
      <c r="BJ197" s="57"/>
      <c r="BK197" s="57"/>
      <c r="BL197" s="57"/>
      <c r="BM197" s="57"/>
      <c r="BN197" s="57"/>
      <c r="BO197" s="57"/>
      <c r="BP197" s="57"/>
    </row>
    <row r="198" spans="2:68" s="104" customFormat="1" ht="15">
      <c r="B198" s="56" t="s">
        <v>57</v>
      </c>
      <c r="C198" s="164"/>
      <c r="D198" s="105">
        <f>AVERAGE(D178:D194)</f>
        <v>-5.2957290983359273E-2</v>
      </c>
      <c r="E198" s="105">
        <f t="shared" ref="E198:AY198" si="140">AVERAGE(E178:E194)</f>
        <v>1.0594572205568135E-2</v>
      </c>
      <c r="F198" s="105">
        <f t="shared" si="140"/>
        <v>-2.7364298562223749E-2</v>
      </c>
      <c r="G198" s="105">
        <f t="shared" si="140"/>
        <v>0.42911012281539457</v>
      </c>
      <c r="H198" s="105">
        <f t="shared" si="140"/>
        <v>-0.55791212226174258</v>
      </c>
      <c r="I198" s="105">
        <f t="shared" si="140"/>
        <v>-0.53859265395688749</v>
      </c>
      <c r="J198" s="105">
        <f t="shared" si="140"/>
        <v>-0.95044404802673932</v>
      </c>
      <c r="K198" s="105">
        <f t="shared" si="140"/>
        <v>-0.73262488482449151</v>
      </c>
      <c r="L198" s="105">
        <f t="shared" si="140"/>
        <v>-0.18106937635738668</v>
      </c>
      <c r="M198" s="128">
        <f t="shared" si="140"/>
        <v>-0.19343418469109497</v>
      </c>
      <c r="N198" s="105">
        <f t="shared" si="140"/>
        <v>-0.36795307517039721</v>
      </c>
      <c r="O198" s="105"/>
      <c r="P198" s="105"/>
      <c r="Q198" s="105"/>
      <c r="R198" s="56" t="s">
        <v>57</v>
      </c>
      <c r="S198" s="105">
        <f t="shared" si="140"/>
        <v>-0.10178898622796036</v>
      </c>
      <c r="T198" s="105">
        <f t="shared" si="140"/>
        <v>-4.9024973839491004E-3</v>
      </c>
      <c r="U198" s="105">
        <f t="shared" si="140"/>
        <v>-8.6385850629159114E-2</v>
      </c>
      <c r="V198" s="145">
        <f t="shared" si="140"/>
        <v>7.1788268960724183E-2</v>
      </c>
      <c r="W198" s="105">
        <f>AVERAGE(W178:W194)</f>
        <v>-0.38600313361452837</v>
      </c>
      <c r="X198" s="105">
        <f t="shared" si="140"/>
        <v>0.21495481488829932</v>
      </c>
      <c r="Y198" s="105">
        <f t="shared" si="140"/>
        <v>-8.2847966421816077E-2</v>
      </c>
      <c r="Z198" s="105">
        <f t="shared" si="140"/>
        <v>-0.6061078680853984</v>
      </c>
      <c r="AA198" s="105">
        <f t="shared" si="140"/>
        <v>-0.61040329008952265</v>
      </c>
      <c r="AB198" s="105">
        <f t="shared" si="140"/>
        <v>-0.37432009967424762</v>
      </c>
      <c r="AC198" s="105">
        <f t="shared" si="140"/>
        <v>-5.7836558233663841E-2</v>
      </c>
      <c r="AD198" s="105">
        <f t="shared" si="140"/>
        <v>-0.20350587433071765</v>
      </c>
      <c r="AE198" s="105">
        <f t="shared" si="140"/>
        <v>-0.23675407228859241</v>
      </c>
      <c r="AF198" s="105">
        <f t="shared" si="140"/>
        <v>-0.88780809038911157</v>
      </c>
      <c r="AG198" s="128">
        <f t="shared" si="140"/>
        <v>1.4765815658104316E-2</v>
      </c>
      <c r="AH198" s="128">
        <f t="shared" si="140"/>
        <v>2.6488391937196161E-2</v>
      </c>
      <c r="AI198" s="128">
        <f t="shared" si="140"/>
        <v>-9.4388659305951778E-2</v>
      </c>
      <c r="AJ198" s="128">
        <f t="shared" si="140"/>
        <v>-2.041212607244746E-2</v>
      </c>
      <c r="AK198" s="56" t="s">
        <v>57</v>
      </c>
      <c r="AL198" s="105"/>
      <c r="AM198" s="105"/>
      <c r="AN198" s="105"/>
      <c r="AO198" s="105"/>
      <c r="AP198" s="105"/>
      <c r="AQ198" s="177"/>
      <c r="AR198" s="177"/>
      <c r="AS198" s="177"/>
      <c r="AT198" s="56" t="s">
        <v>57</v>
      </c>
      <c r="AU198" s="177">
        <f t="shared" si="140"/>
        <v>-0.10429997433642461</v>
      </c>
      <c r="AV198" s="177">
        <f t="shared" si="140"/>
        <v>-9.9727879282733134E-2</v>
      </c>
      <c r="AW198" s="177">
        <f t="shared" si="140"/>
        <v>-9.3631934052304883E-2</v>
      </c>
      <c r="AX198" s="177">
        <f t="shared" si="140"/>
        <v>-9.7778070214754972E-2</v>
      </c>
      <c r="AY198" s="177">
        <f t="shared" si="140"/>
        <v>-0.1246960688126711</v>
      </c>
      <c r="AZ198" s="57"/>
      <c r="BA198" s="57"/>
      <c r="BB198" s="57"/>
      <c r="BC198" s="57"/>
      <c r="BD198" s="57"/>
      <c r="BE198" s="57"/>
      <c r="BF198" s="57"/>
      <c r="BG198" s="57"/>
      <c r="BI198" s="57"/>
      <c r="BJ198" s="57"/>
      <c r="BK198" s="57"/>
      <c r="BL198" s="57"/>
      <c r="BM198" s="57"/>
      <c r="BN198" s="57"/>
      <c r="BO198" s="57"/>
      <c r="BP198" s="57"/>
    </row>
    <row r="199" spans="2:68" s="104" customFormat="1" ht="15">
      <c r="B199" s="57" t="s">
        <v>58</v>
      </c>
      <c r="C199" s="165"/>
      <c r="D199" s="105">
        <f>STDEV(D178:D194)</f>
        <v>0.19579968504678066</v>
      </c>
      <c r="E199" s="105">
        <f t="shared" ref="E199:AY199" si="141">STDEV(E178:E194)</f>
        <v>2.8471407332870079E-2</v>
      </c>
      <c r="F199" s="105">
        <f t="shared" si="141"/>
        <v>0.21695411233304843</v>
      </c>
      <c r="G199" s="105">
        <f t="shared" si="141"/>
        <v>1.4950296492140323</v>
      </c>
      <c r="H199" s="105">
        <f t="shared" si="141"/>
        <v>0.26912122389926652</v>
      </c>
      <c r="I199" s="105">
        <f t="shared" si="141"/>
        <v>0.25811493383830525</v>
      </c>
      <c r="J199" s="105">
        <f t="shared" si="141"/>
        <v>2.058517461199046E-2</v>
      </c>
      <c r="K199" s="105">
        <f t="shared" si="141"/>
        <v>0.28196730773785145</v>
      </c>
      <c r="L199" s="105">
        <f t="shared" si="141"/>
        <v>0.24320070421502443</v>
      </c>
      <c r="M199" s="128">
        <f t="shared" si="141"/>
        <v>0.68042412842452427</v>
      </c>
      <c r="N199" s="105">
        <f t="shared" si="141"/>
        <v>0.27653242868040778</v>
      </c>
      <c r="O199" s="105"/>
      <c r="P199" s="105"/>
      <c r="Q199" s="105"/>
      <c r="R199" s="57" t="s">
        <v>58</v>
      </c>
      <c r="S199" s="105">
        <f t="shared" si="141"/>
        <v>0.24700120436827042</v>
      </c>
      <c r="T199" s="105">
        <f t="shared" si="141"/>
        <v>0.26741711969048532</v>
      </c>
      <c r="U199" s="105">
        <f t="shared" si="141"/>
        <v>0.32312076297930359</v>
      </c>
      <c r="V199" s="145">
        <f t="shared" si="141"/>
        <v>0.49241768216003939</v>
      </c>
      <c r="W199" s="105">
        <f>STDEV(W178:W194)</f>
        <v>0.46803407438281019</v>
      </c>
      <c r="X199" s="105">
        <f t="shared" si="141"/>
        <v>0.50096044696988229</v>
      </c>
      <c r="Y199" s="105">
        <f t="shared" si="141"/>
        <v>0.28730940093610924</v>
      </c>
      <c r="Z199" s="105">
        <f t="shared" si="141"/>
        <v>0.27030228113022187</v>
      </c>
      <c r="AA199" s="105">
        <f t="shared" si="141"/>
        <v>0.35155293022779388</v>
      </c>
      <c r="AB199" s="105">
        <f t="shared" si="141"/>
        <v>0.52857781116454217</v>
      </c>
      <c r="AC199" s="105">
        <f t="shared" si="141"/>
        <v>1.116068888188622</v>
      </c>
      <c r="AD199" s="105">
        <f t="shared" si="141"/>
        <v>0.45049679153694644</v>
      </c>
      <c r="AE199" s="105">
        <f t="shared" si="141"/>
        <v>0.30635585869462834</v>
      </c>
      <c r="AF199" s="105">
        <f t="shared" si="141"/>
        <v>4.353634316676195E-2</v>
      </c>
      <c r="AG199" s="128">
        <f t="shared" si="141"/>
        <v>0.13400503752385221</v>
      </c>
      <c r="AH199" s="128">
        <f t="shared" si="141"/>
        <v>0.12180156801858592</v>
      </c>
      <c r="AI199" s="128">
        <f t="shared" si="141"/>
        <v>7.5699955728909391E-2</v>
      </c>
      <c r="AJ199" s="128">
        <f t="shared" si="141"/>
        <v>7.1281303920535027E-2</v>
      </c>
      <c r="AK199" s="57" t="s">
        <v>58</v>
      </c>
      <c r="AL199" s="105"/>
      <c r="AM199" s="105"/>
      <c r="AN199" s="105"/>
      <c r="AO199" s="105"/>
      <c r="AP199" s="105"/>
      <c r="AQ199" s="177"/>
      <c r="AR199" s="177"/>
      <c r="AS199" s="177"/>
      <c r="AT199" s="57" t="s">
        <v>58</v>
      </c>
      <c r="AU199" s="177">
        <f t="shared" si="141"/>
        <v>0.23938935232891215</v>
      </c>
      <c r="AV199" s="177">
        <f t="shared" si="141"/>
        <v>0.24422430565485889</v>
      </c>
      <c r="AW199" s="177">
        <f t="shared" si="141"/>
        <v>0.24263608802317602</v>
      </c>
      <c r="AX199" s="177">
        <f t="shared" si="141"/>
        <v>0.24194404208790188</v>
      </c>
      <c r="AY199" s="177">
        <f t="shared" si="141"/>
        <v>0.20932562351017492</v>
      </c>
      <c r="AZ199" s="57"/>
      <c r="BA199" s="57"/>
      <c r="BB199" s="57"/>
      <c r="BC199" s="57"/>
      <c r="BD199" s="57"/>
      <c r="BE199" s="57"/>
      <c r="BF199" s="57"/>
      <c r="BG199" s="57"/>
      <c r="BI199" s="57"/>
      <c r="BJ199" s="57"/>
      <c r="BK199" s="57"/>
      <c r="BL199" s="57"/>
      <c r="BM199" s="57"/>
      <c r="BN199" s="57"/>
      <c r="BO199" s="57"/>
      <c r="BP199" s="57"/>
    </row>
    <row r="200" spans="2:68" s="104" customFormat="1" ht="15">
      <c r="B200" s="57" t="s">
        <v>59</v>
      </c>
      <c r="C200" s="165"/>
      <c r="D200" s="105">
        <f>D199/D198</f>
        <v>-3.697313087791946</v>
      </c>
      <c r="E200" s="105">
        <f t="shared" ref="E200:AY200" si="142">E199/E198</f>
        <v>2.6873579018043321</v>
      </c>
      <c r="F200" s="105">
        <f t="shared" si="142"/>
        <v>-7.9283637342179958</v>
      </c>
      <c r="G200" s="105">
        <f t="shared" si="142"/>
        <v>3.4840232605214068</v>
      </c>
      <c r="H200" s="105">
        <f t="shared" si="142"/>
        <v>-0.48237206750099831</v>
      </c>
      <c r="I200" s="105">
        <f t="shared" si="142"/>
        <v>-0.47923961075593591</v>
      </c>
      <c r="J200" s="105">
        <f t="shared" si="142"/>
        <v>-2.165848126960055E-2</v>
      </c>
      <c r="K200" s="105">
        <f t="shared" si="142"/>
        <v>-0.38487268666201513</v>
      </c>
      <c r="L200" s="105">
        <f t="shared" si="142"/>
        <v>-1.343135482694797</v>
      </c>
      <c r="M200" s="128">
        <f t="shared" si="142"/>
        <v>-3.5176002086245957</v>
      </c>
      <c r="N200" s="105">
        <f t="shared" si="142"/>
        <v>-0.75154264861721021</v>
      </c>
      <c r="O200" s="105"/>
      <c r="P200" s="105"/>
      <c r="Q200" s="105"/>
      <c r="R200" s="57" t="s">
        <v>59</v>
      </c>
      <c r="S200" s="105">
        <f t="shared" si="142"/>
        <v>-2.4266004950191928</v>
      </c>
      <c r="T200" s="105">
        <f t="shared" si="142"/>
        <v>-54.547121343912529</v>
      </c>
      <c r="U200" s="105">
        <f t="shared" si="142"/>
        <v>-3.7404362013683268</v>
      </c>
      <c r="V200" s="145">
        <f t="shared" si="142"/>
        <v>6.8593056956066771</v>
      </c>
      <c r="W200" s="105">
        <f>W199/W198</f>
        <v>-1.2125136653688409</v>
      </c>
      <c r="X200" s="105">
        <f t="shared" si="142"/>
        <v>2.330538384219051</v>
      </c>
      <c r="Y200" s="105">
        <f t="shared" si="142"/>
        <v>-3.467911324139068</v>
      </c>
      <c r="Z200" s="105">
        <f t="shared" si="142"/>
        <v>-0.44596398654923458</v>
      </c>
      <c r="AA200" s="105">
        <f t="shared" si="142"/>
        <v>-0.57593551007274979</v>
      </c>
      <c r="AB200" s="105">
        <f t="shared" si="142"/>
        <v>-1.4121010643685377</v>
      </c>
      <c r="AC200" s="105">
        <f t="shared" si="142"/>
        <v>-19.296945085833492</v>
      </c>
      <c r="AD200" s="105">
        <f t="shared" si="142"/>
        <v>-2.2136795461974899</v>
      </c>
      <c r="AE200" s="105">
        <f t="shared" si="142"/>
        <v>-1.2939834813958111</v>
      </c>
      <c r="AF200" s="105">
        <f t="shared" si="142"/>
        <v>-4.9038011297780237E-2</v>
      </c>
      <c r="AG200" s="128">
        <f t="shared" si="142"/>
        <v>9.0753562570925546</v>
      </c>
      <c r="AH200" s="128">
        <f t="shared" si="142"/>
        <v>4.5982998253490361</v>
      </c>
      <c r="AI200" s="128">
        <f t="shared" si="142"/>
        <v>-0.80200265885264088</v>
      </c>
      <c r="AJ200" s="128">
        <f t="shared" si="142"/>
        <v>-3.4921058035572008</v>
      </c>
      <c r="AK200" s="57" t="s">
        <v>59</v>
      </c>
      <c r="AL200" s="105"/>
      <c r="AM200" s="105"/>
      <c r="AN200" s="105"/>
      <c r="AO200" s="105"/>
      <c r="AP200" s="105"/>
      <c r="AQ200" s="177"/>
      <c r="AR200" s="177"/>
      <c r="AS200" s="177"/>
      <c r="AT200" s="57" t="s">
        <v>59</v>
      </c>
      <c r="AU200" s="177">
        <f t="shared" si="142"/>
        <v>-2.295200491198111</v>
      </c>
      <c r="AV200" s="177">
        <f t="shared" si="142"/>
        <v>-2.4489070399509023</v>
      </c>
      <c r="AW200" s="177">
        <f t="shared" si="142"/>
        <v>-2.5913817810025592</v>
      </c>
      <c r="AX200" s="177">
        <f t="shared" si="142"/>
        <v>-2.4744203025945164</v>
      </c>
      <c r="AY200" s="177">
        <f t="shared" si="142"/>
        <v>-1.6786866298458969</v>
      </c>
      <c r="AZ200" s="56"/>
      <c r="BA200" s="56"/>
      <c r="BB200" s="56"/>
      <c r="BC200" s="56"/>
      <c r="BD200" s="56"/>
      <c r="BE200" s="56"/>
      <c r="BF200" s="56"/>
      <c r="BG200" s="56"/>
      <c r="BH200" s="56"/>
      <c r="BI200" s="56"/>
      <c r="BJ200" s="56"/>
      <c r="BK200" s="56"/>
      <c r="BL200" s="56"/>
      <c r="BM200" s="56"/>
      <c r="BN200" s="56"/>
      <c r="BO200" s="56"/>
      <c r="BP200" s="56"/>
    </row>
    <row r="201" spans="2:68" s="1" customFormat="1" ht="15">
      <c r="B201" s="2"/>
      <c r="C201" s="157"/>
      <c r="D201" s="24"/>
      <c r="E201" s="24"/>
      <c r="F201" s="69"/>
      <c r="G201" s="16"/>
      <c r="H201" s="16"/>
      <c r="I201" s="16"/>
      <c r="J201" s="16"/>
      <c r="K201" s="16"/>
      <c r="L201" s="24"/>
      <c r="M201" s="40"/>
      <c r="N201" s="24"/>
      <c r="O201" s="24"/>
      <c r="P201" s="87"/>
      <c r="Q201" s="87"/>
      <c r="R201" s="2"/>
      <c r="V201" s="2"/>
      <c r="W201" s="40"/>
      <c r="AG201" s="40"/>
      <c r="AH201" s="40"/>
      <c r="AI201" s="40"/>
      <c r="AJ201" s="40"/>
      <c r="AK201" s="2"/>
      <c r="AQ201" s="38"/>
      <c r="AR201" s="38"/>
      <c r="AS201" s="38"/>
      <c r="AT201" s="27"/>
      <c r="AU201" s="25"/>
      <c r="AV201" s="25"/>
      <c r="AW201" s="25"/>
      <c r="AX201" s="25"/>
      <c r="AY201" s="38"/>
      <c r="BG201" s="10"/>
      <c r="BI201" s="10"/>
      <c r="BJ201" s="10"/>
      <c r="BK201" s="10"/>
      <c r="BL201" s="10"/>
      <c r="BM201" s="10"/>
      <c r="BN201" s="10"/>
      <c r="BO201" s="10"/>
      <c r="BP201" s="10"/>
    </row>
    <row r="202" spans="2:68" s="1" customFormat="1" ht="15.75">
      <c r="B202" s="2"/>
      <c r="C202" s="157"/>
      <c r="D202" s="79" t="s">
        <v>128</v>
      </c>
      <c r="E202" s="24"/>
      <c r="F202" s="69"/>
      <c r="G202" s="16"/>
      <c r="H202" s="16"/>
      <c r="I202" s="16"/>
      <c r="J202" s="16"/>
      <c r="K202" s="16"/>
      <c r="L202" s="24"/>
      <c r="M202" s="40"/>
      <c r="N202" s="24"/>
      <c r="O202" s="24"/>
      <c r="P202" s="87"/>
      <c r="Q202" s="87"/>
      <c r="R202" s="79" t="s">
        <v>128</v>
      </c>
      <c r="V202" s="2"/>
      <c r="W202" s="40"/>
      <c r="AG202" s="40"/>
      <c r="AH202" s="40"/>
      <c r="AI202" s="40"/>
      <c r="AJ202" s="40"/>
      <c r="AK202" s="79" t="s">
        <v>128</v>
      </c>
      <c r="AQ202" s="38"/>
      <c r="AR202" s="38"/>
      <c r="AS202" s="38"/>
      <c r="AT202" s="27"/>
      <c r="AU202" s="25"/>
      <c r="AV202" s="25"/>
      <c r="AW202" s="25"/>
      <c r="AX202" s="25"/>
      <c r="AY202" s="38"/>
      <c r="BG202" s="10"/>
      <c r="BI202" s="10"/>
      <c r="BJ202" s="10"/>
      <c r="BK202" s="10"/>
      <c r="BL202" s="10"/>
      <c r="BM202" s="10"/>
      <c r="BN202" s="10"/>
      <c r="BO202" s="10"/>
      <c r="BP202" s="10"/>
    </row>
    <row r="203" spans="2:68" s="1" customFormat="1" ht="18">
      <c r="B203" s="27" t="s">
        <v>32</v>
      </c>
      <c r="C203" s="158" t="s">
        <v>142</v>
      </c>
      <c r="D203" s="17" t="s">
        <v>1</v>
      </c>
      <c r="E203" s="28" t="s">
        <v>2</v>
      </c>
      <c r="F203" s="17" t="s">
        <v>3</v>
      </c>
      <c r="G203" s="17" t="s">
        <v>4</v>
      </c>
      <c r="H203" s="29" t="s">
        <v>5</v>
      </c>
      <c r="I203" s="29" t="s">
        <v>6</v>
      </c>
      <c r="J203" s="29" t="s">
        <v>7</v>
      </c>
      <c r="K203" s="29" t="s">
        <v>8</v>
      </c>
      <c r="L203" s="29" t="s">
        <v>9</v>
      </c>
      <c r="M203" s="138" t="s">
        <v>10</v>
      </c>
      <c r="N203" s="40" t="s">
        <v>11</v>
      </c>
      <c r="O203" s="40"/>
      <c r="P203" s="88" t="s">
        <v>12</v>
      </c>
      <c r="Q203" s="88" t="s">
        <v>13</v>
      </c>
      <c r="R203" s="27" t="s">
        <v>32</v>
      </c>
      <c r="S203" s="20" t="s">
        <v>14</v>
      </c>
      <c r="T203" s="20" t="s">
        <v>15</v>
      </c>
      <c r="U203" s="20" t="s">
        <v>16</v>
      </c>
      <c r="V203" s="48" t="s">
        <v>17</v>
      </c>
      <c r="W203" s="62" t="s">
        <v>25</v>
      </c>
      <c r="X203" s="31" t="s">
        <v>18</v>
      </c>
      <c r="Y203" s="31" t="s">
        <v>19</v>
      </c>
      <c r="Z203" s="31" t="s">
        <v>20</v>
      </c>
      <c r="AA203" s="30" t="s">
        <v>21</v>
      </c>
      <c r="AB203" s="31" t="s">
        <v>22</v>
      </c>
      <c r="AC203" s="30" t="s">
        <v>23</v>
      </c>
      <c r="AD203" s="30" t="s">
        <v>24</v>
      </c>
      <c r="AE203" s="30" t="s">
        <v>26</v>
      </c>
      <c r="AF203" s="30" t="s">
        <v>27</v>
      </c>
      <c r="AG203" s="65" t="s">
        <v>28</v>
      </c>
      <c r="AH203" s="65" t="s">
        <v>29</v>
      </c>
      <c r="AI203" s="65" t="s">
        <v>30</v>
      </c>
      <c r="AJ203" s="65" t="s">
        <v>31</v>
      </c>
      <c r="AK203" s="27" t="s">
        <v>32</v>
      </c>
      <c r="AL203" s="32" t="s">
        <v>116</v>
      </c>
      <c r="AM203" s="32" t="s">
        <v>117</v>
      </c>
      <c r="AN203" s="32" t="s">
        <v>118</v>
      </c>
      <c r="AO203" s="33" t="s">
        <v>119</v>
      </c>
      <c r="AP203" s="33" t="s">
        <v>120</v>
      </c>
      <c r="AQ203" s="38" t="s">
        <v>121</v>
      </c>
      <c r="AR203" s="33" t="s">
        <v>14</v>
      </c>
      <c r="AS203" s="38"/>
      <c r="AT203" s="27" t="s">
        <v>32</v>
      </c>
      <c r="AU203" s="34" t="s">
        <v>122</v>
      </c>
      <c r="AV203" s="34" t="s">
        <v>123</v>
      </c>
      <c r="AW203" s="34" t="s">
        <v>124</v>
      </c>
      <c r="AX203" s="34" t="s">
        <v>33</v>
      </c>
      <c r="AY203" s="20" t="s">
        <v>14</v>
      </c>
      <c r="AZ203" s="20"/>
      <c r="BA203" s="20"/>
      <c r="BB203" s="20"/>
      <c r="BC203" s="20"/>
      <c r="BD203" s="20"/>
      <c r="BE203" s="20"/>
      <c r="BF203" s="20"/>
    </row>
    <row r="204" spans="2:68" s="25" customFormat="1" ht="15">
      <c r="B204" s="119" t="s">
        <v>37</v>
      </c>
      <c r="C204" s="172">
        <v>15</v>
      </c>
      <c r="D204" s="57">
        <f>(D12/E12)/(64.8/0.7)</f>
        <v>0.79613522978821849</v>
      </c>
      <c r="E204" s="57">
        <f>(E12/E12)/(0.7/0.7)</f>
        <v>1</v>
      </c>
      <c r="F204" s="57">
        <f>(F12/E12)/(16.9/0.7)</f>
        <v>0.44106329407914369</v>
      </c>
      <c r="G204" s="57">
        <f>(G12/E12)/(5.66/0.7)</f>
        <v>0.51085903453206194</v>
      </c>
      <c r="H204" s="57">
        <f>(H12/E12)/(0.06/0.7)</f>
        <v>0.36425810288432919</v>
      </c>
      <c r="I204" s="57">
        <f>(I12/E12)/(2.86/0.7)</f>
        <v>0.18427602727335107</v>
      </c>
      <c r="J204" s="57">
        <f>(J12/E12)/(3.63/0.7)</f>
        <v>2.4255203072817241E-2</v>
      </c>
      <c r="K204" s="57">
        <f>(K12/E12)/(1.14/0.7)</f>
        <v>9.2739130512875592E-2</v>
      </c>
      <c r="L204" s="57">
        <f>(L12/E12)/(3.97/0.7)</f>
        <v>0.24081143815008652</v>
      </c>
      <c r="M204" s="123">
        <f>(M12/E12)/(0.13/0.7)</f>
        <v>0.62924586564193874</v>
      </c>
      <c r="N204" s="57">
        <f>(N12/E12)/(3.28/0.7)</f>
        <v>1.60518956068802</v>
      </c>
      <c r="O204" s="57"/>
      <c r="P204" s="88">
        <f>P12</f>
        <v>86.636187023724844</v>
      </c>
      <c r="Q204" s="57"/>
      <c r="R204" s="119" t="s">
        <v>37</v>
      </c>
      <c r="S204" s="25">
        <f t="shared" ref="S204:S221" si="143">(S12/E12)/(20/0.7)</f>
        <v>0.90272012913222599</v>
      </c>
      <c r="T204" s="25">
        <f t="shared" ref="T204:T221" si="144">(T12/E12)/(14.6/0.7)</f>
        <v>0.28616920969152998</v>
      </c>
      <c r="U204" s="25">
        <f t="shared" ref="U204:U221" si="145">(U12/E12)/(3.1/0.7)</f>
        <v>1.5142356978512175</v>
      </c>
      <c r="V204" s="54">
        <f t="shared" ref="V204:V221" si="146">(V12/E12)/(71/0.7)</f>
        <v>0.70142253761187656</v>
      </c>
      <c r="W204" s="123">
        <f t="shared" ref="W204:W221" si="147">(W12/E12)/(0.3/0.7)</f>
        <v>0.72095272497712792</v>
      </c>
      <c r="X204" s="25">
        <f t="shared" ref="X204:X221" si="148">(X12/E12)/(150/0.7)</f>
        <v>0.37987671470187329</v>
      </c>
      <c r="Y204" s="25">
        <f t="shared" ref="Y204:Y221" si="149">(Y12/E12)/(110/0.7)</f>
        <v>0.28586938646182991</v>
      </c>
      <c r="Z204" s="25">
        <f t="shared" ref="Z204:Z221" si="150">(Z12/E12)/(600/0.7)</f>
        <v>3.2647111433494711</v>
      </c>
      <c r="AA204" s="25">
        <f t="shared" ref="AA204:AA221" si="151">(AA12/E12)/(23/0.7)</f>
        <v>0.34967384657956613</v>
      </c>
      <c r="AB204" s="25">
        <f t="shared" ref="AB204:AB221" si="152">(AB12/E12)/(55/0.7)</f>
        <v>0.31290766058461794</v>
      </c>
      <c r="AC204" s="25">
        <f t="shared" ref="AC204:AC221" si="153">(AC12/E12)/(25/0.7)</f>
        <v>0.97745780543217031</v>
      </c>
      <c r="AD204" s="25">
        <f t="shared" ref="AD204:AD221" si="154">(AD12/E12)/(2.6/0.7)</f>
        <v>3.0515674613874708</v>
      </c>
      <c r="AE204" s="25">
        <f t="shared" ref="AE204:AE221" si="155">(AE12/E12)/(650/0.7)</f>
        <v>0.13812153248639755</v>
      </c>
      <c r="AF204" s="25">
        <f t="shared" ref="AF204:AF221" si="156">(AF12/E12)/(200/0.7)</f>
        <v>3.0576987203628395E-2</v>
      </c>
      <c r="AG204" s="123">
        <f t="shared" ref="AG204:AG221" si="157">(AG12/E12)/(210/0.7)</f>
        <v>0.99924794783099347</v>
      </c>
      <c r="AH204" s="123">
        <f t="shared" ref="AH204:AH221" si="158">(AH12/E12)/(5/0.7)</f>
        <v>1.243363287609518</v>
      </c>
      <c r="AI204" s="123">
        <f t="shared" ref="AI204:AI221" si="159">(AI12/E12)/(19/0.7)</f>
        <v>0.69598381413117882</v>
      </c>
      <c r="AJ204" s="123">
        <f t="shared" ref="AJ204:AJ206" si="160">(AJ12/E12)/(1.2/0.7)</f>
        <v>0.95021942702620144</v>
      </c>
      <c r="AK204" s="119" t="s">
        <v>37</v>
      </c>
      <c r="AL204" s="123"/>
      <c r="AM204" s="123"/>
      <c r="AN204" s="123"/>
      <c r="AO204" s="123"/>
      <c r="AP204" s="123"/>
      <c r="AQ204" s="123">
        <f t="shared" ref="AQ204:AQ221" si="161">(AQ12/E12)/(1.4/0.7)</f>
        <v>0.18054402582644519</v>
      </c>
      <c r="AR204" s="123">
        <f t="shared" ref="AR204:AR221" si="162">(AR12/E12)/(20/0.7)</f>
        <v>0.90272012913222599</v>
      </c>
      <c r="AS204" s="123">
        <f t="shared" ref="AS204:AS215" si="163">(AS12/N12)/(1.2/0.7)</f>
        <v>0</v>
      </c>
      <c r="AT204" s="119" t="s">
        <v>37</v>
      </c>
      <c r="AU204" s="123"/>
      <c r="AV204" s="123"/>
      <c r="AW204" s="123"/>
      <c r="AX204" s="123">
        <f t="shared" ref="AX204:AX221" si="164">(AX12/E12)/(20/0.7)</f>
        <v>0.92600245858558572</v>
      </c>
      <c r="AY204" s="123">
        <f t="shared" ref="AY204:AY221" si="165">(AY12/E12)/(20/0.7)</f>
        <v>0.90272012913222599</v>
      </c>
      <c r="BG204" s="58"/>
      <c r="BI204" s="58"/>
      <c r="BJ204" s="58"/>
      <c r="BK204" s="58"/>
      <c r="BL204" s="58"/>
      <c r="BM204" s="58"/>
      <c r="BN204" s="58"/>
      <c r="BO204" s="58"/>
      <c r="BP204" s="58"/>
    </row>
    <row r="205" spans="2:68" s="25" customFormat="1" ht="15">
      <c r="B205" s="119" t="s">
        <v>38</v>
      </c>
      <c r="C205" s="156">
        <v>30</v>
      </c>
      <c r="D205" s="57">
        <f t="shared" ref="D205:D221" si="166">(D13/E13)/(64.8/0.7)</f>
        <v>0.78536207263878799</v>
      </c>
      <c r="E205" s="57">
        <f t="shared" ref="E205:E221" si="167">(E13/E13)/(0.7/0.7)</f>
        <v>1</v>
      </c>
      <c r="F205" s="57">
        <f t="shared" ref="F205:F221" si="168">(F13/E13)/(16.9/0.7)</f>
        <v>0.43681107546125203</v>
      </c>
      <c r="G205" s="57">
        <f t="shared" ref="G205:G221" si="169">(G13/E13)/(5.66/0.7)</f>
        <v>0.47975333896047828</v>
      </c>
      <c r="H205" s="57">
        <f t="shared" ref="H205:H221" si="170">(H13/E13)/(0.06/0.7)</f>
        <v>0.37087496215561427</v>
      </c>
      <c r="I205" s="57">
        <f t="shared" ref="I205:I221" si="171">(I13/E13)/(2.86/0.7)</f>
        <v>0.18317740388585002</v>
      </c>
      <c r="J205" s="57">
        <f t="shared" ref="J205:J221" si="172">(J13/E13)/(3.63/0.7)</f>
        <v>2.4870953778558379E-2</v>
      </c>
      <c r="K205" s="57">
        <f t="shared" ref="K205:K221" si="173">(K13/E13)/(1.14/0.7)</f>
        <v>0.10174571902466988</v>
      </c>
      <c r="L205" s="57">
        <f t="shared" ref="L205:L221" si="174">(L13/E13)/(3.97/0.7)</f>
        <v>0.25831794773242522</v>
      </c>
      <c r="M205" s="123">
        <f t="shared" ref="M205:M221" si="175">(M13/E13)/(0.13/0.7)</f>
        <v>0.59176971983511373</v>
      </c>
      <c r="N205" s="57">
        <f t="shared" ref="N205:N221" si="176">(N13/E13)/(3.28/0.7)</f>
        <v>1.497607199788902</v>
      </c>
      <c r="O205" s="57"/>
      <c r="P205" s="88">
        <f t="shared" ref="P205:P221" si="177">P13</f>
        <v>85.699929466158906</v>
      </c>
      <c r="Q205" s="57"/>
      <c r="R205" s="119" t="s">
        <v>38</v>
      </c>
      <c r="S205" s="25">
        <f t="shared" si="143"/>
        <v>0.91644852844186142</v>
      </c>
      <c r="T205" s="25">
        <f t="shared" si="144"/>
        <v>0.44819476389198432</v>
      </c>
      <c r="U205" s="25">
        <f t="shared" si="145"/>
        <v>1.4770366223426235</v>
      </c>
      <c r="V205" s="54">
        <f t="shared" si="146"/>
        <v>0.50537586569133763</v>
      </c>
      <c r="W205" s="123">
        <f t="shared" si="147"/>
        <v>0.35198666901648795</v>
      </c>
      <c r="X205" s="25">
        <f t="shared" si="148"/>
        <v>0.58859982774143305</v>
      </c>
      <c r="Y205" s="25">
        <f t="shared" si="149"/>
        <v>0.36404240041273922</v>
      </c>
      <c r="Z205" s="25">
        <f t="shared" si="150"/>
        <v>2.6937422604113026</v>
      </c>
      <c r="AA205" s="25">
        <f t="shared" si="151"/>
        <v>0.28725132987769669</v>
      </c>
      <c r="AB205" s="25">
        <f t="shared" si="152"/>
        <v>0.40331506445369886</v>
      </c>
      <c r="AC205" s="25">
        <f t="shared" si="153"/>
        <v>1.4647571406401638</v>
      </c>
      <c r="AD205" s="25">
        <f t="shared" si="154"/>
        <v>4.4508481006111049</v>
      </c>
      <c r="AE205" s="25">
        <f t="shared" si="155"/>
        <v>0.26357315311929391</v>
      </c>
      <c r="AF205" s="25">
        <f t="shared" si="156"/>
        <v>3.4265281886714405E-2</v>
      </c>
      <c r="AG205" s="123">
        <f t="shared" si="157"/>
        <v>0.67778111853697098</v>
      </c>
      <c r="AH205" s="123">
        <f t="shared" si="158"/>
        <v>0.87840432962391424</v>
      </c>
      <c r="AI205" s="123">
        <f t="shared" si="159"/>
        <v>0.52928598676829997</v>
      </c>
      <c r="AJ205" s="123">
        <f t="shared" si="160"/>
        <v>0.73522019637908698</v>
      </c>
      <c r="AK205" s="119" t="s">
        <v>38</v>
      </c>
      <c r="AL205" s="123"/>
      <c r="AM205" s="123"/>
      <c r="AN205" s="123"/>
      <c r="AO205" s="123"/>
      <c r="AP205" s="123"/>
      <c r="AQ205" s="123">
        <f t="shared" si="161"/>
        <v>0.1832897056883723</v>
      </c>
      <c r="AR205" s="123">
        <f t="shared" si="162"/>
        <v>0.91644852844186142</v>
      </c>
      <c r="AS205" s="123">
        <f t="shared" si="163"/>
        <v>0</v>
      </c>
      <c r="AT205" s="119" t="s">
        <v>38</v>
      </c>
      <c r="AU205" s="123"/>
      <c r="AV205" s="123"/>
      <c r="AW205" s="123"/>
      <c r="AX205" s="123">
        <f t="shared" si="164"/>
        <v>0.95702756550260626</v>
      </c>
      <c r="AY205" s="123">
        <f t="shared" si="165"/>
        <v>0.91644852844186142</v>
      </c>
      <c r="BG205" s="58"/>
      <c r="BI205" s="58"/>
      <c r="BJ205" s="58"/>
      <c r="BK205" s="58"/>
      <c r="BL205" s="58"/>
      <c r="BM205" s="58"/>
      <c r="BN205" s="58"/>
      <c r="BO205" s="58"/>
      <c r="BP205" s="58"/>
    </row>
    <row r="206" spans="2:68" s="25" customFormat="1" ht="15">
      <c r="B206" s="119" t="s">
        <v>39</v>
      </c>
      <c r="C206" s="172">
        <v>45</v>
      </c>
      <c r="D206" s="57">
        <f t="shared" si="166"/>
        <v>1.1440598864994027</v>
      </c>
      <c r="E206" s="57">
        <f t="shared" si="167"/>
        <v>1</v>
      </c>
      <c r="F206" s="57">
        <f t="shared" si="168"/>
        <v>0.67641725520137463</v>
      </c>
      <c r="G206" s="57">
        <f t="shared" si="169"/>
        <v>0.70678014427119829</v>
      </c>
      <c r="H206" s="57">
        <f t="shared" si="170"/>
        <v>0.36066308243727585</v>
      </c>
      <c r="I206" s="57">
        <f t="shared" si="171"/>
        <v>0.32930107526881724</v>
      </c>
      <c r="J206" s="57">
        <f t="shared" si="172"/>
        <v>2.5141443763144648E-2</v>
      </c>
      <c r="K206" s="57">
        <f t="shared" si="173"/>
        <v>9.0661383773710053E-2</v>
      </c>
      <c r="L206" s="57">
        <f t="shared" si="174"/>
        <v>0.55835432409739738</v>
      </c>
      <c r="M206" s="123">
        <f t="shared" si="175"/>
        <v>0.63688999172870087</v>
      </c>
      <c r="N206" s="57">
        <f t="shared" si="176"/>
        <v>1.518293283859236</v>
      </c>
      <c r="O206" s="57"/>
      <c r="P206" s="88">
        <f t="shared" si="177"/>
        <v>82.580870301604378</v>
      </c>
      <c r="Q206" s="57"/>
      <c r="R206" s="119" t="s">
        <v>39</v>
      </c>
      <c r="S206" s="25">
        <f t="shared" si="143"/>
        <v>1.5055993479082135</v>
      </c>
      <c r="T206" s="25">
        <f t="shared" si="144"/>
        <v>0.61842388013625482</v>
      </c>
      <c r="U206" s="25">
        <f t="shared" si="145"/>
        <v>2.3738681184500052</v>
      </c>
      <c r="V206" s="54">
        <f t="shared" si="146"/>
        <v>0.58249175648824014</v>
      </c>
      <c r="W206" s="123">
        <f t="shared" si="147"/>
        <v>1.5818206624398408</v>
      </c>
      <c r="X206" s="25">
        <f t="shared" si="148"/>
        <v>0.52902583675530923</v>
      </c>
      <c r="Y206" s="25">
        <f t="shared" si="149"/>
        <v>0.37186642182737994</v>
      </c>
      <c r="Z206" s="25">
        <f t="shared" si="150"/>
        <v>3.0695744650424586</v>
      </c>
      <c r="AA206" s="25">
        <f t="shared" si="151"/>
        <v>0.28726543638587881</v>
      </c>
      <c r="AB206" s="25">
        <f t="shared" si="152"/>
        <v>0.39941897005484606</v>
      </c>
      <c r="AC206" s="25">
        <f t="shared" si="153"/>
        <v>1.7566093631839153</v>
      </c>
      <c r="AD206" s="25">
        <f t="shared" si="154"/>
        <v>6.8523028981190253</v>
      </c>
      <c r="AE206" s="25">
        <f t="shared" si="155"/>
        <v>0.22971543537329431</v>
      </c>
      <c r="AF206" s="25">
        <f t="shared" si="156"/>
        <v>2.7443545862009481E-2</v>
      </c>
      <c r="AG206" s="123">
        <f t="shared" si="157"/>
        <v>0.82086529459108726</v>
      </c>
      <c r="AH206" s="123">
        <f t="shared" si="158"/>
        <v>0.95902221957589351</v>
      </c>
      <c r="AI206" s="123">
        <f t="shared" si="159"/>
        <v>0.70135901443627269</v>
      </c>
      <c r="AJ206" s="123">
        <f t="shared" si="160"/>
        <v>0.90940620842298869</v>
      </c>
      <c r="AK206" s="119" t="s">
        <v>39</v>
      </c>
      <c r="AL206" s="123"/>
      <c r="AM206" s="123"/>
      <c r="AN206" s="123"/>
      <c r="AO206" s="123"/>
      <c r="AP206" s="123"/>
      <c r="AQ206" s="123">
        <f t="shared" si="161"/>
        <v>0.30111986958164272</v>
      </c>
      <c r="AR206" s="123">
        <f t="shared" si="162"/>
        <v>1.5055993479082135</v>
      </c>
      <c r="AS206" s="123">
        <f t="shared" si="163"/>
        <v>0</v>
      </c>
      <c r="AT206" s="119" t="s">
        <v>39</v>
      </c>
      <c r="AU206" s="123"/>
      <c r="AV206" s="123"/>
      <c r="AW206" s="123"/>
      <c r="AX206" s="123">
        <f t="shared" si="164"/>
        <v>1.5518534161924082</v>
      </c>
      <c r="AY206" s="123">
        <f t="shared" si="165"/>
        <v>1.5055993479082135</v>
      </c>
      <c r="BG206" s="58"/>
      <c r="BI206" s="58"/>
      <c r="BJ206" s="58"/>
      <c r="BK206" s="58"/>
      <c r="BL206" s="58"/>
      <c r="BM206" s="58"/>
      <c r="BN206" s="58"/>
      <c r="BO206" s="58"/>
      <c r="BP206" s="58"/>
    </row>
    <row r="207" spans="2:68" s="25" customFormat="1" ht="15">
      <c r="B207" s="119" t="s">
        <v>40</v>
      </c>
      <c r="C207" s="172">
        <v>60</v>
      </c>
      <c r="D207" s="57">
        <f t="shared" si="166"/>
        <v>1.235836226851851</v>
      </c>
      <c r="E207" s="57">
        <f t="shared" si="167"/>
        <v>1</v>
      </c>
      <c r="F207" s="57">
        <f t="shared" si="168"/>
        <v>0.83927514792899505</v>
      </c>
      <c r="G207" s="57">
        <f t="shared" si="169"/>
        <v>1.7578904996393172</v>
      </c>
      <c r="H207" s="57">
        <f t="shared" si="170"/>
        <v>7.2916666666666616E-2</v>
      </c>
      <c r="I207" s="57">
        <f t="shared" si="171"/>
        <v>0.38854895104895082</v>
      </c>
      <c r="J207" s="57">
        <f t="shared" si="172"/>
        <v>2.1694214876033048E-2</v>
      </c>
      <c r="K207" s="57">
        <f t="shared" si="173"/>
        <v>0.10132788920785095</v>
      </c>
      <c r="L207" s="57">
        <f t="shared" si="174"/>
        <v>0.7218198992443331</v>
      </c>
      <c r="M207" s="123">
        <f t="shared" si="175"/>
        <v>0.59735576923076861</v>
      </c>
      <c r="N207" s="57">
        <f t="shared" si="176"/>
        <v>1.9065177760361964</v>
      </c>
      <c r="O207" s="57"/>
      <c r="P207" s="88">
        <f t="shared" si="177"/>
        <v>82.254970483286698</v>
      </c>
      <c r="Q207" s="57"/>
      <c r="R207" s="119" t="s">
        <v>40</v>
      </c>
      <c r="S207" s="25">
        <f t="shared" si="143"/>
        <v>1.4281894425103512</v>
      </c>
      <c r="T207" s="25">
        <f t="shared" si="144"/>
        <v>0.95904140431341112</v>
      </c>
      <c r="U207" s="25">
        <f t="shared" si="145"/>
        <v>2.6214178666388506</v>
      </c>
      <c r="V207" s="54">
        <f t="shared" si="146"/>
        <v>0.31942817866888301</v>
      </c>
      <c r="W207" s="123">
        <f t="shared" si="147"/>
        <v>0.37657496745205715</v>
      </c>
      <c r="X207" s="25">
        <f t="shared" si="148"/>
        <v>0.6550979763543533</v>
      </c>
      <c r="Y207" s="25">
        <f t="shared" si="149"/>
        <v>0.48763727959008579</v>
      </c>
      <c r="Z207" s="25">
        <f t="shared" si="150"/>
        <v>0.42082060089777901</v>
      </c>
      <c r="AA207" s="25">
        <f t="shared" si="151"/>
        <v>0.14658198186257324</v>
      </c>
      <c r="AB207" s="25">
        <f t="shared" si="152"/>
        <v>0.40782669927406845</v>
      </c>
      <c r="AC207" s="25">
        <f t="shared" si="153"/>
        <v>3.9662169326540071</v>
      </c>
      <c r="AD207" s="25">
        <f t="shared" si="154"/>
        <v>14.031149521693184</v>
      </c>
      <c r="AE207" s="25">
        <f t="shared" si="155"/>
        <v>0.2128846355287996</v>
      </c>
      <c r="AF207" s="25">
        <f t="shared" si="156"/>
        <v>1.443575879830785E-2</v>
      </c>
      <c r="AG207" s="123">
        <f t="shared" si="157"/>
        <v>0.72058604639526003</v>
      </c>
      <c r="AH207" s="123">
        <f t="shared" si="158"/>
        <v>0.83308548014240391</v>
      </c>
      <c r="AI207" s="123">
        <f t="shared" si="159"/>
        <v>0.7076739782276309</v>
      </c>
      <c r="AJ207" s="123">
        <f t="shared" ref="AJ207:AJ221" si="178">(AJ15/E15)/(1.2/0.7)</f>
        <v>0.8788674470442952</v>
      </c>
      <c r="AK207" s="119" t="s">
        <v>40</v>
      </c>
      <c r="AL207" s="123"/>
      <c r="AM207" s="123"/>
      <c r="AN207" s="123"/>
      <c r="AO207" s="123"/>
      <c r="AP207" s="123"/>
      <c r="AQ207" s="123">
        <f t="shared" si="161"/>
        <v>0.28563788850207023</v>
      </c>
      <c r="AR207" s="123">
        <f t="shared" si="162"/>
        <v>1.4281894425103512</v>
      </c>
      <c r="AS207" s="123">
        <f t="shared" si="163"/>
        <v>0</v>
      </c>
      <c r="AT207" s="119" t="s">
        <v>40</v>
      </c>
      <c r="AU207" s="123"/>
      <c r="AV207" s="123"/>
      <c r="AW207" s="123"/>
      <c r="AX207" s="123">
        <f t="shared" si="164"/>
        <v>1.4788385382705853</v>
      </c>
      <c r="AY207" s="123">
        <f t="shared" si="165"/>
        <v>1.4281894425103512</v>
      </c>
      <c r="BG207" s="58"/>
      <c r="BI207" s="58"/>
      <c r="BJ207" s="58"/>
      <c r="BK207" s="58"/>
      <c r="BL207" s="58"/>
      <c r="BM207" s="58"/>
      <c r="BN207" s="58"/>
      <c r="BO207" s="58"/>
      <c r="BP207" s="58"/>
    </row>
    <row r="208" spans="2:68" s="25" customFormat="1" ht="15">
      <c r="B208" s="119" t="s">
        <v>41</v>
      </c>
      <c r="C208" s="172">
        <v>75</v>
      </c>
      <c r="D208" s="57">
        <f t="shared" si="166"/>
        <v>1.3431015235093253</v>
      </c>
      <c r="E208" s="57">
        <f t="shared" si="167"/>
        <v>1</v>
      </c>
      <c r="F208" s="57">
        <f t="shared" si="168"/>
        <v>0.75714465567166411</v>
      </c>
      <c r="G208" s="57">
        <f t="shared" si="169"/>
        <v>0.47001816313936279</v>
      </c>
      <c r="H208" s="57">
        <f t="shared" si="170"/>
        <v>7.0921985815602898E-2</v>
      </c>
      <c r="I208" s="57">
        <f t="shared" si="171"/>
        <v>0.40470168129742795</v>
      </c>
      <c r="J208" s="57">
        <f t="shared" si="172"/>
        <v>2.5789813023855579E-2</v>
      </c>
      <c r="K208" s="57">
        <f t="shared" si="173"/>
        <v>9.8401994758986602E-2</v>
      </c>
      <c r="L208" s="57">
        <f t="shared" si="174"/>
        <v>0.7371777694410202</v>
      </c>
      <c r="M208" s="123">
        <f t="shared" si="175"/>
        <v>0.30278232405892042</v>
      </c>
      <c r="N208" s="57">
        <f t="shared" si="176"/>
        <v>1.2493403945344101</v>
      </c>
      <c r="O208" s="57"/>
      <c r="P208" s="88">
        <f t="shared" si="177"/>
        <v>80.334226836819582</v>
      </c>
      <c r="Q208" s="57"/>
      <c r="R208" s="119" t="s">
        <v>41</v>
      </c>
      <c r="S208" s="25">
        <f t="shared" si="143"/>
        <v>1.8198400949430387</v>
      </c>
      <c r="T208" s="25">
        <f t="shared" si="144"/>
        <v>0.92030748672573703</v>
      </c>
      <c r="U208" s="25">
        <f t="shared" si="145"/>
        <v>2.4071286413417021</v>
      </c>
      <c r="V208" s="54">
        <f t="shared" si="146"/>
        <v>0.22623829909787066</v>
      </c>
      <c r="W208" s="123">
        <f t="shared" si="147"/>
        <v>0.19519019680392577</v>
      </c>
      <c r="X208" s="25">
        <f t="shared" si="148"/>
        <v>1.4041219945811048</v>
      </c>
      <c r="Y208" s="25">
        <f t="shared" si="149"/>
        <v>0.57004919649664809</v>
      </c>
      <c r="Z208" s="25">
        <f t="shared" si="150"/>
        <v>0.43440288761115842</v>
      </c>
      <c r="AA208" s="25">
        <f t="shared" si="151"/>
        <v>0.17020858291012997</v>
      </c>
      <c r="AB208" s="25">
        <f t="shared" si="152"/>
        <v>0.45221101864558422</v>
      </c>
      <c r="AC208" s="25">
        <f t="shared" si="153"/>
        <v>0.96383124329394154</v>
      </c>
      <c r="AD208" s="25">
        <f t="shared" si="154"/>
        <v>8.8126820619332129</v>
      </c>
      <c r="AE208" s="25">
        <f t="shared" si="155"/>
        <v>0.60851933138402181</v>
      </c>
      <c r="AF208" s="25">
        <f t="shared" si="156"/>
        <v>2.7586881148288177E-2</v>
      </c>
      <c r="AG208" s="123">
        <f t="shared" si="157"/>
        <v>0.75907298757082253</v>
      </c>
      <c r="AH208" s="123">
        <f t="shared" si="158"/>
        <v>0.9032594624512702</v>
      </c>
      <c r="AI208" s="123">
        <f t="shared" si="159"/>
        <v>0.69609571092507094</v>
      </c>
      <c r="AJ208" s="123">
        <f t="shared" si="178"/>
        <v>0.90210028695300948</v>
      </c>
      <c r="AK208" s="119" t="s">
        <v>41</v>
      </c>
      <c r="AL208" s="123"/>
      <c r="AM208" s="123"/>
      <c r="AN208" s="123"/>
      <c r="AO208" s="123"/>
      <c r="AP208" s="123"/>
      <c r="AQ208" s="123">
        <f t="shared" si="161"/>
        <v>0.3639680189886077</v>
      </c>
      <c r="AR208" s="123">
        <f t="shared" si="162"/>
        <v>1.8198400949430387</v>
      </c>
      <c r="AS208" s="123">
        <f t="shared" si="163"/>
        <v>0</v>
      </c>
      <c r="AT208" s="119" t="s">
        <v>41</v>
      </c>
      <c r="AU208" s="123"/>
      <c r="AV208" s="123"/>
      <c r="AW208" s="123"/>
      <c r="AX208" s="123">
        <f t="shared" si="164"/>
        <v>1.8713244073604187</v>
      </c>
      <c r="AY208" s="123">
        <f t="shared" si="165"/>
        <v>1.8198400949430387</v>
      </c>
      <c r="BG208" s="58"/>
      <c r="BI208" s="58"/>
      <c r="BJ208" s="58"/>
      <c r="BK208" s="58"/>
      <c r="BL208" s="58"/>
      <c r="BM208" s="58"/>
      <c r="BN208" s="58"/>
      <c r="BO208" s="58"/>
      <c r="BP208" s="58"/>
    </row>
    <row r="209" spans="1:68" s="25" customFormat="1" ht="15">
      <c r="B209" s="119" t="s">
        <v>42</v>
      </c>
      <c r="C209" s="172">
        <v>90</v>
      </c>
      <c r="D209" s="57">
        <f t="shared" si="166"/>
        <v>1.3512088477366249</v>
      </c>
      <c r="E209" s="57">
        <f t="shared" si="167"/>
        <v>1</v>
      </c>
      <c r="F209" s="57">
        <f t="shared" si="168"/>
        <v>0.90939635796522877</v>
      </c>
      <c r="G209" s="57">
        <f t="shared" si="169"/>
        <v>5.778671114609879</v>
      </c>
      <c r="H209" s="57">
        <f t="shared" si="170"/>
        <v>6.7829457364341095E-2</v>
      </c>
      <c r="I209" s="57">
        <f t="shared" si="171"/>
        <v>0.43496232449720817</v>
      </c>
      <c r="J209" s="57">
        <f t="shared" si="172"/>
        <v>2.8776133427296197E-2</v>
      </c>
      <c r="K209" s="57">
        <f t="shared" si="173"/>
        <v>0.13306461346168136</v>
      </c>
      <c r="L209" s="57">
        <f t="shared" si="174"/>
        <v>0.75312908831741754</v>
      </c>
      <c r="M209" s="123">
        <f t="shared" si="175"/>
        <v>0.59481216457960584</v>
      </c>
      <c r="N209" s="57">
        <f t="shared" si="176"/>
        <v>3.1980046242574707</v>
      </c>
      <c r="O209" s="57"/>
      <c r="P209" s="88">
        <f t="shared" si="177"/>
        <v>82.561934821023613</v>
      </c>
      <c r="Q209" s="57"/>
      <c r="R209" s="119" t="s">
        <v>42</v>
      </c>
      <c r="S209" s="25">
        <f t="shared" si="143"/>
        <v>1.3618601655134279</v>
      </c>
      <c r="T209" s="25">
        <f t="shared" si="144"/>
        <v>1.1687061354733623</v>
      </c>
      <c r="U209" s="25">
        <f t="shared" si="145"/>
        <v>5.230984575522986</v>
      </c>
      <c r="V209" s="54">
        <f t="shared" si="146"/>
        <v>0.54018966705388716</v>
      </c>
      <c r="W209" s="123">
        <f t="shared" si="147"/>
        <v>0.73470295676732744</v>
      </c>
      <c r="X209" s="25">
        <f t="shared" si="148"/>
        <v>1.2521937401345391</v>
      </c>
      <c r="Y209" s="25">
        <f t="shared" si="149"/>
        <v>0.91490996761544019</v>
      </c>
      <c r="Z209" s="25">
        <f t="shared" si="150"/>
        <v>0.4808790130384471</v>
      </c>
      <c r="AA209" s="25">
        <f t="shared" si="151"/>
        <v>0.14266458892696421</v>
      </c>
      <c r="AB209" s="25">
        <f t="shared" si="152"/>
        <v>0.38060214936644227</v>
      </c>
      <c r="AC209" s="25">
        <f t="shared" si="153"/>
        <v>20.434652850542324</v>
      </c>
      <c r="AD209" s="25">
        <f t="shared" si="154"/>
        <v>36.794463948751783</v>
      </c>
      <c r="AE209" s="25">
        <f t="shared" si="155"/>
        <v>0.38882912238173711</v>
      </c>
      <c r="AF209" s="25">
        <f t="shared" si="156"/>
        <v>1.7874063880776499E-2</v>
      </c>
      <c r="AG209" s="123">
        <f t="shared" si="157"/>
        <v>0.65329402625147071</v>
      </c>
      <c r="AH209" s="123">
        <f t="shared" si="158"/>
        <v>0.85858611190015277</v>
      </c>
      <c r="AI209" s="123">
        <f t="shared" si="159"/>
        <v>0.70026583480344418</v>
      </c>
      <c r="AJ209" s="123">
        <f t="shared" si="178"/>
        <v>0.9594623953654533</v>
      </c>
      <c r="AK209" s="119" t="s">
        <v>42</v>
      </c>
      <c r="AL209" s="123"/>
      <c r="AM209" s="123"/>
      <c r="AN209" s="123"/>
      <c r="AO209" s="123"/>
      <c r="AP209" s="123"/>
      <c r="AQ209" s="123">
        <f t="shared" si="161"/>
        <v>0.27237203310268554</v>
      </c>
      <c r="AR209" s="123">
        <f t="shared" si="162"/>
        <v>1.3618601655134279</v>
      </c>
      <c r="AS209" s="123">
        <f t="shared" si="163"/>
        <v>0</v>
      </c>
      <c r="AT209" s="119" t="s">
        <v>42</v>
      </c>
      <c r="AU209" s="123"/>
      <c r="AV209" s="123"/>
      <c r="AW209" s="123"/>
      <c r="AX209" s="123">
        <f t="shared" si="164"/>
        <v>1.4086122178299982</v>
      </c>
      <c r="AY209" s="123">
        <f t="shared" si="165"/>
        <v>1.3618601655134279</v>
      </c>
      <c r="BG209" s="58"/>
      <c r="BI209" s="58"/>
      <c r="BJ209" s="58"/>
      <c r="BK209" s="58"/>
      <c r="BL209" s="58"/>
      <c r="BM209" s="58"/>
      <c r="BN209" s="58"/>
      <c r="BO209" s="58"/>
      <c r="BP209" s="58"/>
    </row>
    <row r="210" spans="1:68" s="25" customFormat="1" ht="15">
      <c r="B210" s="119" t="s">
        <v>43</v>
      </c>
      <c r="C210" s="172">
        <v>110</v>
      </c>
      <c r="D210" s="57">
        <f t="shared" si="166"/>
        <v>1.3989454324900699</v>
      </c>
      <c r="E210" s="57">
        <f t="shared" si="167"/>
        <v>1</v>
      </c>
      <c r="F210" s="57">
        <f t="shared" si="168"/>
        <v>0.77851442717954777</v>
      </c>
      <c r="G210" s="57">
        <f t="shared" si="169"/>
        <v>0.47646114679336338</v>
      </c>
      <c r="H210" s="57">
        <f t="shared" si="170"/>
        <v>5.5467511885895424E-2</v>
      </c>
      <c r="I210" s="57">
        <f t="shared" si="171"/>
        <v>0.42046701317699592</v>
      </c>
      <c r="J210" s="57">
        <f t="shared" si="172"/>
        <v>2.1086822700423027E-2</v>
      </c>
      <c r="K210" s="57">
        <f t="shared" si="173"/>
        <v>0.10222543928209336</v>
      </c>
      <c r="L210" s="57">
        <f t="shared" si="174"/>
        <v>0.85003612673498119</v>
      </c>
      <c r="M210" s="123">
        <f t="shared" si="175"/>
        <v>0.33280507131537274</v>
      </c>
      <c r="N210" s="57">
        <f t="shared" si="176"/>
        <v>1.2149170238646554</v>
      </c>
      <c r="O210" s="57"/>
      <c r="P210" s="88">
        <f t="shared" si="177"/>
        <v>78.667821951977643</v>
      </c>
      <c r="Q210" s="57"/>
      <c r="R210" s="119" t="s">
        <v>43</v>
      </c>
      <c r="S210" s="25">
        <f t="shared" si="143"/>
        <v>2.3629974574480719</v>
      </c>
      <c r="T210" s="25">
        <f t="shared" si="144"/>
        <v>1.051626702258494</v>
      </c>
      <c r="U210" s="25">
        <f t="shared" si="145"/>
        <v>3.8569988000615383</v>
      </c>
      <c r="V210" s="54">
        <f t="shared" si="146"/>
        <v>0.20507229405142829</v>
      </c>
      <c r="W210" s="123">
        <f t="shared" si="147"/>
        <v>0.18878994126617002</v>
      </c>
      <c r="X210" s="25">
        <f t="shared" si="148"/>
        <v>0.76414787547829455</v>
      </c>
      <c r="Y210" s="25">
        <f t="shared" si="149"/>
        <v>0.3846769858799387</v>
      </c>
      <c r="Z210" s="25">
        <f t="shared" si="150"/>
        <v>0.21262564249269714</v>
      </c>
      <c r="AA210" s="25">
        <f t="shared" si="151"/>
        <v>9.8139355136458592E-2</v>
      </c>
      <c r="AB210" s="25">
        <f t="shared" si="152"/>
        <v>0.26060216000234332</v>
      </c>
      <c r="AC210" s="25">
        <f t="shared" si="153"/>
        <v>1.8586299795453973</v>
      </c>
      <c r="AD210" s="25">
        <f t="shared" si="154"/>
        <v>12.631579980486284</v>
      </c>
      <c r="AE210" s="25">
        <f t="shared" si="155"/>
        <v>0.3566761924829131</v>
      </c>
      <c r="AF210" s="25">
        <f t="shared" si="156"/>
        <v>1.8365065953170206E-2</v>
      </c>
      <c r="AG210" s="123">
        <f t="shared" si="157"/>
        <v>0.67535966643424139</v>
      </c>
      <c r="AH210" s="123">
        <f t="shared" si="158"/>
        <v>0.91761234415421156</v>
      </c>
      <c r="AI210" s="123">
        <f t="shared" si="159"/>
        <v>0.64954044119842114</v>
      </c>
      <c r="AJ210" s="123">
        <f t="shared" si="178"/>
        <v>0.98182423158486565</v>
      </c>
      <c r="AK210" s="119" t="s">
        <v>43</v>
      </c>
      <c r="AL210" s="123"/>
      <c r="AM210" s="123"/>
      <c r="AN210" s="123"/>
      <c r="AO210" s="123"/>
      <c r="AP210" s="123"/>
      <c r="AQ210" s="123">
        <f t="shared" si="161"/>
        <v>0.47259949148961439</v>
      </c>
      <c r="AR210" s="123">
        <f t="shared" si="162"/>
        <v>2.3629974574480719</v>
      </c>
      <c r="AS210" s="123">
        <f t="shared" si="163"/>
        <v>0</v>
      </c>
      <c r="AT210" s="119" t="s">
        <v>43</v>
      </c>
      <c r="AU210" s="123"/>
      <c r="AV210" s="123"/>
      <c r="AW210" s="123"/>
      <c r="AX210" s="123">
        <f t="shared" si="164"/>
        <v>2.4616153504809657</v>
      </c>
      <c r="AY210" s="123">
        <f t="shared" si="165"/>
        <v>2.3629974574480719</v>
      </c>
      <c r="BG210" s="58"/>
      <c r="BI210" s="58"/>
      <c r="BJ210" s="58"/>
      <c r="BK210" s="58"/>
      <c r="BL210" s="58"/>
      <c r="BM210" s="58"/>
      <c r="BN210" s="58"/>
      <c r="BO210" s="58"/>
      <c r="BP210" s="58"/>
    </row>
    <row r="211" spans="1:68" s="25" customFormat="1" ht="15">
      <c r="B211" s="119" t="s">
        <v>44</v>
      </c>
      <c r="C211" s="172">
        <v>150</v>
      </c>
      <c r="D211" s="57">
        <f t="shared" si="166"/>
        <v>1.2784757756660163</v>
      </c>
      <c r="E211" s="57">
        <f t="shared" si="167"/>
        <v>1</v>
      </c>
      <c r="F211" s="57">
        <f t="shared" si="168"/>
        <v>1.0731080660230443</v>
      </c>
      <c r="G211" s="57">
        <f t="shared" si="169"/>
        <v>1.3324520210539907</v>
      </c>
      <c r="H211" s="57">
        <f t="shared" si="170"/>
        <v>0.26864035087719335</v>
      </c>
      <c r="I211" s="57">
        <f t="shared" si="171"/>
        <v>0.54103790945896124</v>
      </c>
      <c r="J211" s="57">
        <f t="shared" si="172"/>
        <v>2.410468319559228E-2</v>
      </c>
      <c r="K211" s="57">
        <f t="shared" si="173"/>
        <v>0.1068002510908292</v>
      </c>
      <c r="L211" s="57">
        <f t="shared" si="174"/>
        <v>0.91728257987538198</v>
      </c>
      <c r="M211" s="123">
        <f t="shared" si="175"/>
        <v>0.22140688259109301</v>
      </c>
      <c r="N211" s="57">
        <f t="shared" si="176"/>
        <v>2.1574729942105897</v>
      </c>
      <c r="O211" s="57"/>
      <c r="P211" s="88">
        <f t="shared" si="177"/>
        <v>82.485237228307838</v>
      </c>
      <c r="Q211" s="57"/>
      <c r="R211" s="119" t="s">
        <v>44</v>
      </c>
      <c r="S211" s="25">
        <f t="shared" si="143"/>
        <v>1.0273031780228497</v>
      </c>
      <c r="T211" s="25">
        <f t="shared" si="144"/>
        <v>1.0342689932435412</v>
      </c>
      <c r="U211" s="25">
        <f t="shared" si="145"/>
        <v>4.0374629115601461</v>
      </c>
      <c r="V211" s="54">
        <f t="shared" si="146"/>
        <v>0.63878794575469078</v>
      </c>
      <c r="W211" s="123">
        <f t="shared" si="147"/>
        <v>0.28043609931429925</v>
      </c>
      <c r="X211" s="25">
        <f t="shared" si="148"/>
        <v>1.4427434882563959</v>
      </c>
      <c r="Y211" s="25">
        <f t="shared" si="149"/>
        <v>0.69448832280077244</v>
      </c>
      <c r="Z211" s="25">
        <f t="shared" si="150"/>
        <v>2.6606040103656974</v>
      </c>
      <c r="AA211" s="25">
        <f t="shared" si="151"/>
        <v>1.5620130159950698</v>
      </c>
      <c r="AB211" s="25">
        <f t="shared" si="152"/>
        <v>1.2950392225698206</v>
      </c>
      <c r="AC211" s="25">
        <f t="shared" si="153"/>
        <v>3.992515580772686</v>
      </c>
      <c r="AD211" s="25">
        <f t="shared" si="154"/>
        <v>14.277469157558942</v>
      </c>
      <c r="AE211" s="25">
        <f t="shared" si="155"/>
        <v>0.44926087883602267</v>
      </c>
      <c r="AF211" s="25">
        <f t="shared" si="156"/>
        <v>1.3554682027493895E-2</v>
      </c>
      <c r="AG211" s="123">
        <f t="shared" si="157"/>
        <v>0.71312053371219375</v>
      </c>
      <c r="AH211" s="123">
        <f t="shared" si="158"/>
        <v>0.91411616511653793</v>
      </c>
      <c r="AI211" s="123">
        <f t="shared" si="159"/>
        <v>0.7157752828107371</v>
      </c>
      <c r="AJ211" s="123">
        <f t="shared" si="178"/>
        <v>0.98010590426053945</v>
      </c>
      <c r="AK211" s="119" t="s">
        <v>44</v>
      </c>
      <c r="AL211" s="123"/>
      <c r="AM211" s="123"/>
      <c r="AN211" s="123"/>
      <c r="AO211" s="123"/>
      <c r="AP211" s="123"/>
      <c r="AQ211" s="123">
        <f t="shared" si="161"/>
        <v>0.20546063560456995</v>
      </c>
      <c r="AR211" s="123">
        <f t="shared" si="162"/>
        <v>1.0273031780228497</v>
      </c>
      <c r="AS211" s="123">
        <f t="shared" si="163"/>
        <v>0</v>
      </c>
      <c r="AT211" s="119" t="s">
        <v>44</v>
      </c>
      <c r="AU211" s="123"/>
      <c r="AV211" s="123"/>
      <c r="AW211" s="123"/>
      <c r="AX211" s="123">
        <f t="shared" si="164"/>
        <v>1.0752592048649143</v>
      </c>
      <c r="AY211" s="123">
        <f t="shared" si="165"/>
        <v>1.0273031780228497</v>
      </c>
      <c r="BG211" s="58"/>
      <c r="BI211" s="58"/>
      <c r="BJ211" s="58"/>
      <c r="BK211" s="58"/>
      <c r="BL211" s="58"/>
      <c r="BM211" s="58"/>
      <c r="BN211" s="58"/>
      <c r="BO211" s="58"/>
      <c r="BP211" s="58"/>
    </row>
    <row r="212" spans="1:68" s="25" customFormat="1" ht="15">
      <c r="B212" s="119" t="s">
        <v>45</v>
      </c>
      <c r="C212" s="172">
        <v>175</v>
      </c>
      <c r="D212" s="57">
        <f t="shared" si="166"/>
        <v>1.5903464259039588</v>
      </c>
      <c r="E212" s="57">
        <f t="shared" si="167"/>
        <v>1</v>
      </c>
      <c r="F212" s="57">
        <f t="shared" si="168"/>
        <v>0.77968582197982395</v>
      </c>
      <c r="G212" s="57">
        <f t="shared" si="169"/>
        <v>0.3112868489519513</v>
      </c>
      <c r="H212" s="57">
        <f t="shared" si="170"/>
        <v>6.2277580071174524E-2</v>
      </c>
      <c r="I212" s="57">
        <f t="shared" si="171"/>
        <v>0.48471990642809087</v>
      </c>
      <c r="J212" s="57">
        <f t="shared" si="172"/>
        <v>2.4705155730713829E-2</v>
      </c>
      <c r="K212" s="57">
        <f t="shared" si="173"/>
        <v>0.11200187114232077</v>
      </c>
      <c r="L212" s="57">
        <f t="shared" si="174"/>
        <v>0.89918158430219453</v>
      </c>
      <c r="M212" s="123">
        <f t="shared" si="175"/>
        <v>0.2107856556255131</v>
      </c>
      <c r="N212" s="57">
        <f t="shared" si="176"/>
        <v>1.1960161985240989</v>
      </c>
      <c r="O212" s="57"/>
      <c r="P212" s="88">
        <f t="shared" si="177"/>
        <v>77.675331945529564</v>
      </c>
      <c r="Q212" s="57"/>
      <c r="R212" s="119" t="s">
        <v>45</v>
      </c>
      <c r="S212" s="25">
        <f t="shared" si="143"/>
        <v>1.5759933370943284</v>
      </c>
      <c r="T212" s="25">
        <f t="shared" si="144"/>
        <v>0.94394701374363632</v>
      </c>
      <c r="U212" s="25">
        <f t="shared" si="145"/>
        <v>2.6854435736343278</v>
      </c>
      <c r="V212" s="54">
        <f t="shared" si="146"/>
        <v>0.1614855282560895</v>
      </c>
      <c r="W212" s="123">
        <f t="shared" si="147"/>
        <v>0.10512495625418226</v>
      </c>
      <c r="X212" s="25">
        <f t="shared" si="148"/>
        <v>0.62299006868935969</v>
      </c>
      <c r="Y212" s="25">
        <f t="shared" si="149"/>
        <v>0.32608856047648982</v>
      </c>
      <c r="Z212" s="25">
        <f t="shared" si="150"/>
        <v>0.16196265780464689</v>
      </c>
      <c r="AA212" s="25">
        <f t="shared" si="151"/>
        <v>6.9364706657067801E-2</v>
      </c>
      <c r="AB212" s="25">
        <f t="shared" si="152"/>
        <v>0.26466416848099311</v>
      </c>
      <c r="AC212" s="25">
        <f t="shared" si="153"/>
        <v>1.1326733100353457</v>
      </c>
      <c r="AD212" s="25">
        <f t="shared" si="154"/>
        <v>10.185154649053404</v>
      </c>
      <c r="AE212" s="25">
        <f t="shared" si="155"/>
        <v>0.25605905344261848</v>
      </c>
      <c r="AF212" s="25">
        <f t="shared" si="156"/>
        <v>1.2012973492924782E-2</v>
      </c>
      <c r="AG212" s="123">
        <f t="shared" si="157"/>
        <v>0.69799566095894294</v>
      </c>
      <c r="AH212" s="123">
        <f t="shared" si="158"/>
        <v>0.86542949816702108</v>
      </c>
      <c r="AI212" s="123">
        <f t="shared" si="159"/>
        <v>0.68209139525673346</v>
      </c>
      <c r="AJ212" s="123">
        <f t="shared" si="178"/>
        <v>0.88951886061231134</v>
      </c>
      <c r="AK212" s="119" t="s">
        <v>45</v>
      </c>
      <c r="AL212" s="123"/>
      <c r="AM212" s="123"/>
      <c r="AN212" s="123"/>
      <c r="AO212" s="123"/>
      <c r="AP212" s="123"/>
      <c r="AQ212" s="123">
        <f t="shared" si="161"/>
        <v>0.31519866741886565</v>
      </c>
      <c r="AR212" s="123">
        <f t="shared" si="162"/>
        <v>1.5759933370943284</v>
      </c>
      <c r="AS212" s="123">
        <f t="shared" si="163"/>
        <v>0</v>
      </c>
      <c r="AT212" s="119" t="s">
        <v>45</v>
      </c>
      <c r="AU212" s="123"/>
      <c r="AV212" s="123"/>
      <c r="AW212" s="123"/>
      <c r="AX212" s="123">
        <f t="shared" si="164"/>
        <v>1.6693523034003124</v>
      </c>
      <c r="AY212" s="123">
        <f t="shared" si="165"/>
        <v>1.5759933370943284</v>
      </c>
      <c r="BG212" s="58"/>
      <c r="BI212" s="58"/>
      <c r="BJ212" s="58"/>
      <c r="BK212" s="58"/>
      <c r="BL212" s="58"/>
      <c r="BM212" s="58"/>
      <c r="BN212" s="58"/>
      <c r="BO212" s="58"/>
      <c r="BP212" s="58"/>
    </row>
    <row r="213" spans="1:68" s="25" customFormat="1" ht="15">
      <c r="B213" s="119" t="s">
        <v>46</v>
      </c>
      <c r="C213" s="172">
        <v>190</v>
      </c>
      <c r="D213" s="57">
        <f t="shared" si="166"/>
        <v>1.6249494516996117</v>
      </c>
      <c r="E213" s="57">
        <f t="shared" si="167"/>
        <v>1</v>
      </c>
      <c r="F213" s="57">
        <f t="shared" si="168"/>
        <v>0.98977323254779748</v>
      </c>
      <c r="G213" s="57">
        <f t="shared" si="169"/>
        <v>1.3964266003684824</v>
      </c>
      <c r="H213" s="57">
        <f t="shared" si="170"/>
        <v>0.24727039177906196</v>
      </c>
      <c r="I213" s="57">
        <f t="shared" si="171"/>
        <v>0.63287386986809169</v>
      </c>
      <c r="J213" s="57">
        <f t="shared" si="172"/>
        <v>2.8238241585587891E-2</v>
      </c>
      <c r="K213" s="57">
        <f t="shared" si="173"/>
        <v>0.12575875692448715</v>
      </c>
      <c r="L213" s="57">
        <f t="shared" si="174"/>
        <v>0.80279359162893049</v>
      </c>
      <c r="M213" s="123">
        <f t="shared" si="175"/>
        <v>0.51874907366236811</v>
      </c>
      <c r="N213" s="57">
        <f t="shared" si="176"/>
        <v>2.2557290210336323</v>
      </c>
      <c r="O213" s="57"/>
      <c r="P213" s="88">
        <f t="shared" si="177"/>
        <v>82.971534900249353</v>
      </c>
      <c r="Q213" s="57"/>
      <c r="R213" s="119" t="s">
        <v>46</v>
      </c>
      <c r="S213" s="25">
        <f t="shared" si="143"/>
        <v>1.6929182322536545</v>
      </c>
      <c r="T213" s="25">
        <f t="shared" si="144"/>
        <v>0.92898545011381861</v>
      </c>
      <c r="U213" s="25">
        <f t="shared" si="145"/>
        <v>4.758792496704479</v>
      </c>
      <c r="V213" s="54">
        <f t="shared" si="146"/>
        <v>0.43428484078744845</v>
      </c>
      <c r="W213" s="123">
        <f t="shared" si="147"/>
        <v>0.26044638559061284</v>
      </c>
      <c r="X213" s="25">
        <f t="shared" si="148"/>
        <v>1.0600951622111094</v>
      </c>
      <c r="Y213" s="25">
        <f t="shared" si="149"/>
        <v>0.58929133564122849</v>
      </c>
      <c r="Z213" s="25">
        <f t="shared" si="150"/>
        <v>1.9655625884721575</v>
      </c>
      <c r="AA213" s="25">
        <f t="shared" si="151"/>
        <v>0.46164147817853313</v>
      </c>
      <c r="AB213" s="25">
        <f t="shared" si="152"/>
        <v>1.3206756157826953</v>
      </c>
      <c r="AC213" s="25">
        <f t="shared" si="153"/>
        <v>6.8061608092995787</v>
      </c>
      <c r="AD213" s="25">
        <f t="shared" si="154"/>
        <v>16.546965764103561</v>
      </c>
      <c r="AE213" s="25">
        <f t="shared" si="155"/>
        <v>0.46086195625682869</v>
      </c>
      <c r="AF213" s="25">
        <f t="shared" si="156"/>
        <v>1.8843176526661759E-2</v>
      </c>
      <c r="AG213" s="123">
        <f t="shared" si="157"/>
        <v>0.67012889146984411</v>
      </c>
      <c r="AH213" s="123">
        <f t="shared" si="158"/>
        <v>0.8226282718452862</v>
      </c>
      <c r="AI213" s="123">
        <f t="shared" si="159"/>
        <v>0.69034012026127956</v>
      </c>
      <c r="AJ213" s="123">
        <f t="shared" si="178"/>
        <v>0.89125231032384011</v>
      </c>
      <c r="AK213" s="119" t="s">
        <v>46</v>
      </c>
      <c r="AL213" s="123"/>
      <c r="AM213" s="123"/>
      <c r="AN213" s="123"/>
      <c r="AO213" s="123"/>
      <c r="AP213" s="123"/>
      <c r="AQ213" s="123">
        <f t="shared" si="161"/>
        <v>0.33858364645073091</v>
      </c>
      <c r="AR213" s="123">
        <f t="shared" si="162"/>
        <v>1.6929182322536545</v>
      </c>
      <c r="AS213" s="123">
        <f t="shared" si="163"/>
        <v>0</v>
      </c>
      <c r="AT213" s="119" t="s">
        <v>46</v>
      </c>
      <c r="AU213" s="123"/>
      <c r="AV213" s="123"/>
      <c r="AW213" s="123"/>
      <c r="AX213" s="123">
        <f t="shared" si="164"/>
        <v>1.755276276313299</v>
      </c>
      <c r="AY213" s="123">
        <f t="shared" si="165"/>
        <v>1.6929182322536545</v>
      </c>
      <c r="BG213" s="58"/>
      <c r="BI213" s="58"/>
      <c r="BJ213" s="58"/>
      <c r="BK213" s="58"/>
      <c r="BL213" s="58"/>
      <c r="BM213" s="58"/>
      <c r="BN213" s="58"/>
      <c r="BO213" s="58"/>
      <c r="BP213" s="58"/>
    </row>
    <row r="214" spans="1:68" s="25" customFormat="1" ht="15">
      <c r="B214" s="119" t="s">
        <v>47</v>
      </c>
      <c r="C214" s="172">
        <v>220</v>
      </c>
      <c r="D214" s="57">
        <f t="shared" si="166"/>
        <v>1.4241677775845747</v>
      </c>
      <c r="E214" s="57">
        <f t="shared" si="167"/>
        <v>1</v>
      </c>
      <c r="F214" s="57">
        <f t="shared" si="168"/>
        <v>0.67588039744052442</v>
      </c>
      <c r="G214" s="57">
        <f t="shared" si="169"/>
        <v>0.19392034638445427</v>
      </c>
      <c r="H214" s="57">
        <f t="shared" si="170"/>
        <v>0.10954616588419401</v>
      </c>
      <c r="I214" s="57">
        <f t="shared" si="171"/>
        <v>0.42860894973571173</v>
      </c>
      <c r="J214" s="57">
        <f t="shared" si="172"/>
        <v>2.3538845561892924E-2</v>
      </c>
      <c r="K214" s="57">
        <f t="shared" si="173"/>
        <v>0.10359553580164549</v>
      </c>
      <c r="L214" s="57">
        <f t="shared" si="174"/>
        <v>0.81124868438168984</v>
      </c>
      <c r="M214" s="123">
        <f t="shared" si="175"/>
        <v>0.26122547249307798</v>
      </c>
      <c r="N214" s="57">
        <f t="shared" si="176"/>
        <v>0.95373195519637777</v>
      </c>
      <c r="O214" s="57"/>
      <c r="P214" s="88">
        <f t="shared" si="177"/>
        <v>76.936089076355032</v>
      </c>
      <c r="Q214" s="57"/>
      <c r="R214" s="119" t="s">
        <v>47</v>
      </c>
      <c r="S214" s="25">
        <f t="shared" si="143"/>
        <v>1.6548596498044141</v>
      </c>
      <c r="T214" s="25">
        <f t="shared" si="144"/>
        <v>1.1224430267165388</v>
      </c>
      <c r="U214" s="25">
        <f t="shared" si="145"/>
        <v>2.8361250692438174</v>
      </c>
      <c r="V214" s="54">
        <f t="shared" si="146"/>
        <v>0.18508861194657114</v>
      </c>
      <c r="W214" s="123">
        <f t="shared" si="147"/>
        <v>0.13000881923433469</v>
      </c>
      <c r="X214" s="25">
        <f t="shared" si="148"/>
        <v>0.5562553571388672</v>
      </c>
      <c r="Y214" s="25">
        <f t="shared" si="149"/>
        <v>0.3155833050356539</v>
      </c>
      <c r="Z214" s="25">
        <f t="shared" si="150"/>
        <v>0.68040586592735552</v>
      </c>
      <c r="AA214" s="25">
        <f t="shared" si="151"/>
        <v>0.15461464717713541</v>
      </c>
      <c r="AB214" s="25">
        <f t="shared" si="152"/>
        <v>0.22376316331206553</v>
      </c>
      <c r="AC214" s="25">
        <f t="shared" si="153"/>
        <v>0.9404363168593699</v>
      </c>
      <c r="AD214" s="25">
        <f t="shared" si="154"/>
        <v>11.091143679423027</v>
      </c>
      <c r="AE214" s="25">
        <f t="shared" si="155"/>
        <v>0.37811069286746757</v>
      </c>
      <c r="AF214" s="25">
        <f t="shared" si="156"/>
        <v>2.5763791182094525E-2</v>
      </c>
      <c r="AG214" s="123">
        <f t="shared" si="157"/>
        <v>0.72083564784585574</v>
      </c>
      <c r="AH214" s="123">
        <f t="shared" si="158"/>
        <v>0.89491288092086385</v>
      </c>
      <c r="AI214" s="123">
        <f t="shared" si="159"/>
        <v>0.66462174409497399</v>
      </c>
      <c r="AJ214" s="123">
        <f t="shared" si="178"/>
        <v>0.88650941231528213</v>
      </c>
      <c r="AK214" s="119" t="s">
        <v>47</v>
      </c>
      <c r="AL214" s="123"/>
      <c r="AM214" s="123"/>
      <c r="AN214" s="123"/>
      <c r="AO214" s="123"/>
      <c r="AP214" s="123"/>
      <c r="AQ214" s="123">
        <f t="shared" si="161"/>
        <v>0.33097192996088282</v>
      </c>
      <c r="AR214" s="123">
        <f t="shared" si="162"/>
        <v>1.6548596498044141</v>
      </c>
      <c r="AS214" s="123">
        <f t="shared" si="163"/>
        <v>0</v>
      </c>
      <c r="AT214" s="119" t="s">
        <v>47</v>
      </c>
      <c r="AU214" s="123"/>
      <c r="AV214" s="123"/>
      <c r="AW214" s="123"/>
      <c r="AX214" s="123">
        <f t="shared" si="164"/>
        <v>1.7345097686863704</v>
      </c>
      <c r="AY214" s="123">
        <f t="shared" si="165"/>
        <v>1.6548596498044141</v>
      </c>
      <c r="BG214" s="58"/>
      <c r="BI214" s="58"/>
      <c r="BJ214" s="58"/>
      <c r="BK214" s="58"/>
      <c r="BL214" s="58"/>
      <c r="BM214" s="58"/>
      <c r="BN214" s="58"/>
      <c r="BO214" s="58"/>
      <c r="BP214" s="58"/>
    </row>
    <row r="215" spans="1:68" s="25" customFormat="1" ht="15">
      <c r="B215" s="119" t="s">
        <v>48</v>
      </c>
      <c r="C215" s="172">
        <v>250</v>
      </c>
      <c r="D215" s="57">
        <f t="shared" si="166"/>
        <v>1.2605475276096239</v>
      </c>
      <c r="E215" s="57">
        <f t="shared" si="167"/>
        <v>1</v>
      </c>
      <c r="F215" s="57">
        <f t="shared" si="168"/>
        <v>0.97661214005677732</v>
      </c>
      <c r="G215" s="57">
        <f t="shared" si="169"/>
        <v>3.3295696151134004</v>
      </c>
      <c r="H215" s="57">
        <f t="shared" si="170"/>
        <v>0.20503807850029276</v>
      </c>
      <c r="I215" s="57">
        <f t="shared" si="171"/>
        <v>0.75964457335283397</v>
      </c>
      <c r="J215" s="57">
        <f t="shared" si="172"/>
        <v>2.9145908679380456E-2</v>
      </c>
      <c r="K215" s="57">
        <f t="shared" si="173"/>
        <v>0.25578175310721574</v>
      </c>
      <c r="L215" s="57">
        <f t="shared" si="174"/>
        <v>0.89679627080077717</v>
      </c>
      <c r="M215" s="123">
        <f t="shared" si="175"/>
        <v>2.4793835338650752</v>
      </c>
      <c r="N215" s="57">
        <f t="shared" si="176"/>
        <v>3.2265047409645864</v>
      </c>
      <c r="O215" s="57"/>
      <c r="P215" s="88">
        <f t="shared" si="177"/>
        <v>80.65882441117499</v>
      </c>
      <c r="Q215" s="57"/>
      <c r="R215" s="119" t="s">
        <v>48</v>
      </c>
      <c r="S215" s="25">
        <f t="shared" si="143"/>
        <v>1.6564178560280809</v>
      </c>
      <c r="T215" s="25">
        <f t="shared" si="144"/>
        <v>0.98896699130760657</v>
      </c>
      <c r="U215" s="25">
        <f t="shared" si="145"/>
        <v>3.8764012727166088</v>
      </c>
      <c r="V215" s="54">
        <f t="shared" si="146"/>
        <v>0.961633176639478</v>
      </c>
      <c r="W215" s="123">
        <f t="shared" si="147"/>
        <v>0.95130007662220351</v>
      </c>
      <c r="X215" s="25">
        <f t="shared" si="148"/>
        <v>1.4006361571958772</v>
      </c>
      <c r="Y215" s="25">
        <f t="shared" si="149"/>
        <v>0.61404160729744506</v>
      </c>
      <c r="Z215" s="25">
        <f t="shared" si="150"/>
        <v>1.6878762272416623</v>
      </c>
      <c r="AA215" s="25">
        <f t="shared" si="151"/>
        <v>1.0923743460455684</v>
      </c>
      <c r="AB215" s="25">
        <f t="shared" si="152"/>
        <v>2.520447203774816</v>
      </c>
      <c r="AC215" s="25">
        <f t="shared" si="153"/>
        <v>14.153399784925522</v>
      </c>
      <c r="AD215" s="25">
        <f t="shared" si="154"/>
        <v>19.345482548885307</v>
      </c>
      <c r="AE215" s="25">
        <f t="shared" si="155"/>
        <v>0.72814086513018783</v>
      </c>
      <c r="AF215" s="25">
        <f t="shared" si="156"/>
        <v>3.5909573749068335E-2</v>
      </c>
      <c r="AG215" s="123">
        <f t="shared" si="157"/>
        <v>0.73548882328468923</v>
      </c>
      <c r="AH215" s="123">
        <f t="shared" si="158"/>
        <v>0.94141296908427619</v>
      </c>
      <c r="AI215" s="123">
        <f t="shared" si="159"/>
        <v>0.70813067501371896</v>
      </c>
      <c r="AJ215" s="123">
        <f t="shared" si="178"/>
        <v>0.99984488390301818</v>
      </c>
      <c r="AK215" s="119" t="s">
        <v>48</v>
      </c>
      <c r="AL215" s="123"/>
      <c r="AM215" s="123"/>
      <c r="AN215" s="123"/>
      <c r="AO215" s="123"/>
      <c r="AP215" s="123"/>
      <c r="AQ215" s="123">
        <f t="shared" si="161"/>
        <v>0.33128357120561619</v>
      </c>
      <c r="AR215" s="123">
        <f t="shared" si="162"/>
        <v>1.6564178560280809</v>
      </c>
      <c r="AS215" s="123">
        <f t="shared" si="163"/>
        <v>0</v>
      </c>
      <c r="AT215" s="119" t="s">
        <v>48</v>
      </c>
      <c r="AU215" s="123"/>
      <c r="AV215" s="123"/>
      <c r="AW215" s="123"/>
      <c r="AX215" s="123">
        <f t="shared" si="164"/>
        <v>1.7203885055350989</v>
      </c>
      <c r="AY215" s="123">
        <f t="shared" si="165"/>
        <v>1.6564178560280809</v>
      </c>
      <c r="BG215" s="58"/>
      <c r="BI215" s="58"/>
      <c r="BJ215" s="58"/>
      <c r="BK215" s="58"/>
      <c r="BL215" s="58"/>
      <c r="BM215" s="58"/>
      <c r="BN215" s="58"/>
      <c r="BO215" s="58"/>
      <c r="BP215" s="58"/>
    </row>
    <row r="216" spans="1:68" s="25" customFormat="1" ht="15">
      <c r="B216" s="119" t="s">
        <v>49</v>
      </c>
      <c r="C216" s="172">
        <v>275</v>
      </c>
      <c r="D216" s="57">
        <f t="shared" si="166"/>
        <v>1.6128917378917362</v>
      </c>
      <c r="E216" s="57">
        <f t="shared" si="167"/>
        <v>1</v>
      </c>
      <c r="F216" s="57">
        <f t="shared" si="168"/>
        <v>0.8449704142011828</v>
      </c>
      <c r="G216" s="57">
        <f t="shared" si="169"/>
        <v>1.6648662673313614</v>
      </c>
      <c r="H216" s="57">
        <f t="shared" si="170"/>
        <v>0.17948717948717932</v>
      </c>
      <c r="I216" s="57">
        <f t="shared" si="171"/>
        <v>0.96913663259817151</v>
      </c>
      <c r="J216" s="57">
        <f t="shared" si="172"/>
        <v>2.7442254714981965E-2</v>
      </c>
      <c r="K216" s="57">
        <f t="shared" si="173"/>
        <v>0.21669056189391461</v>
      </c>
      <c r="L216" s="57">
        <f t="shared" si="174"/>
        <v>0.85414648323968279</v>
      </c>
      <c r="M216" s="123">
        <f t="shared" si="175"/>
        <v>0.94230769230769118</v>
      </c>
      <c r="N216" s="57">
        <f t="shared" si="176"/>
        <v>3.1953305032665336</v>
      </c>
      <c r="O216" s="57"/>
      <c r="P216" s="88">
        <f t="shared" si="177"/>
        <v>79.255820420456303</v>
      </c>
      <c r="Q216" s="57"/>
      <c r="R216" s="119" t="s">
        <v>49</v>
      </c>
      <c r="S216" s="25">
        <f t="shared" si="143"/>
        <v>1.3731840019555503</v>
      </c>
      <c r="T216" s="25">
        <f t="shared" si="144"/>
        <v>0.92830625311055792</v>
      </c>
      <c r="U216" s="25">
        <f t="shared" si="145"/>
        <v>3.3375263599617915</v>
      </c>
      <c r="V216" s="54">
        <f t="shared" si="146"/>
        <v>0.75754161011209631</v>
      </c>
      <c r="W216" s="123">
        <f t="shared" si="147"/>
        <v>0.7117451121613162</v>
      </c>
      <c r="X216" s="25">
        <f t="shared" si="148"/>
        <v>1.2190408327330433</v>
      </c>
      <c r="Y216" s="25">
        <f t="shared" si="149"/>
        <v>0.67031768119372137</v>
      </c>
      <c r="Z216" s="25">
        <f t="shared" si="150"/>
        <v>1.5136502809947416</v>
      </c>
      <c r="AA216" s="25">
        <f t="shared" si="151"/>
        <v>0.62041693388621388</v>
      </c>
      <c r="AB216" s="25">
        <f t="shared" si="152"/>
        <v>1.7801624045645954</v>
      </c>
      <c r="AC216" s="25">
        <f t="shared" si="153"/>
        <v>7.3126162044396024</v>
      </c>
      <c r="AD216" s="25">
        <f t="shared" si="154"/>
        <v>12.043326811765832</v>
      </c>
      <c r="AE216" s="25">
        <f t="shared" si="155"/>
        <v>0.57173539184594679</v>
      </c>
      <c r="AF216" s="25">
        <f t="shared" si="156"/>
        <v>2.248272914618386E-2</v>
      </c>
      <c r="AG216" s="123">
        <f t="shared" si="157"/>
        <v>0.71654058259771214</v>
      </c>
      <c r="AH216" s="123">
        <f t="shared" si="158"/>
        <v>0.84562908677976745</v>
      </c>
      <c r="AI216" s="123">
        <f t="shared" si="159"/>
        <v>0.72667288855409407</v>
      </c>
      <c r="AJ216" s="123">
        <f t="shared" si="178"/>
        <v>0.91826308899828046</v>
      </c>
      <c r="AK216" s="119" t="s">
        <v>49</v>
      </c>
      <c r="AL216" s="123"/>
      <c r="AM216" s="123"/>
      <c r="AN216" s="123"/>
      <c r="AO216" s="123"/>
      <c r="AP216" s="123"/>
      <c r="AQ216" s="123">
        <f t="shared" si="161"/>
        <v>0.27463680039111005</v>
      </c>
      <c r="AR216" s="123">
        <f t="shared" si="162"/>
        <v>1.3731840019555503</v>
      </c>
      <c r="AS216" s="123"/>
      <c r="AT216" s="119" t="s">
        <v>49</v>
      </c>
      <c r="AU216" s="123"/>
      <c r="AV216" s="123"/>
      <c r="AW216" s="123"/>
      <c r="AX216" s="123">
        <f t="shared" si="164"/>
        <v>1.4097830942449807</v>
      </c>
      <c r="AY216" s="123">
        <f t="shared" si="165"/>
        <v>1.3731840019555503</v>
      </c>
      <c r="BG216" s="58"/>
      <c r="BI216" s="58"/>
      <c r="BJ216" s="58"/>
      <c r="BK216" s="58"/>
      <c r="BL216" s="58"/>
      <c r="BM216" s="58"/>
      <c r="BN216" s="58"/>
      <c r="BO216" s="58"/>
      <c r="BP216" s="58"/>
    </row>
    <row r="217" spans="1:68" s="25" customFormat="1" ht="15">
      <c r="B217" s="119" t="s">
        <v>50</v>
      </c>
      <c r="C217" s="172">
        <v>290</v>
      </c>
      <c r="D217" s="57">
        <f t="shared" si="166"/>
        <v>1.392224379121217</v>
      </c>
      <c r="E217" s="57">
        <f t="shared" si="167"/>
        <v>1</v>
      </c>
      <c r="F217" s="57">
        <f t="shared" si="168"/>
        <v>0.77919443924819887</v>
      </c>
      <c r="G217" s="57">
        <f t="shared" si="169"/>
        <v>1.1497428797553852</v>
      </c>
      <c r="H217" s="57">
        <f t="shared" si="170"/>
        <v>0.19412090959511916</v>
      </c>
      <c r="I217" s="57">
        <f t="shared" si="171"/>
        <v>1.043365951851807</v>
      </c>
      <c r="J217" s="57">
        <f t="shared" si="172"/>
        <v>2.6310602622809522E-2</v>
      </c>
      <c r="K217" s="57">
        <f t="shared" si="173"/>
        <v>0.4466443232654928</v>
      </c>
      <c r="L217" s="57">
        <f t="shared" si="174"/>
        <v>0.82029530966441233</v>
      </c>
      <c r="M217" s="123">
        <f t="shared" si="175"/>
        <v>0.4300524766414951</v>
      </c>
      <c r="N217" s="57">
        <f t="shared" si="176"/>
        <v>3.0110466374749651</v>
      </c>
      <c r="O217" s="57"/>
      <c r="P217" s="88">
        <f t="shared" si="177"/>
        <v>77.32627172109936</v>
      </c>
      <c r="Q217" s="57"/>
      <c r="R217" s="119" t="s">
        <v>50</v>
      </c>
      <c r="S217" s="25">
        <f t="shared" si="143"/>
        <v>1.473505459274375</v>
      </c>
      <c r="T217" s="25">
        <f t="shared" si="144"/>
        <v>0.97230714738354929</v>
      </c>
      <c r="U217" s="25">
        <f t="shared" si="145"/>
        <v>2.9683617443252452</v>
      </c>
      <c r="V217" s="54">
        <f t="shared" si="146"/>
        <v>0.64039355898967998</v>
      </c>
      <c r="W217" s="123">
        <f t="shared" si="147"/>
        <v>0.67251346204650397</v>
      </c>
      <c r="X217" s="25">
        <f t="shared" si="148"/>
        <v>1.4021638037756095</v>
      </c>
      <c r="Y217" s="25">
        <f t="shared" si="149"/>
        <v>0.74252971026389836</v>
      </c>
      <c r="Z217" s="25">
        <f t="shared" si="150"/>
        <v>1.8473005917546255</v>
      </c>
      <c r="AA217" s="25">
        <f t="shared" si="151"/>
        <v>1.0540095561735023</v>
      </c>
      <c r="AB217" s="25">
        <f t="shared" si="152"/>
        <v>1.8688474395393697</v>
      </c>
      <c r="AC217" s="25">
        <f t="shared" si="153"/>
        <v>2.2638867829532421</v>
      </c>
      <c r="AD217" s="25">
        <f t="shared" si="154"/>
        <v>11.607940523324622</v>
      </c>
      <c r="AE217" s="25">
        <f t="shared" si="155"/>
        <v>0.69085880837961267</v>
      </c>
      <c r="AF217" s="25">
        <f t="shared" si="156"/>
        <v>3.1814177586111499E-2</v>
      </c>
      <c r="AG217" s="123">
        <f t="shared" si="157"/>
        <v>0.76106116903376597</v>
      </c>
      <c r="AH217" s="123">
        <f t="shared" si="158"/>
        <v>0.87380018239876778</v>
      </c>
      <c r="AI217" s="123">
        <f t="shared" si="159"/>
        <v>0.72713827129541875</v>
      </c>
      <c r="AJ217" s="123">
        <f t="shared" si="178"/>
        <v>0.91551895812395201</v>
      </c>
      <c r="AK217" s="119" t="s">
        <v>50</v>
      </c>
      <c r="AL217" s="123"/>
      <c r="AM217" s="123"/>
      <c r="AN217" s="123"/>
      <c r="AO217" s="123"/>
      <c r="AP217" s="123"/>
      <c r="AQ217" s="123">
        <f t="shared" si="161"/>
        <v>0.29470109185487497</v>
      </c>
      <c r="AR217" s="123">
        <f t="shared" si="162"/>
        <v>1.473505459274375</v>
      </c>
      <c r="AS217" s="123"/>
      <c r="AT217" s="119" t="s">
        <v>50</v>
      </c>
      <c r="AU217" s="123"/>
      <c r="AV217" s="123"/>
      <c r="AW217" s="123"/>
      <c r="AX217" s="123">
        <f t="shared" si="164"/>
        <v>1.53638732363339</v>
      </c>
      <c r="AY217" s="123">
        <f t="shared" si="165"/>
        <v>1.473505459274375</v>
      </c>
      <c r="BG217" s="58"/>
      <c r="BI217" s="58"/>
      <c r="BJ217" s="58"/>
      <c r="BK217" s="58"/>
      <c r="BL217" s="58"/>
      <c r="BM217" s="58"/>
      <c r="BN217" s="58"/>
      <c r="BO217" s="58"/>
      <c r="BP217" s="58"/>
    </row>
    <row r="218" spans="1:68" s="25" customFormat="1" ht="15">
      <c r="B218" s="119" t="s">
        <v>51</v>
      </c>
      <c r="C218" s="172">
        <v>320</v>
      </c>
      <c r="D218" s="57">
        <f t="shared" si="166"/>
        <v>1.3520161290322583</v>
      </c>
      <c r="E218" s="57">
        <f t="shared" si="167"/>
        <v>1</v>
      </c>
      <c r="F218" s="57">
        <f t="shared" si="168"/>
        <v>0.7835083031112835</v>
      </c>
      <c r="G218" s="57">
        <f t="shared" si="169"/>
        <v>0.80844455220555322</v>
      </c>
      <c r="H218" s="57">
        <f t="shared" si="170"/>
        <v>0.20698924731182833</v>
      </c>
      <c r="I218" s="57">
        <f t="shared" si="171"/>
        <v>1.1629821791112109</v>
      </c>
      <c r="J218" s="57">
        <f t="shared" si="172"/>
        <v>4.3543943837199055E-2</v>
      </c>
      <c r="K218" s="57">
        <f t="shared" si="173"/>
        <v>0.71500043383311074</v>
      </c>
      <c r="L218" s="57">
        <f t="shared" si="174"/>
        <v>0.84720078004387689</v>
      </c>
      <c r="M218" s="123">
        <f t="shared" si="175"/>
        <v>0.64267990074441717</v>
      </c>
      <c r="N218" s="57">
        <f t="shared" si="176"/>
        <v>2.7177793506873171</v>
      </c>
      <c r="O218" s="57"/>
      <c r="P218" s="88">
        <f t="shared" si="177"/>
        <v>75.329440318235172</v>
      </c>
      <c r="Q218" s="57"/>
      <c r="R218" s="119" t="s">
        <v>51</v>
      </c>
      <c r="S218" s="25">
        <f t="shared" si="143"/>
        <v>1.3314834153489119</v>
      </c>
      <c r="T218" s="25">
        <f t="shared" si="144"/>
        <v>0.99202987251966768</v>
      </c>
      <c r="U218" s="25">
        <f t="shared" si="145"/>
        <v>2.3956427379589789</v>
      </c>
      <c r="V218" s="54">
        <f t="shared" si="146"/>
        <v>0.41894528516868373</v>
      </c>
      <c r="W218" s="123">
        <f t="shared" si="147"/>
        <v>0.26467324407347481</v>
      </c>
      <c r="X218" s="25">
        <f t="shared" si="148"/>
        <v>0.72843263212061193</v>
      </c>
      <c r="Y218" s="25">
        <f t="shared" si="149"/>
        <v>0.62640107782017562</v>
      </c>
      <c r="Z218" s="25">
        <f t="shared" si="150"/>
        <v>1.8106654738609713</v>
      </c>
      <c r="AA218" s="25">
        <f t="shared" si="151"/>
        <v>0.40077889614617629</v>
      </c>
      <c r="AB218" s="25">
        <f t="shared" si="152"/>
        <v>0.42132103721294867</v>
      </c>
      <c r="AC218" s="25">
        <f t="shared" si="153"/>
        <v>1.0682936586341321</v>
      </c>
      <c r="AD218" s="25">
        <f t="shared" si="154"/>
        <v>17.079973324674743</v>
      </c>
      <c r="AE218" s="25">
        <f t="shared" si="155"/>
        <v>0.57481177241122783</v>
      </c>
      <c r="AF218" s="25">
        <f t="shared" si="156"/>
        <v>3.5214713380606291E-2</v>
      </c>
      <c r="AG218" s="123">
        <f t="shared" si="157"/>
        <v>0.79149119422994241</v>
      </c>
      <c r="AH218" s="123">
        <f t="shared" si="158"/>
        <v>0.82587931090049738</v>
      </c>
      <c r="AI218" s="123">
        <f t="shared" si="159"/>
        <v>0.80266380395532788</v>
      </c>
      <c r="AJ218" s="123">
        <f t="shared" si="178"/>
        <v>0.85102944342443099</v>
      </c>
      <c r="AK218" s="119" t="s">
        <v>51</v>
      </c>
      <c r="AL218" s="123"/>
      <c r="AM218" s="123"/>
      <c r="AN218" s="123"/>
      <c r="AO218" s="123"/>
      <c r="AP218" s="123"/>
      <c r="AQ218" s="123">
        <f t="shared" si="161"/>
        <v>0.26629668306978238</v>
      </c>
      <c r="AR218" s="123">
        <f t="shared" si="162"/>
        <v>1.3314834153489119</v>
      </c>
      <c r="AS218" s="123"/>
      <c r="AT218" s="119" t="s">
        <v>51</v>
      </c>
      <c r="AU218" s="123"/>
      <c r="AV218" s="123"/>
      <c r="AW218" s="123"/>
      <c r="AX218" s="123">
        <f t="shared" si="164"/>
        <v>1.3934366881507445</v>
      </c>
      <c r="AY218" s="123">
        <f t="shared" si="165"/>
        <v>1.3314834153489119</v>
      </c>
      <c r="BG218" s="58"/>
      <c r="BI218" s="58"/>
      <c r="BJ218" s="58"/>
      <c r="BK218" s="58"/>
      <c r="BL218" s="58"/>
      <c r="BM218" s="58"/>
      <c r="BN218" s="58"/>
      <c r="BO218" s="58"/>
      <c r="BP218" s="58"/>
    </row>
    <row r="219" spans="1:68" s="142" customFormat="1" ht="15">
      <c r="B219" s="149" t="s">
        <v>52</v>
      </c>
      <c r="C219" s="173">
        <v>370</v>
      </c>
      <c r="D219" s="56">
        <f t="shared" si="166"/>
        <v>1.6630229766803863</v>
      </c>
      <c r="E219" s="56">
        <f t="shared" si="167"/>
        <v>1</v>
      </c>
      <c r="F219" s="56">
        <f t="shared" si="168"/>
        <v>0.86185075608152595</v>
      </c>
      <c r="G219" s="56">
        <f t="shared" si="169"/>
        <v>1.2494902744771228</v>
      </c>
      <c r="H219" s="56">
        <f t="shared" si="170"/>
        <v>0.2314814814814817</v>
      </c>
      <c r="I219" s="56">
        <f t="shared" si="171"/>
        <v>0.91006216006216212</v>
      </c>
      <c r="J219" s="56">
        <f t="shared" si="172"/>
        <v>6.0835629017447344E-2</v>
      </c>
      <c r="K219" s="56">
        <f t="shared" si="173"/>
        <v>0.88489132196126041</v>
      </c>
      <c r="L219" s="56">
        <f t="shared" si="174"/>
        <v>0.99461237055695706</v>
      </c>
      <c r="M219" s="52">
        <f t="shared" si="175"/>
        <v>0.96153846153846179</v>
      </c>
      <c r="N219" s="56">
        <f t="shared" si="176"/>
        <v>3.6791710012606091</v>
      </c>
      <c r="O219" s="56"/>
      <c r="P219" s="88">
        <f t="shared" si="177"/>
        <v>73.772527719636003</v>
      </c>
      <c r="Q219" s="56"/>
      <c r="R219" s="149" t="s">
        <v>52</v>
      </c>
      <c r="S219" s="142">
        <f t="shared" si="143"/>
        <v>1.8193636646851368</v>
      </c>
      <c r="T219" s="142">
        <f t="shared" si="144"/>
        <v>0.93707813191627154</v>
      </c>
      <c r="U219" s="142">
        <f t="shared" si="145"/>
        <v>5.0644438866412509</v>
      </c>
      <c r="V219" s="51">
        <f t="shared" si="146"/>
        <v>0.5649761041812742</v>
      </c>
      <c r="W219" s="52">
        <f t="shared" si="147"/>
        <v>0.58742702727252272</v>
      </c>
      <c r="X219" s="142">
        <f t="shared" si="148"/>
        <v>1.1359206131057655</v>
      </c>
      <c r="Y219" s="142">
        <f t="shared" si="149"/>
        <v>0.64180739118296848</v>
      </c>
      <c r="Z219" s="142">
        <f t="shared" si="150"/>
        <v>1.7699206379139381</v>
      </c>
      <c r="AA219" s="142">
        <f t="shared" si="151"/>
        <v>0.72427995341937712</v>
      </c>
      <c r="AB219" s="142">
        <f t="shared" si="152"/>
        <v>1.0722093421348171</v>
      </c>
      <c r="AC219" s="142">
        <f t="shared" si="153"/>
        <v>3.2044009124333876</v>
      </c>
      <c r="AD219" s="142">
        <f t="shared" si="154"/>
        <v>24.38821817673573</v>
      </c>
      <c r="AE219" s="142">
        <f t="shared" si="155"/>
        <v>0.65505613838755627</v>
      </c>
      <c r="AF219" s="142">
        <f t="shared" si="156"/>
        <v>4.0032926552985362E-2</v>
      </c>
      <c r="AG219" s="52">
        <f t="shared" si="157"/>
        <v>0.79267951067830367</v>
      </c>
      <c r="AH219" s="52">
        <f t="shared" si="158"/>
        <v>0.91254009300595973</v>
      </c>
      <c r="AI219" s="52">
        <f t="shared" si="159"/>
        <v>0.77973050423130241</v>
      </c>
      <c r="AJ219" s="52">
        <f t="shared" si="178"/>
        <v>0.95400553022519663</v>
      </c>
      <c r="AK219" s="149" t="s">
        <v>52</v>
      </c>
      <c r="AL219" s="52"/>
      <c r="AM219" s="52"/>
      <c r="AN219" s="52"/>
      <c r="AO219" s="52"/>
      <c r="AP219" s="52"/>
      <c r="AQ219" s="123">
        <f t="shared" si="161"/>
        <v>0.36387273293702738</v>
      </c>
      <c r="AR219" s="123">
        <f t="shared" si="162"/>
        <v>1.8193636646851368</v>
      </c>
      <c r="AS219" s="52"/>
      <c r="AT219" s="149" t="s">
        <v>52</v>
      </c>
      <c r="AU219" s="52"/>
      <c r="AV219" s="52"/>
      <c r="AW219" s="52"/>
      <c r="AX219" s="123">
        <f t="shared" si="164"/>
        <v>1.9051095205474382</v>
      </c>
      <c r="AY219" s="123">
        <f t="shared" si="165"/>
        <v>1.8193636646851368</v>
      </c>
      <c r="BG219" s="150"/>
      <c r="BI219" s="150"/>
      <c r="BJ219" s="150"/>
      <c r="BK219" s="150"/>
      <c r="BL219" s="150"/>
      <c r="BM219" s="150"/>
      <c r="BN219" s="150"/>
      <c r="BO219" s="150"/>
      <c r="BP219" s="150"/>
    </row>
    <row r="220" spans="1:68" s="25" customFormat="1" ht="15">
      <c r="B220" s="119" t="s">
        <v>53</v>
      </c>
      <c r="C220" s="172">
        <v>400</v>
      </c>
      <c r="D220" s="57">
        <f t="shared" si="166"/>
        <v>1.4335255577214649</v>
      </c>
      <c r="E220" s="57">
        <f t="shared" si="167"/>
        <v>1</v>
      </c>
      <c r="F220" s="57">
        <f t="shared" si="168"/>
        <v>0.82113567943527366</v>
      </c>
      <c r="G220" s="57">
        <f t="shared" si="169"/>
        <v>0.95153556251205273</v>
      </c>
      <c r="H220" s="57">
        <f t="shared" si="170"/>
        <v>0.42982456140350905</v>
      </c>
      <c r="I220" s="57">
        <f t="shared" si="171"/>
        <v>1.2229174334437483</v>
      </c>
      <c r="J220" s="57">
        <f t="shared" si="172"/>
        <v>0.55652215939297311</v>
      </c>
      <c r="K220" s="57">
        <f t="shared" si="173"/>
        <v>0.85840074753263662</v>
      </c>
      <c r="L220" s="57">
        <f t="shared" si="174"/>
        <v>0.92430067612355937</v>
      </c>
      <c r="M220" s="123">
        <f t="shared" si="175"/>
        <v>0.80296896086369751</v>
      </c>
      <c r="N220" s="57">
        <f t="shared" si="176"/>
        <v>3.3834262144880127</v>
      </c>
      <c r="O220" s="57"/>
      <c r="P220" s="88">
        <f t="shared" si="177"/>
        <v>71.15115253553472</v>
      </c>
      <c r="Q220" s="57"/>
      <c r="R220" s="119" t="s">
        <v>53</v>
      </c>
      <c r="S220" s="25">
        <f t="shared" si="143"/>
        <v>1.722074687775681</v>
      </c>
      <c r="T220" s="25">
        <f t="shared" si="144"/>
        <v>0.90887741675346623</v>
      </c>
      <c r="U220" s="25">
        <f t="shared" si="145"/>
        <v>3.6234227365499123</v>
      </c>
      <c r="V220" s="54">
        <f t="shared" si="146"/>
        <v>0.46187145705329857</v>
      </c>
      <c r="W220" s="123">
        <f t="shared" si="147"/>
        <v>0.83169499148782655</v>
      </c>
      <c r="X220" s="25">
        <f t="shared" si="148"/>
        <v>0.84127546936486763</v>
      </c>
      <c r="Y220" s="25">
        <f t="shared" si="149"/>
        <v>0.60783571050141505</v>
      </c>
      <c r="Z220" s="25">
        <f t="shared" si="150"/>
        <v>3.9144082758954002</v>
      </c>
      <c r="AA220" s="25">
        <f t="shared" si="151"/>
        <v>1.2338926732427726</v>
      </c>
      <c r="AB220" s="25">
        <f t="shared" si="152"/>
        <v>1.3541764530400109</v>
      </c>
      <c r="AC220" s="25">
        <f t="shared" si="153"/>
        <v>4.9153633297900399</v>
      </c>
      <c r="AD220" s="25">
        <f t="shared" si="154"/>
        <v>18.058841254929419</v>
      </c>
      <c r="AE220" s="25">
        <f t="shared" si="155"/>
        <v>0.59360182040834064</v>
      </c>
      <c r="AF220" s="25">
        <f t="shared" si="156"/>
        <v>0.22298048922435201</v>
      </c>
      <c r="AG220" s="123">
        <f t="shared" si="157"/>
        <v>0.72626161759591334</v>
      </c>
      <c r="AH220" s="123">
        <f t="shared" si="158"/>
        <v>0.87861573762373968</v>
      </c>
      <c r="AI220" s="123">
        <f t="shared" si="159"/>
        <v>0.77711448923961557</v>
      </c>
      <c r="AJ220" s="123">
        <f t="shared" si="178"/>
        <v>0.9399909554579523</v>
      </c>
      <c r="AK220" s="119" t="s">
        <v>53</v>
      </c>
      <c r="AL220" s="123"/>
      <c r="AM220" s="123"/>
      <c r="AN220" s="123"/>
      <c r="AO220" s="123"/>
      <c r="AP220" s="123"/>
      <c r="AQ220" s="123">
        <f t="shared" si="161"/>
        <v>0.34441493755513614</v>
      </c>
      <c r="AR220" s="123">
        <f t="shared" si="162"/>
        <v>1.722074687775681</v>
      </c>
      <c r="AS220" s="123"/>
      <c r="AT220" s="119" t="s">
        <v>53</v>
      </c>
      <c r="AU220" s="123"/>
      <c r="AV220" s="123"/>
      <c r="AW220" s="123"/>
      <c r="AX220" s="123">
        <f t="shared" si="164"/>
        <v>1.7940076093397315</v>
      </c>
      <c r="AY220" s="123">
        <f t="shared" si="165"/>
        <v>1.722074687775681</v>
      </c>
      <c r="BG220" s="58"/>
      <c r="BI220" s="58"/>
      <c r="BJ220" s="58"/>
      <c r="BK220" s="58"/>
      <c r="BL220" s="58"/>
      <c r="BM220" s="58"/>
      <c r="BN220" s="58"/>
      <c r="BO220" s="58"/>
      <c r="BP220" s="58"/>
    </row>
    <row r="221" spans="1:68" s="25" customFormat="1" ht="15">
      <c r="B221" s="119" t="s">
        <v>54</v>
      </c>
      <c r="C221" s="172">
        <v>420</v>
      </c>
      <c r="D221" s="57">
        <f t="shared" si="166"/>
        <v>1.3277731539279602</v>
      </c>
      <c r="E221" s="57">
        <f t="shared" si="167"/>
        <v>1</v>
      </c>
      <c r="F221" s="57">
        <f t="shared" si="168"/>
        <v>0.78558606475633264</v>
      </c>
      <c r="G221" s="57">
        <f t="shared" si="169"/>
        <v>0.94097450483476586</v>
      </c>
      <c r="H221" s="57">
        <f t="shared" si="170"/>
        <v>1.2453183520599269</v>
      </c>
      <c r="I221" s="57">
        <f t="shared" si="171"/>
        <v>3.1524842198999496</v>
      </c>
      <c r="J221" s="57">
        <f t="shared" si="172"/>
        <v>2.8961731719647976</v>
      </c>
      <c r="K221" s="57">
        <f t="shared" si="173"/>
        <v>1.1427225956866938</v>
      </c>
      <c r="L221" s="57">
        <f t="shared" si="174"/>
        <v>0.92123510599156744</v>
      </c>
      <c r="M221" s="123">
        <f t="shared" si="175"/>
        <v>1.0688562373955641</v>
      </c>
      <c r="N221" s="57">
        <f t="shared" si="176"/>
        <v>6.2580747131543637</v>
      </c>
      <c r="O221" s="57"/>
      <c r="P221" s="88">
        <f t="shared" si="177"/>
        <v>67.947827902721059</v>
      </c>
      <c r="Q221" s="57"/>
      <c r="R221" s="119" t="s">
        <v>54</v>
      </c>
      <c r="S221" s="25">
        <f t="shared" si="143"/>
        <v>1.2932240451184418</v>
      </c>
      <c r="T221" s="25">
        <f t="shared" si="144"/>
        <v>0.89929187754987139</v>
      </c>
      <c r="U221" s="25">
        <f t="shared" si="145"/>
        <v>2.6931532316013351</v>
      </c>
      <c r="V221" s="54">
        <f t="shared" si="146"/>
        <v>0.40299375460300163</v>
      </c>
      <c r="W221" s="123">
        <f t="shared" si="147"/>
        <v>0.79440407063751162</v>
      </c>
      <c r="X221" s="25">
        <f t="shared" si="148"/>
        <v>0.32992474797623206</v>
      </c>
      <c r="Y221" s="25">
        <f t="shared" si="149"/>
        <v>0.35963058478107102</v>
      </c>
      <c r="Z221" s="25">
        <f t="shared" si="150"/>
        <v>11.40257072166602</v>
      </c>
      <c r="AA221" s="25">
        <f t="shared" si="151"/>
        <v>0.93345207385512774</v>
      </c>
      <c r="AB221" s="25">
        <f t="shared" si="152"/>
        <v>1.0555129383050801</v>
      </c>
      <c r="AC221" s="25">
        <f t="shared" si="153"/>
        <v>2.4286529281958025</v>
      </c>
      <c r="AD221" s="25">
        <f t="shared" si="154"/>
        <v>12.511690290780724</v>
      </c>
      <c r="AE221" s="25">
        <f t="shared" si="155"/>
        <v>0.32811800597487062</v>
      </c>
      <c r="AF221" s="25">
        <f t="shared" si="156"/>
        <v>0.61670511962812513</v>
      </c>
      <c r="AG221" s="123">
        <f t="shared" si="157"/>
        <v>1.0394541252968705</v>
      </c>
      <c r="AH221" s="123">
        <f t="shared" si="158"/>
        <v>1.1232130374222415</v>
      </c>
      <c r="AI221" s="123">
        <f t="shared" si="159"/>
        <v>0.81269296600251117</v>
      </c>
      <c r="AJ221" s="123">
        <f t="shared" si="178"/>
        <v>0.96413136259419863</v>
      </c>
      <c r="AK221" s="119" t="s">
        <v>54</v>
      </c>
      <c r="AL221" s="123"/>
      <c r="AM221" s="123"/>
      <c r="AN221" s="123"/>
      <c r="AO221" s="123"/>
      <c r="AP221" s="123"/>
      <c r="AQ221" s="123">
        <f t="shared" si="161"/>
        <v>0.25864480902368836</v>
      </c>
      <c r="AR221" s="123">
        <f t="shared" si="162"/>
        <v>1.2932240451184418</v>
      </c>
      <c r="AS221" s="123"/>
      <c r="AT221" s="119" t="s">
        <v>54</v>
      </c>
      <c r="AU221" s="123"/>
      <c r="AV221" s="123"/>
      <c r="AW221" s="123"/>
      <c r="AX221" s="123">
        <f t="shared" si="164"/>
        <v>1.3619094402394458</v>
      </c>
      <c r="AY221" s="123">
        <f t="shared" si="165"/>
        <v>1.2932240451184418</v>
      </c>
      <c r="BG221" s="58"/>
      <c r="BI221" s="58"/>
      <c r="BJ221" s="58"/>
      <c r="BK221" s="58"/>
      <c r="BL221" s="58"/>
      <c r="BM221" s="58"/>
      <c r="BN221" s="58"/>
      <c r="BO221" s="58"/>
      <c r="BP221" s="58"/>
    </row>
    <row r="222" spans="1:68" s="25" customFormat="1" ht="15">
      <c r="A222" s="4" t="s">
        <v>129</v>
      </c>
      <c r="B222" s="54" t="s">
        <v>55</v>
      </c>
      <c r="C222" s="158"/>
      <c r="D222" s="57">
        <f>MIN(D204:D221)</f>
        <v>0.78536207263878799</v>
      </c>
      <c r="E222" s="57">
        <f t="shared" ref="E222:AX222" si="179">MIN(E204:E221)</f>
        <v>1</v>
      </c>
      <c r="F222" s="57">
        <f t="shared" si="179"/>
        <v>0.43681107546125203</v>
      </c>
      <c r="G222" s="57">
        <f t="shared" si="179"/>
        <v>0.19392034638445427</v>
      </c>
      <c r="H222" s="57">
        <f t="shared" si="179"/>
        <v>5.5467511885895424E-2</v>
      </c>
      <c r="I222" s="57">
        <f t="shared" si="179"/>
        <v>0.18317740388585002</v>
      </c>
      <c r="J222" s="57">
        <f t="shared" si="179"/>
        <v>2.1086822700423027E-2</v>
      </c>
      <c r="K222" s="57">
        <f t="shared" si="179"/>
        <v>9.0661383773710053E-2</v>
      </c>
      <c r="L222" s="57">
        <f t="shared" si="179"/>
        <v>0.24081143815008652</v>
      </c>
      <c r="M222" s="57">
        <f t="shared" si="179"/>
        <v>0.2107856556255131</v>
      </c>
      <c r="N222" s="57">
        <f t="shared" si="179"/>
        <v>0.95373195519637777</v>
      </c>
      <c r="O222" s="57"/>
      <c r="P222" s="57"/>
      <c r="Q222" s="57"/>
      <c r="R222" s="54" t="s">
        <v>55</v>
      </c>
      <c r="S222" s="57">
        <f t="shared" si="179"/>
        <v>0.90272012913222599</v>
      </c>
      <c r="T222" s="57">
        <f t="shared" si="179"/>
        <v>0.28616920969152998</v>
      </c>
      <c r="U222" s="57">
        <f t="shared" si="179"/>
        <v>1.4770366223426235</v>
      </c>
      <c r="V222" s="57">
        <f t="shared" si="179"/>
        <v>0.1614855282560895</v>
      </c>
      <c r="W222" s="57">
        <f>MIN(W204:W221)</f>
        <v>0.10512495625418226</v>
      </c>
      <c r="X222" s="57">
        <f t="shared" si="179"/>
        <v>0.32992474797623206</v>
      </c>
      <c r="Y222" s="57">
        <f t="shared" si="179"/>
        <v>0.28586938646182991</v>
      </c>
      <c r="Z222" s="57">
        <f t="shared" si="179"/>
        <v>0.16196265780464689</v>
      </c>
      <c r="AA222" s="57">
        <f t="shared" si="179"/>
        <v>6.9364706657067801E-2</v>
      </c>
      <c r="AB222" s="57">
        <f t="shared" si="179"/>
        <v>0.22376316331206553</v>
      </c>
      <c r="AC222" s="57">
        <f t="shared" si="179"/>
        <v>0.9404363168593699</v>
      </c>
      <c r="AD222" s="57">
        <f t="shared" si="179"/>
        <v>3.0515674613874708</v>
      </c>
      <c r="AE222" s="57">
        <f t="shared" si="179"/>
        <v>0.13812153248639755</v>
      </c>
      <c r="AF222" s="57">
        <f t="shared" si="179"/>
        <v>1.2012973492924782E-2</v>
      </c>
      <c r="AG222" s="57">
        <f t="shared" si="179"/>
        <v>0.65329402625147071</v>
      </c>
      <c r="AH222" s="57">
        <f t="shared" si="179"/>
        <v>0.8226282718452862</v>
      </c>
      <c r="AI222" s="57">
        <f t="shared" si="179"/>
        <v>0.52928598676829997</v>
      </c>
      <c r="AJ222" s="57">
        <f t="shared" si="179"/>
        <v>0.73522019637908698</v>
      </c>
      <c r="AK222" s="54" t="s">
        <v>55</v>
      </c>
      <c r="AL222" s="57"/>
      <c r="AM222" s="57"/>
      <c r="AN222" s="57"/>
      <c r="AO222" s="57"/>
      <c r="AP222" s="57"/>
      <c r="AQ222" s="57">
        <f t="shared" si="179"/>
        <v>0.18054402582644519</v>
      </c>
      <c r="AR222" s="57">
        <f t="shared" si="179"/>
        <v>0.90272012913222599</v>
      </c>
      <c r="AS222" s="57"/>
      <c r="AT222" s="54" t="s">
        <v>55</v>
      </c>
      <c r="AU222" s="57"/>
      <c r="AV222" s="57"/>
      <c r="AW222" s="57"/>
      <c r="AX222" s="57">
        <f t="shared" si="179"/>
        <v>0.92600245858558572</v>
      </c>
      <c r="BG222" s="58"/>
      <c r="BI222" s="58"/>
      <c r="BJ222" s="58"/>
      <c r="BK222" s="58"/>
      <c r="BL222" s="58"/>
      <c r="BM222" s="58"/>
      <c r="BN222" s="58"/>
      <c r="BO222" s="58"/>
      <c r="BP222" s="58"/>
    </row>
    <row r="223" spans="1:68" s="25" customFormat="1" ht="15">
      <c r="A223" s="4"/>
      <c r="B223" s="54" t="s">
        <v>56</v>
      </c>
      <c r="C223" s="158"/>
      <c r="D223" s="57">
        <f>MAX(D204:D221)</f>
        <v>1.6630229766803863</v>
      </c>
      <c r="E223" s="57">
        <f t="shared" ref="E223:AX223" si="180">MAX(E204:E221)</f>
        <v>1</v>
      </c>
      <c r="F223" s="57">
        <f t="shared" si="180"/>
        <v>1.0731080660230443</v>
      </c>
      <c r="G223" s="57">
        <f t="shared" si="180"/>
        <v>5.778671114609879</v>
      </c>
      <c r="H223" s="57">
        <f t="shared" si="180"/>
        <v>1.2453183520599269</v>
      </c>
      <c r="I223" s="57">
        <f t="shared" si="180"/>
        <v>3.1524842198999496</v>
      </c>
      <c r="J223" s="57">
        <f t="shared" si="180"/>
        <v>2.8961731719647976</v>
      </c>
      <c r="K223" s="57">
        <f t="shared" si="180"/>
        <v>1.1427225956866938</v>
      </c>
      <c r="L223" s="57">
        <f t="shared" si="180"/>
        <v>0.99461237055695706</v>
      </c>
      <c r="M223" s="57">
        <f t="shared" si="180"/>
        <v>2.4793835338650752</v>
      </c>
      <c r="N223" s="57">
        <f t="shared" si="180"/>
        <v>6.2580747131543637</v>
      </c>
      <c r="O223" s="57"/>
      <c r="P223" s="57"/>
      <c r="Q223" s="57"/>
      <c r="R223" s="54" t="s">
        <v>56</v>
      </c>
      <c r="S223" s="57">
        <f t="shared" si="180"/>
        <v>2.3629974574480719</v>
      </c>
      <c r="T223" s="57">
        <f t="shared" si="180"/>
        <v>1.1687061354733623</v>
      </c>
      <c r="U223" s="57">
        <f t="shared" si="180"/>
        <v>5.230984575522986</v>
      </c>
      <c r="V223" s="57">
        <f t="shared" si="180"/>
        <v>0.961633176639478</v>
      </c>
      <c r="W223" s="57">
        <f>MAX(W204:W221)</f>
        <v>1.5818206624398408</v>
      </c>
      <c r="X223" s="57">
        <f t="shared" si="180"/>
        <v>1.4427434882563959</v>
      </c>
      <c r="Y223" s="57">
        <f t="shared" si="180"/>
        <v>0.91490996761544019</v>
      </c>
      <c r="Z223" s="57">
        <f t="shared" si="180"/>
        <v>11.40257072166602</v>
      </c>
      <c r="AA223" s="57">
        <f t="shared" si="180"/>
        <v>1.5620130159950698</v>
      </c>
      <c r="AB223" s="57">
        <f t="shared" si="180"/>
        <v>2.520447203774816</v>
      </c>
      <c r="AC223" s="57">
        <f t="shared" si="180"/>
        <v>20.434652850542324</v>
      </c>
      <c r="AD223" s="57">
        <f t="shared" si="180"/>
        <v>36.794463948751783</v>
      </c>
      <c r="AE223" s="57">
        <f t="shared" si="180"/>
        <v>0.72814086513018783</v>
      </c>
      <c r="AF223" s="57">
        <f t="shared" si="180"/>
        <v>0.61670511962812513</v>
      </c>
      <c r="AG223" s="57">
        <f t="shared" si="180"/>
        <v>1.0394541252968705</v>
      </c>
      <c r="AH223" s="57">
        <f t="shared" si="180"/>
        <v>1.243363287609518</v>
      </c>
      <c r="AI223" s="57">
        <f t="shared" si="180"/>
        <v>0.81269296600251117</v>
      </c>
      <c r="AJ223" s="57">
        <f t="shared" si="180"/>
        <v>0.99984488390301818</v>
      </c>
      <c r="AK223" s="54" t="s">
        <v>56</v>
      </c>
      <c r="AL223" s="57"/>
      <c r="AM223" s="57"/>
      <c r="AN223" s="57"/>
      <c r="AO223" s="57"/>
      <c r="AP223" s="57"/>
      <c r="AQ223" s="57">
        <f t="shared" si="180"/>
        <v>0.47259949148961439</v>
      </c>
      <c r="AR223" s="57">
        <f t="shared" si="180"/>
        <v>2.3629974574480719</v>
      </c>
      <c r="AS223" s="57"/>
      <c r="AT223" s="54" t="s">
        <v>56</v>
      </c>
      <c r="AU223" s="57"/>
      <c r="AV223" s="57"/>
      <c r="AW223" s="57"/>
      <c r="AX223" s="57">
        <f t="shared" si="180"/>
        <v>2.4616153504809657</v>
      </c>
      <c r="BG223" s="58"/>
      <c r="BI223" s="58"/>
      <c r="BJ223" s="58"/>
      <c r="BK223" s="58"/>
      <c r="BL223" s="58"/>
      <c r="BM223" s="58"/>
      <c r="BN223" s="58"/>
      <c r="BO223" s="58"/>
      <c r="BP223" s="58"/>
    </row>
    <row r="224" spans="1:68" s="142" customFormat="1" ht="14.25">
      <c r="A224" s="147"/>
      <c r="B224" s="51" t="s">
        <v>135</v>
      </c>
      <c r="C224" s="163"/>
      <c r="D224" s="56">
        <f>AVERAGE(D204:D221)</f>
        <v>1.3341438951307274</v>
      </c>
      <c r="E224" s="56">
        <f t="shared" ref="E224:AX224" si="181">AVERAGE(E204:E221)</f>
        <v>1</v>
      </c>
      <c r="F224" s="56">
        <f t="shared" si="181"/>
        <v>0.78944041824272082</v>
      </c>
      <c r="G224" s="56">
        <f t="shared" si="181"/>
        <v>1.3060634952741212</v>
      </c>
      <c r="H224" s="56">
        <f t="shared" si="181"/>
        <v>0.26349589264781587</v>
      </c>
      <c r="I224" s="56">
        <f t="shared" si="181"/>
        <v>0.75851490345885231</v>
      </c>
      <c r="J224" s="56">
        <f t="shared" si="181"/>
        <v>0.21734306560808359</v>
      </c>
      <c r="K224" s="56">
        <f t="shared" si="181"/>
        <v>0.31602524012563749</v>
      </c>
      <c r="L224" s="56">
        <f t="shared" si="181"/>
        <v>0.76715222390703852</v>
      </c>
      <c r="M224" s="56">
        <f t="shared" si="181"/>
        <v>0.67920084745104869</v>
      </c>
      <c r="N224" s="56">
        <f t="shared" si="181"/>
        <v>2.4568973996272208</v>
      </c>
      <c r="O224" s="56"/>
      <c r="P224" s="56"/>
      <c r="Q224" s="56"/>
      <c r="R224" s="51" t="s">
        <v>135</v>
      </c>
      <c r="S224" s="56">
        <f t="shared" si="181"/>
        <v>1.4954434829588121</v>
      </c>
      <c r="T224" s="56">
        <f t="shared" si="181"/>
        <v>0.89494287538051642</v>
      </c>
      <c r="U224" s="56">
        <f t="shared" si="181"/>
        <v>3.208802574617045</v>
      </c>
      <c r="V224" s="56">
        <f t="shared" si="181"/>
        <v>0.48379002623087974</v>
      </c>
      <c r="W224" s="56">
        <f>AVERAGE(W204:W221)</f>
        <v>0.54109957574542911</v>
      </c>
      <c r="X224" s="56">
        <f t="shared" si="181"/>
        <v>0.90625234990636927</v>
      </c>
      <c r="Y224" s="56">
        <f t="shared" si="181"/>
        <v>0.53150371807105012</v>
      </c>
      <c r="Z224" s="56">
        <f t="shared" si="181"/>
        <v>2.2217601858189182</v>
      </c>
      <c r="AA224" s="56">
        <f t="shared" si="181"/>
        <v>0.5438124112475452</v>
      </c>
      <c r="AB224" s="56">
        <f t="shared" si="181"/>
        <v>0.87742792839437855</v>
      </c>
      <c r="AC224" s="56">
        <f t="shared" si="181"/>
        <v>4.4244752740905904</v>
      </c>
      <c r="AD224" s="56">
        <f t="shared" si="181"/>
        <v>14.097822230789856</v>
      </c>
      <c r="AE224" s="56">
        <f t="shared" si="181"/>
        <v>0.43805193259428543</v>
      </c>
      <c r="AF224" s="56">
        <f t="shared" si="181"/>
        <v>6.9214552068305693E-2</v>
      </c>
      <c r="AG224" s="56">
        <f t="shared" si="181"/>
        <v>0.75951471357304889</v>
      </c>
      <c r="AH224" s="56">
        <f t="shared" si="181"/>
        <v>0.91619502604012892</v>
      </c>
      <c r="AI224" s="56">
        <f t="shared" si="181"/>
        <v>0.70928760673366853</v>
      </c>
      <c r="AJ224" s="56">
        <f t="shared" si="181"/>
        <v>0.91707060572305032</v>
      </c>
      <c r="AK224" s="51" t="s">
        <v>135</v>
      </c>
      <c r="AL224" s="56"/>
      <c r="AM224" s="56"/>
      <c r="AN224" s="56"/>
      <c r="AO224" s="56"/>
      <c r="AP224" s="56"/>
      <c r="AQ224" s="56">
        <f t="shared" si="181"/>
        <v>0.2990886965917624</v>
      </c>
      <c r="AR224" s="56">
        <f t="shared" si="181"/>
        <v>1.4954434829588121</v>
      </c>
      <c r="AS224" s="56"/>
      <c r="AT224" s="51" t="s">
        <v>135</v>
      </c>
      <c r="AU224" s="56"/>
      <c r="AV224" s="56"/>
      <c r="AW224" s="56"/>
      <c r="AX224" s="56">
        <f t="shared" si="181"/>
        <v>1.5561496493987941</v>
      </c>
      <c r="BG224" s="150"/>
      <c r="BI224" s="150"/>
      <c r="BJ224" s="150"/>
      <c r="BK224" s="150"/>
      <c r="BL224" s="150"/>
      <c r="BM224" s="150"/>
      <c r="BN224" s="150"/>
      <c r="BO224" s="150"/>
      <c r="BP224" s="150"/>
    </row>
    <row r="225" spans="1:68" s="25" customFormat="1" ht="15">
      <c r="A225" s="4"/>
      <c r="B225" s="54" t="s">
        <v>58</v>
      </c>
      <c r="C225" s="158"/>
      <c r="D225" s="57">
        <f>STDEV(D204:D221)</f>
        <v>0.24341697159964334</v>
      </c>
      <c r="E225" s="57">
        <f t="shared" ref="E225:AX225" si="182">STDEV(E204:E221)</f>
        <v>0</v>
      </c>
      <c r="F225" s="57">
        <f t="shared" si="182"/>
        <v>0.16353357969847238</v>
      </c>
      <c r="G225" s="57">
        <f t="shared" si="182"/>
        <v>1.334226370018762</v>
      </c>
      <c r="H225" s="57">
        <f t="shared" si="182"/>
        <v>0.27243091752238124</v>
      </c>
      <c r="I225" s="57">
        <f t="shared" si="182"/>
        <v>0.67874082773005506</v>
      </c>
      <c r="J225" s="57">
        <f t="shared" si="182"/>
        <v>0.68004904527347287</v>
      </c>
      <c r="K225" s="57">
        <f t="shared" si="182"/>
        <v>0.34100861829305446</v>
      </c>
      <c r="L225" s="57">
        <f t="shared" si="182"/>
        <v>0.21234432251162952</v>
      </c>
      <c r="M225" s="57">
        <f t="shared" si="182"/>
        <v>0.51660789611127478</v>
      </c>
      <c r="N225" s="57">
        <f t="shared" si="182"/>
        <v>1.2987101505306577</v>
      </c>
      <c r="O225" s="57"/>
      <c r="P225" s="57"/>
      <c r="Q225" s="57"/>
      <c r="R225" s="54" t="s">
        <v>58</v>
      </c>
      <c r="S225" s="57">
        <f t="shared" si="182"/>
        <v>0.35333423233401701</v>
      </c>
      <c r="T225" s="57">
        <f t="shared" si="182"/>
        <v>0.22399865460304472</v>
      </c>
      <c r="U225" s="57">
        <f t="shared" si="182"/>
        <v>1.1015821047821264</v>
      </c>
      <c r="V225" s="57">
        <f t="shared" si="182"/>
        <v>0.21651858893240036</v>
      </c>
      <c r="W225" s="57">
        <f>STDEV(W204:W221)</f>
        <v>0.37629298127557953</v>
      </c>
      <c r="X225" s="57">
        <f t="shared" si="182"/>
        <v>0.38304084332854155</v>
      </c>
      <c r="Y225" s="57">
        <f t="shared" si="182"/>
        <v>0.17685247938462792</v>
      </c>
      <c r="Z225" s="57">
        <f t="shared" si="182"/>
        <v>2.5537003199043413</v>
      </c>
      <c r="AA225" s="57">
        <f t="shared" si="182"/>
        <v>0.45338285291717551</v>
      </c>
      <c r="AB225" s="57">
        <f t="shared" si="182"/>
        <v>0.68498859249318311</v>
      </c>
      <c r="AC225" s="57">
        <f t="shared" si="182"/>
        <v>5.1809978898668971</v>
      </c>
      <c r="AD225" s="57">
        <f t="shared" si="182"/>
        <v>7.7236648951550952</v>
      </c>
      <c r="AE225" s="57">
        <f t="shared" si="182"/>
        <v>0.1811692924068892</v>
      </c>
      <c r="AF225" s="57">
        <f t="shared" si="182"/>
        <v>0.14456808389721185</v>
      </c>
      <c r="AG225" s="57">
        <f t="shared" si="182"/>
        <v>0.1049482792031803</v>
      </c>
      <c r="AH225" s="57">
        <f t="shared" si="182"/>
        <v>0.10636717527503688</v>
      </c>
      <c r="AI225" s="57">
        <f t="shared" si="182"/>
        <v>6.3801464206869843E-2</v>
      </c>
      <c r="AJ225" s="57">
        <f t="shared" si="182"/>
        <v>6.1143542113327433E-2</v>
      </c>
      <c r="AK225" s="54" t="s">
        <v>58</v>
      </c>
      <c r="AL225" s="57"/>
      <c r="AM225" s="57"/>
      <c r="AN225" s="57"/>
      <c r="AO225" s="57"/>
      <c r="AP225" s="57"/>
      <c r="AQ225" s="57">
        <f t="shared" si="182"/>
        <v>7.0666846466803795E-2</v>
      </c>
      <c r="AR225" s="57">
        <f t="shared" si="182"/>
        <v>0.35333423233401701</v>
      </c>
      <c r="AS225" s="57"/>
      <c r="AT225" s="54" t="s">
        <v>58</v>
      </c>
      <c r="AU225" s="57"/>
      <c r="AV225" s="57"/>
      <c r="AW225" s="57"/>
      <c r="AX225" s="57">
        <f t="shared" si="182"/>
        <v>0.36861228396206386</v>
      </c>
      <c r="BG225" s="58"/>
      <c r="BI225" s="58"/>
      <c r="BJ225" s="58"/>
      <c r="BK225" s="58"/>
      <c r="BL225" s="58"/>
      <c r="BM225" s="58"/>
      <c r="BN225" s="58"/>
      <c r="BO225" s="58"/>
      <c r="BP225" s="58"/>
    </row>
    <row r="226" spans="1:68" s="25" customFormat="1" ht="15">
      <c r="A226" s="4"/>
      <c r="B226" s="54" t="s">
        <v>59</v>
      </c>
      <c r="C226" s="158"/>
      <c r="D226" s="57">
        <f>D225/D224</f>
        <v>0.18245181234801655</v>
      </c>
      <c r="E226" s="57">
        <f t="shared" ref="E226:AX226" si="183">E225/E224</f>
        <v>0</v>
      </c>
      <c r="F226" s="57">
        <f t="shared" si="183"/>
        <v>0.20715126299524286</v>
      </c>
      <c r="G226" s="57">
        <f t="shared" si="183"/>
        <v>1.0215631742610873</v>
      </c>
      <c r="H226" s="57">
        <f t="shared" si="183"/>
        <v>1.0339095413775872</v>
      </c>
      <c r="I226" s="57">
        <f t="shared" si="183"/>
        <v>0.89482859813956861</v>
      </c>
      <c r="J226" s="57">
        <f t="shared" si="183"/>
        <v>3.1289199099627498</v>
      </c>
      <c r="K226" s="57">
        <f t="shared" si="183"/>
        <v>1.0790550088894315</v>
      </c>
      <c r="L226" s="57">
        <f t="shared" si="183"/>
        <v>0.27679555099270736</v>
      </c>
      <c r="M226" s="57">
        <f t="shared" si="183"/>
        <v>0.76061138328969424</v>
      </c>
      <c r="N226" s="57">
        <f t="shared" si="183"/>
        <v>0.52859763322949826</v>
      </c>
      <c r="O226" s="57"/>
      <c r="P226" s="57"/>
      <c r="Q226" s="57"/>
      <c r="R226" s="54" t="s">
        <v>59</v>
      </c>
      <c r="S226" s="57">
        <f t="shared" si="183"/>
        <v>0.23627387885961895</v>
      </c>
      <c r="T226" s="57">
        <f t="shared" si="183"/>
        <v>0.25029380172204158</v>
      </c>
      <c r="U226" s="57">
        <f t="shared" si="183"/>
        <v>0.34330005638118599</v>
      </c>
      <c r="V226" s="57">
        <f t="shared" si="183"/>
        <v>0.44754661566559645</v>
      </c>
      <c r="W226" s="57">
        <f>W225/W224</f>
        <v>0.6954227985804482</v>
      </c>
      <c r="X226" s="57">
        <f t="shared" si="183"/>
        <v>0.42266466218610738</v>
      </c>
      <c r="Y226" s="57">
        <f t="shared" si="183"/>
        <v>0.33273987250073517</v>
      </c>
      <c r="Z226" s="57">
        <f t="shared" si="183"/>
        <v>1.1494041239032615</v>
      </c>
      <c r="AA226" s="57">
        <f t="shared" si="183"/>
        <v>0.83371185272708703</v>
      </c>
      <c r="AB226" s="57">
        <f t="shared" si="183"/>
        <v>0.78067789994633097</v>
      </c>
      <c r="AC226" s="57">
        <f t="shared" si="183"/>
        <v>1.1709858387516479</v>
      </c>
      <c r="AD226" s="57">
        <f t="shared" si="183"/>
        <v>0.5478622704070204</v>
      </c>
      <c r="AE226" s="57">
        <f t="shared" si="183"/>
        <v>0.41357948436375103</v>
      </c>
      <c r="AF226" s="57">
        <f t="shared" si="183"/>
        <v>2.0886949286985503</v>
      </c>
      <c r="AG226" s="57">
        <f t="shared" si="183"/>
        <v>0.13817807256091627</v>
      </c>
      <c r="AH226" s="57">
        <f t="shared" si="183"/>
        <v>0.11609665218852437</v>
      </c>
      <c r="AI226" s="57">
        <f t="shared" si="183"/>
        <v>8.9951471872857278E-2</v>
      </c>
      <c r="AJ226" s="57">
        <f t="shared" si="183"/>
        <v>6.6672665912260634E-2</v>
      </c>
      <c r="AK226" s="54" t="s">
        <v>59</v>
      </c>
      <c r="AL226" s="57"/>
      <c r="AM226" s="57"/>
      <c r="AN226" s="57"/>
      <c r="AO226" s="57"/>
      <c r="AP226" s="57"/>
      <c r="AQ226" s="57">
        <f t="shared" si="183"/>
        <v>0.23627387885962028</v>
      </c>
      <c r="AR226" s="57">
        <f t="shared" si="183"/>
        <v>0.23627387885961895</v>
      </c>
      <c r="AS226" s="57"/>
      <c r="AT226" s="54" t="s">
        <v>59</v>
      </c>
      <c r="AU226" s="57"/>
      <c r="AV226" s="57"/>
      <c r="AW226" s="57"/>
      <c r="AX226" s="57">
        <f t="shared" si="183"/>
        <v>0.23687457315205787</v>
      </c>
      <c r="BG226" s="58"/>
      <c r="BI226" s="58"/>
      <c r="BJ226" s="58"/>
      <c r="BK226" s="58"/>
      <c r="BL226" s="58"/>
      <c r="BM226" s="58"/>
      <c r="BN226" s="58"/>
      <c r="BO226" s="58"/>
      <c r="BP226" s="58"/>
    </row>
    <row r="227" spans="1:68" s="142" customFormat="1" ht="14.25">
      <c r="A227" s="148" t="s">
        <v>130</v>
      </c>
      <c r="B227" s="56" t="s">
        <v>136</v>
      </c>
      <c r="C227" s="164"/>
      <c r="D227" s="56">
        <f>(D204+D205)/2</f>
        <v>0.79074865121350324</v>
      </c>
      <c r="E227" s="56">
        <f t="shared" ref="E227:AX227" si="184">(E204+E205)/2</f>
        <v>1</v>
      </c>
      <c r="F227" s="56">
        <f t="shared" si="184"/>
        <v>0.43893718477019783</v>
      </c>
      <c r="G227" s="56">
        <f t="shared" si="184"/>
        <v>0.49530618674627014</v>
      </c>
      <c r="H227" s="56">
        <f t="shared" si="184"/>
        <v>0.36756653251997173</v>
      </c>
      <c r="I227" s="56">
        <f t="shared" si="184"/>
        <v>0.18372671557960055</v>
      </c>
      <c r="J227" s="56">
        <f t="shared" si="184"/>
        <v>2.456307842568781E-2</v>
      </c>
      <c r="K227" s="56">
        <f t="shared" si="184"/>
        <v>9.7242424768772734E-2</v>
      </c>
      <c r="L227" s="56">
        <f t="shared" si="184"/>
        <v>0.24956469294125588</v>
      </c>
      <c r="M227" s="56">
        <f t="shared" si="184"/>
        <v>0.61050779273852629</v>
      </c>
      <c r="N227" s="56">
        <f t="shared" si="184"/>
        <v>1.551398380238461</v>
      </c>
      <c r="O227" s="56"/>
      <c r="P227" s="56"/>
      <c r="Q227" s="56"/>
      <c r="R227" s="56" t="s">
        <v>136</v>
      </c>
      <c r="S227" s="56">
        <f t="shared" si="184"/>
        <v>0.90958432878704376</v>
      </c>
      <c r="T227" s="56">
        <f t="shared" si="184"/>
        <v>0.36718198679175718</v>
      </c>
      <c r="U227" s="56">
        <f t="shared" si="184"/>
        <v>1.4956361600969204</v>
      </c>
      <c r="V227" s="56">
        <f t="shared" si="184"/>
        <v>0.6033992016516071</v>
      </c>
      <c r="W227" s="56">
        <f>(W204+W205)/2</f>
        <v>0.53646969699680791</v>
      </c>
      <c r="X227" s="56">
        <f t="shared" si="184"/>
        <v>0.48423827122165319</v>
      </c>
      <c r="Y227" s="56">
        <f t="shared" si="184"/>
        <v>0.32495589343728459</v>
      </c>
      <c r="Z227" s="56">
        <f t="shared" si="184"/>
        <v>2.9792267018803869</v>
      </c>
      <c r="AA227" s="56">
        <f t="shared" si="184"/>
        <v>0.31846258822863138</v>
      </c>
      <c r="AB227" s="56">
        <f t="shared" si="184"/>
        <v>0.35811136251915843</v>
      </c>
      <c r="AC227" s="56">
        <f t="shared" si="184"/>
        <v>1.2211074730361671</v>
      </c>
      <c r="AD227" s="56">
        <f t="shared" si="184"/>
        <v>3.7512077809992879</v>
      </c>
      <c r="AE227" s="56">
        <f t="shared" si="184"/>
        <v>0.20084734280284572</v>
      </c>
      <c r="AF227" s="56">
        <f t="shared" si="184"/>
        <v>3.2421134545171398E-2</v>
      </c>
      <c r="AG227" s="56">
        <f t="shared" si="184"/>
        <v>0.83851453318398228</v>
      </c>
      <c r="AH227" s="56">
        <f t="shared" si="184"/>
        <v>1.0608838086167161</v>
      </c>
      <c r="AI227" s="56">
        <f t="shared" si="184"/>
        <v>0.61263490044973934</v>
      </c>
      <c r="AJ227" s="56">
        <f t="shared" si="184"/>
        <v>0.84271981170264421</v>
      </c>
      <c r="AK227" s="56" t="s">
        <v>136</v>
      </c>
      <c r="AL227" s="56"/>
      <c r="AM227" s="56"/>
      <c r="AN227" s="56"/>
      <c r="AO227" s="56"/>
      <c r="AP227" s="56"/>
      <c r="AQ227" s="56">
        <f t="shared" si="184"/>
        <v>0.18191686575740873</v>
      </c>
      <c r="AR227" s="56">
        <f t="shared" si="184"/>
        <v>0.90958432878704376</v>
      </c>
      <c r="AS227" s="56"/>
      <c r="AT227" s="56" t="s">
        <v>136</v>
      </c>
      <c r="AU227" s="56"/>
      <c r="AV227" s="56"/>
      <c r="AW227" s="56"/>
      <c r="AX227" s="56">
        <f t="shared" si="184"/>
        <v>0.94151501204409604</v>
      </c>
      <c r="BG227" s="150"/>
      <c r="BI227" s="150"/>
      <c r="BJ227" s="150"/>
      <c r="BK227" s="150"/>
      <c r="BL227" s="150"/>
      <c r="BM227" s="150"/>
      <c r="BN227" s="150"/>
      <c r="BO227" s="150"/>
      <c r="BP227" s="150"/>
    </row>
    <row r="228" spans="1:68" s="1" customFormat="1" ht="15">
      <c r="A228" s="104" t="s">
        <v>131</v>
      </c>
      <c r="B228" s="57" t="s">
        <v>133</v>
      </c>
      <c r="C228" s="165"/>
      <c r="D228" s="57">
        <f>MIN(D206:D218)</f>
        <v>1.1440598864994027</v>
      </c>
      <c r="E228" s="57">
        <f t="shared" ref="E228:AX228" si="185">MIN(E206:E218)</f>
        <v>1</v>
      </c>
      <c r="F228" s="57">
        <f t="shared" si="185"/>
        <v>0.67588039744052442</v>
      </c>
      <c r="G228" s="57">
        <f t="shared" si="185"/>
        <v>0.19392034638445427</v>
      </c>
      <c r="H228" s="57">
        <f t="shared" si="185"/>
        <v>5.5467511885895424E-2</v>
      </c>
      <c r="I228" s="57">
        <f t="shared" si="185"/>
        <v>0.32930107526881724</v>
      </c>
      <c r="J228" s="57">
        <f t="shared" si="185"/>
        <v>2.1086822700423027E-2</v>
      </c>
      <c r="K228" s="57">
        <f t="shared" si="185"/>
        <v>9.0661383773710053E-2</v>
      </c>
      <c r="L228" s="57">
        <f t="shared" si="185"/>
        <v>0.55835432409739738</v>
      </c>
      <c r="M228" s="57">
        <f t="shared" si="185"/>
        <v>0.2107856556255131</v>
      </c>
      <c r="N228" s="57">
        <f t="shared" si="185"/>
        <v>0.95373195519637777</v>
      </c>
      <c r="O228" s="57"/>
      <c r="P228" s="57"/>
      <c r="Q228" s="57"/>
      <c r="R228" s="57" t="s">
        <v>133</v>
      </c>
      <c r="S228" s="57">
        <f t="shared" si="185"/>
        <v>1.0273031780228497</v>
      </c>
      <c r="T228" s="57">
        <f t="shared" si="185"/>
        <v>0.61842388013625482</v>
      </c>
      <c r="U228" s="57">
        <f t="shared" si="185"/>
        <v>2.3738681184500052</v>
      </c>
      <c r="V228" s="57">
        <f t="shared" si="185"/>
        <v>0.1614855282560895</v>
      </c>
      <c r="W228" s="57">
        <f>MIN(W206:W218)</f>
        <v>0.10512495625418226</v>
      </c>
      <c r="X228" s="57">
        <f t="shared" si="185"/>
        <v>0.52902583675530923</v>
      </c>
      <c r="Y228" s="57">
        <f t="shared" si="185"/>
        <v>0.3155833050356539</v>
      </c>
      <c r="Z228" s="57">
        <f t="shared" si="185"/>
        <v>0.16196265780464689</v>
      </c>
      <c r="AA228" s="57">
        <f t="shared" si="185"/>
        <v>6.9364706657067801E-2</v>
      </c>
      <c r="AB228" s="57">
        <f t="shared" si="185"/>
        <v>0.22376316331206553</v>
      </c>
      <c r="AC228" s="57">
        <f t="shared" si="185"/>
        <v>0.9404363168593699</v>
      </c>
      <c r="AD228" s="57">
        <f t="shared" si="185"/>
        <v>6.8523028981190253</v>
      </c>
      <c r="AE228" s="57">
        <f t="shared" si="185"/>
        <v>0.2128846355287996</v>
      </c>
      <c r="AF228" s="57">
        <f t="shared" si="185"/>
        <v>1.2012973492924782E-2</v>
      </c>
      <c r="AG228" s="57">
        <f t="shared" si="185"/>
        <v>0.65329402625147071</v>
      </c>
      <c r="AH228" s="57">
        <f t="shared" si="185"/>
        <v>0.8226282718452862</v>
      </c>
      <c r="AI228" s="57">
        <f t="shared" si="185"/>
        <v>0.64954044119842114</v>
      </c>
      <c r="AJ228" s="57">
        <f t="shared" si="185"/>
        <v>0.85102944342443099</v>
      </c>
      <c r="AK228" s="57" t="s">
        <v>133</v>
      </c>
      <c r="AL228" s="57"/>
      <c r="AM228" s="57"/>
      <c r="AN228" s="57"/>
      <c r="AO228" s="57"/>
      <c r="AP228" s="57"/>
      <c r="AQ228" s="57">
        <f t="shared" si="185"/>
        <v>0.20546063560456995</v>
      </c>
      <c r="AR228" s="57">
        <f t="shared" si="185"/>
        <v>1.0273031780228497</v>
      </c>
      <c r="AS228" s="57"/>
      <c r="AT228" s="57" t="s">
        <v>133</v>
      </c>
      <c r="AU228" s="57"/>
      <c r="AV228" s="57"/>
      <c r="AW228" s="57"/>
      <c r="AX228" s="57">
        <f t="shared" si="185"/>
        <v>1.0752592048649143</v>
      </c>
      <c r="AY228" s="38"/>
      <c r="BG228" s="10"/>
      <c r="BI228" s="10"/>
      <c r="BJ228" s="10"/>
      <c r="BK228" s="10"/>
      <c r="BL228" s="10"/>
      <c r="BM228" s="10"/>
      <c r="BN228" s="10"/>
      <c r="BO228" s="10"/>
      <c r="BP228" s="10"/>
    </row>
    <row r="229" spans="1:68" s="1" customFormat="1" ht="15">
      <c r="A229" s="104"/>
      <c r="B229" s="57" t="s">
        <v>134</v>
      </c>
      <c r="C229" s="165"/>
      <c r="D229" s="57">
        <f>MAX(D206:D218)</f>
        <v>1.6249494516996117</v>
      </c>
      <c r="E229" s="57">
        <f t="shared" ref="E229:AX229" si="186">MAX(E206:E218)</f>
        <v>1</v>
      </c>
      <c r="F229" s="57">
        <f t="shared" si="186"/>
        <v>1.0731080660230443</v>
      </c>
      <c r="G229" s="57">
        <f t="shared" si="186"/>
        <v>5.778671114609879</v>
      </c>
      <c r="H229" s="57">
        <f t="shared" si="186"/>
        <v>0.36066308243727585</v>
      </c>
      <c r="I229" s="57">
        <f t="shared" si="186"/>
        <v>1.1629821791112109</v>
      </c>
      <c r="J229" s="57">
        <f t="shared" si="186"/>
        <v>4.3543943837199055E-2</v>
      </c>
      <c r="K229" s="57">
        <f t="shared" si="186"/>
        <v>0.71500043383311074</v>
      </c>
      <c r="L229" s="57">
        <f t="shared" si="186"/>
        <v>0.91728257987538198</v>
      </c>
      <c r="M229" s="57">
        <f t="shared" si="186"/>
        <v>2.4793835338650752</v>
      </c>
      <c r="N229" s="57">
        <f t="shared" si="186"/>
        <v>3.2265047409645864</v>
      </c>
      <c r="O229" s="57"/>
      <c r="P229" s="57"/>
      <c r="Q229" s="57"/>
      <c r="R229" s="57" t="s">
        <v>134</v>
      </c>
      <c r="S229" s="57">
        <f t="shared" si="186"/>
        <v>2.3629974574480719</v>
      </c>
      <c r="T229" s="57">
        <f t="shared" si="186"/>
        <v>1.1687061354733623</v>
      </c>
      <c r="U229" s="57">
        <f t="shared" si="186"/>
        <v>5.230984575522986</v>
      </c>
      <c r="V229" s="57">
        <f t="shared" si="186"/>
        <v>0.961633176639478</v>
      </c>
      <c r="W229" s="57">
        <f>MAX(W206:W218)</f>
        <v>1.5818206624398408</v>
      </c>
      <c r="X229" s="57">
        <f t="shared" si="186"/>
        <v>1.4427434882563959</v>
      </c>
      <c r="Y229" s="57">
        <f t="shared" si="186"/>
        <v>0.91490996761544019</v>
      </c>
      <c r="Z229" s="57">
        <f t="shared" si="186"/>
        <v>3.0695744650424586</v>
      </c>
      <c r="AA229" s="57">
        <f t="shared" si="186"/>
        <v>1.5620130159950698</v>
      </c>
      <c r="AB229" s="57">
        <f t="shared" si="186"/>
        <v>2.520447203774816</v>
      </c>
      <c r="AC229" s="57">
        <f t="shared" si="186"/>
        <v>20.434652850542324</v>
      </c>
      <c r="AD229" s="57">
        <f t="shared" si="186"/>
        <v>36.794463948751783</v>
      </c>
      <c r="AE229" s="57">
        <f t="shared" si="186"/>
        <v>0.72814086513018783</v>
      </c>
      <c r="AF229" s="57">
        <f t="shared" si="186"/>
        <v>3.5909573749068335E-2</v>
      </c>
      <c r="AG229" s="57">
        <f t="shared" si="186"/>
        <v>0.82086529459108726</v>
      </c>
      <c r="AH229" s="57">
        <f t="shared" si="186"/>
        <v>0.95902221957589351</v>
      </c>
      <c r="AI229" s="57">
        <f t="shared" si="186"/>
        <v>0.80266380395532788</v>
      </c>
      <c r="AJ229" s="57">
        <f t="shared" si="186"/>
        <v>0.99984488390301818</v>
      </c>
      <c r="AK229" s="57" t="s">
        <v>134</v>
      </c>
      <c r="AL229" s="57"/>
      <c r="AM229" s="57"/>
      <c r="AN229" s="57"/>
      <c r="AO229" s="57"/>
      <c r="AP229" s="57"/>
      <c r="AQ229" s="57">
        <f t="shared" si="186"/>
        <v>0.47259949148961439</v>
      </c>
      <c r="AR229" s="57">
        <f t="shared" si="186"/>
        <v>2.3629974574480719</v>
      </c>
      <c r="AS229" s="57"/>
      <c r="AT229" s="57" t="s">
        <v>134</v>
      </c>
      <c r="AU229" s="57"/>
      <c r="AV229" s="57"/>
      <c r="AW229" s="57"/>
      <c r="AX229" s="57">
        <f t="shared" si="186"/>
        <v>2.4616153504809657</v>
      </c>
      <c r="AY229" s="38"/>
      <c r="BG229" s="10"/>
      <c r="BI229" s="10"/>
      <c r="BJ229" s="10"/>
      <c r="BK229" s="10"/>
      <c r="BL229" s="10"/>
      <c r="BM229" s="10"/>
      <c r="BN229" s="10"/>
      <c r="BO229" s="10"/>
      <c r="BP229" s="10"/>
    </row>
    <row r="230" spans="1:68" s="141" customFormat="1" ht="14.25">
      <c r="A230" s="148"/>
      <c r="B230" s="56" t="s">
        <v>137</v>
      </c>
      <c r="C230" s="164"/>
      <c r="D230" s="56">
        <f>AVERAGE(D206:D218)</f>
        <v>1.3852900862766364</v>
      </c>
      <c r="E230" s="56">
        <f t="shared" ref="E230:AX230" si="187">AVERAGE(E206:E218)</f>
        <v>1</v>
      </c>
      <c r="F230" s="56">
        <f t="shared" si="187"/>
        <v>0.83565235835041873</v>
      </c>
      <c r="G230" s="56">
        <f t="shared" si="187"/>
        <v>1.4905023230475154</v>
      </c>
      <c r="H230" s="56">
        <f t="shared" si="187"/>
        <v>0.16162835443660192</v>
      </c>
      <c r="I230" s="56">
        <f t="shared" si="187"/>
        <v>0.61541161674571387</v>
      </c>
      <c r="J230" s="56">
        <f t="shared" si="187"/>
        <v>2.6886004901454649E-2</v>
      </c>
      <c r="K230" s="56">
        <f t="shared" si="187"/>
        <v>0.20061190827256453</v>
      </c>
      <c r="L230" s="56">
        <f t="shared" si="187"/>
        <v>0.80534326859785366</v>
      </c>
      <c r="M230" s="56">
        <f t="shared" si="187"/>
        <v>0.62855661606493085</v>
      </c>
      <c r="N230" s="56">
        <f t="shared" si="187"/>
        <v>2.1385141926084668</v>
      </c>
      <c r="O230" s="56"/>
      <c r="P230" s="56"/>
      <c r="Q230" s="56"/>
      <c r="R230" s="56" t="s">
        <v>137</v>
      </c>
      <c r="S230" s="56">
        <f t="shared" si="187"/>
        <v>1.5587808952388669</v>
      </c>
      <c r="T230" s="56">
        <f t="shared" si="187"/>
        <v>0.97148925823432108</v>
      </c>
      <c r="U230" s="56">
        <f t="shared" si="187"/>
        <v>3.3373964744708058</v>
      </c>
      <c r="V230" s="56">
        <f t="shared" si="187"/>
        <v>0.4670446733088498</v>
      </c>
      <c r="W230" s="56">
        <f>AVERAGE(W206:W218)</f>
        <v>0.49640976000201908</v>
      </c>
      <c r="X230" s="56">
        <f t="shared" si="187"/>
        <v>1.002841917340344</v>
      </c>
      <c r="Y230" s="56">
        <f t="shared" si="187"/>
        <v>0.56214472707222152</v>
      </c>
      <c r="Z230" s="56">
        <f t="shared" si="187"/>
        <v>1.3035638696541847</v>
      </c>
      <c r="AA230" s="56">
        <f t="shared" si="187"/>
        <v>0.48154411734471331</v>
      </c>
      <c r="AB230" s="56">
        <f t="shared" si="187"/>
        <v>0.89196778866004511</v>
      </c>
      <c r="AC230" s="56">
        <f t="shared" si="187"/>
        <v>5.1269171397799278</v>
      </c>
      <c r="AD230" s="56">
        <f t="shared" si="187"/>
        <v>14.715356528444071</v>
      </c>
      <c r="AE230" s="56">
        <f t="shared" si="187"/>
        <v>0.45434339510159066</v>
      </c>
      <c r="AF230" s="56">
        <f t="shared" si="187"/>
        <v>2.3177010210284395E-2</v>
      </c>
      <c r="AG230" s="56">
        <f t="shared" si="187"/>
        <v>0.72583388649044833</v>
      </c>
      <c r="AH230" s="56">
        <f t="shared" si="187"/>
        <v>0.88118261411053467</v>
      </c>
      <c r="AI230" s="56">
        <f t="shared" si="187"/>
        <v>0.70556685852562495</v>
      </c>
      <c r="AJ230" s="56">
        <f t="shared" si="187"/>
        <v>0.92028487933325132</v>
      </c>
      <c r="AK230" s="56" t="s">
        <v>137</v>
      </c>
      <c r="AL230" s="56"/>
      <c r="AM230" s="56"/>
      <c r="AN230" s="56"/>
      <c r="AO230" s="56"/>
      <c r="AP230" s="56"/>
      <c r="AQ230" s="56">
        <f t="shared" si="187"/>
        <v>0.31175617904777331</v>
      </c>
      <c r="AR230" s="56">
        <f t="shared" si="187"/>
        <v>1.5587808952388669</v>
      </c>
      <c r="AS230" s="56"/>
      <c r="AT230" s="56" t="s">
        <v>137</v>
      </c>
      <c r="AU230" s="56"/>
      <c r="AV230" s="56"/>
      <c r="AW230" s="56"/>
      <c r="AX230" s="56">
        <f t="shared" si="187"/>
        <v>1.6205105457664222</v>
      </c>
      <c r="AY230" s="178"/>
      <c r="BG230" s="26"/>
      <c r="BI230" s="26"/>
      <c r="BJ230" s="26"/>
      <c r="BK230" s="26"/>
      <c r="BL230" s="26"/>
      <c r="BM230" s="26"/>
      <c r="BN230" s="26"/>
      <c r="BO230" s="26"/>
      <c r="BP230" s="26"/>
    </row>
    <row r="231" spans="1:68" s="141" customFormat="1" ht="14.25">
      <c r="A231" s="148" t="s">
        <v>132</v>
      </c>
      <c r="B231" s="56" t="s">
        <v>139</v>
      </c>
      <c r="C231" s="164"/>
      <c r="D231" s="151">
        <f>(D219+D220+D221)/3</f>
        <v>1.4747738961099373</v>
      </c>
      <c r="E231" s="151">
        <f t="shared" ref="E231:AX231" si="188">(E219+E220+E221)/3</f>
        <v>1</v>
      </c>
      <c r="F231" s="151">
        <f t="shared" si="188"/>
        <v>0.82285750009104408</v>
      </c>
      <c r="G231" s="151">
        <f t="shared" si="188"/>
        <v>1.0473334472746469</v>
      </c>
      <c r="H231" s="151">
        <f t="shared" si="188"/>
        <v>0.63554146498163921</v>
      </c>
      <c r="I231" s="151">
        <f t="shared" si="188"/>
        <v>1.7618212711352867</v>
      </c>
      <c r="J231" s="151">
        <f t="shared" si="188"/>
        <v>1.1711769867917392</v>
      </c>
      <c r="K231" s="151">
        <f t="shared" si="188"/>
        <v>0.96200488839353027</v>
      </c>
      <c r="L231" s="151">
        <f t="shared" si="188"/>
        <v>0.94671605089069466</v>
      </c>
      <c r="M231" s="151">
        <f t="shared" si="188"/>
        <v>0.94445455326590777</v>
      </c>
      <c r="N231" s="151">
        <f t="shared" si="188"/>
        <v>4.4402239763009952</v>
      </c>
      <c r="O231" s="151"/>
      <c r="P231" s="151"/>
      <c r="Q231" s="151"/>
      <c r="R231" s="56" t="s">
        <v>139</v>
      </c>
      <c r="S231" s="151">
        <f t="shared" si="188"/>
        <v>1.61155413252642</v>
      </c>
      <c r="T231" s="151">
        <f t="shared" si="188"/>
        <v>0.91508247540653631</v>
      </c>
      <c r="U231" s="151">
        <f t="shared" si="188"/>
        <v>3.7936732849308328</v>
      </c>
      <c r="V231" s="151">
        <f t="shared" si="188"/>
        <v>0.47661377194585808</v>
      </c>
      <c r="W231" s="151">
        <f>(W219+W220+W221)/3</f>
        <v>0.73784202979928704</v>
      </c>
      <c r="X231" s="151">
        <f t="shared" si="188"/>
        <v>0.76904027681562181</v>
      </c>
      <c r="Y231" s="151">
        <f t="shared" si="188"/>
        <v>0.53642456215515144</v>
      </c>
      <c r="Z231" s="151">
        <f t="shared" si="188"/>
        <v>5.6956332118251192</v>
      </c>
      <c r="AA231" s="151">
        <f t="shared" si="188"/>
        <v>0.96387490017242572</v>
      </c>
      <c r="AB231" s="151">
        <f t="shared" si="188"/>
        <v>1.1606329111599694</v>
      </c>
      <c r="AC231" s="151">
        <f t="shared" si="188"/>
        <v>3.5161390568064097</v>
      </c>
      <c r="AD231" s="151">
        <f t="shared" si="188"/>
        <v>18.319583240815291</v>
      </c>
      <c r="AE231" s="151">
        <f t="shared" si="188"/>
        <v>0.52559198825692255</v>
      </c>
      <c r="AF231" s="151">
        <f t="shared" si="188"/>
        <v>0.29323951180182084</v>
      </c>
      <c r="AG231" s="151">
        <f t="shared" si="188"/>
        <v>0.85279841785702926</v>
      </c>
      <c r="AH231" s="151">
        <f t="shared" si="188"/>
        <v>0.97145628935064698</v>
      </c>
      <c r="AI231" s="151">
        <f t="shared" si="188"/>
        <v>0.78984598649114302</v>
      </c>
      <c r="AJ231" s="151">
        <f t="shared" si="188"/>
        <v>0.95270928275911582</v>
      </c>
      <c r="AK231" s="56" t="s">
        <v>139</v>
      </c>
      <c r="AL231" s="151"/>
      <c r="AM231" s="151"/>
      <c r="AN231" s="151"/>
      <c r="AO231" s="151"/>
      <c r="AP231" s="151"/>
      <c r="AQ231" s="151">
        <f t="shared" si="188"/>
        <v>0.32231082650528392</v>
      </c>
      <c r="AR231" s="151">
        <f t="shared" si="188"/>
        <v>1.61155413252642</v>
      </c>
      <c r="AS231" s="151"/>
      <c r="AT231" s="56" t="s">
        <v>136</v>
      </c>
      <c r="AU231" s="151"/>
      <c r="AV231" s="151"/>
      <c r="AW231" s="151"/>
      <c r="AX231" s="151">
        <f t="shared" si="188"/>
        <v>1.6870088567088717</v>
      </c>
      <c r="AY231" s="178"/>
      <c r="BG231" s="26"/>
      <c r="BI231" s="26"/>
      <c r="BJ231" s="26"/>
      <c r="BK231" s="26"/>
      <c r="BL231" s="26"/>
      <c r="BM231" s="26"/>
      <c r="BN231" s="26"/>
      <c r="BO231" s="26"/>
      <c r="BP231" s="26"/>
    </row>
    <row r="232" spans="1:68" s="1" customFormat="1" ht="15">
      <c r="B232" s="2"/>
      <c r="C232" s="157"/>
      <c r="D232" s="24"/>
      <c r="E232" s="24"/>
      <c r="F232" s="24"/>
      <c r="G232" s="24"/>
      <c r="H232" s="24"/>
      <c r="I232" s="24"/>
      <c r="J232" s="24"/>
      <c r="K232" s="24"/>
      <c r="L232" s="24"/>
      <c r="M232" s="40"/>
      <c r="N232" s="24"/>
      <c r="O232" s="24"/>
      <c r="P232" s="87"/>
      <c r="Q232" s="87"/>
      <c r="R232" s="2"/>
      <c r="S232" s="24"/>
      <c r="T232" s="24"/>
      <c r="U232" s="24"/>
      <c r="V232" s="2"/>
      <c r="W232" s="40"/>
      <c r="X232" s="24"/>
      <c r="Y232" s="24"/>
      <c r="Z232" s="24"/>
      <c r="AA232" s="24"/>
      <c r="AB232" s="24"/>
      <c r="AC232" s="24"/>
      <c r="AD232" s="24"/>
      <c r="AE232" s="24"/>
      <c r="AF232" s="24"/>
      <c r="AG232" s="40"/>
      <c r="AH232" s="40"/>
      <c r="AI232" s="40"/>
      <c r="AJ232" s="40"/>
      <c r="AK232" s="2"/>
      <c r="AQ232" s="38"/>
      <c r="AR232" s="38"/>
      <c r="AS232" s="38"/>
      <c r="AT232" s="27"/>
      <c r="AU232" s="25"/>
      <c r="AV232" s="25"/>
      <c r="AW232" s="25"/>
      <c r="AX232" s="25"/>
      <c r="AY232" s="38"/>
      <c r="BG232" s="10"/>
      <c r="BI232" s="10"/>
      <c r="BJ232" s="10"/>
      <c r="BK232" s="10"/>
      <c r="BL232" s="10"/>
      <c r="BM232" s="10"/>
      <c r="BN232" s="10"/>
      <c r="BO232" s="10"/>
      <c r="BP232" s="10"/>
    </row>
    <row r="233" spans="1:68" s="1" customFormat="1" ht="15">
      <c r="B233" s="2"/>
      <c r="C233" s="157"/>
      <c r="D233" s="24"/>
      <c r="E233" s="24"/>
      <c r="F233" s="24"/>
      <c r="G233" s="24"/>
      <c r="H233" s="24"/>
      <c r="I233" s="24"/>
      <c r="J233" s="24"/>
      <c r="K233" s="24"/>
      <c r="L233" s="24"/>
      <c r="M233" s="40"/>
      <c r="N233" s="24"/>
      <c r="O233" s="24"/>
      <c r="P233" s="87"/>
      <c r="Q233" s="87"/>
      <c r="R233" s="2"/>
      <c r="S233" s="24"/>
      <c r="T233" s="24"/>
      <c r="U233" s="24"/>
      <c r="V233" s="2"/>
      <c r="W233" s="40"/>
      <c r="X233" s="24"/>
      <c r="Y233" s="24"/>
      <c r="Z233" s="24"/>
      <c r="AA233" s="24"/>
      <c r="AB233" s="24"/>
      <c r="AC233" s="24"/>
      <c r="AD233" s="24"/>
      <c r="AE233" s="24"/>
      <c r="AF233" s="24"/>
      <c r="AG233" s="40"/>
      <c r="AH233" s="40"/>
      <c r="AI233" s="40"/>
      <c r="AJ233" s="40"/>
      <c r="AK233" s="2"/>
      <c r="AQ233" s="38"/>
      <c r="AR233" s="38"/>
      <c r="AS233" s="38"/>
      <c r="AT233" s="27"/>
      <c r="AU233" s="25"/>
      <c r="AV233" s="25"/>
      <c r="AW233" s="25"/>
      <c r="AX233" s="25"/>
      <c r="AY233" s="38"/>
      <c r="BG233" s="10"/>
      <c r="BI233" s="10"/>
      <c r="BJ233" s="10"/>
      <c r="BK233" s="10"/>
      <c r="BL233" s="10"/>
      <c r="BM233" s="10"/>
      <c r="BN233" s="10"/>
      <c r="BO233" s="10"/>
      <c r="BP233" s="10"/>
    </row>
    <row r="234" spans="1:68" s="1" customFormat="1" ht="15">
      <c r="B234" s="2"/>
      <c r="C234" s="157"/>
      <c r="D234" s="24"/>
      <c r="E234" s="24"/>
      <c r="F234" s="24"/>
      <c r="G234" s="24"/>
      <c r="H234" s="24"/>
      <c r="I234" s="24"/>
      <c r="J234" s="24"/>
      <c r="K234" s="24"/>
      <c r="L234" s="24"/>
      <c r="M234" s="40"/>
      <c r="N234" s="24"/>
      <c r="O234" s="24"/>
      <c r="P234" s="87"/>
      <c r="Q234" s="87"/>
      <c r="R234" s="2"/>
      <c r="S234" s="24"/>
      <c r="T234" s="24"/>
      <c r="U234" s="24"/>
      <c r="V234" s="2"/>
      <c r="W234" s="40"/>
      <c r="X234" s="24"/>
      <c r="Y234" s="24"/>
      <c r="Z234" s="24"/>
      <c r="AA234" s="24"/>
      <c r="AB234" s="24"/>
      <c r="AC234" s="24"/>
      <c r="AD234" s="24"/>
      <c r="AE234" s="24"/>
      <c r="AF234" s="24"/>
      <c r="AG234" s="40"/>
      <c r="AH234" s="40"/>
      <c r="AI234" s="40"/>
      <c r="AJ234" s="40"/>
      <c r="AK234" s="2"/>
      <c r="AQ234" s="38"/>
      <c r="AR234" s="38"/>
      <c r="AS234" s="38"/>
      <c r="AT234" s="27"/>
      <c r="AU234" s="25"/>
      <c r="AV234" s="25"/>
      <c r="AW234" s="25"/>
      <c r="AX234" s="25"/>
      <c r="AY234" s="38"/>
      <c r="BG234" s="10"/>
      <c r="BI234" s="10"/>
      <c r="BJ234" s="10"/>
      <c r="BK234" s="10"/>
      <c r="BL234" s="10"/>
      <c r="BM234" s="10"/>
      <c r="BN234" s="10"/>
      <c r="BO234" s="10"/>
      <c r="BP234" s="10"/>
    </row>
    <row r="235" spans="1:68" s="1" customFormat="1" ht="15">
      <c r="B235" s="2"/>
      <c r="C235" s="157"/>
      <c r="D235" s="24"/>
      <c r="E235" s="24"/>
      <c r="F235" s="24"/>
      <c r="G235" s="24"/>
      <c r="H235" s="24"/>
      <c r="I235" s="24"/>
      <c r="J235" s="24"/>
      <c r="K235" s="24"/>
      <c r="L235" s="24"/>
      <c r="M235" s="40"/>
      <c r="N235" s="24"/>
      <c r="O235" s="24"/>
      <c r="P235" s="87"/>
      <c r="Q235" s="87"/>
      <c r="R235" s="2"/>
      <c r="S235" s="24"/>
      <c r="T235" s="24"/>
      <c r="U235" s="24"/>
      <c r="V235" s="2"/>
      <c r="W235" s="40"/>
      <c r="X235" s="24"/>
      <c r="Y235" s="24"/>
      <c r="Z235" s="24"/>
      <c r="AA235" s="24"/>
      <c r="AB235" s="24"/>
      <c r="AC235" s="24"/>
      <c r="AD235" s="24"/>
      <c r="AE235" s="24"/>
      <c r="AF235" s="24"/>
      <c r="AG235" s="40"/>
      <c r="AH235" s="40"/>
      <c r="AI235" s="40"/>
      <c r="AJ235" s="40"/>
      <c r="AK235" s="2"/>
      <c r="AQ235" s="38"/>
      <c r="AR235" s="38"/>
      <c r="AS235" s="38"/>
      <c r="AT235" s="27"/>
      <c r="AU235" s="25"/>
      <c r="AV235" s="25"/>
      <c r="AW235" s="25"/>
      <c r="AX235" s="25"/>
      <c r="AY235" s="38"/>
      <c r="BG235" s="10"/>
      <c r="BI235" s="10"/>
      <c r="BJ235" s="10"/>
      <c r="BK235" s="10"/>
      <c r="BL235" s="10"/>
      <c r="BM235" s="10"/>
      <c r="BN235" s="10"/>
      <c r="BO235" s="10"/>
      <c r="BP235" s="10"/>
    </row>
    <row r="236" spans="1:68" s="1" customFormat="1" ht="15">
      <c r="B236" s="2"/>
      <c r="C236" s="157"/>
      <c r="D236" s="24"/>
      <c r="E236" s="24"/>
      <c r="F236" s="24"/>
      <c r="G236" s="24"/>
      <c r="H236" s="24"/>
      <c r="I236" s="24"/>
      <c r="J236" s="24"/>
      <c r="K236" s="24"/>
      <c r="L236" s="24"/>
      <c r="M236" s="40"/>
      <c r="N236" s="24"/>
      <c r="O236" s="24"/>
      <c r="P236" s="87"/>
      <c r="Q236" s="87"/>
      <c r="R236" s="2"/>
      <c r="S236" s="24"/>
      <c r="T236" s="24"/>
      <c r="U236" s="24"/>
      <c r="V236" s="2"/>
      <c r="W236" s="40"/>
      <c r="X236" s="24"/>
      <c r="Y236" s="24"/>
      <c r="Z236" s="24"/>
      <c r="AA236" s="24"/>
      <c r="AB236" s="24"/>
      <c r="AC236" s="24"/>
      <c r="AD236" s="24"/>
      <c r="AE236" s="24"/>
      <c r="AF236" s="24"/>
      <c r="AG236" s="40"/>
      <c r="AH236" s="40"/>
      <c r="AI236" s="40"/>
      <c r="AJ236" s="40"/>
      <c r="AK236" s="2"/>
      <c r="AQ236" s="38"/>
      <c r="AR236" s="38"/>
      <c r="AS236" s="38"/>
      <c r="AT236" s="27"/>
      <c r="AU236" s="25"/>
      <c r="AV236" s="25"/>
      <c r="AW236" s="25"/>
      <c r="AX236" s="25"/>
      <c r="AY236" s="38"/>
      <c r="BG236" s="10"/>
      <c r="BI236" s="10"/>
      <c r="BJ236" s="10"/>
      <c r="BK236" s="10"/>
      <c r="BL236" s="10"/>
      <c r="BM236" s="10"/>
      <c r="BN236" s="10"/>
      <c r="BO236" s="10"/>
      <c r="BP236" s="10"/>
    </row>
    <row r="237" spans="1:68" s="1" customFormat="1" ht="15">
      <c r="B237" s="2"/>
      <c r="C237" s="157"/>
      <c r="D237" s="24"/>
      <c r="E237" s="24"/>
      <c r="F237" s="24"/>
      <c r="G237" s="24"/>
      <c r="H237" s="24"/>
      <c r="I237" s="24"/>
      <c r="J237" s="24"/>
      <c r="K237" s="24"/>
      <c r="L237" s="24"/>
      <c r="M237" s="40"/>
      <c r="N237" s="24"/>
      <c r="O237" s="24"/>
      <c r="P237" s="87"/>
      <c r="Q237" s="87"/>
      <c r="R237" s="2"/>
      <c r="S237" s="24"/>
      <c r="T237" s="24"/>
      <c r="U237" s="24"/>
      <c r="V237" s="2"/>
      <c r="W237" s="40"/>
      <c r="X237" s="24"/>
      <c r="Y237" s="24"/>
      <c r="Z237" s="24"/>
      <c r="AA237" s="24"/>
      <c r="AB237" s="24"/>
      <c r="AC237" s="24"/>
      <c r="AD237" s="24"/>
      <c r="AE237" s="24"/>
      <c r="AF237" s="24"/>
      <c r="AG237" s="40"/>
      <c r="AH237" s="40"/>
      <c r="AI237" s="40"/>
      <c r="AJ237" s="40"/>
      <c r="AK237" s="2"/>
      <c r="AQ237" s="38"/>
      <c r="AR237" s="38"/>
      <c r="AS237" s="38"/>
      <c r="AT237" s="27"/>
      <c r="AU237" s="25"/>
      <c r="AV237" s="25"/>
      <c r="AW237" s="25"/>
      <c r="AX237" s="25"/>
      <c r="AY237" s="38"/>
      <c r="BG237" s="10"/>
      <c r="BI237" s="10"/>
      <c r="BJ237" s="10"/>
      <c r="BK237" s="10"/>
      <c r="BL237" s="10"/>
      <c r="BM237" s="10"/>
      <c r="BN237" s="10"/>
      <c r="BO237" s="10"/>
      <c r="BP237" s="10"/>
    </row>
    <row r="238" spans="1:68" s="1" customFormat="1" ht="15">
      <c r="B238" s="2"/>
      <c r="C238" s="157"/>
      <c r="D238" s="24"/>
      <c r="E238" s="24"/>
      <c r="F238" s="24"/>
      <c r="G238" s="24"/>
      <c r="H238" s="24"/>
      <c r="I238" s="24"/>
      <c r="J238" s="24"/>
      <c r="K238" s="24"/>
      <c r="L238" s="24"/>
      <c r="M238" s="40"/>
      <c r="N238" s="24"/>
      <c r="O238" s="24"/>
      <c r="P238" s="87"/>
      <c r="Q238" s="87"/>
      <c r="R238" s="2"/>
      <c r="S238" s="24"/>
      <c r="T238" s="24"/>
      <c r="U238" s="24"/>
      <c r="V238" s="2"/>
      <c r="W238" s="40"/>
      <c r="X238" s="24"/>
      <c r="Y238" s="24"/>
      <c r="Z238" s="24"/>
      <c r="AA238" s="24"/>
      <c r="AB238" s="24"/>
      <c r="AC238" s="24"/>
      <c r="AD238" s="24"/>
      <c r="AE238" s="24"/>
      <c r="AF238" s="24"/>
      <c r="AG238" s="40"/>
      <c r="AH238" s="40"/>
      <c r="AI238" s="40"/>
      <c r="AJ238" s="40"/>
      <c r="AK238" s="2"/>
      <c r="AQ238" s="38"/>
      <c r="AR238" s="38"/>
      <c r="AS238" s="38"/>
      <c r="AT238" s="27"/>
      <c r="AU238" s="25"/>
      <c r="AV238" s="25"/>
      <c r="AW238" s="25"/>
      <c r="AX238" s="25"/>
      <c r="AY238" s="38"/>
      <c r="BG238" s="10"/>
      <c r="BI238" s="10"/>
      <c r="BJ238" s="10"/>
      <c r="BK238" s="10"/>
      <c r="BL238" s="10"/>
      <c r="BM238" s="10"/>
      <c r="BN238" s="10"/>
      <c r="BO238" s="10"/>
      <c r="BP238" s="10"/>
    </row>
    <row r="239" spans="1:68" s="1" customFormat="1" ht="15">
      <c r="B239" s="2"/>
      <c r="C239" s="157"/>
      <c r="D239" s="24"/>
      <c r="E239" s="24"/>
      <c r="F239" s="24"/>
      <c r="G239" s="24"/>
      <c r="H239" s="24"/>
      <c r="I239" s="24"/>
      <c r="J239" s="24"/>
      <c r="K239" s="24"/>
      <c r="L239" s="24"/>
      <c r="M239" s="40"/>
      <c r="N239" s="24"/>
      <c r="O239" s="24"/>
      <c r="P239" s="87"/>
      <c r="Q239" s="87"/>
      <c r="R239" s="2"/>
      <c r="S239" s="24"/>
      <c r="T239" s="24"/>
      <c r="U239" s="24"/>
      <c r="V239" s="2"/>
      <c r="W239" s="40"/>
      <c r="X239" s="24"/>
      <c r="Y239" s="24"/>
      <c r="Z239" s="24"/>
      <c r="AA239" s="24"/>
      <c r="AB239" s="24"/>
      <c r="AC239" s="24"/>
      <c r="AD239" s="24"/>
      <c r="AE239" s="24"/>
      <c r="AF239" s="24"/>
      <c r="AG239" s="40"/>
      <c r="AH239" s="40"/>
      <c r="AI239" s="40"/>
      <c r="AJ239" s="40"/>
      <c r="AK239" s="2"/>
      <c r="AQ239" s="38"/>
      <c r="AR239" s="38"/>
      <c r="AS239" s="38"/>
      <c r="AT239" s="27"/>
      <c r="AU239" s="25"/>
      <c r="AV239" s="25"/>
      <c r="AW239" s="25"/>
      <c r="AX239" s="25"/>
      <c r="AY239" s="38"/>
      <c r="BG239" s="10"/>
      <c r="BI239" s="10"/>
      <c r="BJ239" s="10"/>
      <c r="BK239" s="10"/>
      <c r="BL239" s="10"/>
      <c r="BM239" s="10"/>
      <c r="BN239" s="10"/>
      <c r="BO239" s="10"/>
      <c r="BP239" s="10"/>
    </row>
    <row r="240" spans="1:68" s="1" customFormat="1" ht="15">
      <c r="B240" s="2"/>
      <c r="C240" s="157"/>
      <c r="D240" s="24"/>
      <c r="E240" s="24"/>
      <c r="F240" s="24"/>
      <c r="G240" s="24"/>
      <c r="H240" s="24"/>
      <c r="I240" s="24"/>
      <c r="J240" s="24"/>
      <c r="K240" s="24"/>
      <c r="L240" s="24"/>
      <c r="M240" s="40"/>
      <c r="N240" s="24"/>
      <c r="O240" s="24"/>
      <c r="P240" s="87"/>
      <c r="Q240" s="87"/>
      <c r="R240" s="2"/>
      <c r="S240" s="24"/>
      <c r="T240" s="24"/>
      <c r="U240" s="24"/>
      <c r="V240" s="2"/>
      <c r="W240" s="40"/>
      <c r="X240" s="24"/>
      <c r="Y240" s="24"/>
      <c r="Z240" s="24"/>
      <c r="AA240" s="24"/>
      <c r="AB240" s="24"/>
      <c r="AC240" s="24"/>
      <c r="AD240" s="24"/>
      <c r="AE240" s="24"/>
      <c r="AF240" s="24"/>
      <c r="AG240" s="40"/>
      <c r="AH240" s="40"/>
      <c r="AI240" s="40"/>
      <c r="AJ240" s="40"/>
      <c r="AK240" s="2"/>
      <c r="AQ240" s="38"/>
      <c r="AR240" s="38"/>
      <c r="AS240" s="38"/>
      <c r="AT240" s="27"/>
      <c r="AU240" s="25"/>
      <c r="AV240" s="25"/>
      <c r="AW240" s="25"/>
      <c r="AX240" s="25"/>
      <c r="AY240" s="38"/>
      <c r="BG240" s="10"/>
      <c r="BI240" s="10"/>
      <c r="BJ240" s="10"/>
      <c r="BK240" s="10"/>
      <c r="BL240" s="10"/>
      <c r="BM240" s="10"/>
      <c r="BN240" s="10"/>
      <c r="BO240" s="10"/>
      <c r="BP240" s="10"/>
    </row>
    <row r="241" spans="2:68" s="1" customFormat="1" ht="15">
      <c r="B241" s="2"/>
      <c r="C241" s="157"/>
      <c r="D241" s="24"/>
      <c r="E241" s="24"/>
      <c r="F241" s="24"/>
      <c r="G241" s="24"/>
      <c r="H241" s="24"/>
      <c r="I241" s="24"/>
      <c r="J241" s="24"/>
      <c r="K241" s="24"/>
      <c r="L241" s="24"/>
      <c r="M241" s="40"/>
      <c r="N241" s="24"/>
      <c r="O241" s="24"/>
      <c r="P241" s="87"/>
      <c r="Q241" s="87"/>
      <c r="R241" s="2"/>
      <c r="S241" s="24"/>
      <c r="T241" s="24"/>
      <c r="U241" s="24"/>
      <c r="V241" s="2"/>
      <c r="W241" s="40"/>
      <c r="X241" s="24"/>
      <c r="Y241" s="24"/>
      <c r="Z241" s="24"/>
      <c r="AA241" s="24"/>
      <c r="AB241" s="24"/>
      <c r="AC241" s="24"/>
      <c r="AD241" s="24"/>
      <c r="AE241" s="24"/>
      <c r="AF241" s="24"/>
      <c r="AG241" s="40"/>
      <c r="AH241" s="40"/>
      <c r="AI241" s="40"/>
      <c r="AJ241" s="40"/>
      <c r="AK241" s="2"/>
      <c r="AQ241" s="38"/>
      <c r="AR241" s="38"/>
      <c r="AS241" s="38"/>
      <c r="AT241" s="27"/>
      <c r="AU241" s="25"/>
      <c r="AV241" s="25"/>
      <c r="AW241" s="25"/>
      <c r="AX241" s="25"/>
      <c r="AY241" s="38"/>
      <c r="BG241" s="10"/>
      <c r="BI241" s="10"/>
      <c r="BJ241" s="10"/>
      <c r="BK241" s="10"/>
      <c r="BL241" s="10"/>
      <c r="BM241" s="10"/>
      <c r="BN241" s="10"/>
      <c r="BO241" s="10"/>
      <c r="BP241" s="10"/>
    </row>
    <row r="242" spans="2:68" s="1" customFormat="1" ht="15">
      <c r="B242" s="2"/>
      <c r="C242" s="157"/>
      <c r="D242" s="24"/>
      <c r="E242" s="24"/>
      <c r="F242" s="24"/>
      <c r="G242" s="24"/>
      <c r="H242" s="24"/>
      <c r="I242" s="24"/>
      <c r="J242" s="24"/>
      <c r="K242" s="24"/>
      <c r="L242" s="24"/>
      <c r="M242" s="40"/>
      <c r="N242" s="24"/>
      <c r="O242" s="24"/>
      <c r="P242" s="87"/>
      <c r="Q242" s="87"/>
      <c r="R242" s="2"/>
      <c r="S242" s="24"/>
      <c r="T242" s="24"/>
      <c r="U242" s="24"/>
      <c r="V242" s="2"/>
      <c r="W242" s="40"/>
      <c r="X242" s="24"/>
      <c r="Y242" s="24"/>
      <c r="Z242" s="24"/>
      <c r="AA242" s="24"/>
      <c r="AB242" s="24"/>
      <c r="AC242" s="24"/>
      <c r="AD242" s="24"/>
      <c r="AE242" s="24"/>
      <c r="AF242" s="24"/>
      <c r="AG242" s="40"/>
      <c r="AH242" s="40"/>
      <c r="AI242" s="40"/>
      <c r="AJ242" s="40"/>
      <c r="AK242" s="2"/>
      <c r="AQ242" s="38"/>
      <c r="AR242" s="38"/>
      <c r="AS242" s="38"/>
      <c r="AT242" s="27"/>
      <c r="AU242" s="25"/>
      <c r="AV242" s="25"/>
      <c r="AW242" s="25"/>
      <c r="AX242" s="25"/>
      <c r="AY242" s="38"/>
      <c r="BG242" s="10"/>
      <c r="BI242" s="10"/>
      <c r="BJ242" s="10"/>
      <c r="BK242" s="10"/>
      <c r="BL242" s="10"/>
      <c r="BM242" s="10"/>
      <c r="BN242" s="10"/>
      <c r="BO242" s="10"/>
      <c r="BP242" s="10"/>
    </row>
    <row r="243" spans="2:68" s="1" customFormat="1" ht="15">
      <c r="B243" s="2"/>
      <c r="C243" s="157"/>
      <c r="D243" s="24"/>
      <c r="E243" s="24"/>
      <c r="F243" s="24"/>
      <c r="G243" s="24"/>
      <c r="H243" s="24"/>
      <c r="I243" s="24"/>
      <c r="J243" s="24"/>
      <c r="K243" s="24"/>
      <c r="L243" s="24"/>
      <c r="M243" s="40"/>
      <c r="N243" s="24"/>
      <c r="O243" s="24"/>
      <c r="P243" s="87"/>
      <c r="Q243" s="87"/>
      <c r="R243" s="2"/>
      <c r="S243" s="24"/>
      <c r="T243" s="24"/>
      <c r="U243" s="24"/>
      <c r="V243" s="2"/>
      <c r="W243" s="40"/>
      <c r="X243" s="24"/>
      <c r="Y243" s="24"/>
      <c r="Z243" s="24"/>
      <c r="AA243" s="24"/>
      <c r="AB243" s="24"/>
      <c r="AC243" s="24"/>
      <c r="AD243" s="24"/>
      <c r="AE243" s="24"/>
      <c r="AF243" s="24"/>
      <c r="AG243" s="40"/>
      <c r="AH243" s="40"/>
      <c r="AI243" s="40"/>
      <c r="AJ243" s="40"/>
      <c r="AK243" s="2"/>
      <c r="AQ243" s="38"/>
      <c r="AR243" s="38"/>
      <c r="AS243" s="38"/>
      <c r="AT243" s="27"/>
      <c r="AU243" s="25"/>
      <c r="AV243" s="25"/>
      <c r="AW243" s="25"/>
      <c r="AX243" s="25"/>
      <c r="AY243" s="38"/>
      <c r="BG243" s="10"/>
      <c r="BI243" s="10"/>
      <c r="BJ243" s="10"/>
      <c r="BK243" s="10"/>
      <c r="BL243" s="10"/>
      <c r="BM243" s="10"/>
      <c r="BN243" s="10"/>
      <c r="BO243" s="10"/>
      <c r="BP243" s="10"/>
    </row>
    <row r="244" spans="2:68" s="1" customFormat="1" ht="15">
      <c r="B244" s="2"/>
      <c r="C244" s="157"/>
      <c r="D244" s="24"/>
      <c r="E244" s="24"/>
      <c r="F244" s="24"/>
      <c r="G244" s="24"/>
      <c r="H244" s="24"/>
      <c r="I244" s="24"/>
      <c r="J244" s="24"/>
      <c r="K244" s="24"/>
      <c r="L244" s="24"/>
      <c r="M244" s="40"/>
      <c r="N244" s="24"/>
      <c r="O244" s="24"/>
      <c r="P244" s="87"/>
      <c r="Q244" s="87"/>
      <c r="R244" s="2"/>
      <c r="S244" s="24"/>
      <c r="T244" s="24"/>
      <c r="U244" s="24"/>
      <c r="V244" s="2"/>
      <c r="W244" s="40"/>
      <c r="X244" s="24"/>
      <c r="Y244" s="24"/>
      <c r="Z244" s="24"/>
      <c r="AA244" s="24"/>
      <c r="AB244" s="24"/>
      <c r="AC244" s="24"/>
      <c r="AD244" s="24"/>
      <c r="AE244" s="24"/>
      <c r="AF244" s="24"/>
      <c r="AG244" s="40"/>
      <c r="AH244" s="40"/>
      <c r="AI244" s="40"/>
      <c r="AJ244" s="40"/>
      <c r="AK244" s="2"/>
      <c r="AQ244" s="38"/>
      <c r="AR244" s="38"/>
      <c r="AS244" s="38"/>
      <c r="AT244" s="27"/>
      <c r="AU244" s="25"/>
      <c r="AV244" s="25"/>
      <c r="AW244" s="25"/>
      <c r="AX244" s="25"/>
      <c r="AY244" s="38"/>
      <c r="BG244" s="10"/>
      <c r="BI244" s="10"/>
      <c r="BJ244" s="10"/>
      <c r="BK244" s="10"/>
      <c r="BL244" s="10"/>
      <c r="BM244" s="10"/>
      <c r="BN244" s="10"/>
      <c r="BO244" s="10"/>
      <c r="BP244" s="10"/>
    </row>
    <row r="245" spans="2:68" s="1" customFormat="1" ht="15">
      <c r="B245" s="2"/>
      <c r="C245" s="157"/>
      <c r="D245" s="24"/>
      <c r="E245" s="24"/>
      <c r="F245" s="24"/>
      <c r="G245" s="24"/>
      <c r="H245" s="24"/>
      <c r="I245" s="24"/>
      <c r="J245" s="24"/>
      <c r="K245" s="24"/>
      <c r="L245" s="24"/>
      <c r="M245" s="40"/>
      <c r="N245" s="24"/>
      <c r="O245" s="24"/>
      <c r="P245" s="87"/>
      <c r="Q245" s="87"/>
      <c r="R245" s="2"/>
      <c r="S245" s="24"/>
      <c r="T245" s="24"/>
      <c r="U245" s="24"/>
      <c r="V245" s="2"/>
      <c r="W245" s="40"/>
      <c r="X245" s="24"/>
      <c r="Y245" s="24"/>
      <c r="Z245" s="24"/>
      <c r="AA245" s="24"/>
      <c r="AB245" s="24"/>
      <c r="AC245" s="24"/>
      <c r="AD245" s="24"/>
      <c r="AE245" s="24"/>
      <c r="AF245" s="24"/>
      <c r="AG245" s="40"/>
      <c r="AH245" s="40"/>
      <c r="AI245" s="40"/>
      <c r="AJ245" s="40"/>
      <c r="AK245" s="2"/>
      <c r="AQ245" s="38"/>
      <c r="AR245" s="38"/>
      <c r="AS245" s="38"/>
      <c r="AT245" s="27"/>
      <c r="AU245" s="25"/>
      <c r="AV245" s="25"/>
      <c r="AW245" s="25"/>
      <c r="AX245" s="25"/>
      <c r="AY245" s="38"/>
      <c r="BG245" s="10"/>
      <c r="BI245" s="10"/>
      <c r="BJ245" s="10"/>
      <c r="BK245" s="10"/>
      <c r="BL245" s="10"/>
      <c r="BM245" s="10"/>
      <c r="BN245" s="10"/>
      <c r="BO245" s="10"/>
      <c r="BP245" s="10"/>
    </row>
    <row r="246" spans="2:68" s="1" customFormat="1" ht="15">
      <c r="B246" s="2"/>
      <c r="C246" s="157"/>
      <c r="D246" s="24"/>
      <c r="E246" s="24"/>
      <c r="F246" s="24"/>
      <c r="G246" s="24"/>
      <c r="H246" s="24"/>
      <c r="I246" s="24"/>
      <c r="J246" s="24"/>
      <c r="K246" s="24"/>
      <c r="L246" s="24"/>
      <c r="M246" s="40"/>
      <c r="N246" s="24"/>
      <c r="O246" s="24"/>
      <c r="P246" s="87"/>
      <c r="Q246" s="87"/>
      <c r="R246" s="2"/>
      <c r="S246" s="24"/>
      <c r="T246" s="24"/>
      <c r="U246" s="24"/>
      <c r="V246" s="2"/>
      <c r="W246" s="40"/>
      <c r="X246" s="24"/>
      <c r="Y246" s="24"/>
      <c r="Z246" s="24"/>
      <c r="AA246" s="24"/>
      <c r="AB246" s="24"/>
      <c r="AC246" s="24"/>
      <c r="AD246" s="24"/>
      <c r="AE246" s="24"/>
      <c r="AF246" s="24"/>
      <c r="AG246" s="40"/>
      <c r="AH246" s="40"/>
      <c r="AI246" s="40"/>
      <c r="AJ246" s="40"/>
      <c r="AK246" s="2"/>
      <c r="AQ246" s="38"/>
      <c r="AR246" s="38"/>
      <c r="AS246" s="38"/>
      <c r="AT246" s="27"/>
      <c r="AU246" s="25"/>
      <c r="AV246" s="25"/>
      <c r="AW246" s="25"/>
      <c r="AX246" s="25"/>
      <c r="AY246" s="38"/>
      <c r="BG246" s="10"/>
      <c r="BI246" s="10"/>
      <c r="BJ246" s="10"/>
      <c r="BK246" s="10"/>
      <c r="BL246" s="10"/>
      <c r="BM246" s="10"/>
      <c r="BN246" s="10"/>
      <c r="BO246" s="10"/>
      <c r="BP246" s="10"/>
    </row>
    <row r="247" spans="2:68" s="1" customFormat="1" ht="15">
      <c r="B247" s="2"/>
      <c r="C247" s="157"/>
      <c r="D247" s="24"/>
      <c r="E247" s="24"/>
      <c r="F247" s="24"/>
      <c r="G247" s="24"/>
      <c r="H247" s="24"/>
      <c r="I247" s="24"/>
      <c r="J247" s="24"/>
      <c r="K247" s="24"/>
      <c r="L247" s="24"/>
      <c r="M247" s="40"/>
      <c r="N247" s="24"/>
      <c r="O247" s="24"/>
      <c r="P247" s="87"/>
      <c r="Q247" s="87"/>
      <c r="R247" s="2"/>
      <c r="S247" s="24"/>
      <c r="T247" s="24"/>
      <c r="U247" s="24"/>
      <c r="V247" s="2"/>
      <c r="W247" s="40"/>
      <c r="X247" s="24"/>
      <c r="Y247" s="24"/>
      <c r="Z247" s="24"/>
      <c r="AA247" s="24"/>
      <c r="AB247" s="24"/>
      <c r="AC247" s="24"/>
      <c r="AD247" s="24"/>
      <c r="AE247" s="24"/>
      <c r="AF247" s="24"/>
      <c r="AG247" s="40"/>
      <c r="AH247" s="40"/>
      <c r="AI247" s="40"/>
      <c r="AJ247" s="40"/>
      <c r="AK247" s="2"/>
      <c r="AQ247" s="38"/>
      <c r="AR247" s="38"/>
      <c r="AS247" s="38"/>
      <c r="AT247" s="27"/>
      <c r="AU247" s="25"/>
      <c r="AV247" s="25"/>
      <c r="AW247" s="25"/>
      <c r="AX247" s="25"/>
      <c r="AY247" s="38"/>
      <c r="BG247" s="10"/>
      <c r="BI247" s="10"/>
      <c r="BJ247" s="10"/>
      <c r="BK247" s="10"/>
      <c r="BL247" s="10"/>
      <c r="BM247" s="10"/>
      <c r="BN247" s="10"/>
      <c r="BO247" s="10"/>
      <c r="BP247" s="10"/>
    </row>
    <row r="248" spans="2:68" s="1" customFormat="1" ht="15">
      <c r="B248" s="2"/>
      <c r="C248" s="157"/>
      <c r="D248" s="24"/>
      <c r="E248" s="24"/>
      <c r="F248" s="24"/>
      <c r="G248" s="24"/>
      <c r="H248" s="24"/>
      <c r="I248" s="24"/>
      <c r="J248" s="24"/>
      <c r="K248" s="24"/>
      <c r="L248" s="24"/>
      <c r="M248" s="40"/>
      <c r="N248" s="24"/>
      <c r="O248" s="24"/>
      <c r="P248" s="87"/>
      <c r="Q248" s="87"/>
      <c r="R248" s="2"/>
      <c r="V248" s="2"/>
      <c r="W248" s="40"/>
      <c r="AG248" s="40"/>
      <c r="AH248" s="40"/>
      <c r="AI248" s="40"/>
      <c r="AJ248" s="40"/>
      <c r="AK248" s="2"/>
      <c r="AQ248" s="38"/>
      <c r="AR248" s="38"/>
      <c r="AS248" s="38"/>
      <c r="AT248" s="27"/>
      <c r="AU248" s="25"/>
      <c r="AV248" s="25"/>
      <c r="AW248" s="25"/>
      <c r="AX248" s="25"/>
      <c r="AY248" s="38"/>
      <c r="BG248" s="10"/>
      <c r="BI248" s="10"/>
      <c r="BJ248" s="10"/>
      <c r="BK248" s="10"/>
      <c r="BL248" s="10"/>
      <c r="BM248" s="10"/>
      <c r="BN248" s="10"/>
      <c r="BO248" s="10"/>
      <c r="BP248" s="10"/>
    </row>
    <row r="249" spans="2:68" s="1" customFormat="1" ht="15">
      <c r="B249" s="2"/>
      <c r="C249" s="157"/>
      <c r="D249" s="24"/>
      <c r="E249" s="24"/>
      <c r="F249" s="24"/>
      <c r="G249" s="24"/>
      <c r="H249" s="24"/>
      <c r="I249" s="24"/>
      <c r="J249" s="24"/>
      <c r="K249" s="24"/>
      <c r="L249" s="24"/>
      <c r="M249" s="40"/>
      <c r="N249" s="24"/>
      <c r="O249" s="24"/>
      <c r="P249" s="87"/>
      <c r="Q249" s="87"/>
      <c r="R249" s="2"/>
      <c r="V249" s="2"/>
      <c r="W249" s="40"/>
      <c r="AG249" s="40"/>
      <c r="AH249" s="40"/>
      <c r="AI249" s="40"/>
      <c r="AJ249" s="40"/>
      <c r="AK249" s="2"/>
      <c r="AQ249" s="38"/>
      <c r="AR249" s="38"/>
      <c r="AS249" s="38"/>
      <c r="AT249" s="27"/>
      <c r="AU249" s="25"/>
      <c r="AV249" s="25"/>
      <c r="AW249" s="25"/>
      <c r="AX249" s="25"/>
      <c r="AY249" s="38"/>
      <c r="BG249" s="10"/>
      <c r="BI249" s="10"/>
      <c r="BJ249" s="10"/>
      <c r="BK249" s="10"/>
      <c r="BL249" s="10"/>
      <c r="BM249" s="10"/>
      <c r="BN249" s="10"/>
      <c r="BO249" s="10"/>
      <c r="BP249" s="10"/>
    </row>
    <row r="250" spans="2:68" s="1" customFormat="1" ht="15">
      <c r="B250" s="2"/>
      <c r="C250" s="157"/>
      <c r="D250" s="24"/>
      <c r="E250" s="24"/>
      <c r="F250" s="24"/>
      <c r="G250" s="24"/>
      <c r="H250" s="24"/>
      <c r="I250" s="24"/>
      <c r="J250" s="24"/>
      <c r="K250" s="24"/>
      <c r="L250" s="24"/>
      <c r="M250" s="40"/>
      <c r="N250" s="24"/>
      <c r="O250" s="24"/>
      <c r="P250" s="87"/>
      <c r="Q250" s="87"/>
      <c r="R250" s="2"/>
      <c r="V250" s="2"/>
      <c r="W250" s="40"/>
      <c r="AG250" s="40"/>
      <c r="AH250" s="40"/>
      <c r="AI250" s="40"/>
      <c r="AJ250" s="40"/>
      <c r="AK250" s="2"/>
      <c r="AQ250" s="38"/>
      <c r="AR250" s="38"/>
      <c r="AS250" s="38"/>
      <c r="AT250" s="27"/>
      <c r="AU250" s="25"/>
      <c r="AV250" s="25"/>
      <c r="AW250" s="25"/>
      <c r="AX250" s="25"/>
      <c r="AY250" s="38"/>
      <c r="BG250" s="10"/>
      <c r="BI250" s="10"/>
      <c r="BJ250" s="10"/>
      <c r="BK250" s="10"/>
      <c r="BL250" s="10"/>
      <c r="BM250" s="10"/>
      <c r="BN250" s="10"/>
      <c r="BO250" s="10"/>
      <c r="BP250" s="10"/>
    </row>
    <row r="251" spans="2:68" s="1" customFormat="1" ht="15">
      <c r="B251" s="2"/>
      <c r="C251" s="157"/>
      <c r="D251" s="24"/>
      <c r="E251" s="24"/>
      <c r="F251" s="24"/>
      <c r="G251" s="24"/>
      <c r="H251" s="24"/>
      <c r="I251" s="24"/>
      <c r="J251" s="24"/>
      <c r="K251" s="24"/>
      <c r="L251" s="24"/>
      <c r="M251" s="40"/>
      <c r="N251" s="24"/>
      <c r="O251" s="24"/>
      <c r="P251" s="87"/>
      <c r="Q251" s="87"/>
      <c r="R251" s="2"/>
      <c r="V251" s="2"/>
      <c r="W251" s="40"/>
      <c r="AG251" s="40"/>
      <c r="AH251" s="40"/>
      <c r="AI251" s="40"/>
      <c r="AJ251" s="40"/>
      <c r="AK251" s="2"/>
      <c r="AQ251" s="38"/>
      <c r="AR251" s="38"/>
      <c r="AS251" s="38"/>
      <c r="AT251" s="27"/>
      <c r="AU251" s="25"/>
      <c r="AV251" s="25"/>
      <c r="AW251" s="25"/>
      <c r="AX251" s="25"/>
      <c r="AY251" s="38"/>
      <c r="BG251" s="10"/>
      <c r="BI251" s="10"/>
      <c r="BJ251" s="10"/>
      <c r="BK251" s="10"/>
      <c r="BL251" s="10"/>
      <c r="BM251" s="10"/>
      <c r="BN251" s="10"/>
      <c r="BO251" s="10"/>
      <c r="BP251" s="10"/>
    </row>
    <row r="252" spans="2:68" s="1" customFormat="1" ht="15">
      <c r="B252" s="2"/>
      <c r="C252" s="157"/>
      <c r="D252" s="24"/>
      <c r="E252" s="24"/>
      <c r="F252" s="24"/>
      <c r="G252" s="24"/>
      <c r="H252" s="24"/>
      <c r="I252" s="24"/>
      <c r="J252" s="24"/>
      <c r="K252" s="24"/>
      <c r="L252" s="24"/>
      <c r="M252" s="40"/>
      <c r="N252" s="24"/>
      <c r="O252" s="24"/>
      <c r="P252" s="87"/>
      <c r="Q252" s="87"/>
      <c r="R252" s="2"/>
      <c r="V252" s="2"/>
      <c r="W252" s="40"/>
      <c r="AG252" s="40"/>
      <c r="AH252" s="40"/>
      <c r="AI252" s="40"/>
      <c r="AJ252" s="40"/>
      <c r="AK252" s="2"/>
      <c r="AQ252" s="38"/>
      <c r="AR252" s="38"/>
      <c r="AS252" s="38"/>
      <c r="AT252" s="27"/>
      <c r="AU252" s="25"/>
      <c r="AV252" s="25"/>
      <c r="AW252" s="25"/>
      <c r="AX252" s="25"/>
      <c r="AY252" s="38"/>
      <c r="BG252" s="10"/>
      <c r="BI252" s="10"/>
      <c r="BJ252" s="10"/>
      <c r="BK252" s="10"/>
      <c r="BL252" s="10"/>
      <c r="BM252" s="10"/>
      <c r="BN252" s="10"/>
      <c r="BO252" s="10"/>
      <c r="BP252" s="10"/>
    </row>
    <row r="253" spans="2:68" s="1" customFormat="1" ht="15">
      <c r="B253" s="2"/>
      <c r="C253" s="157"/>
      <c r="D253" s="24"/>
      <c r="E253" s="24"/>
      <c r="F253" s="24"/>
      <c r="G253" s="24"/>
      <c r="H253" s="24"/>
      <c r="I253" s="24"/>
      <c r="J253" s="24"/>
      <c r="K253" s="24"/>
      <c r="L253" s="24"/>
      <c r="M253" s="40"/>
      <c r="N253" s="24"/>
      <c r="O253" s="24"/>
      <c r="P253" s="87"/>
      <c r="Q253" s="87"/>
      <c r="R253" s="2"/>
      <c r="V253" s="2"/>
      <c r="W253" s="40"/>
      <c r="AG253" s="40"/>
      <c r="AH253" s="40"/>
      <c r="AI253" s="40"/>
      <c r="AJ253" s="40"/>
      <c r="AK253" s="2"/>
      <c r="AQ253" s="38"/>
      <c r="AR253" s="38"/>
      <c r="AS253" s="38"/>
      <c r="AT253" s="27"/>
      <c r="AU253" s="25"/>
      <c r="AV253" s="25"/>
      <c r="AW253" s="25"/>
      <c r="AX253" s="25"/>
      <c r="AY253" s="38"/>
      <c r="BG253" s="10"/>
      <c r="BI253" s="10"/>
      <c r="BJ253" s="10"/>
      <c r="BK253" s="10"/>
      <c r="BL253" s="10"/>
      <c r="BM253" s="10"/>
      <c r="BN253" s="10"/>
      <c r="BO253" s="10"/>
      <c r="BP253" s="10"/>
    </row>
    <row r="254" spans="2:68" s="1" customFormat="1" ht="15">
      <c r="B254" s="2"/>
      <c r="C254" s="157"/>
      <c r="D254" s="24"/>
      <c r="E254" s="24"/>
      <c r="F254" s="24"/>
      <c r="G254" s="24"/>
      <c r="H254" s="24"/>
      <c r="I254" s="24"/>
      <c r="J254" s="24"/>
      <c r="K254" s="24"/>
      <c r="L254" s="24"/>
      <c r="M254" s="40"/>
      <c r="N254" s="24"/>
      <c r="O254" s="24"/>
      <c r="P254" s="87"/>
      <c r="Q254" s="87"/>
      <c r="R254" s="2"/>
      <c r="V254" s="2"/>
      <c r="W254" s="40"/>
      <c r="AG254" s="40"/>
      <c r="AH254" s="40"/>
      <c r="AI254" s="40"/>
      <c r="AJ254" s="40"/>
      <c r="AK254" s="2"/>
      <c r="AQ254" s="38"/>
      <c r="AR254" s="38"/>
      <c r="AS254" s="38"/>
      <c r="AT254" s="27"/>
      <c r="AU254" s="25"/>
      <c r="AV254" s="25"/>
      <c r="AW254" s="25"/>
      <c r="AX254" s="25"/>
      <c r="AY254" s="38"/>
      <c r="BG254" s="10"/>
      <c r="BI254" s="10"/>
      <c r="BJ254" s="10"/>
      <c r="BK254" s="10"/>
      <c r="BL254" s="10"/>
      <c r="BM254" s="10"/>
      <c r="BN254" s="10"/>
      <c r="BO254" s="10"/>
      <c r="BP254" s="10"/>
    </row>
    <row r="255" spans="2:68" s="1" customFormat="1" ht="15">
      <c r="B255" s="2"/>
      <c r="C255" s="157"/>
      <c r="D255" s="24"/>
      <c r="E255" s="24"/>
      <c r="F255" s="24"/>
      <c r="G255" s="24"/>
      <c r="H255" s="24"/>
      <c r="I255" s="24"/>
      <c r="J255" s="24"/>
      <c r="K255" s="24"/>
      <c r="L255" s="24"/>
      <c r="M255" s="40"/>
      <c r="N255" s="24"/>
      <c r="O255" s="24"/>
      <c r="P255" s="87"/>
      <c r="Q255" s="87"/>
      <c r="R255" s="2"/>
      <c r="V255" s="2"/>
      <c r="W255" s="40"/>
      <c r="AG255" s="40"/>
      <c r="AH255" s="40"/>
      <c r="AI255" s="40"/>
      <c r="AJ255" s="40"/>
      <c r="AK255" s="2"/>
      <c r="AQ255" s="38"/>
      <c r="AR255" s="38"/>
      <c r="AS255" s="38"/>
      <c r="AT255" s="27"/>
      <c r="AU255" s="25"/>
      <c r="AV255" s="25"/>
      <c r="AW255" s="25"/>
      <c r="AX255" s="25"/>
      <c r="AY255" s="38"/>
      <c r="BG255" s="10"/>
      <c r="BI255" s="10"/>
      <c r="BJ255" s="10"/>
      <c r="BK255" s="10"/>
      <c r="BL255" s="10"/>
      <c r="BM255" s="10"/>
      <c r="BN255" s="10"/>
      <c r="BO255" s="10"/>
      <c r="BP255" s="10"/>
    </row>
    <row r="256" spans="2:68" s="1" customFormat="1" ht="15">
      <c r="B256" s="2"/>
      <c r="C256" s="157"/>
      <c r="D256" s="24"/>
      <c r="E256" s="24"/>
      <c r="F256" s="24"/>
      <c r="G256" s="24"/>
      <c r="H256" s="24"/>
      <c r="I256" s="24"/>
      <c r="J256" s="24"/>
      <c r="K256" s="24"/>
      <c r="L256" s="24"/>
      <c r="M256" s="40"/>
      <c r="N256" s="24"/>
      <c r="O256" s="24"/>
      <c r="P256" s="87"/>
      <c r="Q256" s="87"/>
      <c r="R256" s="2"/>
      <c r="V256" s="2"/>
      <c r="W256" s="40"/>
      <c r="AG256" s="40"/>
      <c r="AH256" s="40"/>
      <c r="AI256" s="40"/>
      <c r="AJ256" s="40"/>
      <c r="AK256" s="2"/>
      <c r="AQ256" s="38"/>
      <c r="AR256" s="38"/>
      <c r="AS256" s="38"/>
      <c r="AT256" s="27"/>
      <c r="AU256" s="25"/>
      <c r="AV256" s="25"/>
      <c r="AW256" s="25"/>
      <c r="AX256" s="25"/>
      <c r="AY256" s="38"/>
      <c r="BG256" s="10"/>
      <c r="BI256" s="10"/>
      <c r="BJ256" s="10"/>
      <c r="BK256" s="10"/>
      <c r="BL256" s="10"/>
      <c r="BM256" s="10"/>
      <c r="BN256" s="10"/>
      <c r="BO256" s="10"/>
      <c r="BP256" s="10"/>
    </row>
    <row r="257" spans="2:68" s="1" customFormat="1" ht="15">
      <c r="B257" s="2"/>
      <c r="C257" s="157"/>
      <c r="D257" s="24"/>
      <c r="E257" s="24"/>
      <c r="F257" s="24"/>
      <c r="G257" s="24"/>
      <c r="H257" s="24"/>
      <c r="I257" s="24"/>
      <c r="J257" s="24"/>
      <c r="K257" s="24"/>
      <c r="L257" s="24"/>
      <c r="M257" s="40"/>
      <c r="N257" s="24"/>
      <c r="O257" s="24"/>
      <c r="P257" s="87"/>
      <c r="Q257" s="87"/>
      <c r="R257" s="2"/>
      <c r="V257" s="2"/>
      <c r="W257" s="40"/>
      <c r="AG257" s="40"/>
      <c r="AH257" s="40"/>
      <c r="AI257" s="40"/>
      <c r="AJ257" s="40"/>
      <c r="AK257" s="2"/>
      <c r="AQ257" s="38"/>
      <c r="AR257" s="38"/>
      <c r="AS257" s="38"/>
      <c r="AT257" s="27"/>
      <c r="AU257" s="25"/>
      <c r="AV257" s="25"/>
      <c r="AW257" s="25"/>
      <c r="AX257" s="25"/>
      <c r="AY257" s="38"/>
      <c r="BG257" s="10"/>
      <c r="BI257" s="10"/>
      <c r="BJ257" s="10"/>
      <c r="BK257" s="10"/>
      <c r="BL257" s="10"/>
      <c r="BM257" s="10"/>
      <c r="BN257" s="10"/>
      <c r="BO257" s="10"/>
      <c r="BP257" s="10"/>
    </row>
    <row r="258" spans="2:68" s="1" customFormat="1" ht="15">
      <c r="B258" s="2"/>
      <c r="C258" s="157"/>
      <c r="D258" s="24"/>
      <c r="E258" s="24"/>
      <c r="F258" s="24"/>
      <c r="G258" s="24"/>
      <c r="H258" s="24"/>
      <c r="I258" s="24"/>
      <c r="J258" s="24"/>
      <c r="K258" s="24"/>
      <c r="L258" s="24"/>
      <c r="M258" s="40"/>
      <c r="N258" s="24"/>
      <c r="O258" s="24"/>
      <c r="P258" s="87"/>
      <c r="Q258" s="87"/>
      <c r="R258" s="2"/>
      <c r="V258" s="2"/>
      <c r="W258" s="40"/>
      <c r="AG258" s="40"/>
      <c r="AH258" s="40"/>
      <c r="AI258" s="40"/>
      <c r="AJ258" s="40"/>
      <c r="AK258" s="2"/>
      <c r="AQ258" s="38"/>
      <c r="AR258" s="38"/>
      <c r="AS258" s="38"/>
      <c r="AT258" s="27"/>
      <c r="AU258" s="25"/>
      <c r="AV258" s="25"/>
      <c r="AW258" s="25"/>
      <c r="AX258" s="25"/>
      <c r="AY258" s="38"/>
      <c r="BG258" s="10"/>
      <c r="BI258" s="10"/>
      <c r="BJ258" s="10"/>
      <c r="BK258" s="10"/>
      <c r="BL258" s="10"/>
      <c r="BM258" s="10"/>
      <c r="BN258" s="10"/>
      <c r="BO258" s="10"/>
      <c r="BP258" s="10"/>
    </row>
    <row r="259" spans="2:68" s="1" customFormat="1" ht="15">
      <c r="B259" s="2"/>
      <c r="C259" s="157"/>
      <c r="D259" s="24"/>
      <c r="E259" s="24"/>
      <c r="F259" s="24"/>
      <c r="G259" s="24"/>
      <c r="H259" s="24"/>
      <c r="I259" s="24"/>
      <c r="J259" s="24"/>
      <c r="K259" s="24"/>
      <c r="L259" s="24"/>
      <c r="M259" s="40"/>
      <c r="N259" s="24"/>
      <c r="O259" s="24"/>
      <c r="P259" s="87"/>
      <c r="Q259" s="87"/>
      <c r="R259" s="2"/>
      <c r="V259" s="2"/>
      <c r="W259" s="40"/>
      <c r="AG259" s="40"/>
      <c r="AH259" s="40"/>
      <c r="AI259" s="40"/>
      <c r="AJ259" s="40"/>
      <c r="AK259" s="2"/>
      <c r="AQ259" s="38"/>
      <c r="AR259" s="38"/>
      <c r="AS259" s="38"/>
      <c r="AT259" s="27"/>
      <c r="AU259" s="25"/>
      <c r="AV259" s="25"/>
      <c r="AW259" s="25"/>
      <c r="AX259" s="25"/>
      <c r="AY259" s="38"/>
      <c r="BG259" s="10"/>
      <c r="BI259" s="10"/>
      <c r="BJ259" s="10"/>
      <c r="BK259" s="10"/>
      <c r="BL259" s="10"/>
      <c r="BM259" s="10"/>
      <c r="BN259" s="10"/>
      <c r="BO259" s="10"/>
      <c r="BP259" s="10"/>
    </row>
    <row r="260" spans="2:68" s="1" customFormat="1" ht="15">
      <c r="B260" s="2"/>
      <c r="C260" s="157"/>
      <c r="D260" s="24"/>
      <c r="E260" s="24"/>
      <c r="F260" s="24"/>
      <c r="G260" s="24"/>
      <c r="H260" s="24"/>
      <c r="I260" s="24"/>
      <c r="J260" s="24"/>
      <c r="K260" s="24"/>
      <c r="L260" s="24"/>
      <c r="M260" s="40"/>
      <c r="N260" s="24"/>
      <c r="O260" s="24"/>
      <c r="P260" s="87"/>
      <c r="Q260" s="87"/>
      <c r="R260" s="2"/>
      <c r="V260" s="2"/>
      <c r="W260" s="40"/>
      <c r="AG260" s="40"/>
      <c r="AH260" s="40"/>
      <c r="AI260" s="40"/>
      <c r="AJ260" s="40"/>
      <c r="AK260" s="2"/>
      <c r="AQ260" s="38"/>
      <c r="AR260" s="38"/>
      <c r="AS260" s="38"/>
      <c r="AT260" s="27"/>
      <c r="AU260" s="25"/>
      <c r="AV260" s="25"/>
      <c r="AW260" s="25"/>
      <c r="AX260" s="25"/>
      <c r="AY260" s="38"/>
      <c r="BG260" s="10"/>
      <c r="BI260" s="10"/>
      <c r="BJ260" s="10"/>
      <c r="BK260" s="10"/>
      <c r="BL260" s="10"/>
      <c r="BM260" s="10"/>
      <c r="BN260" s="10"/>
      <c r="BO260" s="10"/>
      <c r="BP260" s="10"/>
    </row>
    <row r="261" spans="2:68" s="1" customFormat="1" ht="15">
      <c r="B261" s="2"/>
      <c r="C261" s="157"/>
      <c r="D261" s="24"/>
      <c r="E261" s="24"/>
      <c r="F261" s="24"/>
      <c r="G261" s="24"/>
      <c r="H261" s="24"/>
      <c r="I261" s="24"/>
      <c r="J261" s="24"/>
      <c r="K261" s="24"/>
      <c r="L261" s="24"/>
      <c r="M261" s="40"/>
      <c r="N261" s="24"/>
      <c r="O261" s="24"/>
      <c r="P261" s="87"/>
      <c r="Q261" s="87"/>
      <c r="R261" s="2"/>
      <c r="V261" s="2"/>
      <c r="W261" s="40"/>
      <c r="AG261" s="40"/>
      <c r="AH261" s="40"/>
      <c r="AI261" s="40"/>
      <c r="AJ261" s="40"/>
      <c r="AK261" s="2"/>
      <c r="AQ261" s="38"/>
      <c r="AR261" s="38"/>
      <c r="AS261" s="38"/>
      <c r="AT261" s="27"/>
      <c r="AU261" s="25"/>
      <c r="AV261" s="25"/>
      <c r="AW261" s="25"/>
      <c r="AX261" s="25"/>
      <c r="AY261" s="38"/>
      <c r="BG261" s="10"/>
      <c r="BI261" s="10"/>
      <c r="BJ261" s="10"/>
      <c r="BK261" s="10"/>
      <c r="BL261" s="10"/>
      <c r="BM261" s="10"/>
      <c r="BN261" s="10"/>
      <c r="BO261" s="10"/>
      <c r="BP261" s="10"/>
    </row>
    <row r="262" spans="2:68" s="1" customFormat="1" ht="15">
      <c r="B262" s="2"/>
      <c r="C262" s="157"/>
      <c r="D262" s="24"/>
      <c r="E262" s="24"/>
      <c r="F262" s="24"/>
      <c r="G262" s="24"/>
      <c r="H262" s="24"/>
      <c r="I262" s="24"/>
      <c r="J262" s="24"/>
      <c r="K262" s="24"/>
      <c r="L262" s="24"/>
      <c r="M262" s="40"/>
      <c r="N262" s="24"/>
      <c r="O262" s="24"/>
      <c r="P262" s="87"/>
      <c r="Q262" s="87"/>
      <c r="R262" s="2"/>
      <c r="V262" s="2"/>
      <c r="W262" s="40"/>
      <c r="AG262" s="40"/>
      <c r="AH262" s="40"/>
      <c r="AI262" s="40"/>
      <c r="AJ262" s="40"/>
      <c r="AK262" s="2"/>
      <c r="AQ262" s="38"/>
      <c r="AR262" s="38"/>
      <c r="AS262" s="38"/>
      <c r="AT262" s="27"/>
      <c r="AU262" s="25"/>
      <c r="AV262" s="25"/>
      <c r="AW262" s="25"/>
      <c r="AX262" s="25"/>
      <c r="AY262" s="38"/>
      <c r="BG262" s="10"/>
      <c r="BI262" s="10"/>
      <c r="BJ262" s="10"/>
      <c r="BK262" s="10"/>
      <c r="BL262" s="10"/>
      <c r="BM262" s="10"/>
      <c r="BN262" s="10"/>
      <c r="BO262" s="10"/>
      <c r="BP262" s="10"/>
    </row>
    <row r="263" spans="2:68" s="1" customFormat="1" ht="15">
      <c r="B263" s="2"/>
      <c r="C263" s="157"/>
      <c r="D263" s="24"/>
      <c r="E263" s="24"/>
      <c r="F263" s="24"/>
      <c r="G263" s="24"/>
      <c r="H263" s="24"/>
      <c r="I263" s="24"/>
      <c r="J263" s="24"/>
      <c r="K263" s="24"/>
      <c r="L263" s="24"/>
      <c r="M263" s="40"/>
      <c r="N263" s="24"/>
      <c r="O263" s="24"/>
      <c r="P263" s="87"/>
      <c r="Q263" s="87"/>
      <c r="R263" s="2"/>
      <c r="V263" s="2"/>
      <c r="W263" s="40"/>
      <c r="AG263" s="40"/>
      <c r="AH263" s="40"/>
      <c r="AI263" s="40"/>
      <c r="AJ263" s="40"/>
      <c r="AK263" s="2"/>
      <c r="AQ263" s="38"/>
      <c r="AR263" s="38"/>
      <c r="AS263" s="38"/>
      <c r="AT263" s="27"/>
      <c r="AU263" s="25"/>
      <c r="AV263" s="25"/>
      <c r="AW263" s="25"/>
      <c r="AX263" s="25"/>
      <c r="AY263" s="38"/>
      <c r="BG263" s="10"/>
      <c r="BI263" s="10"/>
      <c r="BJ263" s="10"/>
      <c r="BK263" s="10"/>
      <c r="BL263" s="10"/>
      <c r="BM263" s="10"/>
      <c r="BN263" s="10"/>
      <c r="BO263" s="10"/>
      <c r="BP263" s="10"/>
    </row>
    <row r="264" spans="2:68" s="1" customFormat="1" ht="15">
      <c r="B264" s="2"/>
      <c r="C264" s="157"/>
      <c r="D264" s="24"/>
      <c r="E264" s="24"/>
      <c r="F264" s="24"/>
      <c r="G264" s="24"/>
      <c r="H264" s="24"/>
      <c r="I264" s="24"/>
      <c r="J264" s="24"/>
      <c r="K264" s="24"/>
      <c r="L264" s="24"/>
      <c r="M264" s="40"/>
      <c r="N264" s="24"/>
      <c r="O264" s="24"/>
      <c r="P264" s="87"/>
      <c r="Q264" s="87"/>
      <c r="R264" s="2"/>
      <c r="V264" s="2"/>
      <c r="W264" s="40"/>
      <c r="AG264" s="40"/>
      <c r="AH264" s="40"/>
      <c r="AI264" s="40"/>
      <c r="AJ264" s="40"/>
      <c r="AK264" s="2"/>
      <c r="AQ264" s="38"/>
      <c r="AR264" s="38"/>
      <c r="AS264" s="38"/>
      <c r="AT264" s="27"/>
      <c r="AU264" s="25"/>
      <c r="AV264" s="25"/>
      <c r="AW264" s="25"/>
      <c r="AX264" s="25"/>
      <c r="AY264" s="38"/>
      <c r="BG264" s="10"/>
      <c r="BI264" s="10"/>
      <c r="BJ264" s="10"/>
      <c r="BK264" s="10"/>
      <c r="BL264" s="10"/>
      <c r="BM264" s="10"/>
      <c r="BN264" s="10"/>
      <c r="BO264" s="10"/>
      <c r="BP264" s="10"/>
    </row>
    <row r="265" spans="2:68" s="1" customFormat="1" ht="15">
      <c r="B265" s="2"/>
      <c r="C265" s="157"/>
      <c r="D265" s="24"/>
      <c r="E265" s="24"/>
      <c r="F265" s="24"/>
      <c r="G265" s="24"/>
      <c r="H265" s="24"/>
      <c r="I265" s="24"/>
      <c r="J265" s="24"/>
      <c r="K265" s="24"/>
      <c r="L265" s="24"/>
      <c r="M265" s="40"/>
      <c r="N265" s="24"/>
      <c r="O265" s="24"/>
      <c r="P265" s="87"/>
      <c r="Q265" s="87"/>
      <c r="R265" s="2"/>
      <c r="V265" s="2"/>
      <c r="W265" s="40"/>
      <c r="AG265" s="40"/>
      <c r="AH265" s="40"/>
      <c r="AI265" s="40"/>
      <c r="AJ265" s="40"/>
      <c r="AK265" s="2"/>
      <c r="AQ265" s="38"/>
      <c r="AR265" s="38"/>
      <c r="AS265" s="38"/>
      <c r="AT265" s="27"/>
      <c r="AU265" s="25"/>
      <c r="AV265" s="25"/>
      <c r="AW265" s="25"/>
      <c r="AX265" s="25"/>
      <c r="AY265" s="38"/>
      <c r="BG265" s="10"/>
      <c r="BI265" s="10"/>
      <c r="BJ265" s="10"/>
      <c r="BK265" s="10"/>
      <c r="BL265" s="10"/>
      <c r="BM265" s="10"/>
      <c r="BN265" s="10"/>
      <c r="BO265" s="10"/>
      <c r="BP265" s="10"/>
    </row>
    <row r="266" spans="2:68" s="1" customFormat="1" ht="15">
      <c r="B266" s="2"/>
      <c r="C266" s="157"/>
      <c r="D266" s="24"/>
      <c r="E266" s="24"/>
      <c r="F266" s="24"/>
      <c r="G266" s="24"/>
      <c r="H266" s="24"/>
      <c r="I266" s="24"/>
      <c r="J266" s="24"/>
      <c r="K266" s="24"/>
      <c r="L266" s="24"/>
      <c r="M266" s="40"/>
      <c r="N266" s="24"/>
      <c r="O266" s="24"/>
      <c r="P266" s="87"/>
      <c r="Q266" s="87"/>
      <c r="R266" s="2"/>
      <c r="V266" s="2"/>
      <c r="W266" s="40"/>
      <c r="AG266" s="40"/>
      <c r="AH266" s="40"/>
      <c r="AI266" s="40"/>
      <c r="AJ266" s="40"/>
      <c r="AK266" s="2"/>
      <c r="AQ266" s="38"/>
      <c r="AR266" s="38"/>
      <c r="AS266" s="38"/>
      <c r="AT266" s="27"/>
      <c r="AU266" s="25"/>
      <c r="AV266" s="25"/>
      <c r="AW266" s="25"/>
      <c r="AX266" s="25"/>
      <c r="AY266" s="38"/>
      <c r="BG266" s="10"/>
      <c r="BI266" s="10"/>
      <c r="BJ266" s="10"/>
      <c r="BK266" s="10"/>
      <c r="BL266" s="10"/>
      <c r="BM266" s="10"/>
      <c r="BN266" s="10"/>
      <c r="BO266" s="10"/>
      <c r="BP266" s="10"/>
    </row>
    <row r="267" spans="2:68" s="1" customFormat="1" ht="15">
      <c r="B267" s="2"/>
      <c r="C267" s="157"/>
      <c r="D267" s="24"/>
      <c r="E267" s="24"/>
      <c r="F267" s="24"/>
      <c r="G267" s="24"/>
      <c r="H267" s="24"/>
      <c r="I267" s="24"/>
      <c r="J267" s="24"/>
      <c r="K267" s="24"/>
      <c r="L267" s="24"/>
      <c r="M267" s="40"/>
      <c r="N267" s="24"/>
      <c r="O267" s="24"/>
      <c r="P267" s="87"/>
      <c r="Q267" s="87"/>
      <c r="R267" s="2"/>
      <c r="V267" s="2"/>
      <c r="W267" s="40"/>
      <c r="AG267" s="40"/>
      <c r="AH267" s="40"/>
      <c r="AI267" s="40"/>
      <c r="AJ267" s="40"/>
      <c r="AK267" s="2"/>
      <c r="AQ267" s="38"/>
      <c r="AR267" s="38"/>
      <c r="AS267" s="38"/>
      <c r="AT267" s="27"/>
      <c r="AU267" s="25"/>
      <c r="AV267" s="25"/>
      <c r="AW267" s="25"/>
      <c r="AX267" s="25"/>
      <c r="AY267" s="38"/>
      <c r="BG267" s="10"/>
      <c r="BI267" s="10"/>
      <c r="BJ267" s="10"/>
      <c r="BK267" s="10"/>
      <c r="BL267" s="10"/>
      <c r="BM267" s="10"/>
      <c r="BN267" s="10"/>
      <c r="BO267" s="10"/>
      <c r="BP267" s="10"/>
    </row>
    <row r="268" spans="2:68" s="1" customFormat="1" ht="15">
      <c r="B268" s="2"/>
      <c r="C268" s="157"/>
      <c r="D268" s="24"/>
      <c r="E268" s="24"/>
      <c r="F268" s="24"/>
      <c r="G268" s="24"/>
      <c r="H268" s="24"/>
      <c r="I268" s="24"/>
      <c r="J268" s="24"/>
      <c r="K268" s="24"/>
      <c r="L268" s="24"/>
      <c r="M268" s="40"/>
      <c r="N268" s="24"/>
      <c r="O268" s="24"/>
      <c r="P268" s="87"/>
      <c r="Q268" s="87"/>
      <c r="R268" s="2"/>
      <c r="V268" s="2"/>
      <c r="W268" s="40"/>
      <c r="AG268" s="40"/>
      <c r="AH268" s="40"/>
      <c r="AI268" s="40"/>
      <c r="AJ268" s="40"/>
      <c r="AK268" s="2"/>
      <c r="AQ268" s="38"/>
      <c r="AR268" s="38"/>
      <c r="AS268" s="38"/>
      <c r="AT268" s="27"/>
      <c r="AU268" s="25"/>
      <c r="AV268" s="25"/>
      <c r="AW268" s="25"/>
      <c r="AX268" s="25"/>
      <c r="AY268" s="38"/>
      <c r="BG268" s="10"/>
      <c r="BI268" s="10"/>
      <c r="BJ268" s="10"/>
      <c r="BK268" s="10"/>
      <c r="BL268" s="10"/>
      <c r="BM268" s="10"/>
      <c r="BN268" s="10"/>
      <c r="BO268" s="10"/>
      <c r="BP268" s="10"/>
    </row>
    <row r="269" spans="2:68" s="1" customFormat="1" ht="15">
      <c r="B269" s="2"/>
      <c r="C269" s="157"/>
      <c r="D269" s="24"/>
      <c r="E269" s="24"/>
      <c r="F269" s="24"/>
      <c r="G269" s="24"/>
      <c r="H269" s="24"/>
      <c r="I269" s="24"/>
      <c r="J269" s="24"/>
      <c r="K269" s="24"/>
      <c r="L269" s="24"/>
      <c r="M269" s="40"/>
      <c r="N269" s="24"/>
      <c r="O269" s="24"/>
      <c r="P269" s="87"/>
      <c r="Q269" s="87"/>
      <c r="R269" s="2"/>
      <c r="V269" s="2"/>
      <c r="W269" s="40"/>
      <c r="AG269" s="40"/>
      <c r="AH269" s="40"/>
      <c r="AI269" s="40"/>
      <c r="AJ269" s="40"/>
      <c r="AK269" s="2"/>
      <c r="AQ269" s="38"/>
      <c r="AR269" s="38"/>
      <c r="AS269" s="38"/>
      <c r="AT269" s="27"/>
      <c r="AU269" s="25"/>
      <c r="AV269" s="25"/>
      <c r="AW269" s="25"/>
      <c r="AX269" s="25"/>
      <c r="AY269" s="38"/>
      <c r="BG269" s="10"/>
      <c r="BI269" s="10"/>
      <c r="BJ269" s="10"/>
      <c r="BK269" s="10"/>
      <c r="BL269" s="10"/>
      <c r="BM269" s="10"/>
      <c r="BN269" s="10"/>
      <c r="BO269" s="10"/>
      <c r="BP269" s="10"/>
    </row>
    <row r="270" spans="2:68" s="1" customFormat="1" ht="15">
      <c r="B270" s="2"/>
      <c r="C270" s="157"/>
      <c r="D270" s="24"/>
      <c r="E270" s="24"/>
      <c r="F270" s="24"/>
      <c r="G270" s="24"/>
      <c r="H270" s="24"/>
      <c r="I270" s="24"/>
      <c r="J270" s="24"/>
      <c r="K270" s="24"/>
      <c r="L270" s="24"/>
      <c r="M270" s="40"/>
      <c r="N270" s="24"/>
      <c r="O270" s="24"/>
      <c r="P270" s="87"/>
      <c r="Q270" s="87"/>
      <c r="R270" s="2"/>
      <c r="V270" s="2"/>
      <c r="W270" s="40"/>
      <c r="AG270" s="40"/>
      <c r="AH270" s="40"/>
      <c r="AI270" s="40"/>
      <c r="AJ270" s="40"/>
      <c r="AK270" s="2"/>
      <c r="AQ270" s="38"/>
      <c r="AR270" s="38"/>
      <c r="AS270" s="38"/>
      <c r="AT270" s="27"/>
      <c r="AU270" s="25"/>
      <c r="AV270" s="25"/>
      <c r="AW270" s="25"/>
      <c r="AX270" s="25"/>
      <c r="AY270" s="38"/>
      <c r="BG270" s="10"/>
      <c r="BI270" s="10"/>
      <c r="BJ270" s="10"/>
      <c r="BK270" s="10"/>
      <c r="BL270" s="10"/>
      <c r="BM270" s="10"/>
      <c r="BN270" s="10"/>
      <c r="BO270" s="10"/>
      <c r="BP270" s="10"/>
    </row>
    <row r="271" spans="2:68" s="1" customFormat="1" ht="15">
      <c r="B271" s="2"/>
      <c r="C271" s="157"/>
      <c r="D271" s="24"/>
      <c r="E271" s="24"/>
      <c r="F271" s="24"/>
      <c r="G271" s="24"/>
      <c r="H271" s="24"/>
      <c r="I271" s="24"/>
      <c r="J271" s="24"/>
      <c r="K271" s="24"/>
      <c r="L271" s="24"/>
      <c r="M271" s="40"/>
      <c r="N271" s="24"/>
      <c r="O271" s="24"/>
      <c r="P271" s="87"/>
      <c r="Q271" s="87"/>
      <c r="R271" s="2"/>
      <c r="V271" s="2"/>
      <c r="W271" s="40"/>
      <c r="AG271" s="40"/>
      <c r="AH271" s="40"/>
      <c r="AI271" s="40"/>
      <c r="AJ271" s="40"/>
      <c r="AK271" s="2"/>
      <c r="AQ271" s="38"/>
      <c r="AR271" s="38"/>
      <c r="AS271" s="38"/>
      <c r="AT271" s="27"/>
      <c r="AU271" s="25"/>
      <c r="AV271" s="25"/>
      <c r="AW271" s="25"/>
      <c r="AX271" s="25"/>
      <c r="AY271" s="38"/>
      <c r="BG271" s="10"/>
      <c r="BI271" s="10"/>
      <c r="BJ271" s="10"/>
      <c r="BK271" s="10"/>
      <c r="BL271" s="10"/>
      <c r="BM271" s="10"/>
      <c r="BN271" s="10"/>
      <c r="BO271" s="10"/>
      <c r="BP271" s="10"/>
    </row>
    <row r="272" spans="2:68" s="1" customFormat="1" ht="15">
      <c r="B272" s="2"/>
      <c r="C272" s="157"/>
      <c r="D272" s="24"/>
      <c r="E272" s="24"/>
      <c r="F272" s="24"/>
      <c r="G272" s="24"/>
      <c r="H272" s="24"/>
      <c r="I272" s="24"/>
      <c r="J272" s="24"/>
      <c r="K272" s="24"/>
      <c r="L272" s="24"/>
      <c r="M272" s="40"/>
      <c r="N272" s="24"/>
      <c r="O272" s="24"/>
      <c r="P272" s="87"/>
      <c r="Q272" s="87"/>
      <c r="R272" s="2"/>
      <c r="V272" s="2"/>
      <c r="W272" s="40"/>
      <c r="AG272" s="40"/>
      <c r="AH272" s="40"/>
      <c r="AI272" s="40"/>
      <c r="AJ272" s="40"/>
      <c r="AK272" s="2"/>
      <c r="AQ272" s="38"/>
      <c r="AR272" s="38"/>
      <c r="AS272" s="38"/>
      <c r="AT272" s="27"/>
      <c r="AU272" s="25"/>
      <c r="AV272" s="25"/>
      <c r="AW272" s="25"/>
      <c r="AX272" s="25"/>
      <c r="AY272" s="38"/>
      <c r="BG272" s="10"/>
      <c r="BI272" s="10"/>
      <c r="BJ272" s="10"/>
      <c r="BK272" s="10"/>
      <c r="BL272" s="10"/>
      <c r="BM272" s="10"/>
      <c r="BN272" s="10"/>
      <c r="BO272" s="10"/>
      <c r="BP272" s="10"/>
    </row>
    <row r="273" spans="2:68" s="1" customFormat="1" ht="15">
      <c r="B273" s="2"/>
      <c r="C273" s="157"/>
      <c r="D273" s="24"/>
      <c r="E273" s="24"/>
      <c r="F273" s="24"/>
      <c r="G273" s="24"/>
      <c r="H273" s="24"/>
      <c r="I273" s="24"/>
      <c r="J273" s="24"/>
      <c r="K273" s="24"/>
      <c r="L273" s="24"/>
      <c r="M273" s="40"/>
      <c r="N273" s="24"/>
      <c r="O273" s="24"/>
      <c r="P273" s="87"/>
      <c r="Q273" s="87"/>
      <c r="R273" s="2"/>
      <c r="V273" s="2"/>
      <c r="W273" s="40"/>
      <c r="AG273" s="40"/>
      <c r="AH273" s="40"/>
      <c r="AI273" s="40"/>
      <c r="AJ273" s="40"/>
      <c r="AK273" s="2"/>
      <c r="AQ273" s="38"/>
      <c r="AR273" s="38"/>
      <c r="AS273" s="38"/>
      <c r="AT273" s="27"/>
      <c r="AU273" s="25"/>
      <c r="AV273" s="25"/>
      <c r="AW273" s="25"/>
      <c r="AX273" s="25"/>
      <c r="AY273" s="38"/>
      <c r="BG273" s="10"/>
      <c r="BI273" s="10"/>
      <c r="BJ273" s="10"/>
      <c r="BK273" s="10"/>
      <c r="BL273" s="10"/>
      <c r="BM273" s="10"/>
      <c r="BN273" s="10"/>
      <c r="BO273" s="10"/>
      <c r="BP273" s="10"/>
    </row>
    <row r="274" spans="2:68" s="1" customFormat="1" ht="15">
      <c r="B274" s="2"/>
      <c r="C274" s="157"/>
      <c r="D274" s="24"/>
      <c r="E274" s="24"/>
      <c r="F274" s="24"/>
      <c r="G274" s="24"/>
      <c r="H274" s="24"/>
      <c r="I274" s="24"/>
      <c r="J274" s="24"/>
      <c r="K274" s="24"/>
      <c r="L274" s="24"/>
      <c r="M274" s="40"/>
      <c r="N274" s="24"/>
      <c r="O274" s="24"/>
      <c r="P274" s="87"/>
      <c r="Q274" s="87"/>
      <c r="R274" s="2"/>
      <c r="V274" s="2"/>
      <c r="W274" s="40"/>
      <c r="AG274" s="40"/>
      <c r="AH274" s="40"/>
      <c r="AI274" s="40"/>
      <c r="AJ274" s="40"/>
      <c r="AK274" s="2"/>
      <c r="AQ274" s="38"/>
      <c r="AR274" s="38"/>
      <c r="AS274" s="38"/>
      <c r="AT274" s="27"/>
      <c r="AU274" s="25"/>
      <c r="AV274" s="25"/>
      <c r="AW274" s="25"/>
      <c r="AX274" s="25"/>
      <c r="AY274" s="38"/>
      <c r="BG274" s="10"/>
      <c r="BI274" s="10"/>
      <c r="BJ274" s="10"/>
      <c r="BK274" s="10"/>
      <c r="BL274" s="10"/>
      <c r="BM274" s="10"/>
      <c r="BN274" s="10"/>
      <c r="BO274" s="10"/>
      <c r="BP274" s="10"/>
    </row>
    <row r="275" spans="2:68" s="1" customFormat="1" ht="15">
      <c r="B275" s="2"/>
      <c r="C275" s="157"/>
      <c r="D275" s="24"/>
      <c r="E275" s="24"/>
      <c r="F275" s="24"/>
      <c r="G275" s="24"/>
      <c r="H275" s="24"/>
      <c r="I275" s="24"/>
      <c r="J275" s="24"/>
      <c r="K275" s="24"/>
      <c r="L275" s="24"/>
      <c r="M275" s="40"/>
      <c r="N275" s="24"/>
      <c r="O275" s="24"/>
      <c r="P275" s="87"/>
      <c r="Q275" s="87"/>
      <c r="R275" s="2"/>
      <c r="V275" s="2"/>
      <c r="W275" s="40"/>
      <c r="AG275" s="40"/>
      <c r="AH275" s="40"/>
      <c r="AI275" s="40"/>
      <c r="AJ275" s="40"/>
      <c r="AK275" s="2"/>
      <c r="AQ275" s="38"/>
      <c r="AR275" s="38"/>
      <c r="AS275" s="38"/>
      <c r="AT275" s="27"/>
      <c r="AU275" s="25"/>
      <c r="AV275" s="25"/>
      <c r="AW275" s="25"/>
      <c r="AX275" s="25"/>
      <c r="AY275" s="38"/>
      <c r="BG275" s="10"/>
      <c r="BI275" s="10"/>
      <c r="BJ275" s="10"/>
      <c r="BK275" s="10"/>
      <c r="BL275" s="10"/>
      <c r="BM275" s="10"/>
      <c r="BN275" s="10"/>
      <c r="BO275" s="10"/>
      <c r="BP275" s="10"/>
    </row>
    <row r="276" spans="2:68" s="1" customFormat="1" ht="15">
      <c r="B276" s="2"/>
      <c r="C276" s="157"/>
      <c r="D276" s="24"/>
      <c r="E276" s="24"/>
      <c r="F276" s="24"/>
      <c r="G276" s="24"/>
      <c r="H276" s="24"/>
      <c r="I276" s="24"/>
      <c r="J276" s="24"/>
      <c r="K276" s="24"/>
      <c r="L276" s="24"/>
      <c r="M276" s="40"/>
      <c r="N276" s="24"/>
      <c r="O276" s="24"/>
      <c r="P276" s="87"/>
      <c r="Q276" s="87"/>
      <c r="R276" s="2"/>
      <c r="V276" s="2"/>
      <c r="W276" s="40"/>
      <c r="AG276" s="40"/>
      <c r="AH276" s="40"/>
      <c r="AI276" s="40"/>
      <c r="AJ276" s="40"/>
      <c r="AK276" s="2"/>
      <c r="AQ276" s="38"/>
      <c r="AR276" s="38"/>
      <c r="AS276" s="38"/>
      <c r="AT276" s="27"/>
      <c r="AU276" s="25"/>
      <c r="AV276" s="25"/>
      <c r="AW276" s="25"/>
      <c r="AX276" s="25"/>
      <c r="AY276" s="38"/>
      <c r="BG276" s="10"/>
      <c r="BI276" s="10"/>
      <c r="BJ276" s="10"/>
      <c r="BK276" s="10"/>
      <c r="BL276" s="10"/>
      <c r="BM276" s="10"/>
      <c r="BN276" s="10"/>
      <c r="BO276" s="10"/>
      <c r="BP276" s="10"/>
    </row>
    <row r="277" spans="2:68" s="1" customFormat="1" ht="15">
      <c r="B277" s="2"/>
      <c r="C277" s="157"/>
      <c r="D277" s="24"/>
      <c r="E277" s="24"/>
      <c r="F277" s="24"/>
      <c r="G277" s="24"/>
      <c r="H277" s="24"/>
      <c r="I277" s="24"/>
      <c r="J277" s="24"/>
      <c r="K277" s="24"/>
      <c r="L277" s="24"/>
      <c r="M277" s="40"/>
      <c r="N277" s="24"/>
      <c r="O277" s="24"/>
      <c r="P277" s="87"/>
      <c r="Q277" s="87"/>
      <c r="R277" s="2"/>
      <c r="V277" s="2"/>
      <c r="W277" s="40"/>
      <c r="AG277" s="40"/>
      <c r="AH277" s="40"/>
      <c r="AI277" s="40"/>
      <c r="AJ277" s="40"/>
      <c r="AK277" s="2"/>
      <c r="AQ277" s="38"/>
      <c r="AR277" s="38"/>
      <c r="AS277" s="38"/>
      <c r="AT277" s="27"/>
      <c r="AU277" s="25"/>
      <c r="AV277" s="25"/>
      <c r="AW277" s="25"/>
      <c r="AX277" s="25"/>
      <c r="AY277" s="38"/>
      <c r="BG277" s="10"/>
      <c r="BI277" s="10"/>
      <c r="BJ277" s="10"/>
      <c r="BK277" s="10"/>
      <c r="BL277" s="10"/>
      <c r="BM277" s="10"/>
      <c r="BN277" s="10"/>
      <c r="BO277" s="10"/>
      <c r="BP277" s="10"/>
    </row>
    <row r="278" spans="2:68" s="1" customFormat="1" ht="15">
      <c r="B278" s="2"/>
      <c r="C278" s="157"/>
      <c r="D278" s="24"/>
      <c r="E278" s="24"/>
      <c r="F278" s="24"/>
      <c r="G278" s="24"/>
      <c r="H278" s="24"/>
      <c r="I278" s="24"/>
      <c r="J278" s="24"/>
      <c r="K278" s="24"/>
      <c r="L278" s="24"/>
      <c r="M278" s="40"/>
      <c r="N278" s="24"/>
      <c r="O278" s="24"/>
      <c r="P278" s="87"/>
      <c r="Q278" s="87"/>
      <c r="R278" s="2"/>
      <c r="V278" s="2"/>
      <c r="W278" s="40"/>
      <c r="AG278" s="40"/>
      <c r="AH278" s="40"/>
      <c r="AI278" s="40"/>
      <c r="AJ278" s="40"/>
      <c r="AK278" s="2"/>
      <c r="AQ278" s="38"/>
      <c r="AR278" s="38"/>
      <c r="AS278" s="38"/>
      <c r="AT278" s="27"/>
      <c r="AU278" s="25"/>
      <c r="AV278" s="25"/>
      <c r="AW278" s="25"/>
      <c r="AX278" s="25"/>
      <c r="AY278" s="38"/>
      <c r="BG278" s="10"/>
      <c r="BI278" s="10"/>
      <c r="BJ278" s="10"/>
      <c r="BK278" s="10"/>
      <c r="BL278" s="10"/>
      <c r="BM278" s="10"/>
      <c r="BN278" s="10"/>
      <c r="BO278" s="10"/>
      <c r="BP278" s="10"/>
    </row>
    <row r="279" spans="2:68" s="1" customFormat="1" ht="15">
      <c r="B279" s="2"/>
      <c r="C279" s="157"/>
      <c r="D279" s="24"/>
      <c r="E279" s="24"/>
      <c r="F279" s="24"/>
      <c r="G279" s="24"/>
      <c r="H279" s="24"/>
      <c r="I279" s="24"/>
      <c r="J279" s="24"/>
      <c r="K279" s="24"/>
      <c r="L279" s="24"/>
      <c r="M279" s="40"/>
      <c r="N279" s="24"/>
      <c r="O279" s="24"/>
      <c r="P279" s="87"/>
      <c r="Q279" s="87"/>
      <c r="R279" s="2"/>
      <c r="V279" s="2"/>
      <c r="W279" s="40"/>
      <c r="AG279" s="40"/>
      <c r="AH279" s="40"/>
      <c r="AI279" s="40"/>
      <c r="AJ279" s="40"/>
      <c r="AK279" s="2"/>
      <c r="AQ279" s="38"/>
      <c r="AR279" s="38"/>
      <c r="AS279" s="38"/>
      <c r="AT279" s="27"/>
      <c r="AU279" s="25"/>
      <c r="AV279" s="25"/>
      <c r="AW279" s="25"/>
      <c r="AX279" s="25"/>
      <c r="AY279" s="38"/>
      <c r="BG279" s="10"/>
      <c r="BI279" s="10"/>
      <c r="BJ279" s="10"/>
      <c r="BK279" s="10"/>
      <c r="BL279" s="10"/>
      <c r="BM279" s="10"/>
      <c r="BN279" s="10"/>
      <c r="BO279" s="10"/>
      <c r="BP279" s="10"/>
    </row>
    <row r="280" spans="2:68" s="1" customFormat="1" ht="15">
      <c r="B280" s="2"/>
      <c r="C280" s="157"/>
      <c r="D280" s="24"/>
      <c r="E280" s="24"/>
      <c r="F280" s="24"/>
      <c r="G280" s="24"/>
      <c r="H280" s="24"/>
      <c r="I280" s="24"/>
      <c r="J280" s="24"/>
      <c r="K280" s="24"/>
      <c r="L280" s="24"/>
      <c r="M280" s="40"/>
      <c r="N280" s="24"/>
      <c r="O280" s="24"/>
      <c r="P280" s="87"/>
      <c r="Q280" s="87"/>
      <c r="R280" s="2"/>
      <c r="V280" s="2"/>
      <c r="W280" s="40"/>
      <c r="AG280" s="40"/>
      <c r="AH280" s="40"/>
      <c r="AI280" s="40"/>
      <c r="AJ280" s="40"/>
      <c r="AK280" s="2"/>
      <c r="AQ280" s="38"/>
      <c r="AR280" s="38"/>
      <c r="AS280" s="38"/>
      <c r="AT280" s="27"/>
      <c r="AU280" s="25"/>
      <c r="AV280" s="25"/>
      <c r="AW280" s="25"/>
      <c r="AX280" s="25"/>
      <c r="AY280" s="38"/>
      <c r="BG280" s="10"/>
      <c r="BI280" s="10"/>
      <c r="BJ280" s="10"/>
      <c r="BK280" s="10"/>
      <c r="BL280" s="10"/>
      <c r="BM280" s="10"/>
      <c r="BN280" s="10"/>
      <c r="BO280" s="10"/>
      <c r="BP280" s="10"/>
    </row>
    <row r="281" spans="2:68" s="1" customFormat="1" ht="15">
      <c r="B281" s="2"/>
      <c r="C281" s="157"/>
      <c r="D281" s="24"/>
      <c r="E281" s="24"/>
      <c r="F281" s="24"/>
      <c r="G281" s="24"/>
      <c r="H281" s="24"/>
      <c r="I281" s="24"/>
      <c r="J281" s="24"/>
      <c r="K281" s="24"/>
      <c r="L281" s="24"/>
      <c r="M281" s="40"/>
      <c r="N281" s="24"/>
      <c r="O281" s="24"/>
      <c r="P281" s="87"/>
      <c r="Q281" s="87"/>
      <c r="R281" s="2"/>
      <c r="V281" s="2"/>
      <c r="W281" s="40"/>
      <c r="AG281" s="40"/>
      <c r="AH281" s="40"/>
      <c r="AI281" s="40"/>
      <c r="AJ281" s="40"/>
      <c r="AK281" s="2"/>
      <c r="AQ281" s="38"/>
      <c r="AR281" s="38"/>
      <c r="AS281" s="38"/>
      <c r="AT281" s="27"/>
      <c r="AU281" s="25"/>
      <c r="AV281" s="25"/>
      <c r="AW281" s="25"/>
      <c r="AX281" s="25"/>
      <c r="AY281" s="38"/>
      <c r="BG281" s="10"/>
      <c r="BI281" s="10"/>
      <c r="BJ281" s="10"/>
      <c r="BK281" s="10"/>
      <c r="BL281" s="10"/>
      <c r="BM281" s="10"/>
      <c r="BN281" s="10"/>
      <c r="BO281" s="10"/>
      <c r="BP281" s="10"/>
    </row>
    <row r="282" spans="2:68" s="1" customFormat="1" ht="15">
      <c r="B282" s="2"/>
      <c r="C282" s="157"/>
      <c r="D282" s="24"/>
      <c r="E282" s="24"/>
      <c r="F282" s="24"/>
      <c r="G282" s="24"/>
      <c r="H282" s="24"/>
      <c r="I282" s="24"/>
      <c r="J282" s="24"/>
      <c r="K282" s="24"/>
      <c r="L282" s="24"/>
      <c r="M282" s="40"/>
      <c r="N282" s="24"/>
      <c r="O282" s="24"/>
      <c r="P282" s="87"/>
      <c r="Q282" s="87"/>
      <c r="R282" s="2"/>
      <c r="V282" s="2"/>
      <c r="W282" s="40"/>
      <c r="AG282" s="40"/>
      <c r="AH282" s="40"/>
      <c r="AI282" s="40"/>
      <c r="AJ282" s="40"/>
      <c r="AK282" s="2"/>
      <c r="AQ282" s="38"/>
      <c r="AR282" s="38"/>
      <c r="AS282" s="38"/>
      <c r="AT282" s="27"/>
      <c r="AU282" s="25"/>
      <c r="AV282" s="25"/>
      <c r="AW282" s="25"/>
      <c r="AX282" s="25"/>
      <c r="AY282" s="38"/>
      <c r="BG282" s="10"/>
      <c r="BI282" s="10"/>
      <c r="BJ282" s="10"/>
      <c r="BK282" s="10"/>
      <c r="BL282" s="10"/>
      <c r="BM282" s="10"/>
      <c r="BN282" s="10"/>
      <c r="BO282" s="10"/>
      <c r="BP282" s="10"/>
    </row>
    <row r="283" spans="2:68" s="1" customFormat="1" ht="15">
      <c r="B283" s="2"/>
      <c r="C283" s="157"/>
      <c r="D283" s="24"/>
      <c r="E283" s="24"/>
      <c r="F283" s="24"/>
      <c r="G283" s="24"/>
      <c r="H283" s="24"/>
      <c r="I283" s="24"/>
      <c r="J283" s="24"/>
      <c r="K283" s="24"/>
      <c r="L283" s="24"/>
      <c r="M283" s="40"/>
      <c r="N283" s="24"/>
      <c r="O283" s="24"/>
      <c r="P283" s="87"/>
      <c r="Q283" s="87"/>
      <c r="R283" s="2"/>
      <c r="V283" s="2"/>
      <c r="W283" s="40"/>
      <c r="AG283" s="40"/>
      <c r="AH283" s="40"/>
      <c r="AI283" s="40"/>
      <c r="AJ283" s="40"/>
      <c r="AK283" s="2"/>
      <c r="AQ283" s="38"/>
      <c r="AR283" s="38"/>
      <c r="AS283" s="38"/>
      <c r="AT283" s="27"/>
      <c r="AU283" s="25"/>
      <c r="AV283" s="25"/>
      <c r="AW283" s="25"/>
      <c r="AX283" s="25"/>
      <c r="AY283" s="38"/>
      <c r="BG283" s="10"/>
      <c r="BI283" s="10"/>
      <c r="BJ283" s="10"/>
      <c r="BK283" s="10"/>
      <c r="BL283" s="10"/>
      <c r="BM283" s="10"/>
      <c r="BN283" s="10"/>
      <c r="BO283" s="10"/>
      <c r="BP283" s="10"/>
    </row>
    <row r="284" spans="2:68" s="1" customFormat="1" ht="15">
      <c r="B284" s="2"/>
      <c r="C284" s="157"/>
      <c r="D284" s="24"/>
      <c r="E284" s="24"/>
      <c r="F284" s="24"/>
      <c r="G284" s="24"/>
      <c r="H284" s="24"/>
      <c r="I284" s="24"/>
      <c r="J284" s="24"/>
      <c r="K284" s="24"/>
      <c r="L284" s="24"/>
      <c r="M284" s="40"/>
      <c r="N284" s="24"/>
      <c r="O284" s="24"/>
      <c r="P284" s="87"/>
      <c r="Q284" s="87"/>
      <c r="R284" s="2"/>
      <c r="V284" s="2"/>
      <c r="W284" s="40"/>
      <c r="AG284" s="40"/>
      <c r="AH284" s="40"/>
      <c r="AI284" s="40"/>
      <c r="AJ284" s="40"/>
      <c r="AK284" s="2"/>
      <c r="AQ284" s="38"/>
      <c r="AR284" s="38"/>
      <c r="AS284" s="38"/>
      <c r="AT284" s="27"/>
      <c r="AU284" s="25"/>
      <c r="AV284" s="25"/>
      <c r="AW284" s="25"/>
      <c r="AX284" s="25"/>
      <c r="AY284" s="38"/>
      <c r="BG284" s="10"/>
      <c r="BI284" s="10"/>
      <c r="BJ284" s="10"/>
      <c r="BK284" s="10"/>
      <c r="BL284" s="10"/>
      <c r="BM284" s="10"/>
      <c r="BN284" s="10"/>
      <c r="BO284" s="10"/>
      <c r="BP284" s="10"/>
    </row>
    <row r="285" spans="2:68" s="1" customFormat="1" ht="15">
      <c r="B285" s="2"/>
      <c r="C285" s="157"/>
      <c r="D285" s="24"/>
      <c r="E285" s="24"/>
      <c r="F285" s="24"/>
      <c r="G285" s="24"/>
      <c r="H285" s="24"/>
      <c r="I285" s="24"/>
      <c r="J285" s="24"/>
      <c r="K285" s="24"/>
      <c r="L285" s="24"/>
      <c r="M285" s="40"/>
      <c r="N285" s="24"/>
      <c r="O285" s="24"/>
      <c r="P285" s="87"/>
      <c r="Q285" s="87"/>
      <c r="R285" s="2"/>
      <c r="V285" s="2"/>
      <c r="W285" s="40"/>
      <c r="AG285" s="40"/>
      <c r="AH285" s="40"/>
      <c r="AI285" s="40"/>
      <c r="AJ285" s="40"/>
      <c r="AK285" s="2"/>
      <c r="AQ285" s="38"/>
      <c r="AR285" s="38"/>
      <c r="AS285" s="38"/>
      <c r="AT285" s="27"/>
      <c r="AU285" s="25"/>
      <c r="AV285" s="25"/>
      <c r="AW285" s="25"/>
      <c r="AX285" s="25"/>
      <c r="AY285" s="38"/>
      <c r="BG285" s="10"/>
      <c r="BI285" s="10"/>
      <c r="BJ285" s="10"/>
      <c r="BK285" s="10"/>
      <c r="BL285" s="10"/>
      <c r="BM285" s="10"/>
      <c r="BN285" s="10"/>
      <c r="BO285" s="10"/>
      <c r="BP285" s="10"/>
    </row>
    <row r="286" spans="2:68" s="1" customFormat="1" ht="15">
      <c r="B286" s="2"/>
      <c r="C286" s="157"/>
      <c r="D286" s="24"/>
      <c r="E286" s="24"/>
      <c r="F286" s="24"/>
      <c r="G286" s="24"/>
      <c r="H286" s="24"/>
      <c r="I286" s="24"/>
      <c r="J286" s="24"/>
      <c r="K286" s="24"/>
      <c r="L286" s="24"/>
      <c r="M286" s="40"/>
      <c r="N286" s="24"/>
      <c r="O286" s="24"/>
      <c r="P286" s="87"/>
      <c r="Q286" s="87"/>
      <c r="R286" s="2"/>
      <c r="V286" s="2"/>
      <c r="W286" s="40"/>
      <c r="AG286" s="40"/>
      <c r="AH286" s="40"/>
      <c r="AI286" s="40"/>
      <c r="AJ286" s="40"/>
      <c r="AK286" s="2"/>
      <c r="AQ286" s="38"/>
      <c r="AR286" s="38"/>
      <c r="AS286" s="38"/>
      <c r="AT286" s="27"/>
      <c r="AU286" s="25"/>
      <c r="AV286" s="25"/>
      <c r="AW286" s="25"/>
      <c r="AX286" s="25"/>
      <c r="AY286" s="38"/>
      <c r="BG286" s="10"/>
      <c r="BI286" s="10"/>
      <c r="BJ286" s="10"/>
      <c r="BK286" s="10"/>
      <c r="BL286" s="10"/>
      <c r="BM286" s="10"/>
      <c r="BN286" s="10"/>
      <c r="BO286" s="10"/>
      <c r="BP286" s="10"/>
    </row>
    <row r="287" spans="2:68" s="1" customFormat="1" ht="15">
      <c r="B287" s="2"/>
      <c r="C287" s="157"/>
      <c r="D287" s="24"/>
      <c r="E287" s="24"/>
      <c r="F287" s="24"/>
      <c r="G287" s="24"/>
      <c r="H287" s="24"/>
      <c r="I287" s="24"/>
      <c r="J287" s="24"/>
      <c r="K287" s="24"/>
      <c r="L287" s="24"/>
      <c r="M287" s="40"/>
      <c r="N287" s="24"/>
      <c r="O287" s="24"/>
      <c r="P287" s="87"/>
      <c r="Q287" s="87"/>
      <c r="R287" s="2"/>
      <c r="V287" s="2"/>
      <c r="W287" s="40"/>
      <c r="AG287" s="40"/>
      <c r="AH287" s="40"/>
      <c r="AI287" s="40"/>
      <c r="AJ287" s="40"/>
      <c r="AK287" s="2"/>
      <c r="AQ287" s="38"/>
      <c r="AR287" s="38"/>
      <c r="AS287" s="38"/>
      <c r="AT287" s="27"/>
      <c r="AU287" s="25"/>
      <c r="AV287" s="25"/>
      <c r="AW287" s="25"/>
      <c r="AX287" s="25"/>
      <c r="AY287" s="38"/>
      <c r="BG287" s="10"/>
      <c r="BI287" s="10"/>
      <c r="BJ287" s="10"/>
      <c r="BK287" s="10"/>
      <c r="BL287" s="10"/>
      <c r="BM287" s="10"/>
      <c r="BN287" s="10"/>
      <c r="BO287" s="10"/>
      <c r="BP287" s="10"/>
    </row>
    <row r="288" spans="2:68" s="1" customFormat="1" ht="15">
      <c r="B288" s="2"/>
      <c r="C288" s="157"/>
      <c r="D288" s="24"/>
      <c r="E288" s="24"/>
      <c r="F288" s="24"/>
      <c r="G288" s="24"/>
      <c r="H288" s="24"/>
      <c r="I288" s="24"/>
      <c r="J288" s="24"/>
      <c r="K288" s="24"/>
      <c r="L288" s="24"/>
      <c r="M288" s="40"/>
      <c r="N288" s="24"/>
      <c r="O288" s="24"/>
      <c r="P288" s="87"/>
      <c r="Q288" s="87"/>
      <c r="R288" s="2"/>
      <c r="V288" s="2"/>
      <c r="W288" s="40"/>
      <c r="AG288" s="40"/>
      <c r="AH288" s="40"/>
      <c r="AI288" s="40"/>
      <c r="AJ288" s="40"/>
      <c r="AK288" s="2"/>
      <c r="AQ288" s="38"/>
      <c r="AR288" s="38"/>
      <c r="AS288" s="38"/>
      <c r="AT288" s="27"/>
      <c r="AU288" s="25"/>
      <c r="AV288" s="25"/>
      <c r="AW288" s="25"/>
      <c r="AX288" s="25"/>
      <c r="AY288" s="38"/>
      <c r="BG288" s="10"/>
      <c r="BI288" s="10"/>
      <c r="BJ288" s="10"/>
      <c r="BK288" s="10"/>
      <c r="BL288" s="10"/>
      <c r="BM288" s="10"/>
      <c r="BN288" s="10"/>
      <c r="BO288" s="10"/>
      <c r="BP288" s="10"/>
    </row>
    <row r="289" spans="2:68" s="1" customFormat="1" ht="15">
      <c r="B289" s="2"/>
      <c r="C289" s="157"/>
      <c r="D289" s="24"/>
      <c r="E289" s="24"/>
      <c r="F289" s="24"/>
      <c r="G289" s="24"/>
      <c r="H289" s="24"/>
      <c r="I289" s="24"/>
      <c r="J289" s="24"/>
      <c r="K289" s="24"/>
      <c r="L289" s="24"/>
      <c r="M289" s="40"/>
      <c r="N289" s="24"/>
      <c r="O289" s="24"/>
      <c r="P289" s="87"/>
      <c r="Q289" s="87"/>
      <c r="R289" s="2"/>
      <c r="V289" s="2"/>
      <c r="W289" s="40"/>
      <c r="AG289" s="40"/>
      <c r="AH289" s="40"/>
      <c r="AI289" s="40"/>
      <c r="AJ289" s="40"/>
      <c r="AK289" s="2"/>
      <c r="AQ289" s="38"/>
      <c r="AR289" s="38"/>
      <c r="AS289" s="38"/>
      <c r="AT289" s="27"/>
      <c r="AU289" s="25"/>
      <c r="AV289" s="25"/>
      <c r="AW289" s="25"/>
      <c r="AX289" s="25"/>
      <c r="AY289" s="38"/>
      <c r="BG289" s="10"/>
      <c r="BI289" s="10"/>
      <c r="BJ289" s="10"/>
      <c r="BK289" s="10"/>
      <c r="BL289" s="10"/>
      <c r="BM289" s="10"/>
      <c r="BN289" s="10"/>
      <c r="BO289" s="10"/>
      <c r="BP289" s="10"/>
    </row>
    <row r="290" spans="2:68" s="1" customFormat="1" ht="15">
      <c r="B290" s="2"/>
      <c r="C290" s="157"/>
      <c r="D290" s="24"/>
      <c r="E290" s="24"/>
      <c r="F290" s="24"/>
      <c r="G290" s="24"/>
      <c r="H290" s="24"/>
      <c r="I290" s="24"/>
      <c r="J290" s="24"/>
      <c r="K290" s="24"/>
      <c r="L290" s="24"/>
      <c r="M290" s="40"/>
      <c r="N290" s="24"/>
      <c r="O290" s="24"/>
      <c r="P290" s="87"/>
      <c r="Q290" s="87"/>
      <c r="R290" s="2"/>
      <c r="V290" s="2"/>
      <c r="W290" s="40"/>
      <c r="AG290" s="40"/>
      <c r="AH290" s="40"/>
      <c r="AI290" s="40"/>
      <c r="AJ290" s="40"/>
      <c r="AK290" s="2"/>
      <c r="AQ290" s="38"/>
      <c r="AR290" s="38"/>
      <c r="AS290" s="38"/>
      <c r="AT290" s="27"/>
      <c r="AU290" s="25"/>
      <c r="AV290" s="25"/>
      <c r="AW290" s="25"/>
      <c r="AX290" s="25"/>
      <c r="AY290" s="38"/>
      <c r="BG290" s="10"/>
      <c r="BI290" s="10"/>
      <c r="BJ290" s="10"/>
      <c r="BK290" s="10"/>
      <c r="BL290" s="10"/>
      <c r="BM290" s="10"/>
      <c r="BN290" s="10"/>
      <c r="BO290" s="10"/>
      <c r="BP290" s="10"/>
    </row>
    <row r="291" spans="2:68" s="1" customFormat="1" ht="15">
      <c r="B291" s="2"/>
      <c r="C291" s="157"/>
      <c r="D291" s="24"/>
      <c r="E291" s="24"/>
      <c r="F291" s="24"/>
      <c r="G291" s="24"/>
      <c r="H291" s="24"/>
      <c r="I291" s="24"/>
      <c r="J291" s="24"/>
      <c r="K291" s="24"/>
      <c r="L291" s="24"/>
      <c r="M291" s="40"/>
      <c r="N291" s="24"/>
      <c r="O291" s="24"/>
      <c r="P291" s="87"/>
      <c r="Q291" s="87"/>
      <c r="R291" s="2"/>
      <c r="V291" s="2"/>
      <c r="W291" s="40"/>
      <c r="AG291" s="40"/>
      <c r="AH291" s="40"/>
      <c r="AI291" s="40"/>
      <c r="AJ291" s="40"/>
      <c r="AK291" s="2"/>
      <c r="AQ291" s="38"/>
      <c r="AR291" s="38"/>
      <c r="AS291" s="38"/>
      <c r="AT291" s="27"/>
      <c r="AU291" s="25"/>
      <c r="AV291" s="25"/>
      <c r="AW291" s="25"/>
      <c r="AX291" s="25"/>
      <c r="AY291" s="38"/>
      <c r="BG291" s="10"/>
      <c r="BI291" s="10"/>
      <c r="BJ291" s="10"/>
      <c r="BK291" s="10"/>
      <c r="BL291" s="10"/>
      <c r="BM291" s="10"/>
      <c r="BN291" s="10"/>
      <c r="BO291" s="10"/>
      <c r="BP291" s="10"/>
    </row>
    <row r="292" spans="2:68" s="1" customFormat="1" ht="15">
      <c r="B292" s="2"/>
      <c r="C292" s="157"/>
      <c r="D292" s="24"/>
      <c r="E292" s="24"/>
      <c r="F292" s="24"/>
      <c r="G292" s="24"/>
      <c r="H292" s="24"/>
      <c r="I292" s="24"/>
      <c r="J292" s="24"/>
      <c r="K292" s="24"/>
      <c r="L292" s="24"/>
      <c r="M292" s="40"/>
      <c r="N292" s="24"/>
      <c r="O292" s="24"/>
      <c r="P292" s="87"/>
      <c r="Q292" s="87"/>
      <c r="R292" s="2"/>
      <c r="V292" s="2"/>
      <c r="W292" s="40"/>
      <c r="AG292" s="40"/>
      <c r="AH292" s="40"/>
      <c r="AI292" s="40"/>
      <c r="AJ292" s="40"/>
      <c r="AK292" s="2"/>
      <c r="AQ292" s="38"/>
      <c r="AR292" s="38"/>
      <c r="AS292" s="38"/>
      <c r="AT292" s="27"/>
      <c r="AU292" s="25"/>
      <c r="AV292" s="25"/>
      <c r="AW292" s="25"/>
      <c r="AX292" s="25"/>
      <c r="AY292" s="38"/>
      <c r="BG292" s="10"/>
      <c r="BI292" s="10"/>
      <c r="BJ292" s="10"/>
      <c r="BK292" s="10"/>
      <c r="BL292" s="10"/>
      <c r="BM292" s="10"/>
      <c r="BN292" s="10"/>
      <c r="BO292" s="10"/>
      <c r="BP292" s="10"/>
    </row>
    <row r="293" spans="2:68" s="1" customFormat="1" ht="15">
      <c r="B293" s="2"/>
      <c r="C293" s="157"/>
      <c r="D293" s="24"/>
      <c r="E293" s="24"/>
      <c r="F293" s="24"/>
      <c r="G293" s="24"/>
      <c r="H293" s="24"/>
      <c r="I293" s="24"/>
      <c r="J293" s="24"/>
      <c r="K293" s="24"/>
      <c r="L293" s="24"/>
      <c r="M293" s="40"/>
      <c r="N293" s="24"/>
      <c r="O293" s="24"/>
      <c r="P293" s="87"/>
      <c r="Q293" s="87"/>
      <c r="R293" s="2"/>
      <c r="V293" s="2"/>
      <c r="W293" s="40"/>
      <c r="AG293" s="40"/>
      <c r="AH293" s="40"/>
      <c r="AI293" s="40"/>
      <c r="AJ293" s="40"/>
      <c r="AK293" s="2"/>
      <c r="AQ293" s="38"/>
      <c r="AR293" s="38"/>
      <c r="AS293" s="38"/>
      <c r="AT293" s="27"/>
      <c r="AU293" s="25"/>
      <c r="AV293" s="25"/>
      <c r="AW293" s="25"/>
      <c r="AX293" s="25"/>
      <c r="AY293" s="38"/>
      <c r="BG293" s="10"/>
      <c r="BI293" s="10"/>
      <c r="BJ293" s="10"/>
      <c r="BK293" s="10"/>
      <c r="BL293" s="10"/>
      <c r="BM293" s="10"/>
      <c r="BN293" s="10"/>
      <c r="BO293" s="10"/>
      <c r="BP293" s="10"/>
    </row>
    <row r="294" spans="2:68" s="1" customFormat="1" ht="15">
      <c r="B294" s="2"/>
      <c r="C294" s="157"/>
      <c r="D294" s="24"/>
      <c r="E294" s="24"/>
      <c r="F294" s="24"/>
      <c r="G294" s="24"/>
      <c r="H294" s="24"/>
      <c r="I294" s="24"/>
      <c r="J294" s="24"/>
      <c r="K294" s="24"/>
      <c r="L294" s="24"/>
      <c r="M294" s="40"/>
      <c r="N294" s="24"/>
      <c r="O294" s="24"/>
      <c r="P294" s="87"/>
      <c r="Q294" s="87"/>
      <c r="R294" s="2"/>
      <c r="V294" s="2"/>
      <c r="W294" s="40"/>
      <c r="AG294" s="40"/>
      <c r="AH294" s="40"/>
      <c r="AI294" s="40"/>
      <c r="AJ294" s="40"/>
      <c r="AK294" s="2"/>
      <c r="AQ294" s="38"/>
      <c r="AR294" s="38"/>
      <c r="AS294" s="38"/>
      <c r="AT294" s="27"/>
      <c r="AU294" s="25"/>
      <c r="AV294" s="25"/>
      <c r="AW294" s="25"/>
      <c r="AX294" s="25"/>
      <c r="AY294" s="38"/>
      <c r="BG294" s="10"/>
      <c r="BI294" s="10"/>
      <c r="BJ294" s="10"/>
      <c r="BK294" s="10"/>
      <c r="BL294" s="10"/>
      <c r="BM294" s="10"/>
      <c r="BN294" s="10"/>
      <c r="BO294" s="10"/>
      <c r="BP294" s="10"/>
    </row>
    <row r="295" spans="2:68" s="1" customFormat="1" ht="15">
      <c r="B295" s="2"/>
      <c r="C295" s="157"/>
      <c r="D295" s="24"/>
      <c r="E295" s="24"/>
      <c r="F295" s="24"/>
      <c r="G295" s="24"/>
      <c r="H295" s="24"/>
      <c r="I295" s="24"/>
      <c r="J295" s="24"/>
      <c r="K295" s="24"/>
      <c r="L295" s="24"/>
      <c r="M295" s="40"/>
      <c r="N295" s="24"/>
      <c r="O295" s="24"/>
      <c r="P295" s="87"/>
      <c r="Q295" s="87"/>
      <c r="R295" s="2"/>
      <c r="V295" s="2"/>
      <c r="W295" s="40"/>
      <c r="AG295" s="40"/>
      <c r="AH295" s="40"/>
      <c r="AI295" s="40"/>
      <c r="AJ295" s="40"/>
      <c r="AK295" s="2"/>
      <c r="AQ295" s="38"/>
      <c r="AR295" s="38"/>
      <c r="AS295" s="38"/>
      <c r="AT295" s="27"/>
      <c r="AU295" s="25"/>
      <c r="AV295" s="25"/>
      <c r="AW295" s="25"/>
      <c r="AX295" s="25"/>
      <c r="AY295" s="38"/>
      <c r="BG295" s="10"/>
      <c r="BI295" s="10"/>
      <c r="BJ295" s="10"/>
      <c r="BK295" s="10"/>
      <c r="BL295" s="10"/>
      <c r="BM295" s="10"/>
      <c r="BN295" s="10"/>
      <c r="BO295" s="10"/>
      <c r="BP295" s="10"/>
    </row>
    <row r="296" spans="2:68" s="1" customFormat="1" ht="15">
      <c r="B296" s="2"/>
      <c r="C296" s="157"/>
      <c r="D296" s="24"/>
      <c r="E296" s="24"/>
      <c r="F296" s="24"/>
      <c r="G296" s="24"/>
      <c r="H296" s="24"/>
      <c r="I296" s="24"/>
      <c r="J296" s="24"/>
      <c r="K296" s="24"/>
      <c r="L296" s="24"/>
      <c r="M296" s="40"/>
      <c r="N296" s="24"/>
      <c r="O296" s="24"/>
      <c r="P296" s="87"/>
      <c r="Q296" s="87"/>
      <c r="R296" s="2"/>
      <c r="V296" s="2"/>
      <c r="W296" s="40"/>
      <c r="AG296" s="40"/>
      <c r="AH296" s="40"/>
      <c r="AI296" s="40"/>
      <c r="AJ296" s="40"/>
      <c r="AK296" s="2"/>
      <c r="AQ296" s="38"/>
      <c r="AR296" s="38"/>
      <c r="AS296" s="38"/>
      <c r="AT296" s="27"/>
      <c r="AU296" s="25"/>
      <c r="AV296" s="25"/>
      <c r="AW296" s="25"/>
      <c r="AX296" s="25"/>
      <c r="AY296" s="38"/>
      <c r="BG296" s="10"/>
      <c r="BI296" s="10"/>
      <c r="BJ296" s="10"/>
      <c r="BK296" s="10"/>
      <c r="BL296" s="10"/>
      <c r="BM296" s="10"/>
      <c r="BN296" s="10"/>
      <c r="BO296" s="10"/>
      <c r="BP296" s="10"/>
    </row>
    <row r="297" spans="2:68" s="1" customFormat="1" ht="15">
      <c r="B297" s="2"/>
      <c r="C297" s="157"/>
      <c r="D297" s="24"/>
      <c r="E297" s="24"/>
      <c r="F297" s="24"/>
      <c r="G297" s="24"/>
      <c r="H297" s="24"/>
      <c r="I297" s="24"/>
      <c r="J297" s="24"/>
      <c r="K297" s="24"/>
      <c r="L297" s="24"/>
      <c r="M297" s="40"/>
      <c r="N297" s="24"/>
      <c r="O297" s="24"/>
      <c r="P297" s="87"/>
      <c r="Q297" s="87"/>
      <c r="R297" s="2"/>
      <c r="V297" s="2"/>
      <c r="W297" s="40"/>
      <c r="AG297" s="40"/>
      <c r="AH297" s="40"/>
      <c r="AI297" s="40"/>
      <c r="AJ297" s="40"/>
      <c r="AK297" s="2"/>
      <c r="AQ297" s="38"/>
      <c r="AR297" s="38"/>
      <c r="AS297" s="38"/>
      <c r="AT297" s="27"/>
      <c r="AU297" s="25"/>
      <c r="AV297" s="25"/>
      <c r="AW297" s="25"/>
      <c r="AX297" s="25"/>
      <c r="AY297" s="38"/>
      <c r="BG297" s="10"/>
      <c r="BI297" s="10"/>
      <c r="BJ297" s="10"/>
      <c r="BK297" s="10"/>
      <c r="BL297" s="10"/>
      <c r="BM297" s="10"/>
      <c r="BN297" s="10"/>
      <c r="BO297" s="10"/>
      <c r="BP297" s="10"/>
    </row>
    <row r="298" spans="2:68" s="1" customFormat="1" ht="15">
      <c r="B298" s="2"/>
      <c r="C298" s="157"/>
      <c r="D298" s="24"/>
      <c r="E298" s="24"/>
      <c r="F298" s="24"/>
      <c r="G298" s="24"/>
      <c r="H298" s="24"/>
      <c r="I298" s="24"/>
      <c r="J298" s="24"/>
      <c r="K298" s="24"/>
      <c r="L298" s="24"/>
      <c r="M298" s="40"/>
      <c r="N298" s="24"/>
      <c r="O298" s="24"/>
      <c r="P298" s="87"/>
      <c r="Q298" s="87"/>
      <c r="R298" s="2"/>
      <c r="V298" s="2"/>
      <c r="W298" s="40"/>
      <c r="AG298" s="40"/>
      <c r="AH298" s="40"/>
      <c r="AI298" s="40"/>
      <c r="AJ298" s="40"/>
      <c r="AK298" s="2"/>
      <c r="AQ298" s="38"/>
      <c r="AR298" s="38"/>
      <c r="AS298" s="38"/>
      <c r="AT298" s="27"/>
      <c r="AU298" s="25"/>
      <c r="AV298" s="25"/>
      <c r="AW298" s="25"/>
      <c r="AX298" s="25"/>
      <c r="AY298" s="38"/>
      <c r="BG298" s="10"/>
      <c r="BI298" s="10"/>
      <c r="BJ298" s="10"/>
      <c r="BK298" s="10"/>
      <c r="BL298" s="10"/>
      <c r="BM298" s="10"/>
      <c r="BN298" s="10"/>
      <c r="BO298" s="10"/>
      <c r="BP298" s="10"/>
    </row>
    <row r="299" spans="2:68" s="1" customFormat="1" ht="15">
      <c r="B299" s="2"/>
      <c r="C299" s="157"/>
      <c r="D299" s="24"/>
      <c r="E299" s="24"/>
      <c r="F299" s="24"/>
      <c r="G299" s="24"/>
      <c r="H299" s="24"/>
      <c r="I299" s="24"/>
      <c r="J299" s="24"/>
      <c r="K299" s="24"/>
      <c r="L299" s="24"/>
      <c r="M299" s="40"/>
      <c r="N299" s="24"/>
      <c r="O299" s="24"/>
      <c r="P299" s="87"/>
      <c r="Q299" s="87"/>
      <c r="R299" s="2"/>
      <c r="V299" s="2"/>
      <c r="W299" s="40"/>
      <c r="AG299" s="40"/>
      <c r="AH299" s="40"/>
      <c r="AI299" s="40"/>
      <c r="AJ299" s="40"/>
      <c r="AK299" s="2"/>
      <c r="AQ299" s="38"/>
      <c r="AR299" s="38"/>
      <c r="AS299" s="38"/>
      <c r="AT299" s="27"/>
      <c r="AU299" s="25"/>
      <c r="AV299" s="25"/>
      <c r="AW299" s="25"/>
      <c r="AX299" s="25"/>
      <c r="AY299" s="38"/>
      <c r="BG299" s="10"/>
      <c r="BI299" s="10"/>
      <c r="BJ299" s="10"/>
      <c r="BK299" s="10"/>
      <c r="BL299" s="10"/>
      <c r="BM299" s="10"/>
      <c r="BN299" s="10"/>
      <c r="BO299" s="10"/>
      <c r="BP299" s="10"/>
    </row>
    <row r="300" spans="2:68" s="1" customFormat="1" ht="15">
      <c r="B300" s="2"/>
      <c r="C300" s="157"/>
      <c r="D300" s="24"/>
      <c r="E300" s="24"/>
      <c r="F300" s="24"/>
      <c r="G300" s="24"/>
      <c r="H300" s="24"/>
      <c r="I300" s="24"/>
      <c r="J300" s="24"/>
      <c r="K300" s="24"/>
      <c r="L300" s="24"/>
      <c r="M300" s="40"/>
      <c r="N300" s="24"/>
      <c r="O300" s="24"/>
      <c r="P300" s="87"/>
      <c r="Q300" s="87"/>
      <c r="R300" s="2"/>
      <c r="V300" s="2"/>
      <c r="W300" s="40"/>
      <c r="AG300" s="40"/>
      <c r="AH300" s="40"/>
      <c r="AI300" s="40"/>
      <c r="AJ300" s="40"/>
      <c r="AK300" s="2"/>
      <c r="AQ300" s="38"/>
      <c r="AR300" s="38"/>
      <c r="AS300" s="38"/>
      <c r="AT300" s="27"/>
      <c r="AU300" s="25"/>
      <c r="AV300" s="25"/>
      <c r="AW300" s="25"/>
      <c r="AX300" s="25"/>
      <c r="AY300" s="38"/>
      <c r="BG300" s="10"/>
      <c r="BI300" s="10"/>
      <c r="BJ300" s="10"/>
      <c r="BK300" s="10"/>
      <c r="BL300" s="10"/>
      <c r="BM300" s="10"/>
      <c r="BN300" s="10"/>
      <c r="BO300" s="10"/>
      <c r="BP300" s="10"/>
    </row>
    <row r="301" spans="2:68" s="1" customFormat="1" ht="15">
      <c r="B301" s="2"/>
      <c r="C301" s="157"/>
      <c r="D301" s="24"/>
      <c r="E301" s="24"/>
      <c r="F301" s="24"/>
      <c r="G301" s="24"/>
      <c r="H301" s="24"/>
      <c r="I301" s="24"/>
      <c r="J301" s="24"/>
      <c r="K301" s="24"/>
      <c r="L301" s="24"/>
      <c r="M301" s="40"/>
      <c r="N301" s="24"/>
      <c r="O301" s="24"/>
      <c r="P301" s="87"/>
      <c r="Q301" s="87"/>
      <c r="R301" s="2"/>
      <c r="V301" s="2"/>
      <c r="W301" s="40"/>
      <c r="AG301" s="40"/>
      <c r="AH301" s="40"/>
      <c r="AI301" s="40"/>
      <c r="AJ301" s="40"/>
      <c r="AK301" s="2"/>
      <c r="AQ301" s="38"/>
      <c r="AR301" s="38"/>
      <c r="AS301" s="38"/>
      <c r="AT301" s="27"/>
      <c r="AU301" s="25"/>
      <c r="AV301" s="25"/>
      <c r="AW301" s="25"/>
      <c r="AX301" s="25"/>
      <c r="AY301" s="38"/>
      <c r="BG301" s="10"/>
      <c r="BI301" s="10"/>
      <c r="BJ301" s="10"/>
      <c r="BK301" s="10"/>
      <c r="BL301" s="10"/>
      <c r="BM301" s="10"/>
      <c r="BN301" s="10"/>
      <c r="BO301" s="10"/>
      <c r="BP301" s="10"/>
    </row>
    <row r="302" spans="2:68" s="1" customFormat="1" ht="15">
      <c r="B302" s="2"/>
      <c r="C302" s="157"/>
      <c r="D302" s="24"/>
      <c r="E302" s="24"/>
      <c r="F302" s="24"/>
      <c r="G302" s="24"/>
      <c r="H302" s="24"/>
      <c r="I302" s="24"/>
      <c r="J302" s="24"/>
      <c r="K302" s="24"/>
      <c r="L302" s="24"/>
      <c r="M302" s="40"/>
      <c r="N302" s="24"/>
      <c r="O302" s="24"/>
      <c r="P302" s="87"/>
      <c r="Q302" s="87"/>
      <c r="R302" s="2"/>
      <c r="V302" s="2"/>
      <c r="W302" s="40"/>
      <c r="AG302" s="40"/>
      <c r="AH302" s="40"/>
      <c r="AI302" s="40"/>
      <c r="AJ302" s="40"/>
      <c r="AK302" s="2"/>
      <c r="AQ302" s="38"/>
      <c r="AR302" s="38"/>
      <c r="AS302" s="38"/>
      <c r="AT302" s="27"/>
      <c r="AU302" s="25"/>
      <c r="AV302" s="25"/>
      <c r="AW302" s="25"/>
      <c r="AX302" s="25"/>
      <c r="AY302" s="38"/>
      <c r="BG302" s="10"/>
      <c r="BI302" s="10"/>
      <c r="BJ302" s="10"/>
      <c r="BK302" s="10"/>
      <c r="BL302" s="10"/>
      <c r="BM302" s="10"/>
      <c r="BN302" s="10"/>
      <c r="BO302" s="10"/>
      <c r="BP302" s="10"/>
    </row>
    <row r="303" spans="2:68" s="1" customFormat="1" ht="15">
      <c r="B303" s="2"/>
      <c r="C303" s="157"/>
      <c r="D303" s="24"/>
      <c r="E303" s="24"/>
      <c r="F303" s="24"/>
      <c r="G303" s="24"/>
      <c r="H303" s="24"/>
      <c r="I303" s="24"/>
      <c r="J303" s="24"/>
      <c r="K303" s="24"/>
      <c r="L303" s="24"/>
      <c r="M303" s="40"/>
      <c r="N303" s="24"/>
      <c r="O303" s="24"/>
      <c r="P303" s="87"/>
      <c r="Q303" s="87"/>
      <c r="R303" s="2"/>
      <c r="V303" s="2"/>
      <c r="W303" s="40"/>
      <c r="AG303" s="40"/>
      <c r="AH303" s="40"/>
      <c r="AI303" s="40"/>
      <c r="AJ303" s="40"/>
      <c r="AK303" s="2"/>
      <c r="AQ303" s="38"/>
      <c r="AR303" s="38"/>
      <c r="AS303" s="38"/>
      <c r="AT303" s="27"/>
      <c r="AU303" s="25"/>
      <c r="AV303" s="25"/>
      <c r="AW303" s="25"/>
      <c r="AX303" s="25"/>
      <c r="AY303" s="38"/>
      <c r="BG303" s="10"/>
      <c r="BI303" s="10"/>
      <c r="BJ303" s="10"/>
      <c r="BK303" s="10"/>
      <c r="BL303" s="10"/>
      <c r="BM303" s="10"/>
      <c r="BN303" s="10"/>
      <c r="BO303" s="10"/>
      <c r="BP303" s="10"/>
    </row>
    <row r="304" spans="2:68" s="1" customFormat="1" ht="15">
      <c r="B304" s="2"/>
      <c r="C304" s="157"/>
      <c r="D304" s="24"/>
      <c r="E304" s="24"/>
      <c r="F304" s="24"/>
      <c r="G304" s="24"/>
      <c r="H304" s="24"/>
      <c r="I304" s="24"/>
      <c r="J304" s="24"/>
      <c r="K304" s="24"/>
      <c r="L304" s="24"/>
      <c r="M304" s="40"/>
      <c r="N304" s="24"/>
      <c r="O304" s="24"/>
      <c r="P304" s="87"/>
      <c r="Q304" s="87"/>
      <c r="R304" s="2"/>
      <c r="V304" s="2"/>
      <c r="W304" s="40"/>
      <c r="AG304" s="40"/>
      <c r="AH304" s="40"/>
      <c r="AI304" s="40"/>
      <c r="AJ304" s="40"/>
      <c r="AK304" s="2"/>
      <c r="AQ304" s="38"/>
      <c r="AR304" s="38"/>
      <c r="AS304" s="38"/>
      <c r="AT304" s="27"/>
      <c r="AU304" s="25"/>
      <c r="AV304" s="25"/>
      <c r="AW304" s="25"/>
      <c r="AX304" s="25"/>
      <c r="AY304" s="38"/>
      <c r="BG304" s="10"/>
      <c r="BI304" s="10"/>
      <c r="BJ304" s="10"/>
      <c r="BK304" s="10"/>
      <c r="BL304" s="10"/>
      <c r="BM304" s="10"/>
      <c r="BN304" s="10"/>
      <c r="BO304" s="10"/>
      <c r="BP304" s="10"/>
    </row>
    <row r="305" spans="2:68" s="1" customFormat="1" ht="15">
      <c r="B305" s="2"/>
      <c r="C305" s="157"/>
      <c r="D305" s="24"/>
      <c r="E305" s="24"/>
      <c r="F305" s="24"/>
      <c r="G305" s="24"/>
      <c r="H305" s="24"/>
      <c r="I305" s="24"/>
      <c r="J305" s="24"/>
      <c r="K305" s="24"/>
      <c r="L305" s="24"/>
      <c r="M305" s="40"/>
      <c r="N305" s="24"/>
      <c r="O305" s="24"/>
      <c r="P305" s="87"/>
      <c r="Q305" s="87"/>
      <c r="R305" s="2"/>
      <c r="V305" s="2"/>
      <c r="W305" s="40"/>
      <c r="AG305" s="40"/>
      <c r="AH305" s="40"/>
      <c r="AI305" s="40"/>
      <c r="AJ305" s="40"/>
      <c r="AK305" s="2"/>
      <c r="AQ305" s="38"/>
      <c r="AR305" s="38"/>
      <c r="AS305" s="38"/>
      <c r="AT305" s="27"/>
      <c r="AU305" s="25"/>
      <c r="AV305" s="25"/>
      <c r="AW305" s="25"/>
      <c r="AX305" s="25"/>
      <c r="AY305" s="38"/>
      <c r="BG305" s="10"/>
      <c r="BI305" s="10"/>
      <c r="BJ305" s="10"/>
      <c r="BK305" s="10"/>
      <c r="BL305" s="10"/>
      <c r="BM305" s="10"/>
      <c r="BN305" s="10"/>
      <c r="BO305" s="10"/>
      <c r="BP305" s="10"/>
    </row>
    <row r="306" spans="2:68" s="1" customFormat="1" ht="15">
      <c r="B306" s="2"/>
      <c r="C306" s="157"/>
      <c r="D306" s="24"/>
      <c r="E306" s="24"/>
      <c r="F306" s="24"/>
      <c r="G306" s="24"/>
      <c r="H306" s="24"/>
      <c r="I306" s="24"/>
      <c r="J306" s="24"/>
      <c r="K306" s="24"/>
      <c r="L306" s="24"/>
      <c r="M306" s="40"/>
      <c r="N306" s="24"/>
      <c r="O306" s="24"/>
      <c r="P306" s="87"/>
      <c r="Q306" s="87"/>
      <c r="R306" s="2"/>
      <c r="V306" s="2"/>
      <c r="W306" s="40"/>
      <c r="AG306" s="40"/>
      <c r="AH306" s="40"/>
      <c r="AI306" s="40"/>
      <c r="AJ306" s="40"/>
      <c r="AK306" s="2"/>
      <c r="AQ306" s="38"/>
      <c r="AR306" s="38"/>
      <c r="AS306" s="38"/>
      <c r="AT306" s="27"/>
      <c r="AU306" s="25"/>
      <c r="AV306" s="25"/>
      <c r="AW306" s="25"/>
      <c r="AX306" s="25"/>
      <c r="AY306" s="38"/>
      <c r="BG306" s="10"/>
      <c r="BI306" s="10"/>
      <c r="BJ306" s="10"/>
      <c r="BK306" s="10"/>
      <c r="BL306" s="10"/>
      <c r="BM306" s="10"/>
      <c r="BN306" s="10"/>
      <c r="BO306" s="10"/>
      <c r="BP306" s="10"/>
    </row>
    <row r="307" spans="2:68" s="1" customFormat="1" ht="15">
      <c r="B307" s="2"/>
      <c r="C307" s="157"/>
      <c r="D307" s="24"/>
      <c r="E307" s="24"/>
      <c r="F307" s="24"/>
      <c r="G307" s="24"/>
      <c r="H307" s="24"/>
      <c r="I307" s="24"/>
      <c r="J307" s="24"/>
      <c r="K307" s="24"/>
      <c r="L307" s="24"/>
      <c r="M307" s="40"/>
      <c r="N307" s="24"/>
      <c r="O307" s="24"/>
      <c r="P307" s="87"/>
      <c r="Q307" s="87"/>
      <c r="R307" s="2"/>
      <c r="V307" s="2"/>
      <c r="W307" s="40"/>
      <c r="AG307" s="40"/>
      <c r="AH307" s="40"/>
      <c r="AI307" s="40"/>
      <c r="AJ307" s="40"/>
      <c r="AK307" s="2"/>
      <c r="AQ307" s="38"/>
      <c r="AR307" s="38"/>
      <c r="AS307" s="38"/>
      <c r="AT307" s="27"/>
      <c r="AU307" s="25"/>
      <c r="AV307" s="25"/>
      <c r="AW307" s="25"/>
      <c r="AX307" s="25"/>
      <c r="AY307" s="38"/>
      <c r="BG307" s="10"/>
      <c r="BI307" s="10"/>
      <c r="BJ307" s="10"/>
      <c r="BK307" s="10"/>
      <c r="BL307" s="10"/>
      <c r="BM307" s="10"/>
      <c r="BN307" s="10"/>
      <c r="BO307" s="10"/>
      <c r="BP307" s="10"/>
    </row>
    <row r="308" spans="2:68" s="1" customFormat="1" ht="15">
      <c r="B308" s="2"/>
      <c r="C308" s="157"/>
      <c r="D308" s="24"/>
      <c r="E308" s="24"/>
      <c r="F308" s="24"/>
      <c r="G308" s="24"/>
      <c r="H308" s="24"/>
      <c r="I308" s="24"/>
      <c r="J308" s="24"/>
      <c r="K308" s="24"/>
      <c r="L308" s="24"/>
      <c r="M308" s="40"/>
      <c r="N308" s="24"/>
      <c r="O308" s="24"/>
      <c r="P308" s="87"/>
      <c r="Q308" s="87"/>
      <c r="R308" s="2"/>
      <c r="V308" s="2"/>
      <c r="W308" s="40"/>
      <c r="AG308" s="40"/>
      <c r="AH308" s="40"/>
      <c r="AI308" s="40"/>
      <c r="AJ308" s="40"/>
      <c r="AK308" s="2"/>
      <c r="AQ308" s="38"/>
      <c r="AR308" s="38"/>
      <c r="AS308" s="38"/>
      <c r="AT308" s="27"/>
      <c r="AU308" s="25"/>
      <c r="AV308" s="25"/>
      <c r="AW308" s="25"/>
      <c r="AX308" s="25"/>
      <c r="AY308" s="38"/>
      <c r="BG308" s="10"/>
      <c r="BI308" s="10"/>
      <c r="BJ308" s="10"/>
      <c r="BK308" s="10"/>
      <c r="BL308" s="10"/>
      <c r="BM308" s="10"/>
      <c r="BN308" s="10"/>
      <c r="BO308" s="10"/>
      <c r="BP308" s="10"/>
    </row>
    <row r="309" spans="2:68" s="1" customFormat="1" ht="15">
      <c r="B309" s="2"/>
      <c r="C309" s="157"/>
      <c r="D309" s="24"/>
      <c r="E309" s="24"/>
      <c r="F309" s="24"/>
      <c r="G309" s="24"/>
      <c r="H309" s="24"/>
      <c r="I309" s="24"/>
      <c r="J309" s="24"/>
      <c r="K309" s="24"/>
      <c r="L309" s="24"/>
      <c r="M309" s="40"/>
      <c r="N309" s="24"/>
      <c r="O309" s="24"/>
      <c r="P309" s="87"/>
      <c r="Q309" s="87"/>
      <c r="R309" s="2"/>
      <c r="V309" s="2"/>
      <c r="W309" s="40"/>
      <c r="AG309" s="40"/>
      <c r="AH309" s="40"/>
      <c r="AI309" s="40"/>
      <c r="AJ309" s="40"/>
      <c r="AK309" s="2"/>
      <c r="AQ309" s="38"/>
      <c r="AR309" s="38"/>
      <c r="AS309" s="38"/>
      <c r="AT309" s="27"/>
      <c r="AU309" s="25"/>
      <c r="AV309" s="25"/>
      <c r="AW309" s="25"/>
      <c r="AX309" s="25"/>
      <c r="AY309" s="38"/>
      <c r="BG309" s="10"/>
      <c r="BI309" s="10"/>
      <c r="BJ309" s="10"/>
      <c r="BK309" s="10"/>
      <c r="BL309" s="10"/>
      <c r="BM309" s="10"/>
      <c r="BN309" s="10"/>
      <c r="BO309" s="10"/>
      <c r="BP309" s="10"/>
    </row>
    <row r="310" spans="2:68" s="1" customFormat="1" ht="15">
      <c r="B310" s="2"/>
      <c r="C310" s="157"/>
      <c r="D310" s="24"/>
      <c r="E310" s="24"/>
      <c r="F310" s="24"/>
      <c r="G310" s="24"/>
      <c r="H310" s="24"/>
      <c r="I310" s="24"/>
      <c r="J310" s="24"/>
      <c r="K310" s="24"/>
      <c r="L310" s="24"/>
      <c r="M310" s="40"/>
      <c r="N310" s="24"/>
      <c r="O310" s="24"/>
      <c r="P310" s="87"/>
      <c r="Q310" s="87"/>
      <c r="R310" s="2"/>
      <c r="V310" s="2"/>
      <c r="W310" s="40"/>
      <c r="AG310" s="40"/>
      <c r="AH310" s="40"/>
      <c r="AI310" s="40"/>
      <c r="AJ310" s="40"/>
      <c r="AK310" s="2"/>
      <c r="AQ310" s="38"/>
      <c r="AR310" s="38"/>
      <c r="AS310" s="38"/>
      <c r="AT310" s="27"/>
      <c r="AU310" s="25"/>
      <c r="AV310" s="25"/>
      <c r="AW310" s="25"/>
      <c r="AX310" s="25"/>
      <c r="AY310" s="38"/>
      <c r="BG310" s="10"/>
      <c r="BI310" s="10"/>
      <c r="BJ310" s="10"/>
      <c r="BK310" s="10"/>
      <c r="BL310" s="10"/>
      <c r="BM310" s="10"/>
      <c r="BN310" s="10"/>
      <c r="BO310" s="10"/>
      <c r="BP310" s="10"/>
    </row>
    <row r="311" spans="2:68" s="1" customFormat="1" ht="15">
      <c r="B311" s="2"/>
      <c r="C311" s="157"/>
      <c r="D311" s="24"/>
      <c r="E311" s="24"/>
      <c r="F311" s="24"/>
      <c r="G311" s="24"/>
      <c r="H311" s="24"/>
      <c r="I311" s="24"/>
      <c r="J311" s="24"/>
      <c r="K311" s="24"/>
      <c r="L311" s="24"/>
      <c r="M311" s="40"/>
      <c r="N311" s="24"/>
      <c r="O311" s="24"/>
      <c r="P311" s="87"/>
      <c r="Q311" s="87"/>
      <c r="R311" s="2"/>
      <c r="V311" s="2"/>
      <c r="W311" s="40"/>
      <c r="AG311" s="40"/>
      <c r="AH311" s="40"/>
      <c r="AI311" s="40"/>
      <c r="AJ311" s="40"/>
      <c r="AK311" s="2"/>
      <c r="AQ311" s="38"/>
      <c r="AR311" s="38"/>
      <c r="AS311" s="38"/>
      <c r="AT311" s="27"/>
      <c r="AU311" s="25"/>
      <c r="AV311" s="25"/>
      <c r="AW311" s="25"/>
      <c r="AX311" s="25"/>
      <c r="AY311" s="38"/>
      <c r="BG311" s="10"/>
      <c r="BI311" s="10"/>
      <c r="BJ311" s="10"/>
      <c r="BK311" s="10"/>
      <c r="BL311" s="10"/>
      <c r="BM311" s="10"/>
      <c r="BN311" s="10"/>
      <c r="BO311" s="10"/>
      <c r="BP311" s="10"/>
    </row>
    <row r="312" spans="2:68" s="1" customFormat="1" ht="15">
      <c r="B312" s="2"/>
      <c r="C312" s="157"/>
      <c r="D312" s="24"/>
      <c r="E312" s="24"/>
      <c r="F312" s="24"/>
      <c r="G312" s="24"/>
      <c r="H312" s="24"/>
      <c r="I312" s="24"/>
      <c r="J312" s="24"/>
      <c r="K312" s="24"/>
      <c r="L312" s="24"/>
      <c r="M312" s="40"/>
      <c r="N312" s="24"/>
      <c r="O312" s="24"/>
      <c r="P312" s="87"/>
      <c r="Q312" s="87"/>
      <c r="R312" s="2"/>
      <c r="V312" s="2"/>
      <c r="W312" s="40"/>
      <c r="AG312" s="40"/>
      <c r="AH312" s="40"/>
      <c r="AI312" s="40"/>
      <c r="AJ312" s="40"/>
      <c r="AK312" s="2"/>
      <c r="AQ312" s="38"/>
      <c r="AR312" s="38"/>
      <c r="AS312" s="38"/>
      <c r="AT312" s="27"/>
      <c r="AU312" s="25"/>
      <c r="AV312" s="25"/>
      <c r="AW312" s="25"/>
      <c r="AX312" s="25"/>
      <c r="AY312" s="38"/>
      <c r="BG312" s="10"/>
      <c r="BI312" s="10"/>
      <c r="BJ312" s="10"/>
      <c r="BK312" s="10"/>
      <c r="BL312" s="10"/>
      <c r="BM312" s="10"/>
      <c r="BN312" s="10"/>
      <c r="BO312" s="10"/>
      <c r="BP312" s="10"/>
    </row>
    <row r="313" spans="2:68" s="1" customFormat="1" ht="15">
      <c r="B313" s="2"/>
      <c r="C313" s="157"/>
      <c r="D313" s="24"/>
      <c r="E313" s="24"/>
      <c r="F313" s="24"/>
      <c r="G313" s="24"/>
      <c r="H313" s="24"/>
      <c r="I313" s="24"/>
      <c r="J313" s="24"/>
      <c r="K313" s="24"/>
      <c r="L313" s="24"/>
      <c r="M313" s="40"/>
      <c r="N313" s="24"/>
      <c r="O313" s="24"/>
      <c r="P313" s="87"/>
      <c r="Q313" s="87"/>
      <c r="R313" s="2"/>
      <c r="V313" s="2"/>
      <c r="W313" s="40"/>
      <c r="AG313" s="40"/>
      <c r="AH313" s="40"/>
      <c r="AI313" s="40"/>
      <c r="AJ313" s="40"/>
      <c r="AK313" s="2"/>
      <c r="AQ313" s="38"/>
      <c r="AR313" s="38"/>
      <c r="AS313" s="38"/>
      <c r="AT313" s="27"/>
      <c r="AU313" s="25"/>
      <c r="AV313" s="25"/>
      <c r="AW313" s="25"/>
      <c r="AX313" s="25"/>
      <c r="AY313" s="38"/>
      <c r="BG313" s="10"/>
      <c r="BI313" s="10"/>
      <c r="BJ313" s="10"/>
      <c r="BK313" s="10"/>
      <c r="BL313" s="10"/>
      <c r="BM313" s="10"/>
      <c r="BN313" s="10"/>
      <c r="BO313" s="10"/>
      <c r="BP313" s="10"/>
    </row>
    <row r="314" spans="2:68" s="1" customFormat="1" ht="15">
      <c r="B314" s="2"/>
      <c r="C314" s="157"/>
      <c r="D314" s="24"/>
      <c r="E314" s="24"/>
      <c r="F314" s="24"/>
      <c r="G314" s="24"/>
      <c r="H314" s="24"/>
      <c r="I314" s="24"/>
      <c r="J314" s="24"/>
      <c r="K314" s="24"/>
      <c r="L314" s="24"/>
      <c r="M314" s="40"/>
      <c r="N314" s="24"/>
      <c r="O314" s="24"/>
      <c r="P314" s="87"/>
      <c r="Q314" s="87"/>
      <c r="R314" s="2"/>
      <c r="V314" s="2"/>
      <c r="W314" s="40"/>
      <c r="AG314" s="40"/>
      <c r="AH314" s="40"/>
      <c r="AI314" s="40"/>
      <c r="AJ314" s="40"/>
      <c r="AK314" s="2"/>
      <c r="AQ314" s="38"/>
      <c r="AR314" s="38"/>
      <c r="AS314" s="38"/>
      <c r="AT314" s="27"/>
      <c r="AU314" s="25"/>
      <c r="AV314" s="25"/>
      <c r="AW314" s="25"/>
      <c r="AX314" s="25"/>
      <c r="AY314" s="38"/>
      <c r="BG314" s="10"/>
      <c r="BI314" s="10"/>
      <c r="BJ314" s="10"/>
      <c r="BK314" s="10"/>
      <c r="BL314" s="10"/>
      <c r="BM314" s="10"/>
      <c r="BN314" s="10"/>
      <c r="BO314" s="10"/>
      <c r="BP314" s="10"/>
    </row>
    <row r="315" spans="2:68" s="1" customFormat="1" ht="15">
      <c r="B315" s="2"/>
      <c r="C315" s="157"/>
      <c r="D315" s="24"/>
      <c r="E315" s="24"/>
      <c r="F315" s="24"/>
      <c r="G315" s="24"/>
      <c r="H315" s="24"/>
      <c r="I315" s="24"/>
      <c r="J315" s="24"/>
      <c r="K315" s="24"/>
      <c r="L315" s="24"/>
      <c r="M315" s="40"/>
      <c r="N315" s="24"/>
      <c r="O315" s="24"/>
      <c r="P315" s="87"/>
      <c r="Q315" s="87"/>
      <c r="R315" s="2"/>
      <c r="V315" s="2"/>
      <c r="W315" s="40"/>
      <c r="AG315" s="40"/>
      <c r="AH315" s="40"/>
      <c r="AI315" s="40"/>
      <c r="AJ315" s="40"/>
      <c r="AK315" s="2"/>
      <c r="AQ315" s="38"/>
      <c r="AR315" s="38"/>
      <c r="AS315" s="38"/>
      <c r="AT315" s="27"/>
      <c r="AU315" s="25"/>
      <c r="AV315" s="25"/>
      <c r="AW315" s="25"/>
      <c r="AX315" s="25"/>
      <c r="AY315" s="38"/>
      <c r="BG315" s="10"/>
      <c r="BI315" s="10"/>
      <c r="BJ315" s="10"/>
      <c r="BK315" s="10"/>
      <c r="BL315" s="10"/>
      <c r="BM315" s="10"/>
      <c r="BN315" s="10"/>
      <c r="BO315" s="10"/>
      <c r="BP315" s="10"/>
    </row>
    <row r="316" spans="2:68" s="1" customFormat="1" ht="15">
      <c r="B316" s="2"/>
      <c r="C316" s="157"/>
      <c r="D316" s="24"/>
      <c r="E316" s="24"/>
      <c r="F316" s="24"/>
      <c r="G316" s="24"/>
      <c r="H316" s="24"/>
      <c r="I316" s="24"/>
      <c r="J316" s="24"/>
      <c r="K316" s="24"/>
      <c r="L316" s="24"/>
      <c r="M316" s="40"/>
      <c r="N316" s="24"/>
      <c r="O316" s="24"/>
      <c r="P316" s="87"/>
      <c r="Q316" s="87"/>
      <c r="R316" s="2"/>
      <c r="V316" s="2"/>
      <c r="W316" s="40"/>
      <c r="AG316" s="40"/>
      <c r="AH316" s="40"/>
      <c r="AI316" s="40"/>
      <c r="AJ316" s="40"/>
      <c r="AK316" s="2"/>
      <c r="AQ316" s="38"/>
      <c r="AR316" s="38"/>
      <c r="AS316" s="38"/>
      <c r="AT316" s="27"/>
      <c r="AU316" s="25"/>
      <c r="AV316" s="25"/>
      <c r="AW316" s="25"/>
      <c r="AX316" s="25"/>
      <c r="AY316" s="38"/>
      <c r="BG316" s="10"/>
      <c r="BI316" s="10"/>
      <c r="BJ316" s="10"/>
      <c r="BK316" s="10"/>
      <c r="BL316" s="10"/>
      <c r="BM316" s="10"/>
      <c r="BN316" s="10"/>
      <c r="BO316" s="10"/>
      <c r="BP316" s="10"/>
    </row>
    <row r="317" spans="2:68" s="1" customFormat="1" ht="15">
      <c r="B317" s="2"/>
      <c r="C317" s="157"/>
      <c r="D317" s="24"/>
      <c r="E317" s="24"/>
      <c r="F317" s="24"/>
      <c r="G317" s="24"/>
      <c r="H317" s="24"/>
      <c r="I317" s="24"/>
      <c r="J317" s="24"/>
      <c r="K317" s="24"/>
      <c r="L317" s="24"/>
      <c r="M317" s="40"/>
      <c r="N317" s="24"/>
      <c r="O317" s="24"/>
      <c r="P317" s="87"/>
      <c r="Q317" s="87"/>
      <c r="R317" s="2"/>
      <c r="V317" s="2"/>
      <c r="W317" s="40"/>
      <c r="AG317" s="40"/>
      <c r="AH317" s="40"/>
      <c r="AI317" s="40"/>
      <c r="AJ317" s="40"/>
      <c r="AK317" s="2"/>
      <c r="AQ317" s="38"/>
      <c r="AR317" s="38"/>
      <c r="AS317" s="38"/>
      <c r="AT317" s="27"/>
      <c r="AU317" s="25"/>
      <c r="AV317" s="25"/>
      <c r="AW317" s="25"/>
      <c r="AX317" s="25"/>
      <c r="AY317" s="38"/>
      <c r="BG317" s="10"/>
      <c r="BI317" s="10"/>
      <c r="BJ317" s="10"/>
      <c r="BK317" s="10"/>
      <c r="BL317" s="10"/>
      <c r="BM317" s="10"/>
      <c r="BN317" s="10"/>
      <c r="BO317" s="10"/>
      <c r="BP317" s="10"/>
    </row>
    <row r="318" spans="2:68" s="1" customFormat="1" ht="15">
      <c r="B318" s="2"/>
      <c r="C318" s="157"/>
      <c r="D318" s="24"/>
      <c r="E318" s="24"/>
      <c r="F318" s="24"/>
      <c r="G318" s="24"/>
      <c r="H318" s="24"/>
      <c r="I318" s="24"/>
      <c r="J318" s="24"/>
      <c r="K318" s="24"/>
      <c r="L318" s="24"/>
      <c r="M318" s="40"/>
      <c r="N318" s="24"/>
      <c r="O318" s="24"/>
      <c r="P318" s="87"/>
      <c r="Q318" s="87"/>
      <c r="R318" s="2"/>
      <c r="V318" s="2"/>
      <c r="W318" s="40"/>
      <c r="AG318" s="40"/>
      <c r="AH318" s="40"/>
      <c r="AI318" s="40"/>
      <c r="AJ318" s="40"/>
      <c r="AK318" s="2"/>
      <c r="AQ318" s="38"/>
      <c r="AR318" s="38"/>
      <c r="AS318" s="38"/>
      <c r="AT318" s="27"/>
      <c r="AU318" s="25"/>
      <c r="AV318" s="25"/>
      <c r="AW318" s="25"/>
      <c r="AX318" s="25"/>
      <c r="AY318" s="38"/>
      <c r="BG318" s="10"/>
      <c r="BI318" s="10"/>
      <c r="BJ318" s="10"/>
      <c r="BK318" s="10"/>
      <c r="BL318" s="10"/>
      <c r="BM318" s="10"/>
      <c r="BN318" s="10"/>
      <c r="BO318" s="10"/>
      <c r="BP318" s="10"/>
    </row>
    <row r="319" spans="2:68" s="1" customFormat="1" ht="15">
      <c r="B319" s="2"/>
      <c r="C319" s="157"/>
      <c r="D319" s="24"/>
      <c r="E319" s="24"/>
      <c r="F319" s="24"/>
      <c r="G319" s="24"/>
      <c r="H319" s="24"/>
      <c r="I319" s="24"/>
      <c r="J319" s="24"/>
      <c r="K319" s="24"/>
      <c r="L319" s="24"/>
      <c r="M319" s="40"/>
      <c r="N319" s="24"/>
      <c r="O319" s="24"/>
      <c r="P319" s="87"/>
      <c r="Q319" s="87"/>
      <c r="R319" s="2"/>
      <c r="V319" s="2"/>
      <c r="W319" s="40"/>
      <c r="AG319" s="40"/>
      <c r="AH319" s="40"/>
      <c r="AI319" s="40"/>
      <c r="AJ319" s="40"/>
      <c r="AK319" s="2"/>
      <c r="AQ319" s="38"/>
      <c r="AR319" s="38"/>
      <c r="AS319" s="38"/>
      <c r="AT319" s="27"/>
      <c r="AU319" s="25"/>
      <c r="AV319" s="25"/>
      <c r="AW319" s="25"/>
      <c r="AX319" s="25"/>
      <c r="AY319" s="38"/>
      <c r="BG319" s="10"/>
      <c r="BI319" s="10"/>
      <c r="BJ319" s="10"/>
      <c r="BK319" s="10"/>
      <c r="BL319" s="10"/>
      <c r="BM319" s="10"/>
      <c r="BN319" s="10"/>
      <c r="BO319" s="10"/>
      <c r="BP319" s="10"/>
    </row>
    <row r="320" spans="2:68" s="1" customFormat="1" ht="15">
      <c r="B320" s="2"/>
      <c r="C320" s="157"/>
      <c r="D320" s="24"/>
      <c r="E320" s="24"/>
      <c r="F320" s="24"/>
      <c r="G320" s="24"/>
      <c r="H320" s="24"/>
      <c r="I320" s="24"/>
      <c r="J320" s="24"/>
      <c r="K320" s="24"/>
      <c r="L320" s="24"/>
      <c r="M320" s="40"/>
      <c r="N320" s="24"/>
      <c r="O320" s="24"/>
      <c r="P320" s="87"/>
      <c r="Q320" s="87"/>
      <c r="R320" s="2"/>
      <c r="V320" s="2"/>
      <c r="W320" s="40"/>
      <c r="AG320" s="40"/>
      <c r="AH320" s="40"/>
      <c r="AI320" s="40"/>
      <c r="AJ320" s="40"/>
      <c r="AK320" s="2"/>
      <c r="AQ320" s="38"/>
      <c r="AR320" s="38"/>
      <c r="AS320" s="38"/>
      <c r="AT320" s="27"/>
      <c r="AU320" s="25"/>
      <c r="AV320" s="25"/>
      <c r="AW320" s="25"/>
      <c r="AX320" s="25"/>
      <c r="AY320" s="38"/>
      <c r="BG320" s="10"/>
      <c r="BI320" s="10"/>
      <c r="BJ320" s="10"/>
      <c r="BK320" s="10"/>
      <c r="BL320" s="10"/>
      <c r="BM320" s="10"/>
      <c r="BN320" s="10"/>
      <c r="BO320" s="10"/>
      <c r="BP320" s="10"/>
    </row>
    <row r="321" spans="2:68" s="1" customFormat="1" ht="15">
      <c r="B321" s="2"/>
      <c r="C321" s="157"/>
      <c r="D321" s="24"/>
      <c r="E321" s="24"/>
      <c r="F321" s="24"/>
      <c r="G321" s="24"/>
      <c r="H321" s="24"/>
      <c r="I321" s="24"/>
      <c r="J321" s="24"/>
      <c r="K321" s="24"/>
      <c r="L321" s="24"/>
      <c r="M321" s="40"/>
      <c r="N321" s="24"/>
      <c r="O321" s="24"/>
      <c r="P321" s="87"/>
      <c r="Q321" s="87"/>
      <c r="R321" s="2"/>
      <c r="V321" s="2"/>
      <c r="W321" s="40"/>
      <c r="AG321" s="40"/>
      <c r="AH321" s="40"/>
      <c r="AI321" s="40"/>
      <c r="AJ321" s="40"/>
      <c r="AK321" s="2"/>
      <c r="AQ321" s="38"/>
      <c r="AR321" s="38"/>
      <c r="AS321" s="38"/>
      <c r="AT321" s="27"/>
      <c r="AU321" s="25"/>
      <c r="AV321" s="25"/>
      <c r="AW321" s="25"/>
      <c r="AX321" s="25"/>
      <c r="AY321" s="38"/>
      <c r="BG321" s="10"/>
      <c r="BI321" s="10"/>
      <c r="BJ321" s="10"/>
      <c r="BK321" s="10"/>
      <c r="BL321" s="10"/>
      <c r="BM321" s="10"/>
      <c r="BN321" s="10"/>
      <c r="BO321" s="10"/>
      <c r="BP321" s="10"/>
    </row>
    <row r="322" spans="2:68" s="1" customFormat="1" ht="15">
      <c r="B322" s="2"/>
      <c r="C322" s="157"/>
      <c r="D322" s="24"/>
      <c r="E322" s="24"/>
      <c r="F322" s="24"/>
      <c r="G322" s="24"/>
      <c r="H322" s="24"/>
      <c r="I322" s="24"/>
      <c r="J322" s="24"/>
      <c r="K322" s="24"/>
      <c r="L322" s="24"/>
      <c r="M322" s="40"/>
      <c r="N322" s="24"/>
      <c r="O322" s="24"/>
      <c r="P322" s="87"/>
      <c r="Q322" s="87"/>
      <c r="R322" s="2"/>
      <c r="V322" s="2"/>
      <c r="W322" s="40"/>
      <c r="AG322" s="40"/>
      <c r="AH322" s="40"/>
      <c r="AI322" s="40"/>
      <c r="AJ322" s="40"/>
      <c r="AK322" s="2"/>
      <c r="AQ322" s="38"/>
      <c r="AR322" s="38"/>
      <c r="AS322" s="38"/>
      <c r="AT322" s="27"/>
      <c r="AU322" s="25"/>
      <c r="AV322" s="25"/>
      <c r="AW322" s="25"/>
      <c r="AX322" s="25"/>
      <c r="AY322" s="38"/>
      <c r="BG322" s="10"/>
      <c r="BI322" s="10"/>
      <c r="BJ322" s="10"/>
      <c r="BK322" s="10"/>
      <c r="BL322" s="10"/>
      <c r="BM322" s="10"/>
      <c r="BN322" s="10"/>
      <c r="BO322" s="10"/>
      <c r="BP322" s="10"/>
    </row>
    <row r="323" spans="2:68" s="1" customFormat="1" ht="15">
      <c r="B323" s="2"/>
      <c r="C323" s="157"/>
      <c r="D323" s="24"/>
      <c r="E323" s="24"/>
      <c r="F323" s="24"/>
      <c r="G323" s="24"/>
      <c r="H323" s="24"/>
      <c r="I323" s="24"/>
      <c r="J323" s="24"/>
      <c r="K323" s="24"/>
      <c r="L323" s="24"/>
      <c r="M323" s="40"/>
      <c r="N323" s="24"/>
      <c r="O323" s="24"/>
      <c r="P323" s="87"/>
      <c r="Q323" s="87"/>
      <c r="R323" s="2"/>
      <c r="V323" s="2"/>
      <c r="W323" s="40"/>
      <c r="AG323" s="40"/>
      <c r="AH323" s="40"/>
      <c r="AI323" s="40"/>
      <c r="AJ323" s="40"/>
      <c r="AK323" s="2"/>
      <c r="AQ323" s="38"/>
      <c r="AR323" s="38"/>
      <c r="AS323" s="38"/>
      <c r="AT323" s="27"/>
      <c r="AU323" s="25"/>
      <c r="AV323" s="25"/>
      <c r="AW323" s="25"/>
      <c r="AX323" s="25"/>
      <c r="AY323" s="38"/>
      <c r="BG323" s="10"/>
      <c r="BI323" s="10"/>
      <c r="BJ323" s="10"/>
      <c r="BK323" s="10"/>
      <c r="BL323" s="10"/>
      <c r="BM323" s="10"/>
      <c r="BN323" s="10"/>
      <c r="BO323" s="10"/>
      <c r="BP323" s="10"/>
    </row>
    <row r="324" spans="2:68" s="1" customFormat="1" ht="15">
      <c r="B324" s="2"/>
      <c r="C324" s="157"/>
      <c r="D324" s="24"/>
      <c r="E324" s="24"/>
      <c r="F324" s="24"/>
      <c r="G324" s="24"/>
      <c r="H324" s="24"/>
      <c r="I324" s="24"/>
      <c r="J324" s="24"/>
      <c r="K324" s="24"/>
      <c r="L324" s="24"/>
      <c r="M324" s="40"/>
      <c r="N324" s="24"/>
      <c r="O324" s="24"/>
      <c r="P324" s="87"/>
      <c r="Q324" s="87"/>
      <c r="R324" s="2"/>
      <c r="V324" s="2"/>
      <c r="W324" s="40"/>
      <c r="AG324" s="40"/>
      <c r="AH324" s="40"/>
      <c r="AI324" s="40"/>
      <c r="AJ324" s="40"/>
      <c r="AK324" s="2"/>
      <c r="AQ324" s="38"/>
      <c r="AR324" s="38"/>
      <c r="AS324" s="38"/>
      <c r="AT324" s="27"/>
      <c r="AU324" s="25"/>
      <c r="AV324" s="25"/>
      <c r="AW324" s="25"/>
      <c r="AX324" s="25"/>
      <c r="AY324" s="38"/>
      <c r="BG324" s="10"/>
      <c r="BI324" s="10"/>
      <c r="BJ324" s="10"/>
      <c r="BK324" s="10"/>
      <c r="BL324" s="10"/>
      <c r="BM324" s="10"/>
      <c r="BN324" s="10"/>
      <c r="BO324" s="10"/>
      <c r="BP324" s="10"/>
    </row>
    <row r="325" spans="2:68" s="1" customFormat="1" ht="15">
      <c r="B325" s="2"/>
      <c r="C325" s="157"/>
      <c r="D325" s="24"/>
      <c r="E325" s="24"/>
      <c r="F325" s="24"/>
      <c r="G325" s="24"/>
      <c r="H325" s="24"/>
      <c r="I325" s="24"/>
      <c r="J325" s="24"/>
      <c r="K325" s="24"/>
      <c r="L325" s="24"/>
      <c r="M325" s="40"/>
      <c r="N325" s="24"/>
      <c r="O325" s="24"/>
      <c r="P325" s="87"/>
      <c r="Q325" s="87"/>
      <c r="R325" s="2"/>
      <c r="V325" s="2"/>
      <c r="W325" s="40"/>
      <c r="AG325" s="40"/>
      <c r="AH325" s="40"/>
      <c r="AI325" s="40"/>
      <c r="AJ325" s="40"/>
      <c r="AK325" s="2"/>
      <c r="AQ325" s="38"/>
      <c r="AR325" s="38"/>
      <c r="AS325" s="38"/>
      <c r="AT325" s="27"/>
      <c r="AU325" s="25"/>
      <c r="AV325" s="25"/>
      <c r="AW325" s="25"/>
      <c r="AX325" s="25"/>
      <c r="AY325" s="38"/>
      <c r="BG325" s="10"/>
      <c r="BI325" s="10"/>
      <c r="BJ325" s="10"/>
      <c r="BK325" s="10"/>
      <c r="BL325" s="10"/>
      <c r="BM325" s="10"/>
      <c r="BN325" s="10"/>
      <c r="BO325" s="10"/>
      <c r="BP325" s="10"/>
    </row>
    <row r="326" spans="2:68" s="1" customFormat="1" ht="15">
      <c r="B326" s="2"/>
      <c r="C326" s="157"/>
      <c r="D326" s="24"/>
      <c r="E326" s="24"/>
      <c r="F326" s="24"/>
      <c r="G326" s="24"/>
      <c r="H326" s="24"/>
      <c r="I326" s="24"/>
      <c r="J326" s="24"/>
      <c r="K326" s="24"/>
      <c r="L326" s="24"/>
      <c r="M326" s="40"/>
      <c r="N326" s="24"/>
      <c r="O326" s="24"/>
      <c r="P326" s="87"/>
      <c r="Q326" s="87"/>
      <c r="R326" s="2"/>
      <c r="V326" s="2"/>
      <c r="W326" s="40"/>
      <c r="AG326" s="40"/>
      <c r="AH326" s="40"/>
      <c r="AI326" s="40"/>
      <c r="AJ326" s="40"/>
      <c r="AK326" s="2"/>
      <c r="AQ326" s="38"/>
      <c r="AR326" s="38"/>
      <c r="AS326" s="38"/>
      <c r="AT326" s="27"/>
      <c r="AU326" s="25"/>
      <c r="AV326" s="25"/>
      <c r="AW326" s="25"/>
      <c r="AX326" s="25"/>
      <c r="AY326" s="38"/>
      <c r="BG326" s="10"/>
      <c r="BI326" s="10"/>
      <c r="BJ326" s="10"/>
      <c r="BK326" s="10"/>
      <c r="BL326" s="10"/>
      <c r="BM326" s="10"/>
      <c r="BN326" s="10"/>
      <c r="BO326" s="10"/>
      <c r="BP326" s="10"/>
    </row>
    <row r="327" spans="2:68" s="1" customFormat="1" ht="15">
      <c r="B327" s="2"/>
      <c r="C327" s="157"/>
      <c r="D327" s="24"/>
      <c r="E327" s="24"/>
      <c r="F327" s="24"/>
      <c r="G327" s="24"/>
      <c r="H327" s="24"/>
      <c r="I327" s="24"/>
      <c r="J327" s="24"/>
      <c r="K327" s="24"/>
      <c r="L327" s="24"/>
      <c r="M327" s="40"/>
      <c r="N327" s="24"/>
      <c r="O327" s="24"/>
      <c r="P327" s="87"/>
      <c r="Q327" s="87"/>
      <c r="R327" s="2"/>
      <c r="V327" s="2"/>
      <c r="W327" s="40"/>
      <c r="AG327" s="40"/>
      <c r="AH327" s="40"/>
      <c r="AI327" s="40"/>
      <c r="AJ327" s="40"/>
      <c r="AK327" s="2"/>
      <c r="AQ327" s="38"/>
      <c r="AR327" s="38"/>
      <c r="AS327" s="38"/>
      <c r="AT327" s="27"/>
      <c r="AU327" s="25"/>
      <c r="AV327" s="25"/>
      <c r="AW327" s="25"/>
      <c r="AX327" s="25"/>
      <c r="AY327" s="38"/>
      <c r="BG327" s="10"/>
      <c r="BI327" s="10"/>
      <c r="BJ327" s="10"/>
      <c r="BK327" s="10"/>
      <c r="BL327" s="10"/>
      <c r="BM327" s="10"/>
      <c r="BN327" s="10"/>
      <c r="BO327" s="10"/>
      <c r="BP327" s="10"/>
    </row>
    <row r="328" spans="2:68" s="1" customFormat="1" ht="15">
      <c r="B328" s="2"/>
      <c r="C328" s="157"/>
      <c r="D328" s="24"/>
      <c r="E328" s="24"/>
      <c r="F328" s="24"/>
      <c r="G328" s="24"/>
      <c r="H328" s="24"/>
      <c r="I328" s="24"/>
      <c r="J328" s="24"/>
      <c r="K328" s="24"/>
      <c r="L328" s="24"/>
      <c r="M328" s="40"/>
      <c r="N328" s="24"/>
      <c r="O328" s="24"/>
      <c r="P328" s="87"/>
      <c r="Q328" s="87"/>
      <c r="R328" s="2"/>
      <c r="V328" s="2"/>
      <c r="W328" s="40"/>
      <c r="AG328" s="40"/>
      <c r="AH328" s="40"/>
      <c r="AI328" s="40"/>
      <c r="AJ328" s="40"/>
      <c r="AK328" s="2"/>
      <c r="AQ328" s="38"/>
      <c r="AR328" s="38"/>
      <c r="AS328" s="38"/>
      <c r="AT328" s="27"/>
      <c r="AU328" s="25"/>
      <c r="AV328" s="25"/>
      <c r="AW328" s="25"/>
      <c r="AX328" s="25"/>
      <c r="AY328" s="38"/>
      <c r="BG328" s="10"/>
      <c r="BI328" s="10"/>
      <c r="BJ328" s="10"/>
      <c r="BK328" s="10"/>
      <c r="BL328" s="10"/>
      <c r="BM328" s="10"/>
      <c r="BN328" s="10"/>
      <c r="BO328" s="10"/>
      <c r="BP328" s="10"/>
    </row>
    <row r="329" spans="2:68" s="1" customFormat="1" ht="15">
      <c r="B329" s="2"/>
      <c r="C329" s="157"/>
      <c r="D329" s="24"/>
      <c r="E329" s="24"/>
      <c r="F329" s="24"/>
      <c r="G329" s="24"/>
      <c r="H329" s="24"/>
      <c r="I329" s="24"/>
      <c r="J329" s="24"/>
      <c r="K329" s="24"/>
      <c r="L329" s="24"/>
      <c r="M329" s="40"/>
      <c r="N329" s="24"/>
      <c r="O329" s="24"/>
      <c r="P329" s="87"/>
      <c r="Q329" s="87"/>
      <c r="R329" s="2"/>
      <c r="V329" s="2"/>
      <c r="W329" s="40"/>
      <c r="AG329" s="40"/>
      <c r="AH329" s="40"/>
      <c r="AI329" s="40"/>
      <c r="AJ329" s="40"/>
      <c r="AK329" s="2"/>
      <c r="AQ329" s="38"/>
      <c r="AR329" s="38"/>
      <c r="AS329" s="38"/>
      <c r="AT329" s="27"/>
      <c r="AU329" s="25"/>
      <c r="AV329" s="25"/>
      <c r="AW329" s="25"/>
      <c r="AX329" s="25"/>
      <c r="AY329" s="38"/>
      <c r="BG329" s="10"/>
      <c r="BI329" s="10"/>
      <c r="BJ329" s="10"/>
      <c r="BK329" s="10"/>
      <c r="BL329" s="10"/>
      <c r="BM329" s="10"/>
      <c r="BN329" s="10"/>
      <c r="BO329" s="10"/>
      <c r="BP329" s="10"/>
    </row>
    <row r="330" spans="2:68" s="1" customFormat="1" ht="15">
      <c r="B330" s="2"/>
      <c r="C330" s="157"/>
      <c r="D330" s="24"/>
      <c r="E330" s="24"/>
      <c r="F330" s="24"/>
      <c r="G330" s="24"/>
      <c r="H330" s="24"/>
      <c r="I330" s="24"/>
      <c r="J330" s="24"/>
      <c r="K330" s="24"/>
      <c r="L330" s="24"/>
      <c r="M330" s="40"/>
      <c r="N330" s="24"/>
      <c r="O330" s="24"/>
      <c r="P330" s="87"/>
      <c r="Q330" s="87"/>
      <c r="R330" s="2"/>
      <c r="V330" s="2"/>
      <c r="W330" s="40"/>
      <c r="AG330" s="40"/>
      <c r="AH330" s="40"/>
      <c r="AI330" s="40"/>
      <c r="AJ330" s="40"/>
      <c r="AK330" s="2"/>
      <c r="AQ330" s="38"/>
      <c r="AR330" s="38"/>
      <c r="AS330" s="38"/>
      <c r="AT330" s="27"/>
      <c r="AU330" s="25"/>
      <c r="AV330" s="25"/>
      <c r="AW330" s="25"/>
      <c r="AX330" s="25"/>
      <c r="AY330" s="38"/>
      <c r="BG330" s="10"/>
      <c r="BI330" s="10"/>
      <c r="BJ330" s="10"/>
      <c r="BK330" s="10"/>
      <c r="BL330" s="10"/>
      <c r="BM330" s="10"/>
      <c r="BN330" s="10"/>
      <c r="BO330" s="10"/>
      <c r="BP330" s="10"/>
    </row>
    <row r="331" spans="2:68" s="1" customFormat="1" ht="15">
      <c r="B331" s="2"/>
      <c r="C331" s="157"/>
      <c r="D331" s="24"/>
      <c r="E331" s="24"/>
      <c r="F331" s="24"/>
      <c r="G331" s="24"/>
      <c r="H331" s="24"/>
      <c r="I331" s="24"/>
      <c r="J331" s="24"/>
      <c r="K331" s="24"/>
      <c r="L331" s="24"/>
      <c r="M331" s="40"/>
      <c r="N331" s="24"/>
      <c r="O331" s="24"/>
      <c r="P331" s="87"/>
      <c r="Q331" s="87"/>
      <c r="R331" s="2"/>
      <c r="V331" s="2"/>
      <c r="W331" s="40"/>
      <c r="AG331" s="40"/>
      <c r="AH331" s="40"/>
      <c r="AI331" s="40"/>
      <c r="AJ331" s="40"/>
      <c r="AK331" s="2"/>
      <c r="AQ331" s="38"/>
      <c r="AR331" s="38"/>
      <c r="AS331" s="38"/>
      <c r="AT331" s="27"/>
      <c r="AU331" s="25"/>
      <c r="AV331" s="25"/>
      <c r="AW331" s="25"/>
      <c r="AX331" s="25"/>
      <c r="AY331" s="38"/>
      <c r="BG331" s="10"/>
      <c r="BI331" s="10"/>
      <c r="BJ331" s="10"/>
      <c r="BK331" s="10"/>
      <c r="BL331" s="10"/>
      <c r="BM331" s="10"/>
      <c r="BN331" s="10"/>
      <c r="BO331" s="10"/>
      <c r="BP331" s="10"/>
    </row>
    <row r="332" spans="2:68" s="1" customFormat="1" ht="15">
      <c r="B332" s="2"/>
      <c r="C332" s="157"/>
      <c r="D332" s="24"/>
      <c r="E332" s="24"/>
      <c r="F332" s="24"/>
      <c r="G332" s="24"/>
      <c r="H332" s="24"/>
      <c r="I332" s="24"/>
      <c r="J332" s="24"/>
      <c r="K332" s="24"/>
      <c r="L332" s="24"/>
      <c r="M332" s="40"/>
      <c r="N332" s="24"/>
      <c r="O332" s="24"/>
      <c r="P332" s="87"/>
      <c r="Q332" s="87"/>
      <c r="R332" s="2"/>
      <c r="V332" s="2"/>
      <c r="W332" s="40"/>
      <c r="AG332" s="40"/>
      <c r="AH332" s="40"/>
      <c r="AI332" s="40"/>
      <c r="AJ332" s="40"/>
      <c r="AK332" s="2"/>
      <c r="AQ332" s="38"/>
      <c r="AR332" s="38"/>
      <c r="AS332" s="38"/>
      <c r="AT332" s="27"/>
      <c r="AU332" s="25"/>
      <c r="AV332" s="25"/>
      <c r="AW332" s="25"/>
      <c r="AX332" s="25"/>
      <c r="AY332" s="38"/>
      <c r="BG332" s="10"/>
      <c r="BI332" s="10"/>
      <c r="BJ332" s="10"/>
      <c r="BK332" s="10"/>
      <c r="BL332" s="10"/>
      <c r="BM332" s="10"/>
      <c r="BN332" s="10"/>
      <c r="BO332" s="10"/>
      <c r="BP332" s="10"/>
    </row>
    <row r="333" spans="2:68" s="1" customFormat="1" ht="15">
      <c r="B333" s="2"/>
      <c r="C333" s="157"/>
      <c r="D333" s="24"/>
      <c r="E333" s="24"/>
      <c r="F333" s="24"/>
      <c r="G333" s="24"/>
      <c r="H333" s="24"/>
      <c r="I333" s="24"/>
      <c r="J333" s="24"/>
      <c r="K333" s="24"/>
      <c r="L333" s="24"/>
      <c r="M333" s="40"/>
      <c r="N333" s="24"/>
      <c r="O333" s="24"/>
      <c r="P333" s="87"/>
      <c r="Q333" s="87"/>
      <c r="R333" s="2"/>
      <c r="V333" s="2"/>
      <c r="W333" s="40"/>
      <c r="AG333" s="40"/>
      <c r="AH333" s="40"/>
      <c r="AI333" s="40"/>
      <c r="AJ333" s="40"/>
      <c r="AK333" s="2"/>
      <c r="AQ333" s="38"/>
      <c r="AR333" s="38"/>
      <c r="AS333" s="38"/>
      <c r="AT333" s="27"/>
      <c r="AU333" s="25"/>
      <c r="AV333" s="25"/>
      <c r="AW333" s="25"/>
      <c r="AX333" s="25"/>
      <c r="AY333" s="38"/>
      <c r="BG333" s="10"/>
      <c r="BI333" s="10"/>
      <c r="BJ333" s="10"/>
      <c r="BK333" s="10"/>
      <c r="BL333" s="10"/>
      <c r="BM333" s="10"/>
      <c r="BN333" s="10"/>
      <c r="BO333" s="10"/>
      <c r="BP333" s="10"/>
    </row>
    <row r="334" spans="2:68" s="1" customFormat="1" ht="15">
      <c r="B334" s="2"/>
      <c r="C334" s="157"/>
      <c r="D334" s="24"/>
      <c r="E334" s="24"/>
      <c r="F334" s="24"/>
      <c r="G334" s="24"/>
      <c r="H334" s="24"/>
      <c r="I334" s="24"/>
      <c r="J334" s="24"/>
      <c r="K334" s="24"/>
      <c r="L334" s="24"/>
      <c r="M334" s="40"/>
      <c r="N334" s="24"/>
      <c r="O334" s="24"/>
      <c r="P334" s="87"/>
      <c r="Q334" s="87"/>
      <c r="R334" s="2"/>
      <c r="V334" s="2"/>
      <c r="W334" s="40"/>
      <c r="AG334" s="40"/>
      <c r="AH334" s="40"/>
      <c r="AI334" s="40"/>
      <c r="AJ334" s="40"/>
      <c r="AK334" s="2"/>
      <c r="AQ334" s="38"/>
      <c r="AR334" s="38"/>
      <c r="AS334" s="38"/>
      <c r="AT334" s="27"/>
      <c r="AU334" s="25"/>
      <c r="AV334" s="25"/>
      <c r="AW334" s="25"/>
      <c r="AX334" s="25"/>
      <c r="AY334" s="38"/>
      <c r="BG334" s="10"/>
      <c r="BI334" s="10"/>
      <c r="BJ334" s="10"/>
      <c r="BK334" s="10"/>
      <c r="BL334" s="10"/>
      <c r="BM334" s="10"/>
      <c r="BN334" s="10"/>
      <c r="BO334" s="10"/>
      <c r="BP334" s="10"/>
    </row>
    <row r="335" spans="2:68" s="1" customFormat="1" ht="15">
      <c r="B335" s="2"/>
      <c r="C335" s="157"/>
      <c r="D335" s="24"/>
      <c r="E335" s="24"/>
      <c r="F335" s="77"/>
      <c r="G335" s="78"/>
      <c r="H335" s="78"/>
      <c r="I335" s="78"/>
      <c r="J335" s="78"/>
      <c r="K335" s="78"/>
      <c r="L335" s="78"/>
      <c r="M335" s="129"/>
      <c r="N335" s="78"/>
      <c r="O335" s="78"/>
      <c r="P335" s="100"/>
      <c r="Q335" s="100"/>
      <c r="R335" s="2"/>
      <c r="S335" s="78"/>
      <c r="T335" s="78"/>
      <c r="U335" s="78"/>
      <c r="V335" s="67"/>
      <c r="W335" s="129"/>
      <c r="X335" s="78"/>
      <c r="Y335" s="78"/>
      <c r="Z335" s="78"/>
      <c r="AA335" s="78"/>
      <c r="AB335" s="78"/>
      <c r="AC335" s="78"/>
      <c r="AD335" s="78"/>
      <c r="AE335" s="78"/>
      <c r="AF335" s="78"/>
      <c r="AG335" s="40"/>
      <c r="AH335" s="40"/>
      <c r="AI335" s="40"/>
      <c r="AJ335" s="40"/>
      <c r="AK335" s="2"/>
      <c r="AQ335" s="38"/>
      <c r="AR335" s="38"/>
      <c r="AS335" s="38"/>
      <c r="AT335" s="27"/>
      <c r="AU335" s="25"/>
      <c r="AV335" s="25"/>
      <c r="AW335" s="25"/>
      <c r="AX335" s="25"/>
      <c r="AY335" s="38"/>
      <c r="BG335" s="10"/>
      <c r="BI335" s="10"/>
      <c r="BJ335" s="10"/>
      <c r="BK335" s="10"/>
      <c r="BL335" s="10"/>
      <c r="BM335" s="10"/>
      <c r="BN335" s="10"/>
      <c r="BO335" s="10"/>
      <c r="BP335" s="10"/>
    </row>
    <row r="336" spans="2:68" ht="15.75">
      <c r="F336" s="23"/>
      <c r="G336" s="13"/>
      <c r="H336" s="13"/>
      <c r="I336" s="13"/>
      <c r="J336" s="13"/>
      <c r="K336" s="13"/>
      <c r="L336" s="13"/>
      <c r="M336" s="15"/>
      <c r="N336" s="13"/>
      <c r="O336" s="13"/>
      <c r="P336" s="101"/>
      <c r="Q336" s="101"/>
      <c r="S336" s="13"/>
      <c r="T336" s="13"/>
      <c r="U336" s="13"/>
      <c r="V336" s="146"/>
      <c r="W336" s="15"/>
      <c r="X336" s="13"/>
      <c r="Y336" s="13"/>
      <c r="Z336" s="13"/>
      <c r="AA336" s="13"/>
      <c r="AB336" s="13"/>
      <c r="AC336" s="13"/>
      <c r="AD336" s="13"/>
      <c r="AE336" s="13"/>
      <c r="AF336" s="13"/>
    </row>
    <row r="337" spans="6:32" ht="15.75">
      <c r="F337" s="23"/>
      <c r="G337" s="13"/>
      <c r="H337" s="13"/>
      <c r="I337" s="13"/>
      <c r="J337" s="13"/>
      <c r="K337" s="13"/>
      <c r="L337" s="13"/>
      <c r="M337" s="15"/>
      <c r="N337" s="13"/>
      <c r="O337" s="13"/>
      <c r="P337" s="101"/>
      <c r="Q337" s="101"/>
      <c r="S337" s="13"/>
      <c r="T337" s="13"/>
      <c r="U337" s="13"/>
      <c r="V337" s="146"/>
      <c r="W337" s="15"/>
      <c r="X337" s="13"/>
      <c r="Y337" s="13"/>
      <c r="Z337" s="13"/>
      <c r="AA337" s="13"/>
      <c r="AB337" s="13"/>
      <c r="AC337" s="13"/>
      <c r="AD337" s="13"/>
      <c r="AE337" s="13"/>
      <c r="AF337" s="13"/>
    </row>
    <row r="338" spans="6:32" ht="15.75">
      <c r="F338" s="23"/>
      <c r="G338" s="13"/>
      <c r="H338" s="13"/>
      <c r="I338" s="13"/>
      <c r="J338" s="13"/>
      <c r="K338" s="13"/>
      <c r="L338" s="13"/>
      <c r="M338" s="15"/>
      <c r="N338" s="13"/>
      <c r="O338" s="13"/>
      <c r="P338" s="101"/>
      <c r="Q338" s="101"/>
      <c r="S338" s="13"/>
      <c r="T338" s="13"/>
      <c r="U338" s="13"/>
      <c r="V338" s="146"/>
      <c r="W338" s="15"/>
      <c r="X338" s="13"/>
      <c r="Y338" s="13"/>
      <c r="Z338" s="13"/>
      <c r="AA338" s="13"/>
      <c r="AB338" s="13"/>
      <c r="AC338" s="13"/>
      <c r="AD338" s="13"/>
      <c r="AE338" s="13"/>
      <c r="AF338" s="13"/>
    </row>
    <row r="339" spans="6:32" ht="15.75">
      <c r="F339" s="23"/>
      <c r="G339" s="13"/>
      <c r="H339" s="13"/>
      <c r="I339" s="13"/>
      <c r="J339" s="13"/>
      <c r="K339" s="13"/>
      <c r="L339" s="13"/>
      <c r="M339" s="15"/>
      <c r="N339" s="13"/>
      <c r="O339" s="13"/>
      <c r="P339" s="101"/>
      <c r="Q339" s="101"/>
      <c r="S339" s="13"/>
      <c r="T339" s="13"/>
      <c r="U339" s="13"/>
      <c r="V339" s="146"/>
      <c r="W339" s="15"/>
      <c r="X339" s="13"/>
      <c r="Y339" s="13"/>
      <c r="Z339" s="13"/>
      <c r="AA339" s="13"/>
      <c r="AB339" s="13"/>
      <c r="AC339" s="13"/>
      <c r="AD339" s="13"/>
      <c r="AE339" s="13"/>
      <c r="AF339" s="13"/>
    </row>
    <row r="340" spans="6:32" ht="15.75">
      <c r="F340" s="23"/>
      <c r="G340" s="13"/>
      <c r="H340" s="13"/>
      <c r="I340" s="13"/>
      <c r="J340" s="13"/>
      <c r="K340" s="13"/>
      <c r="L340" s="13"/>
      <c r="M340" s="15"/>
      <c r="N340" s="13"/>
      <c r="O340" s="13"/>
      <c r="P340" s="101"/>
      <c r="Q340" s="101"/>
      <c r="S340" s="13"/>
      <c r="T340" s="13"/>
      <c r="U340" s="13"/>
      <c r="V340" s="146"/>
      <c r="W340" s="15"/>
      <c r="X340" s="13"/>
      <c r="Y340" s="13"/>
      <c r="Z340" s="13"/>
      <c r="AA340" s="13"/>
      <c r="AB340" s="13"/>
      <c r="AC340" s="13"/>
      <c r="AD340" s="13"/>
      <c r="AE340" s="13"/>
      <c r="AF340" s="13"/>
    </row>
    <row r="341" spans="6:32" ht="15.75">
      <c r="F341" s="23"/>
      <c r="G341" s="13"/>
      <c r="H341" s="13"/>
      <c r="I341" s="13"/>
      <c r="J341" s="13"/>
      <c r="K341" s="13"/>
      <c r="L341" s="13"/>
      <c r="M341" s="15"/>
      <c r="N341" s="13"/>
      <c r="O341" s="13"/>
      <c r="P341" s="101"/>
      <c r="Q341" s="101"/>
      <c r="S341" s="13"/>
      <c r="T341" s="13"/>
      <c r="U341" s="13"/>
      <c r="V341" s="146"/>
      <c r="W341" s="15"/>
      <c r="X341" s="13"/>
      <c r="Y341" s="13"/>
      <c r="Z341" s="13"/>
      <c r="AA341" s="13"/>
      <c r="AB341" s="13"/>
      <c r="AC341" s="13"/>
      <c r="AD341" s="13"/>
      <c r="AE341" s="13"/>
      <c r="AF341" s="13"/>
    </row>
    <row r="342" spans="6:32" ht="15.75">
      <c r="F342" s="23"/>
      <c r="G342" s="13"/>
      <c r="H342" s="13"/>
      <c r="I342" s="13"/>
      <c r="J342" s="13"/>
      <c r="K342" s="13"/>
      <c r="L342" s="13"/>
      <c r="M342" s="15"/>
      <c r="N342" s="13"/>
      <c r="O342" s="13"/>
      <c r="P342" s="101"/>
      <c r="Q342" s="101"/>
      <c r="S342" s="13"/>
      <c r="T342" s="13"/>
      <c r="U342" s="13"/>
      <c r="V342" s="146"/>
      <c r="W342" s="15"/>
      <c r="X342" s="13"/>
      <c r="Y342" s="13"/>
      <c r="Z342" s="13"/>
      <c r="AA342" s="13"/>
      <c r="AB342" s="13"/>
      <c r="AC342" s="13"/>
      <c r="AD342" s="13"/>
      <c r="AE342" s="13"/>
      <c r="AF342" s="13"/>
    </row>
    <row r="343" spans="6:32" ht="15.75">
      <c r="F343" s="23"/>
      <c r="G343" s="13"/>
      <c r="H343" s="13"/>
      <c r="I343" s="13"/>
      <c r="J343" s="13"/>
      <c r="K343" s="13"/>
      <c r="L343" s="13"/>
      <c r="M343" s="15"/>
      <c r="N343" s="13"/>
      <c r="O343" s="13"/>
      <c r="P343" s="101"/>
      <c r="Q343" s="101"/>
      <c r="S343" s="13"/>
      <c r="T343" s="13"/>
      <c r="U343" s="13"/>
      <c r="V343" s="146"/>
      <c r="W343" s="15"/>
      <c r="X343" s="13"/>
      <c r="Y343" s="13"/>
      <c r="Z343" s="13"/>
      <c r="AA343" s="13"/>
      <c r="AB343" s="13"/>
      <c r="AC343" s="13"/>
      <c r="AD343" s="13"/>
      <c r="AE343" s="13"/>
      <c r="AF343" s="13"/>
    </row>
    <row r="344" spans="6:32" ht="15.75">
      <c r="F344" s="23"/>
      <c r="G344" s="13"/>
      <c r="H344" s="13"/>
      <c r="I344" s="13"/>
      <c r="J344" s="13"/>
      <c r="K344" s="13"/>
      <c r="L344" s="13"/>
      <c r="M344" s="15"/>
      <c r="N344" s="13"/>
      <c r="O344" s="13"/>
      <c r="P344" s="101"/>
      <c r="Q344" s="101"/>
      <c r="S344" s="13"/>
      <c r="T344" s="13"/>
      <c r="U344" s="13"/>
      <c r="V344" s="146"/>
      <c r="W344" s="15"/>
      <c r="X344" s="13"/>
      <c r="Y344" s="13"/>
      <c r="Z344" s="13"/>
      <c r="AA344" s="13"/>
      <c r="AB344" s="13"/>
      <c r="AC344" s="13"/>
      <c r="AD344" s="15"/>
      <c r="AE344" s="15"/>
      <c r="AF344" s="15"/>
    </row>
    <row r="345" spans="6:32" ht="15.75">
      <c r="F345" s="23"/>
      <c r="G345" s="13"/>
      <c r="H345" s="13"/>
      <c r="I345" s="13"/>
      <c r="J345" s="13"/>
      <c r="K345" s="13"/>
      <c r="L345" s="13"/>
      <c r="M345" s="15"/>
      <c r="N345" s="13"/>
      <c r="O345" s="13"/>
      <c r="P345" s="101"/>
      <c r="Q345" s="101"/>
      <c r="S345" s="13"/>
      <c r="T345" s="13"/>
      <c r="U345" s="13"/>
      <c r="V345" s="146"/>
      <c r="W345" s="15"/>
      <c r="X345" s="13"/>
      <c r="Y345" s="13"/>
      <c r="Z345" s="13"/>
      <c r="AA345" s="13"/>
      <c r="AB345" s="13"/>
      <c r="AC345" s="13"/>
      <c r="AD345" s="13"/>
      <c r="AE345" s="13"/>
      <c r="AF345" s="13"/>
    </row>
    <row r="346" spans="6:32" ht="15.75">
      <c r="F346" s="23"/>
      <c r="G346" s="13"/>
      <c r="H346" s="13"/>
      <c r="I346" s="13"/>
      <c r="J346" s="13"/>
      <c r="K346" s="13"/>
      <c r="L346" s="13"/>
      <c r="M346" s="15"/>
      <c r="N346" s="13"/>
      <c r="O346" s="13"/>
      <c r="P346" s="101"/>
      <c r="Q346" s="101"/>
      <c r="S346" s="13"/>
      <c r="T346" s="13"/>
      <c r="U346" s="13"/>
      <c r="V346" s="146"/>
      <c r="W346" s="15"/>
      <c r="X346" s="13"/>
      <c r="Y346" s="13"/>
      <c r="Z346" s="13"/>
      <c r="AA346" s="13"/>
      <c r="AB346" s="13"/>
      <c r="AC346" s="13"/>
      <c r="AD346" s="13"/>
      <c r="AE346" s="13"/>
      <c r="AF346" s="13"/>
    </row>
    <row r="350" spans="6:32" ht="15.75">
      <c r="H350" s="21"/>
      <c r="I350" s="23" t="s">
        <v>11</v>
      </c>
      <c r="J350" s="23"/>
      <c r="K350" s="23"/>
      <c r="L350" s="23"/>
      <c r="M350" s="140"/>
      <c r="N350" s="23"/>
      <c r="O350" s="23"/>
      <c r="P350" s="102"/>
      <c r="Q350" s="102"/>
      <c r="S350" s="23"/>
      <c r="T350" s="23"/>
    </row>
    <row r="351" spans="6:32" ht="15.75">
      <c r="G351" s="12" t="s">
        <v>37</v>
      </c>
      <c r="H351" s="22" t="s">
        <v>37</v>
      </c>
      <c r="I351" s="13">
        <v>7.5170842824601296</v>
      </c>
      <c r="J351" s="13"/>
      <c r="K351" s="13"/>
      <c r="L351" s="13"/>
      <c r="M351" s="15"/>
      <c r="N351" s="13"/>
      <c r="O351" s="13"/>
      <c r="P351" s="101"/>
      <c r="Q351" s="101"/>
      <c r="S351" s="13"/>
      <c r="T351" s="13"/>
    </row>
    <row r="352" spans="6:32" ht="15.75">
      <c r="G352" s="12" t="s">
        <v>38</v>
      </c>
      <c r="H352" s="22" t="s">
        <v>38</v>
      </c>
      <c r="I352" s="13">
        <v>7.1266110689916804</v>
      </c>
      <c r="J352" s="13"/>
      <c r="K352" s="13"/>
      <c r="L352" s="13"/>
      <c r="M352" s="15"/>
      <c r="N352" s="13"/>
      <c r="O352" s="13"/>
      <c r="P352" s="101"/>
      <c r="Q352" s="101"/>
      <c r="S352" s="13"/>
      <c r="T352" s="13"/>
    </row>
    <row r="353" spans="7:20" ht="15.75">
      <c r="G353" s="12" t="s">
        <v>39</v>
      </c>
      <c r="H353" s="22" t="s">
        <v>39</v>
      </c>
      <c r="I353" s="13">
        <v>5.0151975683890599</v>
      </c>
      <c r="J353" s="13"/>
      <c r="K353" s="13"/>
      <c r="L353" s="13"/>
      <c r="M353" s="15"/>
      <c r="N353" s="13"/>
      <c r="O353" s="13"/>
      <c r="P353" s="101"/>
      <c r="Q353" s="101"/>
      <c r="S353" s="13"/>
      <c r="T353" s="13"/>
    </row>
    <row r="354" spans="7:20" ht="15.75">
      <c r="G354" s="12" t="s">
        <v>40</v>
      </c>
      <c r="H354" s="22" t="s">
        <v>40</v>
      </c>
      <c r="I354" s="13">
        <v>5.4135338345864001</v>
      </c>
      <c r="J354" s="13"/>
      <c r="K354" s="13"/>
      <c r="L354" s="13"/>
      <c r="M354" s="15"/>
      <c r="N354" s="13"/>
      <c r="O354" s="13"/>
      <c r="P354" s="101"/>
      <c r="Q354" s="101"/>
      <c r="S354" s="13"/>
      <c r="T354" s="13"/>
    </row>
    <row r="355" spans="7:20" ht="15.75">
      <c r="G355" s="12" t="s">
        <v>41</v>
      </c>
      <c r="H355" s="22" t="s">
        <v>41</v>
      </c>
      <c r="I355" s="13">
        <v>3.6529680365296802</v>
      </c>
      <c r="J355" s="13"/>
      <c r="K355" s="13"/>
      <c r="L355" s="13"/>
      <c r="M355" s="15"/>
      <c r="N355" s="13"/>
      <c r="O355" s="13"/>
      <c r="P355" s="101"/>
      <c r="Q355" s="101"/>
      <c r="S355" s="13"/>
      <c r="T355" s="13"/>
    </row>
    <row r="356" spans="7:20" ht="15.75">
      <c r="G356" s="12" t="s">
        <v>42</v>
      </c>
      <c r="H356" s="22" t="s">
        <v>42</v>
      </c>
      <c r="I356" s="13">
        <v>6.9148936170213098</v>
      </c>
      <c r="J356" s="13"/>
      <c r="K356" s="13"/>
      <c r="L356" s="13"/>
      <c r="M356" s="15"/>
      <c r="N356" s="13"/>
      <c r="O356" s="13"/>
      <c r="P356" s="101"/>
      <c r="Q356" s="101"/>
      <c r="S356" s="13"/>
      <c r="T356" s="13"/>
    </row>
    <row r="357" spans="7:20" ht="15.75">
      <c r="G357" s="12" t="s">
        <v>43</v>
      </c>
      <c r="H357" s="22" t="s">
        <v>43</v>
      </c>
      <c r="I357" s="13">
        <v>3.4194528875379402</v>
      </c>
      <c r="J357" s="13"/>
      <c r="K357" s="13"/>
      <c r="L357" s="13"/>
      <c r="M357" s="15"/>
      <c r="N357" s="13"/>
      <c r="O357" s="13"/>
      <c r="P357" s="101"/>
      <c r="Q357" s="101"/>
      <c r="S357" s="13"/>
      <c r="T357" s="13"/>
    </row>
    <row r="358" spans="7:20" ht="15.75">
      <c r="G358" s="12" t="s">
        <v>44</v>
      </c>
      <c r="H358" s="22" t="s">
        <v>44</v>
      </c>
      <c r="I358" s="13">
        <v>5.8122205663188504</v>
      </c>
      <c r="J358" s="13"/>
      <c r="K358" s="13"/>
      <c r="L358" s="13"/>
      <c r="M358" s="15"/>
      <c r="N358" s="13"/>
      <c r="O358" s="13"/>
      <c r="P358" s="101"/>
      <c r="Q358" s="101"/>
      <c r="S358" s="13"/>
      <c r="T358" s="13"/>
    </row>
    <row r="359" spans="7:20" ht="15.75">
      <c r="G359" s="12" t="s">
        <v>45</v>
      </c>
      <c r="H359" s="22" t="s">
        <v>45</v>
      </c>
      <c r="I359" s="13">
        <v>3.0724213606438</v>
      </c>
      <c r="J359" s="13"/>
      <c r="K359" s="13"/>
      <c r="L359" s="13"/>
      <c r="M359" s="15"/>
      <c r="N359" s="13"/>
      <c r="O359" s="13"/>
      <c r="P359" s="101"/>
      <c r="Q359" s="101"/>
      <c r="S359" s="13"/>
      <c r="T359" s="13"/>
    </row>
    <row r="360" spans="7:20" ht="15.75">
      <c r="G360" s="12" t="s">
        <v>46</v>
      </c>
      <c r="H360" s="22" t="s">
        <v>46</v>
      </c>
      <c r="I360" s="13">
        <v>5.1608077786087696</v>
      </c>
      <c r="J360" s="13"/>
      <c r="K360" s="13"/>
      <c r="L360" s="13"/>
      <c r="M360" s="15"/>
      <c r="N360" s="13"/>
      <c r="O360" s="13"/>
      <c r="P360" s="101"/>
      <c r="Q360" s="101"/>
      <c r="S360" s="13"/>
      <c r="T360" s="13"/>
    </row>
    <row r="361" spans="7:20" ht="15.75">
      <c r="G361" s="12" t="s">
        <v>47</v>
      </c>
      <c r="H361" s="22" t="s">
        <v>47</v>
      </c>
      <c r="I361" s="13">
        <v>2.7671022290545202</v>
      </c>
      <c r="J361" s="13"/>
      <c r="K361" s="13"/>
      <c r="L361" s="13"/>
      <c r="M361" s="15"/>
      <c r="N361" s="13"/>
      <c r="O361" s="13"/>
      <c r="P361" s="101"/>
      <c r="Q361" s="101"/>
      <c r="S361" s="13"/>
      <c r="T361" s="13"/>
    </row>
    <row r="362" spans="7:20" ht="15.75">
      <c r="G362" s="12" t="s">
        <v>48</v>
      </c>
      <c r="H362" s="22" t="s">
        <v>48</v>
      </c>
      <c r="I362" s="13">
        <v>7.9207920792079403</v>
      </c>
      <c r="J362" s="13"/>
      <c r="K362" s="13"/>
      <c r="L362" s="13"/>
      <c r="M362" s="15"/>
      <c r="N362" s="13"/>
      <c r="O362" s="13"/>
      <c r="P362" s="101"/>
      <c r="Q362" s="101"/>
      <c r="S362" s="13"/>
      <c r="T362" s="13"/>
    </row>
    <row r="363" spans="7:20" ht="15.75">
      <c r="G363" s="12" t="s">
        <v>49</v>
      </c>
      <c r="H363" s="22" t="s">
        <v>49</v>
      </c>
      <c r="I363" s="13">
        <v>7.1810542398777804</v>
      </c>
      <c r="J363" s="13"/>
      <c r="K363" s="13"/>
      <c r="L363" s="13"/>
      <c r="M363" s="15"/>
      <c r="N363" s="13"/>
      <c r="O363" s="13"/>
      <c r="P363" s="101"/>
      <c r="Q363" s="101"/>
      <c r="S363" s="13"/>
      <c r="T363" s="13"/>
    </row>
    <row r="364" spans="7:20" ht="15.75">
      <c r="G364" s="12" t="s">
        <v>50</v>
      </c>
      <c r="H364" s="22" t="s">
        <v>50</v>
      </c>
      <c r="I364" s="13">
        <v>7.7490774907749103</v>
      </c>
      <c r="J364" s="13"/>
      <c r="K364" s="13"/>
      <c r="L364" s="13"/>
      <c r="M364" s="15"/>
      <c r="N364" s="13"/>
      <c r="O364" s="13"/>
      <c r="P364" s="101"/>
      <c r="Q364" s="101"/>
      <c r="S364" s="13"/>
      <c r="T364" s="13"/>
    </row>
    <row r="365" spans="7:20" ht="15.75">
      <c r="G365" s="12" t="s">
        <v>51</v>
      </c>
      <c r="H365" s="22" t="s">
        <v>51</v>
      </c>
      <c r="I365" s="13">
        <v>7.2188449848024296</v>
      </c>
      <c r="J365" s="13"/>
      <c r="K365" s="13"/>
      <c r="L365" s="13"/>
      <c r="M365" s="15"/>
      <c r="N365" s="13"/>
      <c r="O365" s="13"/>
      <c r="P365" s="101"/>
      <c r="Q365" s="101"/>
      <c r="S365" s="13"/>
      <c r="T365" s="13"/>
    </row>
    <row r="366" spans="7:20" ht="15.75">
      <c r="G366" s="12" t="s">
        <v>52</v>
      </c>
      <c r="H366" s="22" t="s">
        <v>52</v>
      </c>
      <c r="I366" s="13">
        <v>8.0324244657331505</v>
      </c>
      <c r="J366" s="13"/>
      <c r="K366" s="13"/>
      <c r="L366" s="13"/>
      <c r="M366" s="15"/>
      <c r="N366" s="13"/>
      <c r="O366" s="13"/>
      <c r="P366" s="101"/>
      <c r="Q366" s="101"/>
      <c r="S366" s="13"/>
      <c r="T366" s="13"/>
    </row>
    <row r="367" spans="7:20" ht="15.75">
      <c r="G367" s="14" t="s">
        <v>53</v>
      </c>
      <c r="H367" s="22" t="s">
        <v>53</v>
      </c>
      <c r="I367" s="13">
        <v>8.2150858849888504</v>
      </c>
      <c r="J367" s="13"/>
      <c r="K367" s="13"/>
      <c r="L367" s="13"/>
      <c r="M367" s="15"/>
      <c r="N367" s="13"/>
      <c r="O367" s="13"/>
      <c r="P367" s="101"/>
      <c r="Q367" s="101"/>
      <c r="S367" s="13"/>
      <c r="T367" s="13"/>
    </row>
    <row r="368" spans="7:20" ht="15.75">
      <c r="G368" s="12" t="s">
        <v>54</v>
      </c>
      <c r="H368" s="22" t="s">
        <v>54</v>
      </c>
      <c r="I368" s="13">
        <v>13.625685199686799</v>
      </c>
      <c r="J368" s="13"/>
      <c r="K368" s="13"/>
      <c r="L368" s="13"/>
      <c r="M368" s="15"/>
      <c r="N368" s="13"/>
      <c r="O368" s="13"/>
      <c r="P368" s="101"/>
      <c r="Q368" s="101"/>
      <c r="S368" s="13"/>
      <c r="T368" s="13"/>
    </row>
    <row r="369" spans="8:20" ht="15.75">
      <c r="J369" s="13"/>
      <c r="K369" s="13"/>
      <c r="L369" s="13"/>
      <c r="M369" s="15"/>
      <c r="N369" s="13"/>
      <c r="O369" s="13"/>
      <c r="P369" s="101"/>
      <c r="Q369" s="101"/>
      <c r="S369" s="13"/>
      <c r="T369" s="13"/>
    </row>
    <row r="370" spans="8:20" ht="15.75">
      <c r="J370" s="13"/>
      <c r="K370" s="13"/>
      <c r="L370" s="13"/>
      <c r="M370" s="15"/>
      <c r="N370" s="13"/>
      <c r="O370" s="13"/>
      <c r="P370" s="101"/>
      <c r="Q370" s="101"/>
      <c r="S370" s="13"/>
      <c r="T370" s="13"/>
    </row>
    <row r="371" spans="8:20" ht="15.75">
      <c r="J371" s="13"/>
      <c r="K371" s="13"/>
      <c r="L371" s="13"/>
      <c r="M371" s="15"/>
      <c r="N371" s="13"/>
      <c r="O371" s="13"/>
      <c r="P371" s="101"/>
      <c r="Q371" s="101"/>
      <c r="S371" s="15"/>
      <c r="T371" s="13"/>
    </row>
    <row r="372" spans="8:20" ht="15.75">
      <c r="J372" s="13"/>
      <c r="K372" s="13"/>
      <c r="L372" s="13"/>
      <c r="M372" s="15"/>
      <c r="N372" s="13"/>
      <c r="O372" s="13"/>
      <c r="P372" s="101"/>
      <c r="Q372" s="101"/>
      <c r="S372" s="15"/>
      <c r="T372" s="13"/>
    </row>
    <row r="373" spans="8:20" ht="15.75">
      <c r="H373" s="22"/>
      <c r="I373" s="13"/>
      <c r="J373" s="13"/>
      <c r="K373" s="13"/>
      <c r="L373" s="13"/>
      <c r="M373" s="15"/>
      <c r="N373" s="13"/>
      <c r="O373" s="13"/>
      <c r="P373" s="101"/>
      <c r="Q373" s="101"/>
      <c r="S373" s="15"/>
      <c r="T373" s="13"/>
    </row>
  </sheetData>
  <mergeCells count="1">
    <mergeCell ref="A2:T2"/>
  </mergeCells>
  <phoneticPr fontId="3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T37"/>
  <sheetViews>
    <sheetView topLeftCell="AT1" workbookViewId="0">
      <selection activeCell="AZ34" sqref="AZ34"/>
    </sheetView>
  </sheetViews>
  <sheetFormatPr defaultColWidth="9" defaultRowHeight="13.5"/>
  <sheetData>
    <row r="1" spans="1:72" s="1" customFormat="1" ht="15">
      <c r="B1" s="2"/>
      <c r="C1" s="157"/>
      <c r="D1" s="24"/>
      <c r="E1" s="24"/>
      <c r="F1" s="24"/>
      <c r="G1" s="24"/>
      <c r="H1" s="24"/>
      <c r="I1" s="24"/>
      <c r="J1" s="24"/>
      <c r="K1" s="24"/>
      <c r="L1" s="24"/>
      <c r="M1" s="40"/>
      <c r="N1" s="24"/>
      <c r="O1" s="24"/>
      <c r="R1" s="2"/>
      <c r="S1" s="1" t="s">
        <v>138</v>
      </c>
      <c r="V1" s="2"/>
      <c r="W1" s="40"/>
      <c r="AG1" s="40"/>
      <c r="AH1" s="40"/>
      <c r="AI1" s="40"/>
      <c r="AJ1" s="40"/>
      <c r="AQ1" s="38"/>
      <c r="AR1" s="38"/>
      <c r="AS1" s="38"/>
      <c r="AT1" s="27"/>
      <c r="AU1" s="25"/>
      <c r="AV1" s="25"/>
      <c r="AW1" s="25"/>
      <c r="AX1" s="25"/>
      <c r="AY1" s="38"/>
      <c r="BA1" s="87"/>
      <c r="BF1" s="87"/>
      <c r="BK1" s="10"/>
      <c r="BM1" s="10"/>
      <c r="BN1" s="10"/>
      <c r="BO1" s="10"/>
      <c r="BP1" s="10"/>
      <c r="BQ1" s="10"/>
      <c r="BR1" s="10"/>
      <c r="BS1" s="10"/>
      <c r="BT1" s="10"/>
    </row>
    <row r="2" spans="1:72" s="1" customFormat="1" ht="15">
      <c r="B2" s="2"/>
      <c r="C2" s="157"/>
      <c r="D2" s="24"/>
      <c r="E2" s="26" t="s">
        <v>0</v>
      </c>
      <c r="F2" s="24"/>
      <c r="G2" s="24"/>
      <c r="H2" s="24"/>
      <c r="I2" s="24"/>
      <c r="J2" s="24"/>
      <c r="K2" s="24"/>
      <c r="L2" s="24"/>
      <c r="M2" s="40"/>
      <c r="N2" s="24"/>
      <c r="O2" s="24"/>
      <c r="R2" s="2"/>
      <c r="V2" s="2"/>
      <c r="W2" s="40"/>
      <c r="AG2" s="40"/>
      <c r="AH2" s="40"/>
      <c r="AI2" s="40"/>
      <c r="AJ2" s="40"/>
      <c r="AQ2" s="38"/>
      <c r="AR2" s="38"/>
      <c r="AS2" s="38"/>
      <c r="AT2" s="27"/>
      <c r="AU2" s="25"/>
      <c r="AV2" s="25"/>
      <c r="AW2" s="25"/>
      <c r="AX2" s="25"/>
      <c r="AY2" s="38"/>
      <c r="BA2" s="87"/>
      <c r="BF2" s="87"/>
      <c r="BK2" s="10"/>
      <c r="BM2" s="10"/>
      <c r="BN2" s="10"/>
      <c r="BO2" s="10"/>
      <c r="BP2" s="10"/>
      <c r="BQ2" s="10"/>
      <c r="BR2" s="10"/>
      <c r="BS2" s="10"/>
      <c r="BT2" s="10"/>
    </row>
    <row r="3" spans="1:72" s="106" customFormat="1" ht="18">
      <c r="B3" s="107"/>
      <c r="C3" s="158"/>
      <c r="D3" s="108" t="s">
        <v>1</v>
      </c>
      <c r="E3" s="109" t="s">
        <v>2</v>
      </c>
      <c r="F3" s="108" t="s">
        <v>3</v>
      </c>
      <c r="G3" s="108" t="s">
        <v>4</v>
      </c>
      <c r="H3" s="108" t="s">
        <v>5</v>
      </c>
      <c r="I3" s="108" t="s">
        <v>6</v>
      </c>
      <c r="J3" s="108" t="s">
        <v>7</v>
      </c>
      <c r="K3" s="108" t="s">
        <v>8</v>
      </c>
      <c r="L3" s="108" t="s">
        <v>9</v>
      </c>
      <c r="M3" s="137" t="s">
        <v>10</v>
      </c>
      <c r="N3" s="108" t="s">
        <v>11</v>
      </c>
      <c r="O3" s="108"/>
      <c r="R3" s="107"/>
      <c r="S3" s="111" t="s">
        <v>14</v>
      </c>
      <c r="T3" s="111" t="s">
        <v>15</v>
      </c>
      <c r="U3" s="111" t="s">
        <v>16</v>
      </c>
      <c r="V3" s="118" t="s">
        <v>17</v>
      </c>
      <c r="W3" s="120" t="s">
        <v>25</v>
      </c>
      <c r="X3" s="110" t="s">
        <v>18</v>
      </c>
      <c r="Y3" s="110" t="s">
        <v>19</v>
      </c>
      <c r="Z3" s="110" t="s">
        <v>20</v>
      </c>
      <c r="AA3" s="110" t="s">
        <v>21</v>
      </c>
      <c r="AB3" s="110" t="s">
        <v>22</v>
      </c>
      <c r="AC3" s="110" t="s">
        <v>23</v>
      </c>
      <c r="AD3" s="110" t="s">
        <v>24</v>
      </c>
      <c r="AE3" s="110" t="s">
        <v>26</v>
      </c>
      <c r="AF3" s="110" t="s">
        <v>27</v>
      </c>
      <c r="AG3" s="130" t="s">
        <v>28</v>
      </c>
      <c r="AH3" s="130" t="s">
        <v>29</v>
      </c>
      <c r="AI3" s="130" t="s">
        <v>30</v>
      </c>
      <c r="AJ3" s="130" t="s">
        <v>31</v>
      </c>
      <c r="AK3" s="111"/>
      <c r="AL3" s="112" t="s">
        <v>116</v>
      </c>
      <c r="AM3" s="112" t="s">
        <v>117</v>
      </c>
      <c r="AN3" s="112" t="s">
        <v>118</v>
      </c>
      <c r="AO3" s="107" t="s">
        <v>119</v>
      </c>
      <c r="AP3" s="107" t="s">
        <v>120</v>
      </c>
      <c r="AQ3" s="115" t="s">
        <v>121</v>
      </c>
      <c r="AR3" s="107" t="s">
        <v>14</v>
      </c>
      <c r="AS3" s="115"/>
      <c r="AT3" s="107"/>
      <c r="AU3" s="111" t="s">
        <v>122</v>
      </c>
      <c r="AV3" s="111" t="s">
        <v>123</v>
      </c>
      <c r="AW3" s="111" t="s">
        <v>124</v>
      </c>
      <c r="AX3" s="111" t="s">
        <v>33</v>
      </c>
      <c r="AY3" s="111" t="s">
        <v>14</v>
      </c>
      <c r="AZ3" s="111"/>
      <c r="BA3" s="110" t="s">
        <v>12</v>
      </c>
      <c r="BB3" s="107" t="s">
        <v>120</v>
      </c>
      <c r="BC3" s="112" t="s">
        <v>118</v>
      </c>
      <c r="BD3" s="112" t="s">
        <v>117</v>
      </c>
      <c r="BE3" s="112" t="s">
        <v>116</v>
      </c>
      <c r="BF3" s="110" t="s">
        <v>13</v>
      </c>
      <c r="BG3" s="111"/>
      <c r="BH3" s="111"/>
      <c r="BI3" s="111"/>
      <c r="BJ3" s="111"/>
    </row>
    <row r="4" spans="1:72" s="106" customFormat="1" ht="18">
      <c r="B4" s="113" t="s">
        <v>125</v>
      </c>
      <c r="C4" s="159"/>
      <c r="D4" s="114">
        <v>65.459999999999994</v>
      </c>
      <c r="E4" s="114">
        <v>0.65</v>
      </c>
      <c r="F4" s="114">
        <v>13.65</v>
      </c>
      <c r="G4" s="114">
        <v>5.35</v>
      </c>
      <c r="H4" s="114">
        <v>0.1</v>
      </c>
      <c r="I4" s="114">
        <v>2.52</v>
      </c>
      <c r="J4" s="114">
        <v>3.31</v>
      </c>
      <c r="K4" s="114">
        <v>2.75</v>
      </c>
      <c r="L4" s="114">
        <v>2.58</v>
      </c>
      <c r="M4" s="121">
        <v>0.15</v>
      </c>
      <c r="N4" s="114">
        <v>0.91</v>
      </c>
      <c r="O4" s="114"/>
      <c r="R4" s="113" t="s">
        <v>125</v>
      </c>
      <c r="S4" s="114">
        <v>18</v>
      </c>
      <c r="T4" s="114">
        <v>8.9499999999999993</v>
      </c>
      <c r="U4" s="114">
        <v>1.55</v>
      </c>
      <c r="V4" s="114">
        <v>70</v>
      </c>
      <c r="W4" s="121">
        <v>7.9000000000000001E-2</v>
      </c>
      <c r="X4" s="114">
        <v>98</v>
      </c>
      <c r="Y4" s="114">
        <v>80</v>
      </c>
      <c r="Z4" s="114">
        <v>774.5</v>
      </c>
      <c r="AA4" s="114">
        <v>17</v>
      </c>
      <c r="AB4" s="114">
        <v>38</v>
      </c>
      <c r="AC4" s="114">
        <v>32</v>
      </c>
      <c r="AD4" s="114">
        <v>0.78</v>
      </c>
      <c r="AE4" s="114">
        <v>678</v>
      </c>
      <c r="AF4" s="114">
        <v>266</v>
      </c>
      <c r="AG4" s="121">
        <v>188</v>
      </c>
      <c r="AH4" s="121">
        <v>5.12</v>
      </c>
      <c r="AI4" s="121">
        <v>12</v>
      </c>
      <c r="AJ4" s="121">
        <v>0.74</v>
      </c>
      <c r="AQ4" s="115"/>
      <c r="AR4" s="114">
        <v>18</v>
      </c>
      <c r="AS4" s="115"/>
      <c r="AT4" s="110" t="s">
        <v>125</v>
      </c>
      <c r="AU4" s="115"/>
      <c r="AV4" s="115"/>
      <c r="AW4" s="115"/>
      <c r="AX4" s="115"/>
      <c r="AY4" s="114">
        <v>18</v>
      </c>
      <c r="AZ4" s="114"/>
      <c r="BA4" s="113"/>
      <c r="BF4" s="113"/>
      <c r="BG4" s="114"/>
      <c r="BH4" s="114"/>
      <c r="BI4" s="114"/>
      <c r="BJ4" s="114"/>
      <c r="BK4" s="116"/>
      <c r="BM4" s="116"/>
      <c r="BN4" s="116"/>
      <c r="BO4" s="116"/>
      <c r="BP4" s="116"/>
      <c r="BQ4" s="116"/>
      <c r="BR4" s="116"/>
      <c r="BS4" s="116"/>
      <c r="BT4" s="116"/>
    </row>
    <row r="5" spans="1:72" s="154" customFormat="1" ht="16.5">
      <c r="B5" s="154" t="s">
        <v>141</v>
      </c>
      <c r="C5" s="160"/>
      <c r="D5" s="122">
        <v>64.8</v>
      </c>
      <c r="E5" s="122">
        <v>0.7</v>
      </c>
      <c r="F5" s="122">
        <v>16.899999999999999</v>
      </c>
      <c r="G5" s="122">
        <v>5.66</v>
      </c>
      <c r="H5" s="122">
        <v>0.06</v>
      </c>
      <c r="I5" s="122">
        <v>2.86</v>
      </c>
      <c r="J5" s="122">
        <v>3.63</v>
      </c>
      <c r="K5" s="122">
        <v>1.1399999999999999</v>
      </c>
      <c r="L5" s="122">
        <v>3.97</v>
      </c>
      <c r="M5" s="122">
        <v>0.13</v>
      </c>
      <c r="N5" s="122">
        <v>3.28</v>
      </c>
      <c r="O5" s="122"/>
      <c r="R5" s="154" t="s">
        <v>141</v>
      </c>
      <c r="S5" s="122">
        <v>20</v>
      </c>
      <c r="T5" s="122">
        <v>14.6</v>
      </c>
      <c r="U5" s="122">
        <v>3.1</v>
      </c>
      <c r="V5" s="122">
        <v>71</v>
      </c>
      <c r="W5" s="122">
        <v>0.3</v>
      </c>
      <c r="X5" s="122">
        <v>150</v>
      </c>
      <c r="Y5" s="122">
        <v>110</v>
      </c>
      <c r="Z5" s="122">
        <v>600</v>
      </c>
      <c r="AA5" s="122">
        <v>23</v>
      </c>
      <c r="AB5" s="122">
        <v>55</v>
      </c>
      <c r="AC5" s="122">
        <v>25</v>
      </c>
      <c r="AD5" s="122">
        <v>2.6</v>
      </c>
      <c r="AE5" s="122">
        <v>650</v>
      </c>
      <c r="AF5" s="122">
        <v>200</v>
      </c>
      <c r="AG5" s="122">
        <v>210</v>
      </c>
      <c r="AH5" s="122">
        <v>5</v>
      </c>
      <c r="AI5" s="122">
        <v>19</v>
      </c>
      <c r="AJ5" s="122">
        <v>1.2</v>
      </c>
      <c r="AK5" s="130"/>
      <c r="AL5" s="155"/>
      <c r="AM5" s="155"/>
      <c r="AN5" s="155"/>
      <c r="AO5" s="130"/>
      <c r="AP5" s="130"/>
      <c r="AQ5" s="130"/>
      <c r="AR5" s="122">
        <v>20</v>
      </c>
      <c r="AS5" s="130"/>
      <c r="AT5" s="130" t="s">
        <v>141</v>
      </c>
      <c r="AU5" s="130"/>
      <c r="AV5" s="130"/>
      <c r="AW5" s="130"/>
      <c r="AX5" s="130"/>
      <c r="AY5" s="122">
        <v>20</v>
      </c>
      <c r="AZ5" s="122"/>
      <c r="BB5" s="130"/>
      <c r="BC5" s="155"/>
      <c r="BD5" s="155"/>
      <c r="BE5" s="155"/>
      <c r="BG5" s="122"/>
      <c r="BH5" s="122"/>
      <c r="BI5" s="122"/>
      <c r="BJ5" s="122"/>
    </row>
    <row r="6" spans="1:72" s="153" customFormat="1" ht="18">
      <c r="B6" s="153" t="s">
        <v>140</v>
      </c>
      <c r="C6" s="157"/>
      <c r="D6" s="117">
        <v>65.447000000000003</v>
      </c>
      <c r="E6" s="117">
        <v>0.52900000000000003</v>
      </c>
      <c r="F6" s="117">
        <v>11.167</v>
      </c>
      <c r="G6" s="117">
        <v>3.835</v>
      </c>
      <c r="H6" s="117">
        <v>3.7999999999999999E-2</v>
      </c>
      <c r="I6" s="117">
        <v>1.2949999999999999</v>
      </c>
      <c r="J6" s="117">
        <v>1.29</v>
      </c>
      <c r="K6" s="117">
        <v>0.32200000000000001</v>
      </c>
      <c r="L6" s="117">
        <v>2.7250000000000001</v>
      </c>
      <c r="M6" s="117">
        <v>0.61599999999999999</v>
      </c>
      <c r="N6" s="117">
        <v>10.882</v>
      </c>
      <c r="O6" s="117"/>
      <c r="R6" s="153" t="s">
        <v>140</v>
      </c>
      <c r="S6" s="117">
        <v>26.6</v>
      </c>
      <c r="T6" s="117">
        <v>9.6150000000000002</v>
      </c>
      <c r="U6" s="117">
        <v>14.36</v>
      </c>
      <c r="V6" s="117">
        <v>77.69</v>
      </c>
      <c r="W6" s="117">
        <v>0.77100000000000002</v>
      </c>
      <c r="X6" s="117">
        <v>982.1</v>
      </c>
      <c r="Y6" s="117">
        <v>107.4</v>
      </c>
      <c r="Z6" s="117">
        <v>249.1</v>
      </c>
      <c r="AA6" s="117">
        <v>10.68</v>
      </c>
      <c r="AB6" s="117">
        <v>47.13</v>
      </c>
      <c r="AC6" s="117">
        <v>77.97</v>
      </c>
      <c r="AD6" s="117">
        <v>27.61</v>
      </c>
      <c r="AE6" s="117">
        <v>3942</v>
      </c>
      <c r="AF6" s="117">
        <v>65.28</v>
      </c>
      <c r="AG6" s="117">
        <v>78.84</v>
      </c>
      <c r="AH6" s="117">
        <v>2.206</v>
      </c>
      <c r="AI6" s="117">
        <v>7.8540000000000001</v>
      </c>
      <c r="AJ6" s="117">
        <v>0.70499999999999996</v>
      </c>
      <c r="AL6" s="107"/>
      <c r="AM6" s="107"/>
      <c r="AN6" s="107"/>
      <c r="AO6" s="107"/>
      <c r="AP6" s="107"/>
      <c r="AQ6" s="107"/>
      <c r="AR6" s="117">
        <v>26.6</v>
      </c>
      <c r="AS6" s="107"/>
      <c r="AT6" s="107" t="s">
        <v>140</v>
      </c>
      <c r="AU6" s="107"/>
      <c r="AV6" s="107"/>
      <c r="AW6" s="107"/>
      <c r="AX6" s="107"/>
      <c r="AY6" s="117">
        <v>26.6</v>
      </c>
      <c r="AZ6" s="117"/>
      <c r="BB6" s="107"/>
      <c r="BC6" s="107"/>
      <c r="BD6" s="107"/>
      <c r="BE6" s="107"/>
      <c r="BG6" s="117"/>
      <c r="BH6" s="117"/>
      <c r="BI6" s="117"/>
      <c r="BJ6" s="117"/>
    </row>
    <row r="7" spans="1:72" s="1" customFormat="1" ht="15">
      <c r="C7" s="161"/>
      <c r="D7" s="17"/>
      <c r="E7" s="28"/>
      <c r="F7" s="17"/>
      <c r="G7" s="17"/>
      <c r="H7" s="17"/>
      <c r="I7" s="17"/>
      <c r="J7" s="17"/>
      <c r="K7" s="17"/>
      <c r="L7" s="17"/>
      <c r="M7" s="40"/>
      <c r="N7" s="17"/>
      <c r="O7" s="17"/>
      <c r="S7" s="19"/>
      <c r="T7" s="19"/>
      <c r="U7" s="19"/>
      <c r="V7" s="27"/>
      <c r="W7" s="65"/>
      <c r="X7" s="39"/>
      <c r="Y7" s="39"/>
      <c r="Z7" s="39"/>
      <c r="AA7" s="39"/>
      <c r="AB7" s="39"/>
      <c r="AC7" s="39"/>
      <c r="AD7" s="39"/>
      <c r="AE7" s="39"/>
      <c r="AF7" s="39"/>
      <c r="AG7" s="62"/>
      <c r="AH7" s="62"/>
      <c r="AI7" s="62"/>
      <c r="AJ7" s="62"/>
      <c r="AK7" s="19"/>
      <c r="AL7" s="39"/>
      <c r="AM7" s="39"/>
      <c r="AN7" s="39"/>
      <c r="AO7" s="39"/>
      <c r="AP7" s="39"/>
      <c r="AQ7" s="39"/>
      <c r="AR7" s="39" t="s">
        <v>34</v>
      </c>
      <c r="AS7" s="39"/>
      <c r="AT7" s="38"/>
      <c r="AU7" s="34" t="s">
        <v>35</v>
      </c>
      <c r="AV7" s="36"/>
      <c r="AW7" s="36"/>
      <c r="AX7" s="36"/>
      <c r="AY7" s="19"/>
      <c r="AZ7" s="19"/>
      <c r="BA7" s="87"/>
      <c r="BB7" s="39"/>
      <c r="BC7" s="39"/>
      <c r="BD7" s="39"/>
      <c r="BE7" s="39"/>
      <c r="BF7" s="87"/>
      <c r="BG7" s="19"/>
      <c r="BH7" s="19"/>
      <c r="BI7" s="19"/>
      <c r="BJ7" s="19"/>
      <c r="BK7" s="10"/>
      <c r="BM7" s="10"/>
      <c r="BN7" s="10"/>
      <c r="BO7" s="10"/>
      <c r="BP7" s="10"/>
      <c r="BQ7" s="10"/>
      <c r="BR7" s="10"/>
      <c r="BS7" s="10"/>
      <c r="BT7" s="10"/>
    </row>
    <row r="8" spans="1:72" s="1" customFormat="1" ht="18">
      <c r="B8" s="27" t="s">
        <v>32</v>
      </c>
      <c r="C8" s="158"/>
      <c r="D8" s="17" t="s">
        <v>1</v>
      </c>
      <c r="E8" s="28" t="s">
        <v>2</v>
      </c>
      <c r="F8" s="17" t="s">
        <v>3</v>
      </c>
      <c r="G8" s="17" t="s">
        <v>4</v>
      </c>
      <c r="H8" s="29" t="s">
        <v>5</v>
      </c>
      <c r="I8" s="29" t="s">
        <v>6</v>
      </c>
      <c r="J8" s="29" t="s">
        <v>7</v>
      </c>
      <c r="K8" s="29" t="s">
        <v>8</v>
      </c>
      <c r="L8" s="29" t="s">
        <v>9</v>
      </c>
      <c r="M8" s="138" t="s">
        <v>10</v>
      </c>
      <c r="N8" s="40" t="s">
        <v>11</v>
      </c>
      <c r="O8" s="40"/>
      <c r="R8" s="27" t="s">
        <v>32</v>
      </c>
      <c r="S8" s="20" t="s">
        <v>14</v>
      </c>
      <c r="T8" s="20" t="s">
        <v>15</v>
      </c>
      <c r="U8" s="20" t="s">
        <v>16</v>
      </c>
      <c r="V8" s="48" t="s">
        <v>17</v>
      </c>
      <c r="W8" s="62" t="s">
        <v>25</v>
      </c>
      <c r="X8" s="31" t="s">
        <v>18</v>
      </c>
      <c r="Y8" s="31" t="s">
        <v>19</v>
      </c>
      <c r="Z8" s="31" t="s">
        <v>20</v>
      </c>
      <c r="AA8" s="30" t="s">
        <v>21</v>
      </c>
      <c r="AB8" s="31" t="s">
        <v>22</v>
      </c>
      <c r="AC8" s="30" t="s">
        <v>23</v>
      </c>
      <c r="AD8" s="30" t="s">
        <v>24</v>
      </c>
      <c r="AE8" s="30" t="s">
        <v>26</v>
      </c>
      <c r="AF8" s="30" t="s">
        <v>27</v>
      </c>
      <c r="AG8" s="65" t="s">
        <v>28</v>
      </c>
      <c r="AH8" s="65" t="s">
        <v>29</v>
      </c>
      <c r="AI8" s="65" t="s">
        <v>30</v>
      </c>
      <c r="AJ8" s="65" t="s">
        <v>31</v>
      </c>
      <c r="AK8" s="20"/>
      <c r="AL8" s="32" t="s">
        <v>116</v>
      </c>
      <c r="AM8" s="32" t="s">
        <v>117</v>
      </c>
      <c r="AN8" s="32" t="s">
        <v>118</v>
      </c>
      <c r="AO8" s="33" t="s">
        <v>119</v>
      </c>
      <c r="AP8" s="33" t="s">
        <v>120</v>
      </c>
      <c r="AQ8" s="38" t="s">
        <v>121</v>
      </c>
      <c r="AR8" s="33" t="s">
        <v>14</v>
      </c>
      <c r="AS8" s="38"/>
      <c r="AT8" s="27" t="s">
        <v>32</v>
      </c>
      <c r="AU8" s="34" t="s">
        <v>122</v>
      </c>
      <c r="AV8" s="34" t="s">
        <v>123</v>
      </c>
      <c r="AW8" s="34" t="s">
        <v>124</v>
      </c>
      <c r="AX8" s="34" t="s">
        <v>33</v>
      </c>
      <c r="AY8" s="20" t="s">
        <v>14</v>
      </c>
      <c r="AZ8" s="20"/>
      <c r="BA8" s="110" t="s">
        <v>12</v>
      </c>
      <c r="BB8" s="33" t="s">
        <v>120</v>
      </c>
      <c r="BC8" s="32" t="s">
        <v>118</v>
      </c>
      <c r="BD8" s="32" t="s">
        <v>117</v>
      </c>
      <c r="BE8" s="32" t="s">
        <v>116</v>
      </c>
      <c r="BF8" s="88" t="s">
        <v>13</v>
      </c>
      <c r="BG8" s="20"/>
      <c r="BH8" s="20"/>
      <c r="BI8" s="20"/>
      <c r="BJ8" s="20"/>
    </row>
    <row r="9" spans="1:72" s="1" customFormat="1" ht="18">
      <c r="B9" s="79" t="s">
        <v>126</v>
      </c>
      <c r="C9" s="158" t="s">
        <v>142</v>
      </c>
      <c r="D9" s="17"/>
      <c r="E9" s="28"/>
      <c r="F9" s="17"/>
      <c r="G9" s="17"/>
      <c r="H9" s="29"/>
      <c r="I9" s="29"/>
      <c r="J9" s="29"/>
      <c r="K9" s="29"/>
      <c r="L9" s="29"/>
      <c r="M9" s="138"/>
      <c r="N9" s="40"/>
      <c r="O9" s="40"/>
      <c r="R9" s="79" t="s">
        <v>126</v>
      </c>
      <c r="S9" s="20"/>
      <c r="T9" s="20"/>
      <c r="U9" s="20"/>
      <c r="V9" s="48"/>
      <c r="W9" s="62"/>
      <c r="X9" s="31"/>
      <c r="Y9" s="31"/>
      <c r="Z9" s="31"/>
      <c r="AA9" s="30"/>
      <c r="AB9" s="31"/>
      <c r="AC9" s="30"/>
      <c r="AD9" s="30"/>
      <c r="AE9" s="30"/>
      <c r="AF9" s="30"/>
      <c r="AG9" s="65"/>
      <c r="AH9" s="65"/>
      <c r="AI9" s="65"/>
      <c r="AJ9" s="65"/>
      <c r="AK9" s="20"/>
      <c r="AL9" s="32"/>
      <c r="AM9" s="32"/>
      <c r="AN9" s="32"/>
      <c r="AO9" s="33"/>
      <c r="AP9" s="33"/>
      <c r="AQ9" s="38"/>
      <c r="AR9" s="33"/>
      <c r="AS9" s="38"/>
      <c r="AT9" s="80" t="s">
        <v>126</v>
      </c>
      <c r="AU9" s="34"/>
      <c r="AV9" s="34"/>
      <c r="AW9" s="34"/>
      <c r="AX9" s="34"/>
      <c r="AY9" s="20"/>
      <c r="AZ9" s="20"/>
      <c r="BA9" s="110" t="s">
        <v>12</v>
      </c>
      <c r="BB9" s="33" t="s">
        <v>120</v>
      </c>
      <c r="BC9" s="32" t="s">
        <v>118</v>
      </c>
      <c r="BD9" s="32" t="s">
        <v>117</v>
      </c>
      <c r="BE9" s="32" t="s">
        <v>116</v>
      </c>
      <c r="BF9" s="88" t="s">
        <v>13</v>
      </c>
      <c r="BG9" s="20"/>
      <c r="BH9" s="20"/>
      <c r="BI9" s="20"/>
      <c r="BJ9" s="20"/>
    </row>
    <row r="10" spans="1:72" s="1" customFormat="1" ht="15">
      <c r="A10" s="40" t="s">
        <v>36</v>
      </c>
      <c r="B10" s="41" t="s">
        <v>37</v>
      </c>
      <c r="C10" s="172">
        <v>15</v>
      </c>
      <c r="D10" s="42">
        <v>73.656503256496705</v>
      </c>
      <c r="E10" s="42">
        <v>0.999418281352903</v>
      </c>
      <c r="F10" s="42">
        <v>10.642333652550899</v>
      </c>
      <c r="G10" s="42">
        <v>4.1282573114427201</v>
      </c>
      <c r="H10" s="43">
        <v>3.12039606131593E-2</v>
      </c>
      <c r="I10" s="43">
        <v>0.75246122164304197</v>
      </c>
      <c r="J10" s="43">
        <v>0.12570738418444199</v>
      </c>
      <c r="K10" s="43">
        <v>0.15094443995961199</v>
      </c>
      <c r="L10" s="43">
        <v>1.3649503913927701</v>
      </c>
      <c r="M10" s="139">
        <v>0.11679196686639599</v>
      </c>
      <c r="N10" s="44">
        <v>7.5170842824601296</v>
      </c>
      <c r="O10" s="44"/>
      <c r="R10" s="41" t="s">
        <v>37</v>
      </c>
      <c r="S10" s="38">
        <v>25.777000000000001</v>
      </c>
      <c r="T10" s="38">
        <v>5.9652000000000003</v>
      </c>
      <c r="U10" s="38">
        <v>6.702</v>
      </c>
      <c r="V10" s="27">
        <v>71.102900000000005</v>
      </c>
      <c r="W10" s="62">
        <v>0.30880000000000002</v>
      </c>
      <c r="X10" s="38">
        <v>81.354799999999997</v>
      </c>
      <c r="Y10" s="38">
        <v>44.8962</v>
      </c>
      <c r="Z10" s="27">
        <v>2796.6959999999999</v>
      </c>
      <c r="AA10" s="38">
        <v>11.4826</v>
      </c>
      <c r="AB10" s="38">
        <v>24.571300000000001</v>
      </c>
      <c r="AC10" s="38">
        <v>34.8889</v>
      </c>
      <c r="AD10" s="38">
        <v>11.3278</v>
      </c>
      <c r="AE10" s="38">
        <v>128.18109999999999</v>
      </c>
      <c r="AF10" s="38">
        <v>8.7311999999999994</v>
      </c>
      <c r="AG10" s="62">
        <v>299.60000000000002</v>
      </c>
      <c r="AH10" s="62">
        <v>8.8759999999999994</v>
      </c>
      <c r="AI10" s="62">
        <v>18.88</v>
      </c>
      <c r="AJ10" s="62">
        <v>1.6279999999999999</v>
      </c>
      <c r="AK10" s="27"/>
      <c r="AL10" s="38">
        <v>19.0993439633225</v>
      </c>
      <c r="AM10" s="38">
        <v>15.602621153514701</v>
      </c>
      <c r="AN10" s="38">
        <v>38.568842325659702</v>
      </c>
      <c r="AO10" s="38">
        <v>2.0193762754377298</v>
      </c>
      <c r="AP10" s="38">
        <v>1.22415477406203</v>
      </c>
      <c r="AQ10" s="38">
        <f t="shared" ref="AQ10:AQ27" si="0">AR10*1.4%</f>
        <v>0.36087799999999998</v>
      </c>
      <c r="AR10" s="38">
        <v>25.777000000000001</v>
      </c>
      <c r="AS10" s="38"/>
      <c r="AT10" s="41" t="s">
        <v>37</v>
      </c>
      <c r="AU10" s="25">
        <f>AL10*AQ10</f>
        <v>6.8925330507958966</v>
      </c>
      <c r="AV10" s="25">
        <f>AM10*AQ10</f>
        <v>5.6306427166380777</v>
      </c>
      <c r="AW10" s="25">
        <f>AN10*AQ10</f>
        <v>13.918646680799421</v>
      </c>
      <c r="AX10" s="36">
        <f>SUM(AU10:AW10)</f>
        <v>26.441822448233395</v>
      </c>
      <c r="AY10" s="38">
        <v>25.777000000000001</v>
      </c>
      <c r="AZ10" s="38"/>
      <c r="BA10" s="89">
        <f t="shared" ref="BA10:BA25" si="1">100*F10/(F10+J10+K10+L10)</f>
        <v>86.636187023724844</v>
      </c>
      <c r="BB10" s="38">
        <v>1.22415477406203</v>
      </c>
      <c r="BC10" s="38">
        <v>38.568842325659702</v>
      </c>
      <c r="BD10" s="38">
        <v>15.602621153514701</v>
      </c>
      <c r="BE10" s="38">
        <v>19.0993439633225</v>
      </c>
      <c r="BF10" s="89">
        <f t="shared" ref="BF10:BF27" si="2">D10/F10</f>
        <v>6.9210856999246317</v>
      </c>
      <c r="BG10" s="27"/>
      <c r="BH10" s="27"/>
      <c r="BI10" s="27"/>
      <c r="BJ10" s="27"/>
    </row>
    <row r="11" spans="1:72" s="1" customFormat="1" ht="15">
      <c r="B11" s="41" t="s">
        <v>38</v>
      </c>
      <c r="C11" s="156">
        <v>30</v>
      </c>
      <c r="D11" s="42">
        <v>73.833970731679301</v>
      </c>
      <c r="E11" s="42">
        <v>1.0155687647645599</v>
      </c>
      <c r="F11" s="42">
        <v>10.710053521962999</v>
      </c>
      <c r="G11" s="42">
        <v>3.9395419757901098</v>
      </c>
      <c r="H11" s="43">
        <v>3.2284202331298299E-2</v>
      </c>
      <c r="I11" s="43">
        <v>0.76006236345685196</v>
      </c>
      <c r="J11" s="43">
        <v>0.13098162088698201</v>
      </c>
      <c r="K11" s="43">
        <v>0.16827991796651601</v>
      </c>
      <c r="L11" s="43">
        <v>1.48784052458241</v>
      </c>
      <c r="M11" s="139">
        <v>0.111611099488203</v>
      </c>
      <c r="N11" s="44">
        <v>7.1266110689916804</v>
      </c>
      <c r="O11" s="44"/>
      <c r="R11" s="41" t="s">
        <v>38</v>
      </c>
      <c r="S11" s="38">
        <v>26.591899999999999</v>
      </c>
      <c r="T11" s="38">
        <v>9.4936000000000007</v>
      </c>
      <c r="U11" s="38">
        <v>6.6429999999999998</v>
      </c>
      <c r="V11" s="27">
        <v>52.057600000000001</v>
      </c>
      <c r="W11" s="62">
        <v>0.1532</v>
      </c>
      <c r="X11" s="38">
        <v>128.09219999999999</v>
      </c>
      <c r="Y11" s="38">
        <v>58.097299999999997</v>
      </c>
      <c r="Z11" s="27">
        <v>2344.8690000000001</v>
      </c>
      <c r="AA11" s="38">
        <v>9.5852000000000004</v>
      </c>
      <c r="AB11" s="38">
        <v>32.182400000000001</v>
      </c>
      <c r="AC11" s="38">
        <v>53.127200000000002</v>
      </c>
      <c r="AD11" s="38">
        <v>16.789100000000001</v>
      </c>
      <c r="AE11" s="38">
        <v>248.55690000000001</v>
      </c>
      <c r="AF11" s="38">
        <v>9.9425000000000008</v>
      </c>
      <c r="AG11" s="62">
        <v>206.5</v>
      </c>
      <c r="AH11" s="62">
        <v>6.3719999999999999</v>
      </c>
      <c r="AI11" s="62">
        <v>14.59</v>
      </c>
      <c r="AJ11" s="62">
        <v>1.28</v>
      </c>
      <c r="AK11" s="27"/>
      <c r="AL11" s="38">
        <v>19.504755642668901</v>
      </c>
      <c r="AM11" s="38">
        <v>15.978948531879899</v>
      </c>
      <c r="AN11" s="38">
        <v>39.107622779555598</v>
      </c>
      <c r="AO11" s="38">
        <v>2.0048894319618298</v>
      </c>
      <c r="AP11" s="38">
        <v>1.22081275712694</v>
      </c>
      <c r="AQ11" s="38">
        <f t="shared" si="0"/>
        <v>0.37228659999999997</v>
      </c>
      <c r="AR11" s="38">
        <v>26.591899999999999</v>
      </c>
      <c r="AS11" s="38"/>
      <c r="AT11" s="41" t="s">
        <v>38</v>
      </c>
      <c r="AU11" s="25">
        <f t="shared" ref="AU11:AU27" si="3">AL11*AQ11</f>
        <v>7.2613591620400193</v>
      </c>
      <c r="AV11" s="25">
        <f t="shared" ref="AV11:AV27" si="4">AM11*AQ11</f>
        <v>5.9487484205085588</v>
      </c>
      <c r="AW11" s="25">
        <f t="shared" ref="AW11:AW27" si="5">AN11*AQ11</f>
        <v>14.559243918683302</v>
      </c>
      <c r="AX11" s="36">
        <f t="shared" ref="AX11:AX27" si="6">SUM(AU11:AW11)</f>
        <v>27.769351501231881</v>
      </c>
      <c r="AY11" s="38">
        <v>26.591899999999999</v>
      </c>
      <c r="AZ11" s="38"/>
      <c r="BA11" s="89">
        <f t="shared" si="1"/>
        <v>85.699929466158906</v>
      </c>
      <c r="BB11" s="38">
        <v>1.22081275712694</v>
      </c>
      <c r="BC11" s="38">
        <v>39.107622779555598</v>
      </c>
      <c r="BD11" s="38">
        <v>15.978948531879899</v>
      </c>
      <c r="BE11" s="38">
        <v>19.504755642668901</v>
      </c>
      <c r="BF11" s="89">
        <f t="shared" si="2"/>
        <v>6.8938937214710192</v>
      </c>
      <c r="BG11" s="27"/>
      <c r="BH11" s="27"/>
      <c r="BI11" s="27"/>
      <c r="BJ11" s="27"/>
    </row>
    <row r="12" spans="1:72" s="1" customFormat="1" ht="15">
      <c r="B12" s="41" t="s">
        <v>39</v>
      </c>
      <c r="C12" s="172">
        <v>45</v>
      </c>
      <c r="D12" s="42">
        <v>74.6590218929027</v>
      </c>
      <c r="E12" s="42">
        <v>0.70494717035750498</v>
      </c>
      <c r="F12" s="42">
        <v>11.512242096564099</v>
      </c>
      <c r="G12" s="42">
        <v>4.0286478161024197</v>
      </c>
      <c r="H12" s="43">
        <v>2.17927216642777E-2</v>
      </c>
      <c r="I12" s="43">
        <v>0.94845714721486896</v>
      </c>
      <c r="J12" s="43">
        <v>9.1908434844997305E-2</v>
      </c>
      <c r="K12" s="43">
        <v>0.10408441997892701</v>
      </c>
      <c r="L12" s="43">
        <v>2.2323327061320999</v>
      </c>
      <c r="M12" s="139">
        <v>8.3380848106801603E-2</v>
      </c>
      <c r="N12" s="44">
        <v>5.0151975683890599</v>
      </c>
      <c r="O12" s="44"/>
      <c r="R12" s="41" t="s">
        <v>39</v>
      </c>
      <c r="S12" s="38">
        <v>30.3248</v>
      </c>
      <c r="T12" s="38">
        <v>9.0928000000000004</v>
      </c>
      <c r="U12" s="38">
        <v>7.4109999999999996</v>
      </c>
      <c r="V12" s="27">
        <v>41.6492</v>
      </c>
      <c r="W12" s="62">
        <v>0.47789999999999999</v>
      </c>
      <c r="X12" s="38">
        <v>79.914699999999996</v>
      </c>
      <c r="Y12" s="38">
        <v>41.194400000000002</v>
      </c>
      <c r="Z12" s="27">
        <v>1854.761</v>
      </c>
      <c r="AA12" s="38">
        <v>6.6538000000000004</v>
      </c>
      <c r="AB12" s="38">
        <v>22.1233</v>
      </c>
      <c r="AC12" s="38">
        <v>44.2256</v>
      </c>
      <c r="AD12" s="38">
        <v>17.9419</v>
      </c>
      <c r="AE12" s="38">
        <v>150.37029999999999</v>
      </c>
      <c r="AF12" s="38">
        <v>5.5274999999999999</v>
      </c>
      <c r="AG12" s="62">
        <v>173.6</v>
      </c>
      <c r="AH12" s="62">
        <v>4.8289999999999997</v>
      </c>
      <c r="AI12" s="62">
        <v>13.42</v>
      </c>
      <c r="AJ12" s="62">
        <v>1.099</v>
      </c>
      <c r="AK12" s="27"/>
      <c r="AL12" s="38">
        <v>19.280915129325599</v>
      </c>
      <c r="AM12" s="38">
        <v>15.6226725103812</v>
      </c>
      <c r="AN12" s="38">
        <v>38.719367058816097</v>
      </c>
      <c r="AO12" s="38">
        <v>2.0081988875986099</v>
      </c>
      <c r="AP12" s="38">
        <v>1.2342533061746099</v>
      </c>
      <c r="AQ12" s="38">
        <f t="shared" si="0"/>
        <v>0.42454719999999996</v>
      </c>
      <c r="AR12" s="38">
        <v>30.3248</v>
      </c>
      <c r="AS12" s="38"/>
      <c r="AT12" s="41" t="s">
        <v>39</v>
      </c>
      <c r="AU12" s="25">
        <f t="shared" si="3"/>
        <v>8.1856585315928196</v>
      </c>
      <c r="AV12" s="25">
        <f t="shared" si="4"/>
        <v>6.632561870799309</v>
      </c>
      <c r="AW12" s="25">
        <f t="shared" si="5"/>
        <v>16.438198870592608</v>
      </c>
      <c r="AX12" s="36">
        <f t="shared" si="6"/>
        <v>31.256419272984736</v>
      </c>
      <c r="AY12" s="38">
        <v>30.3248</v>
      </c>
      <c r="AZ12" s="38"/>
      <c r="BA12" s="89">
        <f t="shared" si="1"/>
        <v>82.580870301604378</v>
      </c>
      <c r="BB12" s="38">
        <v>1.2342533061746099</v>
      </c>
      <c r="BC12" s="38">
        <v>38.719367058816097</v>
      </c>
      <c r="BD12" s="38">
        <v>15.6226725103812</v>
      </c>
      <c r="BE12" s="38">
        <v>19.280915129325599</v>
      </c>
      <c r="BF12" s="89">
        <f t="shared" si="2"/>
        <v>6.4851851851851823</v>
      </c>
      <c r="BG12" s="27"/>
      <c r="BH12" s="27"/>
      <c r="BI12" s="27"/>
      <c r="BJ12" s="27"/>
    </row>
    <row r="13" spans="1:72" s="1" customFormat="1" ht="15">
      <c r="B13" s="41" t="s">
        <v>40</v>
      </c>
      <c r="C13" s="172">
        <v>60</v>
      </c>
      <c r="D13" s="42">
        <v>69.326947836286294</v>
      </c>
      <c r="E13" s="42">
        <v>0.60598823534135404</v>
      </c>
      <c r="F13" s="42">
        <v>12.278836618604201</v>
      </c>
      <c r="G13" s="42">
        <v>8.61339577683807</v>
      </c>
      <c r="H13" s="43">
        <v>3.7874264708834598E-3</v>
      </c>
      <c r="I13" s="43">
        <v>0.96200632360439897</v>
      </c>
      <c r="J13" s="43">
        <v>6.8173676475902306E-2</v>
      </c>
      <c r="K13" s="43">
        <v>0.1</v>
      </c>
      <c r="L13" s="43">
        <v>2.4807643384286702</v>
      </c>
      <c r="M13" s="139">
        <v>6.7226819858181394E-2</v>
      </c>
      <c r="N13" s="44">
        <v>5.4135338345864001</v>
      </c>
      <c r="O13" s="44"/>
      <c r="R13" s="41" t="s">
        <v>40</v>
      </c>
      <c r="S13" s="38">
        <v>24.727599999999999</v>
      </c>
      <c r="T13" s="38">
        <v>12.121499999999999</v>
      </c>
      <c r="U13" s="38">
        <v>7.0350000000000001</v>
      </c>
      <c r="V13" s="27">
        <v>19.633500000000002</v>
      </c>
      <c r="W13" s="62">
        <v>9.7799999999999998E-2</v>
      </c>
      <c r="X13" s="38">
        <v>85.067499999999995</v>
      </c>
      <c r="Y13" s="38">
        <v>46.436100000000003</v>
      </c>
      <c r="Z13" s="27">
        <v>218.58199999999999</v>
      </c>
      <c r="AA13" s="38">
        <v>2.9186000000000001</v>
      </c>
      <c r="AB13" s="38">
        <v>19.417999999999999</v>
      </c>
      <c r="AC13" s="38">
        <v>85.8386</v>
      </c>
      <c r="AD13" s="38">
        <v>31.581499999999998</v>
      </c>
      <c r="AE13" s="38">
        <v>119.79089999999999</v>
      </c>
      <c r="AF13" s="38">
        <v>2.4994000000000001</v>
      </c>
      <c r="AG13" s="62">
        <v>131</v>
      </c>
      <c r="AH13" s="62">
        <v>3.6059999999999999</v>
      </c>
      <c r="AI13" s="62">
        <v>11.64</v>
      </c>
      <c r="AJ13" s="62">
        <v>0.91300000000000003</v>
      </c>
      <c r="AK13" s="27"/>
      <c r="AL13" s="38">
        <v>19.473511359999002</v>
      </c>
      <c r="AM13" s="38">
        <v>15.511142197988001</v>
      </c>
      <c r="AN13" s="38">
        <v>38.977049993409402</v>
      </c>
      <c r="AO13" s="38">
        <v>2.0015451597467702</v>
      </c>
      <c r="AP13" s="38">
        <v>1.25553113898482</v>
      </c>
      <c r="AQ13" s="38">
        <f t="shared" si="0"/>
        <v>0.34618639999999995</v>
      </c>
      <c r="AR13" s="38">
        <v>24.727599999999999</v>
      </c>
      <c r="AS13" s="38"/>
      <c r="AT13" s="41" t="s">
        <v>40</v>
      </c>
      <c r="AU13" s="25">
        <f t="shared" si="3"/>
        <v>6.7414647930771574</v>
      </c>
      <c r="AV13" s="25">
        <f t="shared" si="4"/>
        <v>5.369746477409552</v>
      </c>
      <c r="AW13" s="25">
        <f t="shared" si="5"/>
        <v>13.493324619838422</v>
      </c>
      <c r="AX13" s="36">
        <f t="shared" si="6"/>
        <v>25.604535890325131</v>
      </c>
      <c r="AY13" s="38">
        <v>24.727599999999999</v>
      </c>
      <c r="AZ13" s="38"/>
      <c r="BA13" s="89">
        <f t="shared" si="1"/>
        <v>82.254970483286698</v>
      </c>
      <c r="BB13" s="38">
        <v>1.25553113898482</v>
      </c>
      <c r="BC13" s="38">
        <v>38.977049993409402</v>
      </c>
      <c r="BD13" s="38">
        <v>15.511142197988001</v>
      </c>
      <c r="BE13" s="38">
        <v>19.473511359999002</v>
      </c>
      <c r="BF13" s="89">
        <f t="shared" si="2"/>
        <v>5.6460518198642706</v>
      </c>
      <c r="BG13" s="27"/>
      <c r="BH13" s="27"/>
      <c r="BI13" s="27"/>
      <c r="BJ13" s="27"/>
    </row>
    <row r="14" spans="1:72" s="1" customFormat="1" ht="15">
      <c r="B14" s="41" t="s">
        <v>41</v>
      </c>
      <c r="C14" s="172">
        <v>75</v>
      </c>
      <c r="D14" s="42">
        <v>77.584522920916299</v>
      </c>
      <c r="E14" s="42">
        <v>0.62400674826078295</v>
      </c>
      <c r="F14" s="42">
        <v>11.4066157569616</v>
      </c>
      <c r="G14" s="42">
        <v>2.3714955738845802</v>
      </c>
      <c r="H14" s="43">
        <v>3.79335409277072E-3</v>
      </c>
      <c r="I14" s="43">
        <v>1.03179231323364</v>
      </c>
      <c r="J14" s="43">
        <v>8.3453790040955794E-2</v>
      </c>
      <c r="K14" s="43">
        <v>0.1</v>
      </c>
      <c r="L14" s="43">
        <v>2.60887927730306</v>
      </c>
      <c r="M14" s="139">
        <v>3.5088525358129202E-2</v>
      </c>
      <c r="N14" s="44">
        <v>3.6529680365296802</v>
      </c>
      <c r="O14" s="44"/>
      <c r="R14" s="41" t="s">
        <v>41</v>
      </c>
      <c r="S14" s="38">
        <v>32.445500000000003</v>
      </c>
      <c r="T14" s="38">
        <v>11.9778</v>
      </c>
      <c r="U14" s="38">
        <v>6.6520000000000001</v>
      </c>
      <c r="V14" s="27">
        <v>14.319100000000001</v>
      </c>
      <c r="W14" s="62">
        <v>5.2200000000000003E-2</v>
      </c>
      <c r="X14" s="38">
        <v>187.75319999999999</v>
      </c>
      <c r="Y14" s="38">
        <v>55.898000000000003</v>
      </c>
      <c r="Z14" s="27">
        <v>232.346</v>
      </c>
      <c r="AA14" s="38">
        <v>3.4897999999999998</v>
      </c>
      <c r="AB14" s="38">
        <v>22.171500000000002</v>
      </c>
      <c r="AC14" s="38">
        <v>21.479900000000001</v>
      </c>
      <c r="AD14" s="38">
        <v>20.4255</v>
      </c>
      <c r="AE14" s="38">
        <v>352.59730000000002</v>
      </c>
      <c r="AF14" s="38">
        <v>4.9184000000000001</v>
      </c>
      <c r="AG14" s="62">
        <v>142.1</v>
      </c>
      <c r="AH14" s="62">
        <v>4.0259999999999998</v>
      </c>
      <c r="AI14" s="62">
        <v>11.79</v>
      </c>
      <c r="AJ14" s="62">
        <v>0.96499999999999997</v>
      </c>
      <c r="AK14" s="27"/>
      <c r="AL14" s="38">
        <v>19.504104523004099</v>
      </c>
      <c r="AM14" s="38">
        <v>15.3946308306178</v>
      </c>
      <c r="AN14" s="38">
        <v>38.5505910287362</v>
      </c>
      <c r="AO14" s="38">
        <v>1.9766053317088199</v>
      </c>
      <c r="AP14" s="38">
        <v>1.2669640254763801</v>
      </c>
      <c r="AQ14" s="38">
        <f t="shared" si="0"/>
        <v>0.454237</v>
      </c>
      <c r="AR14" s="38">
        <v>32.445500000000003</v>
      </c>
      <c r="AS14" s="38"/>
      <c r="AT14" s="41" t="s">
        <v>41</v>
      </c>
      <c r="AU14" s="25">
        <f t="shared" si="3"/>
        <v>8.8594859262158128</v>
      </c>
      <c r="AV14" s="25">
        <f t="shared" si="4"/>
        <v>6.9928109246073378</v>
      </c>
      <c r="AW14" s="25">
        <f t="shared" si="5"/>
        <v>17.511104817120046</v>
      </c>
      <c r="AX14" s="36">
        <f t="shared" si="6"/>
        <v>33.363401667943194</v>
      </c>
      <c r="AY14" s="38">
        <v>32.445500000000003</v>
      </c>
      <c r="AZ14" s="38"/>
      <c r="BA14" s="89">
        <f t="shared" si="1"/>
        <v>80.334226836819582</v>
      </c>
      <c r="BB14" s="38">
        <v>1.2669640254763801</v>
      </c>
      <c r="BC14" s="38">
        <v>38.5505910287362</v>
      </c>
      <c r="BD14" s="38">
        <v>15.3946308306178</v>
      </c>
      <c r="BE14" s="38">
        <v>19.504104523004099</v>
      </c>
      <c r="BF14" s="89">
        <f t="shared" si="2"/>
        <v>6.8017126704356201</v>
      </c>
      <c r="BG14" s="27"/>
      <c r="BH14" s="27"/>
      <c r="BI14" s="27"/>
      <c r="BJ14" s="27"/>
    </row>
    <row r="15" spans="1:72" s="1" customFormat="1" ht="15">
      <c r="B15" s="41" t="s">
        <v>42</v>
      </c>
      <c r="C15" s="172">
        <v>90</v>
      </c>
      <c r="D15" s="42">
        <v>57.720496499749899</v>
      </c>
      <c r="E15" s="42">
        <v>0.46145633444170497</v>
      </c>
      <c r="F15" s="42">
        <v>10.1314705676164</v>
      </c>
      <c r="G15" s="28">
        <v>21.5614012145499</v>
      </c>
      <c r="H15" s="43">
        <v>2.6828856653587502E-3</v>
      </c>
      <c r="I15" s="43">
        <v>0.820068718377991</v>
      </c>
      <c r="J15" s="43">
        <v>6.8860732077541204E-2</v>
      </c>
      <c r="K15" s="43">
        <v>0.1</v>
      </c>
      <c r="L15" s="43">
        <v>1.97102666881689</v>
      </c>
      <c r="M15" s="139">
        <v>5.0974827641816198E-2</v>
      </c>
      <c r="N15" s="44">
        <v>6.9148936170213098</v>
      </c>
      <c r="O15" s="44"/>
      <c r="R15" s="41" t="s">
        <v>42</v>
      </c>
      <c r="S15" s="38">
        <v>17.955400000000001</v>
      </c>
      <c r="T15" s="38">
        <v>11.2484</v>
      </c>
      <c r="U15" s="38">
        <v>10.69</v>
      </c>
      <c r="V15" s="27">
        <v>25.2835</v>
      </c>
      <c r="W15" s="62">
        <v>0.14530000000000001</v>
      </c>
      <c r="X15" s="38">
        <v>123.82129999999999</v>
      </c>
      <c r="Y15" s="38">
        <v>66.344300000000004</v>
      </c>
      <c r="Z15" s="27">
        <v>190.20400000000001</v>
      </c>
      <c r="AA15" s="38">
        <v>2.1631</v>
      </c>
      <c r="AB15" s="38">
        <v>13.7996</v>
      </c>
      <c r="AC15" s="38">
        <v>336.77499999999998</v>
      </c>
      <c r="AD15" s="38">
        <v>63.064999999999998</v>
      </c>
      <c r="AE15" s="38">
        <v>166.6114</v>
      </c>
      <c r="AF15" s="38">
        <v>2.3565999999999998</v>
      </c>
      <c r="AG15" s="62">
        <v>90.44</v>
      </c>
      <c r="AH15" s="62">
        <v>2.83</v>
      </c>
      <c r="AI15" s="62">
        <v>8.7710000000000008</v>
      </c>
      <c r="AJ15" s="62">
        <v>0.75900000000000001</v>
      </c>
      <c r="AK15" s="27"/>
      <c r="AL15" s="38">
        <v>19.384648900141102</v>
      </c>
      <c r="AM15" s="38">
        <v>15.720864913740799</v>
      </c>
      <c r="AN15" s="38">
        <v>38.775168626444902</v>
      </c>
      <c r="AO15" s="38">
        <v>2.0002659554124</v>
      </c>
      <c r="AP15" s="38">
        <v>1.2330656305672101</v>
      </c>
      <c r="AQ15" s="38">
        <f t="shared" si="0"/>
        <v>0.25137559999999998</v>
      </c>
      <c r="AR15" s="38">
        <v>17.955400000000001</v>
      </c>
      <c r="AS15" s="38"/>
      <c r="AT15" s="41" t="s">
        <v>42</v>
      </c>
      <c r="AU15" s="25">
        <f t="shared" si="3"/>
        <v>4.872827748062309</v>
      </c>
      <c r="AV15" s="25">
        <f t="shared" si="4"/>
        <v>3.9518418502105415</v>
      </c>
      <c r="AW15" s="25">
        <f t="shared" si="5"/>
        <v>9.7471312785737627</v>
      </c>
      <c r="AX15" s="36">
        <f t="shared" si="6"/>
        <v>18.571800876846613</v>
      </c>
      <c r="AY15" s="38">
        <v>17.955400000000001</v>
      </c>
      <c r="AZ15" s="38"/>
      <c r="BA15" s="89">
        <f t="shared" si="1"/>
        <v>82.561934821023613</v>
      </c>
      <c r="BB15" s="38">
        <v>1.2330656305672101</v>
      </c>
      <c r="BC15" s="38">
        <v>38.775168626444902</v>
      </c>
      <c r="BD15" s="38">
        <v>15.720864913740799</v>
      </c>
      <c r="BE15" s="38">
        <v>19.384648900141102</v>
      </c>
      <c r="BF15" s="89">
        <f t="shared" si="2"/>
        <v>5.6971489098773169</v>
      </c>
      <c r="BG15" s="27"/>
      <c r="BH15" s="27"/>
      <c r="BI15" s="27"/>
      <c r="BJ15" s="27"/>
    </row>
    <row r="16" spans="1:72" s="1" customFormat="1" ht="15">
      <c r="B16" s="41" t="s">
        <v>43</v>
      </c>
      <c r="C16" s="172">
        <v>110</v>
      </c>
      <c r="D16" s="42">
        <v>77.787881460289</v>
      </c>
      <c r="E16" s="42">
        <v>0.600667595103069</v>
      </c>
      <c r="F16" s="42">
        <v>11.28988538498</v>
      </c>
      <c r="G16" s="42">
        <v>2.3140891500243099</v>
      </c>
      <c r="H16" s="43">
        <v>2.85578888321586E-3</v>
      </c>
      <c r="I16" s="43">
        <v>1.0318917164686601</v>
      </c>
      <c r="J16" s="43">
        <v>6.56831443139647E-2</v>
      </c>
      <c r="K16" s="43">
        <v>0.1</v>
      </c>
      <c r="L16" s="43">
        <v>2.8957699275808801</v>
      </c>
      <c r="M16" s="139">
        <v>3.7125255481806202E-2</v>
      </c>
      <c r="N16" s="44">
        <v>3.4194528875379402</v>
      </c>
      <c r="O16" s="44"/>
      <c r="R16" s="41" t="s">
        <v>43</v>
      </c>
      <c r="S16" s="38">
        <v>40.553600000000003</v>
      </c>
      <c r="T16" s="38">
        <v>13.175000000000001</v>
      </c>
      <c r="U16" s="38">
        <v>10.26</v>
      </c>
      <c r="V16" s="27">
        <v>12.494</v>
      </c>
      <c r="W16" s="62">
        <v>4.8599999999999997E-2</v>
      </c>
      <c r="X16" s="38">
        <v>98.356899999999996</v>
      </c>
      <c r="Y16" s="38">
        <v>36.309899999999999</v>
      </c>
      <c r="Z16" s="27">
        <v>109.47199999999999</v>
      </c>
      <c r="AA16" s="38">
        <v>1.9369000000000001</v>
      </c>
      <c r="AB16" s="38">
        <v>12.299200000000001</v>
      </c>
      <c r="AC16" s="38">
        <v>39.872100000000003</v>
      </c>
      <c r="AD16" s="38">
        <v>28.181699999999999</v>
      </c>
      <c r="AE16" s="38">
        <v>198.94069999999999</v>
      </c>
      <c r="AF16" s="38">
        <v>3.1518000000000002</v>
      </c>
      <c r="AG16" s="62">
        <v>121.7</v>
      </c>
      <c r="AH16" s="62">
        <v>3.9369999999999998</v>
      </c>
      <c r="AI16" s="62">
        <v>10.59</v>
      </c>
      <c r="AJ16" s="62">
        <v>1.0109999999999999</v>
      </c>
      <c r="AK16" s="27"/>
      <c r="AL16" s="38">
        <v>19.590824995630602</v>
      </c>
      <c r="AM16" s="38">
        <v>15.7627398055679</v>
      </c>
      <c r="AN16" s="38">
        <v>39.056023468687101</v>
      </c>
      <c r="AO16" s="38">
        <v>1.9936423571697699</v>
      </c>
      <c r="AP16" s="38">
        <v>1.2428574690210901</v>
      </c>
      <c r="AQ16" s="38">
        <f t="shared" si="0"/>
        <v>0.56775039999999999</v>
      </c>
      <c r="AR16" s="38">
        <v>40.553600000000003</v>
      </c>
      <c r="AS16" s="38"/>
      <c r="AT16" s="41" t="s">
        <v>43</v>
      </c>
      <c r="AU16" s="25">
        <f t="shared" si="3"/>
        <v>11.122698727599271</v>
      </c>
      <c r="AV16" s="25">
        <f t="shared" si="4"/>
        <v>8.9493018297070979</v>
      </c>
      <c r="AW16" s="25">
        <f t="shared" si="5"/>
        <v>22.174072946756489</v>
      </c>
      <c r="AX16" s="36">
        <f t="shared" si="6"/>
        <v>42.246073504062856</v>
      </c>
      <c r="AY16" s="38">
        <v>40.553600000000003</v>
      </c>
      <c r="AZ16" s="38"/>
      <c r="BA16" s="89">
        <f t="shared" si="1"/>
        <v>78.667821951977643</v>
      </c>
      <c r="BB16" s="38">
        <v>1.2428574690210901</v>
      </c>
      <c r="BC16" s="38">
        <v>39.056023468687101</v>
      </c>
      <c r="BD16" s="38">
        <v>15.7627398055679</v>
      </c>
      <c r="BE16" s="38">
        <v>19.590824995630602</v>
      </c>
      <c r="BF16" s="89">
        <f t="shared" si="2"/>
        <v>6.8900505902192384</v>
      </c>
      <c r="BG16" s="27"/>
      <c r="BH16" s="27"/>
      <c r="BI16" s="27"/>
      <c r="BJ16" s="27"/>
    </row>
    <row r="17" spans="1:62" s="1" customFormat="1" ht="15">
      <c r="B17" s="41" t="s">
        <v>44</v>
      </c>
      <c r="C17" s="172">
        <v>150</v>
      </c>
      <c r="D17" s="42">
        <v>68.044085921671893</v>
      </c>
      <c r="E17" s="42">
        <v>0.57493786901033295</v>
      </c>
      <c r="F17" s="28">
        <v>14.895429790544</v>
      </c>
      <c r="G17" s="42">
        <v>6.1942807579643402</v>
      </c>
      <c r="H17" s="43">
        <v>1.3238700931159E-2</v>
      </c>
      <c r="I17" s="43">
        <v>1.2709152893912601</v>
      </c>
      <c r="J17" s="43">
        <v>7.1867233626291604E-2</v>
      </c>
      <c r="K17" s="43">
        <v>0.1</v>
      </c>
      <c r="L17" s="43">
        <v>2.9910007889468502</v>
      </c>
      <c r="M17" s="139">
        <v>2.3640537377069601E-2</v>
      </c>
      <c r="N17" s="44">
        <v>5.8122205663188504</v>
      </c>
      <c r="O17" s="44"/>
      <c r="R17" s="41" t="s">
        <v>44</v>
      </c>
      <c r="S17" s="38">
        <v>16.875299999999999</v>
      </c>
      <c r="T17" s="38">
        <v>12.4025</v>
      </c>
      <c r="U17" s="38">
        <v>10.28</v>
      </c>
      <c r="V17" s="27">
        <v>37.250999999999998</v>
      </c>
      <c r="W17" s="62">
        <v>6.9099999999999995E-2</v>
      </c>
      <c r="X17" s="38">
        <v>177.7474</v>
      </c>
      <c r="Y17" s="38">
        <v>62.745199999999997</v>
      </c>
      <c r="Z17" s="27">
        <v>1311.1559999999999</v>
      </c>
      <c r="AA17" s="38">
        <v>29.5077</v>
      </c>
      <c r="AB17" s="38">
        <v>58.5017</v>
      </c>
      <c r="AC17" s="38">
        <v>81.9803</v>
      </c>
      <c r="AD17" s="38">
        <v>30.4893</v>
      </c>
      <c r="AE17" s="38">
        <v>239.84729999999999</v>
      </c>
      <c r="AF17" s="38">
        <v>2.2265999999999999</v>
      </c>
      <c r="AG17" s="62">
        <v>123</v>
      </c>
      <c r="AH17" s="62">
        <v>3.754</v>
      </c>
      <c r="AI17" s="62">
        <v>11.17</v>
      </c>
      <c r="AJ17" s="62">
        <v>0.96599999999999997</v>
      </c>
      <c r="AK17" s="27"/>
      <c r="AL17" s="38">
        <v>19.741025778123301</v>
      </c>
      <c r="AM17" s="38">
        <v>15.723212724728301</v>
      </c>
      <c r="AN17" s="38">
        <v>39.298723942898903</v>
      </c>
      <c r="AO17" s="38">
        <v>1.9908020410885301</v>
      </c>
      <c r="AP17" s="46">
        <v>1.25549998784943</v>
      </c>
      <c r="AQ17" s="38">
        <f t="shared" si="0"/>
        <v>0.23625419999999997</v>
      </c>
      <c r="AR17" s="38">
        <v>16.875299999999999</v>
      </c>
      <c r="AS17" s="38"/>
      <c r="AT17" s="41" t="s">
        <v>44</v>
      </c>
      <c r="AU17" s="25">
        <f t="shared" si="3"/>
        <v>4.6639002523898974</v>
      </c>
      <c r="AV17" s="25">
        <f t="shared" si="4"/>
        <v>3.7146750437105043</v>
      </c>
      <c r="AW17" s="25">
        <f t="shared" si="5"/>
        <v>9.2844885861504256</v>
      </c>
      <c r="AX17" s="36">
        <f t="shared" si="6"/>
        <v>17.663063882250825</v>
      </c>
      <c r="AY17" s="38">
        <v>16.875299999999999</v>
      </c>
      <c r="AZ17" s="38"/>
      <c r="BA17" s="89">
        <f t="shared" si="1"/>
        <v>82.485237228307838</v>
      </c>
      <c r="BB17" s="46">
        <v>1.25549998784943</v>
      </c>
      <c r="BC17" s="38">
        <v>39.298723942898903</v>
      </c>
      <c r="BD17" s="38">
        <v>15.723212724728301</v>
      </c>
      <c r="BE17" s="38">
        <v>19.741025778123301</v>
      </c>
      <c r="BF17" s="89">
        <f t="shared" si="2"/>
        <v>4.5681183341797915</v>
      </c>
      <c r="BG17" s="27"/>
      <c r="BH17" s="27"/>
      <c r="BI17" s="27"/>
      <c r="BJ17" s="27"/>
    </row>
    <row r="18" spans="1:62" s="1" customFormat="1" ht="15">
      <c r="B18" s="41" t="s">
        <v>45</v>
      </c>
      <c r="C18" s="172">
        <v>175</v>
      </c>
      <c r="D18" s="42">
        <v>80.711722066902098</v>
      </c>
      <c r="E18" s="42">
        <v>0.54823645485265504</v>
      </c>
      <c r="F18" s="42">
        <v>10.319917181292199</v>
      </c>
      <c r="G18" s="42">
        <v>1.3798982851086601</v>
      </c>
      <c r="H18" s="43">
        <v>2.9265291184305499E-3</v>
      </c>
      <c r="I18" s="43">
        <v>1.08574230293773</v>
      </c>
      <c r="J18" s="43">
        <v>7.0236698842333106E-2</v>
      </c>
      <c r="K18" s="43">
        <v>0.1</v>
      </c>
      <c r="L18" s="43">
        <v>2.7958108178073098</v>
      </c>
      <c r="M18" s="139">
        <v>2.14612135351573E-2</v>
      </c>
      <c r="N18" s="44">
        <v>3.0724213606438</v>
      </c>
      <c r="O18" s="44"/>
      <c r="R18" s="41" t="s">
        <v>45</v>
      </c>
      <c r="S18" s="38">
        <v>24.686199999999999</v>
      </c>
      <c r="T18" s="38">
        <v>10.793699999999999</v>
      </c>
      <c r="U18" s="38">
        <v>6.52</v>
      </c>
      <c r="V18" s="27">
        <v>8.9796999999999993</v>
      </c>
      <c r="W18" s="62">
        <v>2.47E-2</v>
      </c>
      <c r="X18" s="38">
        <v>73.188400000000001</v>
      </c>
      <c r="Y18" s="38">
        <v>28.093</v>
      </c>
      <c r="Z18" s="27">
        <v>76.108999999999995</v>
      </c>
      <c r="AA18" s="38">
        <v>1.2495000000000001</v>
      </c>
      <c r="AB18" s="38">
        <v>11.400600000000001</v>
      </c>
      <c r="AC18" s="38">
        <v>22.177600000000002</v>
      </c>
      <c r="AD18" s="38">
        <v>20.740100000000002</v>
      </c>
      <c r="AE18" s="38">
        <v>130.3537</v>
      </c>
      <c r="AF18" s="38">
        <v>1.8816999999999999</v>
      </c>
      <c r="AG18" s="62">
        <v>114.8</v>
      </c>
      <c r="AH18" s="62">
        <v>3.3889999999999998</v>
      </c>
      <c r="AI18" s="62">
        <v>10.15</v>
      </c>
      <c r="AJ18" s="62">
        <v>0.83599999999999997</v>
      </c>
      <c r="AK18" s="27"/>
      <c r="AL18" s="38">
        <v>19.890228930074201</v>
      </c>
      <c r="AM18" s="38">
        <v>16.004798891094602</v>
      </c>
      <c r="AN18" s="38">
        <v>39.764841694981698</v>
      </c>
      <c r="AO18" s="38">
        <v>1.99925539770227</v>
      </c>
      <c r="AP18" s="38">
        <v>1.2428042873424501</v>
      </c>
      <c r="AQ18" s="38">
        <f t="shared" si="0"/>
        <v>0.34560679999999994</v>
      </c>
      <c r="AR18" s="38">
        <v>24.686199999999999</v>
      </c>
      <c r="AS18" s="38"/>
      <c r="AT18" s="41" t="s">
        <v>45</v>
      </c>
      <c r="AU18" s="25">
        <f t="shared" si="3"/>
        <v>6.8741983717903672</v>
      </c>
      <c r="AV18" s="25">
        <f t="shared" si="4"/>
        <v>5.5313673293947527</v>
      </c>
      <c r="AW18" s="25">
        <f t="shared" si="5"/>
        <v>13.742999690709198</v>
      </c>
      <c r="AX18" s="36">
        <f t="shared" si="6"/>
        <v>26.148565391894316</v>
      </c>
      <c r="AY18" s="38">
        <v>24.686199999999999</v>
      </c>
      <c r="AZ18" s="38"/>
      <c r="BA18" s="89">
        <f t="shared" si="1"/>
        <v>77.675331945529564</v>
      </c>
      <c r="BB18" s="38">
        <v>1.2428042873424501</v>
      </c>
      <c r="BC18" s="38">
        <v>39.764841694981698</v>
      </c>
      <c r="BD18" s="38">
        <v>16.004798891094602</v>
      </c>
      <c r="BE18" s="38">
        <v>19.890228930074201</v>
      </c>
      <c r="BF18" s="89">
        <f t="shared" si="2"/>
        <v>7.8209660648454786</v>
      </c>
      <c r="BG18" s="27"/>
      <c r="BH18" s="27"/>
      <c r="BI18" s="27"/>
      <c r="BJ18" s="27"/>
    </row>
    <row r="19" spans="1:62" s="1" customFormat="1" ht="15">
      <c r="B19" s="41" t="s">
        <v>46</v>
      </c>
      <c r="C19" s="172">
        <v>190</v>
      </c>
      <c r="D19" s="42">
        <v>73.446613213807197</v>
      </c>
      <c r="E19" s="42">
        <v>0.48826427895434799</v>
      </c>
      <c r="F19" s="42">
        <v>11.667540631198101</v>
      </c>
      <c r="G19" s="42">
        <v>5.5130439794591304</v>
      </c>
      <c r="H19" s="43">
        <v>1.0348568532751099E-2</v>
      </c>
      <c r="I19" s="43">
        <v>1.2625253609956399</v>
      </c>
      <c r="J19" s="43">
        <v>7.1499200771734994E-2</v>
      </c>
      <c r="K19" s="43">
        <v>0.1</v>
      </c>
      <c r="L19" s="43">
        <v>2.22306067662644</v>
      </c>
      <c r="M19" s="139">
        <v>4.70389478761414E-2</v>
      </c>
      <c r="N19" s="44">
        <v>5.1608077786087696</v>
      </c>
      <c r="O19" s="44"/>
      <c r="R19" s="41" t="s">
        <v>46</v>
      </c>
      <c r="S19" s="38">
        <v>23.616900000000001</v>
      </c>
      <c r="T19" s="38">
        <v>9.4605999999999995</v>
      </c>
      <c r="U19" s="38">
        <v>10.29</v>
      </c>
      <c r="V19" s="27">
        <v>21.5075</v>
      </c>
      <c r="W19" s="62">
        <v>5.45E-2</v>
      </c>
      <c r="X19" s="38">
        <v>110.9157</v>
      </c>
      <c r="Y19" s="38">
        <v>45.214700000000001</v>
      </c>
      <c r="Z19" s="27">
        <v>822.61199999999997</v>
      </c>
      <c r="AA19" s="38">
        <v>7.4061000000000003</v>
      </c>
      <c r="AB19" s="38">
        <v>50.665900000000001</v>
      </c>
      <c r="AC19" s="38">
        <v>118.6859</v>
      </c>
      <c r="AD19" s="38">
        <v>30.008800000000001</v>
      </c>
      <c r="AE19" s="38">
        <v>208.9494</v>
      </c>
      <c r="AF19" s="38">
        <v>2.6286999999999998</v>
      </c>
      <c r="AG19" s="62">
        <v>98.16</v>
      </c>
      <c r="AH19" s="62">
        <v>2.8690000000000002</v>
      </c>
      <c r="AI19" s="62">
        <v>9.1489999999999991</v>
      </c>
      <c r="AJ19" s="62">
        <v>0.746</v>
      </c>
      <c r="AK19" s="27"/>
      <c r="AL19" s="38">
        <v>19.470144810298901</v>
      </c>
      <c r="AM19" s="38">
        <v>15.6894067358479</v>
      </c>
      <c r="AN19" s="38">
        <v>38.900066036574003</v>
      </c>
      <c r="AO19" s="38">
        <v>1.9980897452105699</v>
      </c>
      <c r="AP19" s="38">
        <v>1.2411245458920801</v>
      </c>
      <c r="AQ19" s="38">
        <f t="shared" si="0"/>
        <v>0.3306366</v>
      </c>
      <c r="AR19" s="38">
        <v>23.616900000000001</v>
      </c>
      <c r="AS19" s="38"/>
      <c r="AT19" s="41" t="s">
        <v>46</v>
      </c>
      <c r="AU19" s="25">
        <f t="shared" si="3"/>
        <v>6.4375424815848739</v>
      </c>
      <c r="AV19" s="25">
        <f t="shared" si="4"/>
        <v>5.1874920991578479</v>
      </c>
      <c r="AW19" s="25">
        <f t="shared" si="5"/>
        <v>12.861785574108303</v>
      </c>
      <c r="AX19" s="36">
        <f t="shared" si="6"/>
        <v>24.486820154851024</v>
      </c>
      <c r="AY19" s="38">
        <v>23.616900000000001</v>
      </c>
      <c r="AZ19" s="38"/>
      <c r="BA19" s="89">
        <f t="shared" si="1"/>
        <v>82.971534900249353</v>
      </c>
      <c r="BB19" s="38">
        <v>1.2411245458920801</v>
      </c>
      <c r="BC19" s="38">
        <v>38.900066036574003</v>
      </c>
      <c r="BD19" s="38">
        <v>15.6894067358479</v>
      </c>
      <c r="BE19" s="38">
        <v>19.470144810298901</v>
      </c>
      <c r="BF19" s="89">
        <f t="shared" si="2"/>
        <v>6.2949524270279067</v>
      </c>
      <c r="BG19" s="27"/>
      <c r="BH19" s="27"/>
      <c r="BI19" s="27"/>
      <c r="BJ19" s="27"/>
    </row>
    <row r="20" spans="1:62" s="1" customFormat="1" ht="15">
      <c r="B20" s="41" t="s">
        <v>47</v>
      </c>
      <c r="C20" s="172">
        <v>220</v>
      </c>
      <c r="D20" s="42">
        <v>81.632141119834401</v>
      </c>
      <c r="E20" s="42">
        <v>0.61918876330153105</v>
      </c>
      <c r="F20" s="42">
        <v>10.1037265022614</v>
      </c>
      <c r="G20" s="42">
        <v>0.97087839275065502</v>
      </c>
      <c r="H20" s="43">
        <v>5.8139789981364398E-3</v>
      </c>
      <c r="I20" s="43">
        <v>1.0843070831524499</v>
      </c>
      <c r="J20" s="43">
        <v>7.55817269757737E-2</v>
      </c>
      <c r="K20" s="43">
        <v>0.104465026477288</v>
      </c>
      <c r="L20" s="43">
        <v>2.8488497090868599</v>
      </c>
      <c r="M20" s="139">
        <v>3.0038891490371599E-2</v>
      </c>
      <c r="N20" s="44">
        <v>2.7671022290545202</v>
      </c>
      <c r="O20" s="44"/>
      <c r="R20" s="41" t="s">
        <v>47</v>
      </c>
      <c r="S20" s="38">
        <v>29.276299999999999</v>
      </c>
      <c r="T20" s="38">
        <v>14.495799999999999</v>
      </c>
      <c r="U20" s="38">
        <v>7.7770000000000001</v>
      </c>
      <c r="V20" s="27">
        <v>11.6242</v>
      </c>
      <c r="W20" s="62">
        <v>3.4500000000000003E-2</v>
      </c>
      <c r="X20" s="38">
        <v>73.805800000000005</v>
      </c>
      <c r="Y20" s="38">
        <v>30.706600000000002</v>
      </c>
      <c r="Z20" s="27">
        <v>361.11399999999998</v>
      </c>
      <c r="AA20" s="38">
        <v>3.1456</v>
      </c>
      <c r="AB20" s="38">
        <v>10.886200000000001</v>
      </c>
      <c r="AC20" s="38">
        <v>20.796700000000001</v>
      </c>
      <c r="AD20" s="38">
        <v>25.507899999999999</v>
      </c>
      <c r="AE20" s="38">
        <v>217.3989</v>
      </c>
      <c r="AF20" s="38">
        <v>4.5579000000000001</v>
      </c>
      <c r="AG20" s="62">
        <v>133.9</v>
      </c>
      <c r="AH20" s="62">
        <v>3.9580000000000002</v>
      </c>
      <c r="AI20" s="62">
        <v>11.17</v>
      </c>
      <c r="AJ20" s="62">
        <v>0.94099999999999995</v>
      </c>
      <c r="AK20" s="27"/>
      <c r="AL20" s="38">
        <v>19.758347963347902</v>
      </c>
      <c r="AM20" s="38">
        <v>15.689903359375201</v>
      </c>
      <c r="AN20" s="38">
        <v>39.418251658851297</v>
      </c>
      <c r="AO20" s="38">
        <v>1.99497846533526</v>
      </c>
      <c r="AP20" s="38">
        <v>1.2592971971818301</v>
      </c>
      <c r="AQ20" s="38">
        <f t="shared" si="0"/>
        <v>0.40986819999999996</v>
      </c>
      <c r="AR20" s="38">
        <v>29.276299999999999</v>
      </c>
      <c r="AS20" s="38"/>
      <c r="AT20" s="41" t="s">
        <v>47</v>
      </c>
      <c r="AU20" s="25">
        <f t="shared" si="3"/>
        <v>8.0983185147110692</v>
      </c>
      <c r="AV20" s="25">
        <f t="shared" si="4"/>
        <v>6.4307924480810659</v>
      </c>
      <c r="AW20" s="25">
        <f t="shared" si="5"/>
        <v>16.156287854560393</v>
      </c>
      <c r="AX20" s="36">
        <f t="shared" si="6"/>
        <v>30.685398817352528</v>
      </c>
      <c r="AY20" s="38">
        <v>29.276299999999999</v>
      </c>
      <c r="AZ20" s="38"/>
      <c r="BA20" s="89">
        <f t="shared" si="1"/>
        <v>76.936089076355032</v>
      </c>
      <c r="BB20" s="38">
        <v>1.2592971971818301</v>
      </c>
      <c r="BC20" s="38">
        <v>39.418251658851297</v>
      </c>
      <c r="BD20" s="38">
        <v>15.689903359375201</v>
      </c>
      <c r="BE20" s="38">
        <v>19.758347963347902</v>
      </c>
      <c r="BF20" s="89">
        <f t="shared" si="2"/>
        <v>8.0794092260477974</v>
      </c>
      <c r="BG20" s="27"/>
      <c r="BH20" s="27"/>
      <c r="BI20" s="27"/>
      <c r="BJ20" s="27"/>
    </row>
    <row r="21" spans="1:62" s="1" customFormat="1" ht="15">
      <c r="B21" s="41" t="s">
        <v>48</v>
      </c>
      <c r="C21" s="172">
        <v>250</v>
      </c>
      <c r="D21" s="28">
        <v>61.135953879396901</v>
      </c>
      <c r="E21" s="28">
        <v>0.52391460092137998</v>
      </c>
      <c r="F21" s="28">
        <v>12.352967110652401</v>
      </c>
      <c r="G21" s="28">
        <v>14.104801957948901</v>
      </c>
      <c r="H21" s="47">
        <v>9.2076379775286408E-3</v>
      </c>
      <c r="I21" s="47">
        <v>1.6260688668315599</v>
      </c>
      <c r="J21" s="47">
        <v>7.9185686606746297E-2</v>
      </c>
      <c r="K21" s="47">
        <v>0.21824126630919599</v>
      </c>
      <c r="L21" s="47">
        <v>2.66469043069679</v>
      </c>
      <c r="M21" s="55">
        <v>0.24124011501125001</v>
      </c>
      <c r="N21" s="44">
        <v>7.9207920792079403</v>
      </c>
      <c r="O21" s="44"/>
      <c r="R21" s="41" t="s">
        <v>48</v>
      </c>
      <c r="S21" s="38">
        <v>24.794899999999998</v>
      </c>
      <c r="T21" s="38">
        <v>10.806800000000001</v>
      </c>
      <c r="U21" s="38">
        <v>8.9939999999999998</v>
      </c>
      <c r="V21" s="27">
        <v>51.101100000000002</v>
      </c>
      <c r="W21" s="62">
        <v>0.21360000000000001</v>
      </c>
      <c r="X21" s="38">
        <v>157.2458</v>
      </c>
      <c r="Y21" s="38">
        <v>50.553699999999999</v>
      </c>
      <c r="Z21" s="27">
        <v>757.97400000000005</v>
      </c>
      <c r="AA21" s="38">
        <v>18.804500000000001</v>
      </c>
      <c r="AB21" s="38">
        <v>103.7535</v>
      </c>
      <c r="AC21" s="38">
        <v>264.82760000000002</v>
      </c>
      <c r="AD21" s="38">
        <v>37.645699999999998</v>
      </c>
      <c r="AE21" s="38">
        <v>354.23480000000001</v>
      </c>
      <c r="AF21" s="38">
        <v>5.3753000000000002</v>
      </c>
      <c r="AG21" s="65">
        <v>115.6</v>
      </c>
      <c r="AH21" s="65">
        <v>3.5230000000000001</v>
      </c>
      <c r="AI21" s="65">
        <v>10.07</v>
      </c>
      <c r="AJ21" s="65">
        <v>0.89800000000000002</v>
      </c>
      <c r="AK21" s="48"/>
      <c r="AL21" s="38">
        <v>19.754117851242899</v>
      </c>
      <c r="AM21" s="38">
        <v>15.585598061529501</v>
      </c>
      <c r="AN21" s="38">
        <v>38.8474179709279</v>
      </c>
      <c r="AO21" s="38">
        <v>1.96659150360651</v>
      </c>
      <c r="AP21" s="38">
        <v>1.26747239029307</v>
      </c>
      <c r="AQ21" s="38">
        <f t="shared" si="0"/>
        <v>0.34712859999999995</v>
      </c>
      <c r="AR21" s="38">
        <v>24.794899999999998</v>
      </c>
      <c r="AS21" s="38"/>
      <c r="AT21" s="41" t="s">
        <v>48</v>
      </c>
      <c r="AU21" s="25">
        <f t="shared" si="3"/>
        <v>6.8572192739369546</v>
      </c>
      <c r="AV21" s="25">
        <f t="shared" si="4"/>
        <v>5.410206835261449</v>
      </c>
      <c r="AW21" s="25">
        <f t="shared" si="5"/>
        <v>13.485049813863041</v>
      </c>
      <c r="AX21" s="36">
        <f t="shared" si="6"/>
        <v>25.752475923061446</v>
      </c>
      <c r="AY21" s="38">
        <v>24.794899999999998</v>
      </c>
      <c r="AZ21" s="38"/>
      <c r="BA21" s="89">
        <f t="shared" si="1"/>
        <v>80.65882441117499</v>
      </c>
      <c r="BB21" s="38">
        <v>1.26747239029307</v>
      </c>
      <c r="BC21" s="38">
        <v>38.8474179709279</v>
      </c>
      <c r="BD21" s="38">
        <v>15.585598061529501</v>
      </c>
      <c r="BE21" s="38">
        <v>19.754117851242899</v>
      </c>
      <c r="BF21" s="89">
        <f t="shared" si="2"/>
        <v>4.9490906380441348</v>
      </c>
      <c r="BG21" s="48"/>
      <c r="BH21" s="48"/>
      <c r="BI21" s="48"/>
      <c r="BJ21" s="48"/>
    </row>
    <row r="22" spans="1:62" s="1" customFormat="1" ht="15">
      <c r="B22" s="41" t="s">
        <v>49</v>
      </c>
      <c r="C22" s="172">
        <v>275</v>
      </c>
      <c r="D22" s="42">
        <v>71.610845455609095</v>
      </c>
      <c r="E22" s="42">
        <v>0.47961926374184399</v>
      </c>
      <c r="F22" s="42">
        <v>9.7842329803336092</v>
      </c>
      <c r="G22" s="42">
        <v>6.4564584897887496</v>
      </c>
      <c r="H22" s="43">
        <v>7.37875790372067E-3</v>
      </c>
      <c r="I22" s="43">
        <v>1.89910781547011</v>
      </c>
      <c r="J22" s="43">
        <v>6.8253510609416201E-2</v>
      </c>
      <c r="K22" s="43">
        <v>0.16925574748731001</v>
      </c>
      <c r="L22" s="43">
        <v>2.3233863949340501</v>
      </c>
      <c r="M22" s="139">
        <v>8.3933371154822606E-2</v>
      </c>
      <c r="N22" s="44">
        <v>7.1810542398777804</v>
      </c>
      <c r="O22" s="44"/>
      <c r="R22" s="41" t="s">
        <v>49</v>
      </c>
      <c r="S22" s="38">
        <v>18.817299999999999</v>
      </c>
      <c r="T22" s="38">
        <v>9.2863000000000007</v>
      </c>
      <c r="U22" s="38">
        <v>7.0890000000000004</v>
      </c>
      <c r="V22" s="27">
        <v>36.852200000000003</v>
      </c>
      <c r="W22" s="62">
        <v>0.14630000000000001</v>
      </c>
      <c r="X22" s="38">
        <v>125.2876</v>
      </c>
      <c r="Y22" s="38">
        <v>50.521000000000001</v>
      </c>
      <c r="Z22" s="27">
        <v>622.26499999999999</v>
      </c>
      <c r="AA22" s="38">
        <v>9.7771000000000008</v>
      </c>
      <c r="AB22" s="38">
        <v>67.084299999999999</v>
      </c>
      <c r="AC22" s="38">
        <v>125.2597</v>
      </c>
      <c r="AD22" s="38">
        <v>21.454499999999999</v>
      </c>
      <c r="AE22" s="38">
        <v>254.6285</v>
      </c>
      <c r="AF22" s="38">
        <v>3.0809000000000002</v>
      </c>
      <c r="AG22" s="62">
        <v>103.1</v>
      </c>
      <c r="AH22" s="62">
        <v>2.8969999999999998</v>
      </c>
      <c r="AI22" s="62">
        <v>9.4600000000000009</v>
      </c>
      <c r="AJ22" s="62">
        <v>0.755</v>
      </c>
      <c r="AK22" s="27"/>
      <c r="AL22" s="38">
        <v>19.317435544242901</v>
      </c>
      <c r="AM22" s="38">
        <v>15.490416730677101</v>
      </c>
      <c r="AN22" s="38">
        <v>38.524485053992201</v>
      </c>
      <c r="AO22" s="38">
        <v>1.9942755014465701</v>
      </c>
      <c r="AP22" s="38">
        <v>1.2470866320229601</v>
      </c>
      <c r="AQ22" s="38">
        <f t="shared" si="0"/>
        <v>0.26344219999999996</v>
      </c>
      <c r="AR22" s="38">
        <v>18.817299999999999</v>
      </c>
      <c r="AS22" s="38"/>
      <c r="AT22" s="41" t="s">
        <v>49</v>
      </c>
      <c r="AU22" s="25">
        <f t="shared" si="3"/>
        <v>5.0890277181335462</v>
      </c>
      <c r="AV22" s="25">
        <f t="shared" si="4"/>
        <v>4.0808294624463821</v>
      </c>
      <c r="AW22" s="25">
        <f t="shared" si="5"/>
        <v>10.148975096490823</v>
      </c>
      <c r="AX22" s="36">
        <f t="shared" si="6"/>
        <v>19.318832277070751</v>
      </c>
      <c r="AY22" s="38">
        <v>18.817299999999999</v>
      </c>
      <c r="AZ22" s="38"/>
      <c r="BA22" s="89">
        <f t="shared" si="1"/>
        <v>79.255820420456303</v>
      </c>
      <c r="BB22" s="38">
        <v>1.2470866320229601</v>
      </c>
      <c r="BC22" s="38">
        <v>38.524485053992201</v>
      </c>
      <c r="BD22" s="38">
        <v>15.490416730677101</v>
      </c>
      <c r="BE22" s="38">
        <v>19.317435544242901</v>
      </c>
      <c r="BF22" s="89">
        <f t="shared" si="2"/>
        <v>7.3190045248868767</v>
      </c>
      <c r="BG22" s="27"/>
      <c r="BH22" s="27"/>
      <c r="BI22" s="27"/>
      <c r="BJ22" s="27"/>
    </row>
    <row r="23" spans="1:62" s="1" customFormat="1" ht="15">
      <c r="B23" s="41" t="s">
        <v>50</v>
      </c>
      <c r="C23" s="172">
        <v>290</v>
      </c>
      <c r="D23" s="42">
        <v>70.785274105225497</v>
      </c>
      <c r="E23" s="42">
        <v>0.54923311950166598</v>
      </c>
      <c r="F23" s="42">
        <v>10.332162477680299</v>
      </c>
      <c r="G23" s="42">
        <v>5.1059415365092802</v>
      </c>
      <c r="H23" s="43">
        <v>9.1386542346367002E-3</v>
      </c>
      <c r="I23" s="43">
        <v>2.34132321491392</v>
      </c>
      <c r="J23" s="43">
        <v>7.4936964724020894E-2</v>
      </c>
      <c r="K23" s="43">
        <v>0.39950787810184502</v>
      </c>
      <c r="L23" s="43">
        <v>2.5551677240044199</v>
      </c>
      <c r="M23" s="139">
        <v>4.3865540326256197E-2</v>
      </c>
      <c r="N23" s="44">
        <v>7.7490774907749103</v>
      </c>
      <c r="O23" s="44"/>
      <c r="R23" s="41" t="s">
        <v>50</v>
      </c>
      <c r="S23" s="38">
        <v>23.122800000000002</v>
      </c>
      <c r="T23" s="38">
        <v>11.138199999999999</v>
      </c>
      <c r="U23" s="38">
        <v>7.22</v>
      </c>
      <c r="V23" s="27">
        <v>35.674999999999997</v>
      </c>
      <c r="W23" s="62">
        <v>0.1583</v>
      </c>
      <c r="X23" s="38">
        <v>165.02459999999999</v>
      </c>
      <c r="Y23" s="38">
        <v>64.086299999999994</v>
      </c>
      <c r="Z23" s="27">
        <v>869.65599999999995</v>
      </c>
      <c r="AA23" s="38">
        <v>19.020900000000001</v>
      </c>
      <c r="AB23" s="38">
        <v>80.648300000000006</v>
      </c>
      <c r="AC23" s="38">
        <v>44.407200000000003</v>
      </c>
      <c r="AD23" s="38">
        <v>23.680299999999999</v>
      </c>
      <c r="AE23" s="38">
        <v>352.33949999999999</v>
      </c>
      <c r="AF23" s="38">
        <v>4.9923999999999999</v>
      </c>
      <c r="AG23" s="62">
        <v>125.4</v>
      </c>
      <c r="AH23" s="62">
        <v>3.4279999999999999</v>
      </c>
      <c r="AI23" s="62">
        <v>10.84</v>
      </c>
      <c r="AJ23" s="62">
        <v>0.86199999999999999</v>
      </c>
      <c r="AK23" s="27"/>
      <c r="AL23" s="38">
        <v>19.618483787572401</v>
      </c>
      <c r="AM23" s="38">
        <v>15.691158200333801</v>
      </c>
      <c r="AN23" s="38">
        <v>39.167144641809799</v>
      </c>
      <c r="AO23" s="38">
        <v>1.9964957341616001</v>
      </c>
      <c r="AP23" s="38">
        <v>1.25031460935217</v>
      </c>
      <c r="AQ23" s="38">
        <f t="shared" si="0"/>
        <v>0.32371919999999998</v>
      </c>
      <c r="AR23" s="38">
        <v>23.122800000000002</v>
      </c>
      <c r="AS23" s="38"/>
      <c r="AT23" s="41" t="s">
        <v>50</v>
      </c>
      <c r="AU23" s="25">
        <f t="shared" si="3"/>
        <v>6.3508798769259078</v>
      </c>
      <c r="AV23" s="25">
        <f t="shared" si="4"/>
        <v>5.0795291796854976</v>
      </c>
      <c r="AW23" s="25">
        <f t="shared" si="5"/>
        <v>12.679156729730954</v>
      </c>
      <c r="AX23" s="36">
        <f t="shared" si="6"/>
        <v>24.109565786342358</v>
      </c>
      <c r="AY23" s="38">
        <v>23.122800000000002</v>
      </c>
      <c r="AZ23" s="38"/>
      <c r="BA23" s="89">
        <f t="shared" si="1"/>
        <v>77.32627172109936</v>
      </c>
      <c r="BB23" s="38">
        <v>1.25031460935217</v>
      </c>
      <c r="BC23" s="38">
        <v>39.167144641809799</v>
      </c>
      <c r="BD23" s="38">
        <v>15.691158200333801</v>
      </c>
      <c r="BE23" s="38">
        <v>19.618483787572401</v>
      </c>
      <c r="BF23" s="89">
        <f t="shared" si="2"/>
        <v>6.8509640898637594</v>
      </c>
      <c r="BG23" s="27"/>
      <c r="BH23" s="27"/>
      <c r="BI23" s="27"/>
      <c r="BJ23" s="27"/>
    </row>
    <row r="24" spans="1:62" s="1" customFormat="1" ht="15">
      <c r="B24" s="41" t="s">
        <v>51</v>
      </c>
      <c r="C24" s="172">
        <v>320</v>
      </c>
      <c r="D24" s="42">
        <v>70.947411698669399</v>
      </c>
      <c r="E24" s="42">
        <v>0.56686248683181295</v>
      </c>
      <c r="F24" s="42">
        <v>10.722843944457299</v>
      </c>
      <c r="G24" s="42">
        <v>3.70549599085916</v>
      </c>
      <c r="H24" s="43">
        <v>1.0057237669596699E-2</v>
      </c>
      <c r="I24" s="43">
        <v>2.69351110678471</v>
      </c>
      <c r="J24" s="43">
        <v>0.12800120670395801</v>
      </c>
      <c r="K24" s="43">
        <v>0.66007127624235296</v>
      </c>
      <c r="L24" s="43">
        <v>2.7236828197934999</v>
      </c>
      <c r="M24" s="139">
        <v>6.7657780686377705E-2</v>
      </c>
      <c r="N24" s="44">
        <v>7.2188449848024296</v>
      </c>
      <c r="O24" s="44"/>
      <c r="R24" s="41" t="s">
        <v>51</v>
      </c>
      <c r="S24" s="38">
        <v>21.564800000000002</v>
      </c>
      <c r="T24" s="38">
        <v>11.728899999999999</v>
      </c>
      <c r="U24" s="38">
        <v>6.0140000000000002</v>
      </c>
      <c r="V24" s="27">
        <v>24.087700000000002</v>
      </c>
      <c r="W24" s="62">
        <v>6.4299999999999996E-2</v>
      </c>
      <c r="X24" s="38">
        <v>88.483099999999993</v>
      </c>
      <c r="Y24" s="38">
        <v>55.7988</v>
      </c>
      <c r="Z24" s="27">
        <v>879.77</v>
      </c>
      <c r="AA24" s="38">
        <v>7.4646999999999997</v>
      </c>
      <c r="AB24" s="38">
        <v>18.7653</v>
      </c>
      <c r="AC24" s="38">
        <v>21.627700000000001</v>
      </c>
      <c r="AD24" s="38">
        <v>35.9617</v>
      </c>
      <c r="AE24" s="38">
        <v>302.565</v>
      </c>
      <c r="AF24" s="38">
        <v>5.7034000000000002</v>
      </c>
      <c r="AG24" s="62">
        <v>134.6</v>
      </c>
      <c r="AH24" s="62">
        <v>3.3439999999999999</v>
      </c>
      <c r="AI24" s="62">
        <v>12.35</v>
      </c>
      <c r="AJ24" s="62">
        <v>0.82699999999999996</v>
      </c>
      <c r="AK24" s="27"/>
      <c r="AL24" s="38">
        <v>19.628348748394401</v>
      </c>
      <c r="AM24" s="38">
        <v>15.715663541532599</v>
      </c>
      <c r="AN24" s="38">
        <v>39.408095669814699</v>
      </c>
      <c r="AO24" s="38">
        <v>2.0076758626417401</v>
      </c>
      <c r="AP24" s="38">
        <v>1.24899350440313</v>
      </c>
      <c r="AQ24" s="38">
        <f t="shared" si="0"/>
        <v>0.30190719999999999</v>
      </c>
      <c r="AR24" s="38">
        <v>21.564800000000002</v>
      </c>
      <c r="AS24" s="38"/>
      <c r="AT24" s="41" t="s">
        <v>51</v>
      </c>
      <c r="AU24" s="25">
        <f t="shared" si="3"/>
        <v>5.9259398112512578</v>
      </c>
      <c r="AV24" s="25">
        <f t="shared" si="4"/>
        <v>4.7446719759661908</v>
      </c>
      <c r="AW24" s="25">
        <f t="shared" si="5"/>
        <v>11.89758782100588</v>
      </c>
      <c r="AX24" s="36">
        <f t="shared" si="6"/>
        <v>22.568199608223331</v>
      </c>
      <c r="AY24" s="38">
        <v>21.564800000000002</v>
      </c>
      <c r="AZ24" s="38"/>
      <c r="BA24" s="89">
        <f t="shared" si="1"/>
        <v>75.329440318235172</v>
      </c>
      <c r="BB24" s="38">
        <v>1.24899350440313</v>
      </c>
      <c r="BC24" s="38">
        <v>39.408095669814699</v>
      </c>
      <c r="BD24" s="38">
        <v>15.715663541532599</v>
      </c>
      <c r="BE24" s="38">
        <v>19.628348748394401</v>
      </c>
      <c r="BF24" s="89">
        <f t="shared" si="2"/>
        <v>6.6164733969986136</v>
      </c>
      <c r="BG24" s="27"/>
      <c r="BH24" s="27"/>
      <c r="BI24" s="27"/>
      <c r="BJ24" s="27"/>
    </row>
    <row r="25" spans="1:62" s="3" customFormat="1" ht="14.25">
      <c r="B25" s="53" t="s">
        <v>52</v>
      </c>
      <c r="C25" s="173">
        <v>370</v>
      </c>
      <c r="D25" s="28">
        <v>71.729216735558495</v>
      </c>
      <c r="E25" s="28">
        <v>0.46593021310376898</v>
      </c>
      <c r="F25" s="28">
        <v>9.6948613984508505</v>
      </c>
      <c r="G25" s="28">
        <v>4.70730289628212</v>
      </c>
      <c r="H25" s="47">
        <v>9.2446470853922505E-3</v>
      </c>
      <c r="I25" s="47">
        <v>1.7324468638025099</v>
      </c>
      <c r="J25" s="47">
        <v>0.14698988865773699</v>
      </c>
      <c r="K25" s="47">
        <v>0.67145609503599701</v>
      </c>
      <c r="L25" s="47">
        <v>2.6282531663770201</v>
      </c>
      <c r="M25" s="47">
        <v>8.3201823768530206E-2</v>
      </c>
      <c r="N25" s="59">
        <v>8.0324244657331505</v>
      </c>
      <c r="O25" s="59"/>
      <c r="R25" s="53" t="s">
        <v>52</v>
      </c>
      <c r="S25" s="48">
        <v>24.219899999999999</v>
      </c>
      <c r="T25" s="48">
        <v>9.1065000000000005</v>
      </c>
      <c r="U25" s="48">
        <v>10.45</v>
      </c>
      <c r="V25" s="48">
        <v>26.7</v>
      </c>
      <c r="W25" s="48">
        <v>0.1173</v>
      </c>
      <c r="X25" s="48">
        <v>113.4128</v>
      </c>
      <c r="Y25" s="48">
        <v>46.991599999999998</v>
      </c>
      <c r="Z25" s="48">
        <v>706.851</v>
      </c>
      <c r="AA25" s="48">
        <v>11.088100000000001</v>
      </c>
      <c r="AB25" s="48">
        <v>39.252299999999998</v>
      </c>
      <c r="AC25" s="48">
        <v>53.322400000000002</v>
      </c>
      <c r="AD25" s="48">
        <v>42.206200000000003</v>
      </c>
      <c r="AE25" s="48">
        <v>283.40969999999999</v>
      </c>
      <c r="AF25" s="48">
        <v>5.3292999999999999</v>
      </c>
      <c r="AG25" s="48">
        <v>110.8</v>
      </c>
      <c r="AH25" s="48">
        <v>3.0369999999999999</v>
      </c>
      <c r="AI25" s="48">
        <v>9.8610000000000007</v>
      </c>
      <c r="AJ25" s="48">
        <v>0.76200000000000001</v>
      </c>
      <c r="AK25" s="48"/>
      <c r="AL25" s="48">
        <v>20.228054780682701</v>
      </c>
      <c r="AM25" s="48">
        <v>15.7220342537556</v>
      </c>
      <c r="AN25" s="48">
        <v>38.844881376946901</v>
      </c>
      <c r="AO25" s="48">
        <v>1.9205488665757999</v>
      </c>
      <c r="AP25" s="48">
        <v>1.2865581183636099</v>
      </c>
      <c r="AQ25" s="48">
        <f t="shared" si="0"/>
        <v>0.33907859999999995</v>
      </c>
      <c r="AR25" s="48">
        <v>24.219899999999999</v>
      </c>
      <c r="AS25" s="48"/>
      <c r="AT25" s="53" t="s">
        <v>52</v>
      </c>
      <c r="AU25" s="51">
        <f t="shared" si="3"/>
        <v>6.8589004957571964</v>
      </c>
      <c r="AV25" s="51">
        <f t="shared" si="4"/>
        <v>5.3310053639154926</v>
      </c>
      <c r="AW25" s="51">
        <f t="shared" si="5"/>
        <v>13.171467994461226</v>
      </c>
      <c r="AX25" s="51">
        <f t="shared" si="6"/>
        <v>25.361373854133916</v>
      </c>
      <c r="AY25" s="48">
        <v>24.219899999999999</v>
      </c>
      <c r="AZ25" s="48"/>
      <c r="BA25" s="144">
        <f t="shared" si="1"/>
        <v>73.772527719636003</v>
      </c>
      <c r="BB25" s="48">
        <v>1.2865581183636099</v>
      </c>
      <c r="BC25" s="48">
        <v>38.844881376946901</v>
      </c>
      <c r="BD25" s="48">
        <v>15.7220342537556</v>
      </c>
      <c r="BE25" s="48">
        <v>20.228054780682701</v>
      </c>
      <c r="BF25" s="144">
        <f t="shared" si="2"/>
        <v>7.3986840850576945</v>
      </c>
      <c r="BG25" s="48"/>
      <c r="BH25" s="48"/>
      <c r="BI25" s="48"/>
      <c r="BJ25" s="48"/>
    </row>
    <row r="26" spans="1:62" s="2" customFormat="1" ht="15">
      <c r="B26" s="41" t="s">
        <v>53</v>
      </c>
      <c r="C26" s="172">
        <v>400</v>
      </c>
      <c r="D26" s="143">
        <v>68.764137593398601</v>
      </c>
      <c r="E26" s="42">
        <v>0.51817874470508296</v>
      </c>
      <c r="F26" s="143">
        <v>10.272666342399001</v>
      </c>
      <c r="G26" s="143">
        <v>3.9867867840257598</v>
      </c>
      <c r="H26" s="54">
        <v>1.9090795857555701E-2</v>
      </c>
      <c r="I26" s="54">
        <v>2.58907555249136</v>
      </c>
      <c r="J26" s="54">
        <v>1.4954456755085299</v>
      </c>
      <c r="K26" s="123">
        <v>0.72439674980545399</v>
      </c>
      <c r="L26" s="54">
        <v>2.7163475248750699</v>
      </c>
      <c r="M26" s="123">
        <v>7.7272268947249201E-2</v>
      </c>
      <c r="N26" s="44">
        <v>8.2150858849888504</v>
      </c>
      <c r="O26" s="44"/>
      <c r="R26" s="41" t="s">
        <v>53</v>
      </c>
      <c r="S26" s="27">
        <v>25.4955</v>
      </c>
      <c r="T26" s="27">
        <v>9.8229000000000006</v>
      </c>
      <c r="U26" s="27">
        <v>8.3149999999999995</v>
      </c>
      <c r="V26" s="27">
        <v>24.275099999999998</v>
      </c>
      <c r="W26" s="62">
        <v>0.1847</v>
      </c>
      <c r="X26" s="27">
        <v>93.413799999999995</v>
      </c>
      <c r="Y26" s="27">
        <v>49.494900000000001</v>
      </c>
      <c r="Z26" s="27">
        <v>1738.597</v>
      </c>
      <c r="AA26" s="27">
        <v>21.008099999999999</v>
      </c>
      <c r="AB26" s="27">
        <v>55.134</v>
      </c>
      <c r="AC26" s="27">
        <v>90.965599999999995</v>
      </c>
      <c r="AD26" s="27">
        <v>34.757199999999997</v>
      </c>
      <c r="AE26" s="27">
        <v>285.62099999999998</v>
      </c>
      <c r="AF26" s="27">
        <v>33.012500000000003</v>
      </c>
      <c r="AG26" s="62">
        <v>112.9</v>
      </c>
      <c r="AH26" s="62">
        <v>3.2519999999999998</v>
      </c>
      <c r="AI26" s="62">
        <v>10.93</v>
      </c>
      <c r="AJ26" s="62">
        <v>0.83499999999999996</v>
      </c>
      <c r="AK26" s="27"/>
      <c r="AL26" s="27">
        <v>19.748839065507202</v>
      </c>
      <c r="AM26" s="27">
        <v>15.777891342129401</v>
      </c>
      <c r="AN26" s="27">
        <v>38.885489675941898</v>
      </c>
      <c r="AO26" s="27">
        <v>1.9690506736462401</v>
      </c>
      <c r="AP26" s="27">
        <v>1.2517663299073101</v>
      </c>
      <c r="AQ26" s="27">
        <f t="shared" si="0"/>
        <v>0.35693699999999995</v>
      </c>
      <c r="AR26" s="27">
        <v>25.4955</v>
      </c>
      <c r="AS26" s="27"/>
      <c r="AT26" s="41" t="s">
        <v>53</v>
      </c>
      <c r="AU26" s="54">
        <f t="shared" si="3"/>
        <v>7.0490913695249429</v>
      </c>
      <c r="AV26" s="54">
        <f t="shared" si="4"/>
        <v>5.6317132019856411</v>
      </c>
      <c r="AW26" s="54">
        <f t="shared" si="5"/>
        <v>13.879670028461671</v>
      </c>
      <c r="AX26" s="54">
        <f t="shared" si="6"/>
        <v>26.560474599972256</v>
      </c>
      <c r="AY26" s="27">
        <v>25.4955</v>
      </c>
      <c r="AZ26" s="27"/>
      <c r="BA26" s="89">
        <f>100*F26/(F26+K26+K26+L26)</f>
        <v>71.15115253553472</v>
      </c>
      <c r="BB26" s="27">
        <v>1.2517663299073101</v>
      </c>
      <c r="BC26" s="27">
        <v>38.885489675941898</v>
      </c>
      <c r="BD26" s="27">
        <v>15.777891342129401</v>
      </c>
      <c r="BE26" s="27">
        <v>19.748839065507202</v>
      </c>
      <c r="BF26" s="89">
        <f t="shared" si="2"/>
        <v>6.6938938053097461</v>
      </c>
      <c r="BG26" s="27"/>
      <c r="BH26" s="27"/>
      <c r="BI26" s="27"/>
      <c r="BJ26" s="27"/>
    </row>
    <row r="27" spans="1:62" s="2" customFormat="1" ht="15">
      <c r="B27" s="41" t="s">
        <v>54</v>
      </c>
      <c r="C27" s="172">
        <v>420</v>
      </c>
      <c r="D27" s="42">
        <v>57.114009953514298</v>
      </c>
      <c r="E27" s="42">
        <v>0.46466697110086902</v>
      </c>
      <c r="F27" s="42">
        <v>8.8130095193063696</v>
      </c>
      <c r="G27" s="42">
        <v>3.5353958791900899</v>
      </c>
      <c r="H27" s="43">
        <v>4.9599283432115303E-2</v>
      </c>
      <c r="I27" s="43">
        <v>5.98498020080857</v>
      </c>
      <c r="J27" s="43">
        <v>6.9787061951853397</v>
      </c>
      <c r="K27" s="139">
        <v>0.86474772853533599</v>
      </c>
      <c r="L27" s="43">
        <v>2.4277543995719602</v>
      </c>
      <c r="M27" s="139">
        <v>9.2237263926389798E-2</v>
      </c>
      <c r="N27" s="44">
        <v>13.625685199686799</v>
      </c>
      <c r="O27" s="44"/>
      <c r="R27" s="41" t="s">
        <v>54</v>
      </c>
      <c r="S27" s="27">
        <v>17.1691</v>
      </c>
      <c r="T27" s="27">
        <v>8.7156000000000002</v>
      </c>
      <c r="U27" s="27">
        <v>5.5419999999999998</v>
      </c>
      <c r="V27" s="27">
        <v>18.993300000000001</v>
      </c>
      <c r="W27" s="62">
        <v>0.15820000000000001</v>
      </c>
      <c r="X27" s="27">
        <v>32.851100000000002</v>
      </c>
      <c r="Y27" s="27">
        <v>26.259899999999998</v>
      </c>
      <c r="Z27" s="27">
        <v>4541.4840000000004</v>
      </c>
      <c r="AA27" s="27">
        <v>14.2516</v>
      </c>
      <c r="AB27" s="27">
        <v>38.536299999999997</v>
      </c>
      <c r="AC27" s="27">
        <v>40.304099999999998</v>
      </c>
      <c r="AD27" s="27">
        <v>21.594000000000001</v>
      </c>
      <c r="AE27" s="27">
        <v>141.5752</v>
      </c>
      <c r="AF27" s="27">
        <v>81.875</v>
      </c>
      <c r="AG27" s="62">
        <v>144.9</v>
      </c>
      <c r="AH27" s="62">
        <v>3.7280000000000002</v>
      </c>
      <c r="AI27" s="62">
        <v>10.25</v>
      </c>
      <c r="AJ27" s="62">
        <v>0.76800000000000002</v>
      </c>
      <c r="AK27" s="27"/>
      <c r="AL27" s="27">
        <v>20.392712119978</v>
      </c>
      <c r="AM27" s="27">
        <v>15.592029266351901</v>
      </c>
      <c r="AN27" s="27">
        <v>39.2375266333461</v>
      </c>
      <c r="AO27" s="27">
        <v>1.9243245132673701</v>
      </c>
      <c r="AP27" s="27">
        <v>1.30792426620763</v>
      </c>
      <c r="AQ27" s="38">
        <f t="shared" si="0"/>
        <v>0.24036739999999998</v>
      </c>
      <c r="AR27" s="27">
        <v>17.1691</v>
      </c>
      <c r="AS27" s="27"/>
      <c r="AT27" s="41" t="s">
        <v>54</v>
      </c>
      <c r="AU27" s="25">
        <f t="shared" si="3"/>
        <v>4.9017431912275997</v>
      </c>
      <c r="AV27" s="25">
        <f t="shared" si="4"/>
        <v>3.7478155354769136</v>
      </c>
      <c r="AW27" s="25">
        <f t="shared" si="5"/>
        <v>9.4314222592881549</v>
      </c>
      <c r="AX27" s="36">
        <f t="shared" si="6"/>
        <v>18.080980985992667</v>
      </c>
      <c r="AY27" s="27">
        <v>17.1691</v>
      </c>
      <c r="AZ27" s="27"/>
      <c r="BA27" s="89">
        <f>100*F27/(F27+K27+K27+L27)</f>
        <v>67.947827902721059</v>
      </c>
      <c r="BB27" s="27">
        <v>1.30792426620763</v>
      </c>
      <c r="BC27" s="27">
        <v>39.2375266333461</v>
      </c>
      <c r="BD27" s="27">
        <v>15.592029266351901</v>
      </c>
      <c r="BE27" s="27">
        <v>20.392712119978</v>
      </c>
      <c r="BF27" s="89">
        <f t="shared" si="2"/>
        <v>6.480647709320694</v>
      </c>
      <c r="BG27" s="27"/>
      <c r="BH27" s="27"/>
      <c r="BI27" s="27"/>
      <c r="BJ27" s="27"/>
    </row>
    <row r="28" spans="1:62" s="4" customFormat="1" ht="15">
      <c r="A28" s="4" t="s">
        <v>129</v>
      </c>
      <c r="B28" s="54" t="s">
        <v>55</v>
      </c>
      <c r="C28" s="158"/>
      <c r="D28" s="36">
        <f>MIN(D10:D27)</f>
        <v>57.114009953514298</v>
      </c>
      <c r="E28" s="36">
        <f t="shared" ref="E28:AJ28" si="7">MIN(E10:E27)</f>
        <v>0.46145633444170497</v>
      </c>
      <c r="F28" s="36">
        <f t="shared" si="7"/>
        <v>8.8130095193063696</v>
      </c>
      <c r="G28" s="36">
        <f t="shared" si="7"/>
        <v>0.97087839275065502</v>
      </c>
      <c r="H28" s="36">
        <f t="shared" si="7"/>
        <v>2.6828856653587502E-3</v>
      </c>
      <c r="I28" s="36">
        <f t="shared" si="7"/>
        <v>0.75246122164304197</v>
      </c>
      <c r="J28" s="36">
        <f t="shared" si="7"/>
        <v>6.56831443139647E-2</v>
      </c>
      <c r="K28" s="36">
        <f t="shared" si="7"/>
        <v>0.1</v>
      </c>
      <c r="L28" s="36">
        <f t="shared" si="7"/>
        <v>1.3649503913927701</v>
      </c>
      <c r="M28" s="123">
        <f t="shared" si="7"/>
        <v>2.14612135351573E-2</v>
      </c>
      <c r="N28" s="36">
        <f t="shared" si="7"/>
        <v>2.7671022290545202</v>
      </c>
      <c r="O28" s="36"/>
      <c r="R28" s="54" t="s">
        <v>55</v>
      </c>
      <c r="S28" s="36">
        <f t="shared" si="7"/>
        <v>16.875299999999999</v>
      </c>
      <c r="T28" s="36">
        <f t="shared" si="7"/>
        <v>5.9652000000000003</v>
      </c>
      <c r="U28" s="36">
        <f t="shared" si="7"/>
        <v>5.5419999999999998</v>
      </c>
      <c r="V28" s="54">
        <f t="shared" si="7"/>
        <v>8.9796999999999993</v>
      </c>
      <c r="W28" s="123">
        <f>MIN(W10:W27)</f>
        <v>2.47E-2</v>
      </c>
      <c r="X28" s="36">
        <f t="shared" si="7"/>
        <v>32.851100000000002</v>
      </c>
      <c r="Y28" s="36">
        <f t="shared" si="7"/>
        <v>26.259899999999998</v>
      </c>
      <c r="Z28" s="36">
        <f t="shared" si="7"/>
        <v>76.108999999999995</v>
      </c>
      <c r="AA28" s="36">
        <f t="shared" si="7"/>
        <v>1.2495000000000001</v>
      </c>
      <c r="AB28" s="36">
        <f t="shared" si="7"/>
        <v>10.886200000000001</v>
      </c>
      <c r="AC28" s="36">
        <f t="shared" si="7"/>
        <v>20.796700000000001</v>
      </c>
      <c r="AD28" s="36">
        <f t="shared" si="7"/>
        <v>11.3278</v>
      </c>
      <c r="AE28" s="36">
        <f t="shared" si="7"/>
        <v>119.79089999999999</v>
      </c>
      <c r="AF28" s="36">
        <f t="shared" si="7"/>
        <v>1.8816999999999999</v>
      </c>
      <c r="AG28" s="123">
        <f t="shared" si="7"/>
        <v>90.44</v>
      </c>
      <c r="AH28" s="123">
        <f t="shared" si="7"/>
        <v>2.83</v>
      </c>
      <c r="AI28" s="123">
        <f t="shared" si="7"/>
        <v>8.7710000000000008</v>
      </c>
      <c r="AJ28" s="123">
        <f t="shared" si="7"/>
        <v>0.746</v>
      </c>
      <c r="AK28" s="36"/>
      <c r="AL28" s="36">
        <f>MIN(AL10:AL27)</f>
        <v>19.0993439633225</v>
      </c>
      <c r="AM28" s="36">
        <f t="shared" ref="AM28:AR28" si="8">MIN(AM10:AM27)</f>
        <v>15.3946308306178</v>
      </c>
      <c r="AN28" s="36">
        <f t="shared" si="8"/>
        <v>38.524485053992201</v>
      </c>
      <c r="AO28" s="36">
        <f t="shared" si="8"/>
        <v>1.9205488665757999</v>
      </c>
      <c r="AP28" s="36">
        <f t="shared" si="8"/>
        <v>1.22081275712694</v>
      </c>
      <c r="AQ28" s="36">
        <f t="shared" si="8"/>
        <v>0.23625419999999997</v>
      </c>
      <c r="AR28" s="36">
        <f t="shared" si="8"/>
        <v>16.875299999999999</v>
      </c>
      <c r="AS28" s="57"/>
      <c r="AT28" s="54" t="s">
        <v>55</v>
      </c>
      <c r="AU28" s="36">
        <f>MIN(AU10:AU27)</f>
        <v>4.6639002523898974</v>
      </c>
      <c r="AV28" s="36">
        <f t="shared" ref="AV28:AY28" si="9">MIN(AV10:AV27)</f>
        <v>3.7146750437105043</v>
      </c>
      <c r="AW28" s="36">
        <f t="shared" si="9"/>
        <v>9.2844885861504256</v>
      </c>
      <c r="AX28" s="36">
        <f t="shared" si="9"/>
        <v>17.663063882250825</v>
      </c>
      <c r="AY28" s="36">
        <f t="shared" si="9"/>
        <v>16.875299999999999</v>
      </c>
      <c r="AZ28" s="36"/>
      <c r="BA28" s="36">
        <f>MIN(BA10:BA27)</f>
        <v>67.947827902721059</v>
      </c>
      <c r="BB28" s="36">
        <f t="shared" ref="BB28" si="10">MIN(BB10:BB27)</f>
        <v>1.22081275712694</v>
      </c>
      <c r="BC28" s="36">
        <f t="shared" ref="BC28" si="11">MIN(BC10:BC27)</f>
        <v>38.524485053992201</v>
      </c>
      <c r="BD28" s="36">
        <f t="shared" ref="BD28" si="12">MIN(BD10:BD27)</f>
        <v>15.3946308306178</v>
      </c>
      <c r="BE28" s="36">
        <f>MIN(BE10:BE27)</f>
        <v>19.0993439633225</v>
      </c>
      <c r="BF28" s="36">
        <f>MIN(BF10:BF27)</f>
        <v>4.5681183341797915</v>
      </c>
      <c r="BG28" s="36"/>
      <c r="BH28" s="36"/>
      <c r="BI28" s="36"/>
      <c r="BJ28" s="36"/>
    </row>
    <row r="29" spans="1:62" s="4" customFormat="1" ht="15">
      <c r="B29" s="54" t="s">
        <v>56</v>
      </c>
      <c r="C29" s="158"/>
      <c r="D29" s="36">
        <f>MAX(D10:D27)</f>
        <v>81.632141119834401</v>
      </c>
      <c r="E29" s="36">
        <f t="shared" ref="E29:AJ29" si="13">MAX(E10:E27)</f>
        <v>1.0155687647645599</v>
      </c>
      <c r="F29" s="36">
        <f t="shared" si="13"/>
        <v>14.895429790544</v>
      </c>
      <c r="G29" s="36">
        <f t="shared" si="13"/>
        <v>21.5614012145499</v>
      </c>
      <c r="H29" s="36">
        <f t="shared" si="13"/>
        <v>4.9599283432115303E-2</v>
      </c>
      <c r="I29" s="36">
        <f t="shared" si="13"/>
        <v>5.98498020080857</v>
      </c>
      <c r="J29" s="36">
        <f t="shared" si="13"/>
        <v>6.9787061951853397</v>
      </c>
      <c r="K29" s="36">
        <f t="shared" si="13"/>
        <v>0.86474772853533599</v>
      </c>
      <c r="L29" s="36">
        <f t="shared" si="13"/>
        <v>2.9910007889468502</v>
      </c>
      <c r="M29" s="123">
        <f t="shared" si="13"/>
        <v>0.24124011501125001</v>
      </c>
      <c r="N29" s="36">
        <f t="shared" si="13"/>
        <v>13.625685199686799</v>
      </c>
      <c r="O29" s="36"/>
      <c r="R29" s="54" t="s">
        <v>56</v>
      </c>
      <c r="S29" s="36">
        <f t="shared" si="13"/>
        <v>40.553600000000003</v>
      </c>
      <c r="T29" s="36">
        <f t="shared" si="13"/>
        <v>14.495799999999999</v>
      </c>
      <c r="U29" s="36">
        <f t="shared" si="13"/>
        <v>10.69</v>
      </c>
      <c r="V29" s="54">
        <f t="shared" si="13"/>
        <v>71.102900000000005</v>
      </c>
      <c r="W29" s="123">
        <f>MAX(W10:W27)</f>
        <v>0.47789999999999999</v>
      </c>
      <c r="X29" s="36">
        <f t="shared" si="13"/>
        <v>187.75319999999999</v>
      </c>
      <c r="Y29" s="36">
        <f t="shared" si="13"/>
        <v>66.344300000000004</v>
      </c>
      <c r="Z29" s="36">
        <f t="shared" si="13"/>
        <v>4541.4840000000004</v>
      </c>
      <c r="AA29" s="36">
        <f t="shared" si="13"/>
        <v>29.5077</v>
      </c>
      <c r="AB29" s="36">
        <f t="shared" si="13"/>
        <v>103.7535</v>
      </c>
      <c r="AC29" s="36">
        <f t="shared" si="13"/>
        <v>336.77499999999998</v>
      </c>
      <c r="AD29" s="36">
        <f t="shared" si="13"/>
        <v>63.064999999999998</v>
      </c>
      <c r="AE29" s="36">
        <f t="shared" si="13"/>
        <v>354.23480000000001</v>
      </c>
      <c r="AF29" s="36">
        <f t="shared" si="13"/>
        <v>81.875</v>
      </c>
      <c r="AG29" s="123">
        <f t="shared" si="13"/>
        <v>299.60000000000002</v>
      </c>
      <c r="AH29" s="123">
        <f t="shared" si="13"/>
        <v>8.8759999999999994</v>
      </c>
      <c r="AI29" s="123">
        <f t="shared" si="13"/>
        <v>18.88</v>
      </c>
      <c r="AJ29" s="123">
        <f t="shared" si="13"/>
        <v>1.6279999999999999</v>
      </c>
      <c r="AK29" s="36"/>
      <c r="AL29" s="36">
        <f>MAX(AL10:AL27)</f>
        <v>20.392712119978</v>
      </c>
      <c r="AM29" s="36">
        <f t="shared" ref="AM29:AR29" si="14">MAX(AM10:AM27)</f>
        <v>16.004798891094602</v>
      </c>
      <c r="AN29" s="36">
        <f t="shared" si="14"/>
        <v>39.764841694981698</v>
      </c>
      <c r="AO29" s="36">
        <f t="shared" si="14"/>
        <v>2.0193762754377298</v>
      </c>
      <c r="AP29" s="36">
        <f t="shared" si="14"/>
        <v>1.30792426620763</v>
      </c>
      <c r="AQ29" s="36">
        <f t="shared" si="14"/>
        <v>0.56775039999999999</v>
      </c>
      <c r="AR29" s="36">
        <f t="shared" si="14"/>
        <v>40.553600000000003</v>
      </c>
      <c r="AS29" s="57"/>
      <c r="AT29" s="54" t="s">
        <v>56</v>
      </c>
      <c r="AU29" s="36">
        <f>MAX(AU10:AU27)</f>
        <v>11.122698727599271</v>
      </c>
      <c r="AV29" s="36">
        <f t="shared" ref="AV29:AY29" si="15">MAX(AV10:AV27)</f>
        <v>8.9493018297070979</v>
      </c>
      <c r="AW29" s="36">
        <f t="shared" si="15"/>
        <v>22.174072946756489</v>
      </c>
      <c r="AX29" s="36">
        <f t="shared" si="15"/>
        <v>42.246073504062856</v>
      </c>
      <c r="AY29" s="36">
        <f t="shared" si="15"/>
        <v>40.553600000000003</v>
      </c>
      <c r="AZ29" s="36"/>
      <c r="BA29" s="36">
        <f>MAX(BA10:BA27)</f>
        <v>86.636187023724844</v>
      </c>
      <c r="BB29" s="36">
        <f t="shared" ref="BB29" si="16">MAX(BB10:BB27)</f>
        <v>1.30792426620763</v>
      </c>
      <c r="BC29" s="36">
        <f t="shared" ref="BC29" si="17">MAX(BC10:BC27)</f>
        <v>39.764841694981698</v>
      </c>
      <c r="BD29" s="36">
        <f t="shared" ref="BD29" si="18">MAX(BD10:BD27)</f>
        <v>16.004798891094602</v>
      </c>
      <c r="BE29" s="36">
        <f>MAX(BE10:BE27)</f>
        <v>20.392712119978</v>
      </c>
      <c r="BF29" s="36">
        <f>MAX(BF10:BF27)</f>
        <v>8.0794092260477974</v>
      </c>
      <c r="BG29" s="36"/>
      <c r="BH29" s="36"/>
      <c r="BI29" s="36"/>
      <c r="BJ29" s="36"/>
    </row>
    <row r="30" spans="1:62" s="4" customFormat="1" ht="15">
      <c r="B30" s="51" t="s">
        <v>135</v>
      </c>
      <c r="C30" s="163"/>
      <c r="D30" s="34">
        <f>AVERAGE(D10:D27)</f>
        <v>71.138375352328239</v>
      </c>
      <c r="E30" s="34">
        <f t="shared" ref="E30:AJ30" si="19">AVERAGE(E10:E27)</f>
        <v>0.60061588309150937</v>
      </c>
      <c r="F30" s="34">
        <f t="shared" si="19"/>
        <v>10.940599748767541</v>
      </c>
      <c r="G30" s="34">
        <f t="shared" si="19"/>
        <v>5.7009507649177191</v>
      </c>
      <c r="H30" s="34">
        <f t="shared" si="19"/>
        <v>1.3580285081221506E-2</v>
      </c>
      <c r="I30" s="34">
        <f t="shared" si="19"/>
        <v>1.6598190811988485</v>
      </c>
      <c r="J30" s="34">
        <f t="shared" si="19"/>
        <v>0.54974848727981485</v>
      </c>
      <c r="K30" s="34">
        <f t="shared" si="19"/>
        <v>0.27419169699443519</v>
      </c>
      <c r="L30" s="34">
        <f t="shared" si="19"/>
        <v>2.4410871270531693</v>
      </c>
      <c r="M30" s="52">
        <f t="shared" si="19"/>
        <v>7.298817205005273E-2</v>
      </c>
      <c r="N30" s="34">
        <f t="shared" si="19"/>
        <v>6.4341809764007785</v>
      </c>
      <c r="O30" s="34"/>
      <c r="R30" s="51" t="s">
        <v>135</v>
      </c>
      <c r="S30" s="34">
        <f t="shared" si="19"/>
        <v>24.889711111111108</v>
      </c>
      <c r="T30" s="34">
        <f t="shared" si="19"/>
        <v>10.601783333333337</v>
      </c>
      <c r="U30" s="34">
        <f t="shared" si="19"/>
        <v>7.9935555555555533</v>
      </c>
      <c r="V30" s="51">
        <f t="shared" si="19"/>
        <v>29.643699999999992</v>
      </c>
      <c r="W30" s="52">
        <f>AVERAGE(W10:W27)</f>
        <v>0.13940555555555553</v>
      </c>
      <c r="X30" s="34">
        <f t="shared" si="19"/>
        <v>110.8742611111111</v>
      </c>
      <c r="Y30" s="34">
        <f t="shared" si="19"/>
        <v>47.757883333333339</v>
      </c>
      <c r="Z30" s="34">
        <f t="shared" si="19"/>
        <v>1135.251</v>
      </c>
      <c r="AA30" s="34">
        <f t="shared" si="19"/>
        <v>10.052994444444444</v>
      </c>
      <c r="AB30" s="34">
        <f t="shared" si="19"/>
        <v>37.844094444444437</v>
      </c>
      <c r="AC30" s="34">
        <f t="shared" si="19"/>
        <v>83.364561111111115</v>
      </c>
      <c r="AD30" s="34">
        <f t="shared" si="19"/>
        <v>28.5199</v>
      </c>
      <c r="AE30" s="90">
        <f t="shared" si="19"/>
        <v>229.77620000000005</v>
      </c>
      <c r="AF30" s="34">
        <f t="shared" si="19"/>
        <v>10.43283888888889</v>
      </c>
      <c r="AG30" s="152">
        <f t="shared" si="19"/>
        <v>137.89444444444447</v>
      </c>
      <c r="AH30" s="52">
        <f t="shared" si="19"/>
        <v>3.9808333333333326</v>
      </c>
      <c r="AI30" s="52">
        <f t="shared" si="19"/>
        <v>11.393388888888888</v>
      </c>
      <c r="AJ30" s="52">
        <f t="shared" si="19"/>
        <v>0.93616666666666681</v>
      </c>
      <c r="AK30" s="34"/>
      <c r="AL30" s="34">
        <f>AVERAGE(AL10:AL27)</f>
        <v>19.632546882975369</v>
      </c>
      <c r="AM30" s="34">
        <f t="shared" ref="AM30:AR30" si="20">AVERAGE(AM10:AM27)</f>
        <v>15.681985169502569</v>
      </c>
      <c r="AN30" s="34">
        <f t="shared" si="20"/>
        <v>39.00286609096635</v>
      </c>
      <c r="AO30" s="34">
        <f t="shared" si="20"/>
        <v>1.9870339835399105</v>
      </c>
      <c r="AP30" s="34">
        <f t="shared" si="20"/>
        <v>1.252026720568264</v>
      </c>
      <c r="AQ30" s="34">
        <f t="shared" si="20"/>
        <v>0.34845595555555553</v>
      </c>
      <c r="AR30" s="34">
        <f t="shared" si="20"/>
        <v>24.889711111111108</v>
      </c>
      <c r="AS30" s="56"/>
      <c r="AT30" s="51" t="s">
        <v>135</v>
      </c>
      <c r="AU30" s="34">
        <f>AVERAGE(AU10:AU27)</f>
        <v>6.8357105164787155</v>
      </c>
      <c r="AV30" s="34">
        <f t="shared" ref="AV30:AY30" si="21">AVERAGE(AV10:AV27)</f>
        <v>5.4647640313867898</v>
      </c>
      <c r="AW30" s="34">
        <f t="shared" si="21"/>
        <v>13.587811921177453</v>
      </c>
      <c r="AX30" s="34">
        <f t="shared" si="21"/>
        <v>25.888286469042956</v>
      </c>
      <c r="AY30" s="34">
        <f t="shared" si="21"/>
        <v>24.889711111111108</v>
      </c>
      <c r="AZ30" s="34"/>
      <c r="BA30" s="90">
        <f>AVERAGE(BA10:BA27)</f>
        <v>79.124777725771935</v>
      </c>
      <c r="BB30" s="34">
        <f t="shared" ref="BB30" si="22">AVERAGE(BB10:BB27)</f>
        <v>1.252026720568264</v>
      </c>
      <c r="BC30" s="34">
        <f t="shared" ref="BC30" si="23">AVERAGE(BC10:BC27)</f>
        <v>39.00286609096635</v>
      </c>
      <c r="BD30" s="34">
        <f t="shared" ref="BD30" si="24">AVERAGE(BD10:BD27)</f>
        <v>15.681985169502569</v>
      </c>
      <c r="BE30" s="34">
        <f>AVERAGE(BE10:BE27)</f>
        <v>19.632546882975369</v>
      </c>
      <c r="BF30" s="90">
        <f>AVERAGE(BF10:BF27)</f>
        <v>6.5781851610310991</v>
      </c>
      <c r="BG30" s="34"/>
      <c r="BH30" s="34"/>
      <c r="BI30" s="34"/>
      <c r="BJ30" s="34"/>
    </row>
    <row r="31" spans="1:62" s="4" customFormat="1" ht="15">
      <c r="B31" s="54" t="s">
        <v>58</v>
      </c>
      <c r="C31" s="158"/>
      <c r="D31" s="36">
        <f>STDEV(D10:D27)</f>
        <v>6.9233792234088014</v>
      </c>
      <c r="E31" s="36">
        <f t="shared" ref="E31:AJ31" si="25">STDEV(E10:E27)</f>
        <v>0.16199989259235459</v>
      </c>
      <c r="F31" s="36">
        <f t="shared" si="25"/>
        <v>1.3456372717799248</v>
      </c>
      <c r="G31" s="36">
        <f t="shared" si="25"/>
        <v>4.9493631082405747</v>
      </c>
      <c r="H31" s="36">
        <f t="shared" si="25"/>
        <v>1.2773953648037283E-2</v>
      </c>
      <c r="I31" s="36">
        <f t="shared" si="25"/>
        <v>1.2427856039493901</v>
      </c>
      <c r="J31" s="36">
        <f t="shared" si="25"/>
        <v>1.6384391481853486</v>
      </c>
      <c r="K31" s="36">
        <f t="shared" si="25"/>
        <v>0.26396961365150218</v>
      </c>
      <c r="L31" s="36">
        <f t="shared" si="25"/>
        <v>0.45228134844768836</v>
      </c>
      <c r="M31" s="123">
        <f t="shared" si="25"/>
        <v>5.0970173967385971E-2</v>
      </c>
      <c r="N31" s="36">
        <f t="shared" si="25"/>
        <v>2.5561415954247311</v>
      </c>
      <c r="O31" s="36"/>
      <c r="R31" s="54" t="s">
        <v>58</v>
      </c>
      <c r="S31" s="36">
        <f t="shared" si="25"/>
        <v>5.8430515866775687</v>
      </c>
      <c r="T31" s="36">
        <f t="shared" si="25"/>
        <v>1.9662069124705512</v>
      </c>
      <c r="U31" s="36">
        <f t="shared" si="25"/>
        <v>1.7177469245299379</v>
      </c>
      <c r="V31" s="54">
        <f t="shared" si="25"/>
        <v>16.485055139018204</v>
      </c>
      <c r="W31" s="123">
        <f>STDEV(W10:W27)</f>
        <v>0.11162898354513612</v>
      </c>
      <c r="X31" s="36">
        <f t="shared" si="25"/>
        <v>40.933192989986267</v>
      </c>
      <c r="Y31" s="36">
        <f t="shared" si="25"/>
        <v>11.94035639000333</v>
      </c>
      <c r="Z31" s="36">
        <f t="shared" si="25"/>
        <v>1160.2018415745347</v>
      </c>
      <c r="AA31" s="36">
        <f t="shared" si="25"/>
        <v>7.8557604249045649</v>
      </c>
      <c r="AB31" s="36">
        <f t="shared" si="25"/>
        <v>26.551792214716823</v>
      </c>
      <c r="AC31" s="36">
        <f t="shared" si="25"/>
        <v>86.254098342794109</v>
      </c>
      <c r="AD31" s="36">
        <f t="shared" si="25"/>
        <v>11.820537695095611</v>
      </c>
      <c r="AE31" s="36">
        <f t="shared" si="25"/>
        <v>80.395112815599177</v>
      </c>
      <c r="AF31" s="36">
        <f t="shared" si="25"/>
        <v>19.168195307826633</v>
      </c>
      <c r="AG31" s="123">
        <f t="shared" si="25"/>
        <v>48.714201724683903</v>
      </c>
      <c r="AH31" s="123">
        <f t="shared" si="25"/>
        <v>1.4770488561755228</v>
      </c>
      <c r="AI31" s="123">
        <f t="shared" si="25"/>
        <v>2.3686602850032461</v>
      </c>
      <c r="AJ31" s="123">
        <f t="shared" si="25"/>
        <v>0.22087799400414193</v>
      </c>
      <c r="AK31" s="36"/>
      <c r="AL31" s="36">
        <f>STDEV(AL10:AL27)</f>
        <v>0.31714976307450266</v>
      </c>
      <c r="AM31" s="36">
        <f t="shared" ref="AM31:AR31" si="26">STDEV(AM10:AM27)</f>
        <v>0.15144872042810428</v>
      </c>
      <c r="AN31" s="36">
        <f t="shared" si="26"/>
        <v>0.33684330454889438</v>
      </c>
      <c r="AO31" s="36">
        <f t="shared" si="26"/>
        <v>2.6966079958208551E-2</v>
      </c>
      <c r="AP31" s="36">
        <f t="shared" si="26"/>
        <v>2.1153518927211339E-2</v>
      </c>
      <c r="AQ31" s="36">
        <f t="shared" si="26"/>
        <v>8.1802722213485668E-2</v>
      </c>
      <c r="AR31" s="36">
        <f t="shared" si="26"/>
        <v>5.8430515866775687</v>
      </c>
      <c r="AS31" s="57"/>
      <c r="AT31" s="54" t="s">
        <v>58</v>
      </c>
      <c r="AU31" s="36">
        <f>STDEV(AU10:AU27)</f>
        <v>1.5851118838154414</v>
      </c>
      <c r="AV31" s="36">
        <f t="shared" ref="AV31:AY31" si="27">STDEV(AV10:AV27)</f>
        <v>1.2846744776787264</v>
      </c>
      <c r="AW31" s="36">
        <f t="shared" si="27"/>
        <v>3.1787282467354534</v>
      </c>
      <c r="AX31" s="36">
        <f t="shared" si="27"/>
        <v>6.0462559796178708</v>
      </c>
      <c r="AY31" s="36">
        <f t="shared" si="27"/>
        <v>5.8430515866775687</v>
      </c>
      <c r="AZ31" s="36"/>
      <c r="BA31" s="91">
        <f>STDEV(BA10:BA27)</f>
        <v>4.8810729571965661</v>
      </c>
      <c r="BB31" s="36">
        <f t="shared" ref="BB31" si="28">STDEV(BB10:BB27)</f>
        <v>2.1153518927211339E-2</v>
      </c>
      <c r="BC31" s="36">
        <f t="shared" ref="BC31" si="29">STDEV(BC10:BC27)</f>
        <v>0.33684330454889438</v>
      </c>
      <c r="BD31" s="36">
        <f t="shared" ref="BD31" si="30">STDEV(BD10:BD27)</f>
        <v>0.15144872042810428</v>
      </c>
      <c r="BE31" s="36">
        <f>STDEV(BE10:BE27)</f>
        <v>0.31714976307450266</v>
      </c>
      <c r="BF31" s="91">
        <f>STDEV(BF10:BF27)</f>
        <v>0.90462043910350709</v>
      </c>
      <c r="BG31" s="36"/>
      <c r="BH31" s="36"/>
      <c r="BI31" s="36"/>
      <c r="BJ31" s="36"/>
    </row>
    <row r="32" spans="1:62" s="4" customFormat="1" ht="15">
      <c r="B32" s="54" t="s">
        <v>59</v>
      </c>
      <c r="C32" s="158"/>
      <c r="D32" s="36">
        <f>D31/D30*100</f>
        <v>9.7322706473394476</v>
      </c>
      <c r="E32" s="36">
        <f t="shared" ref="E32:AJ32" si="31">E31/E30*100</f>
        <v>26.972295797191297</v>
      </c>
      <c r="F32" s="36">
        <f t="shared" si="31"/>
        <v>12.29948359943897</v>
      </c>
      <c r="G32" s="36">
        <f t="shared" si="31"/>
        <v>86.816450664646425</v>
      </c>
      <c r="H32" s="36">
        <f t="shared" si="31"/>
        <v>94.06248522500313</v>
      </c>
      <c r="I32" s="36">
        <f t="shared" si="31"/>
        <v>74.874763040545062</v>
      </c>
      <c r="J32" s="36">
        <f t="shared" si="31"/>
        <v>298.03431680047612</v>
      </c>
      <c r="K32" s="36">
        <f t="shared" si="31"/>
        <v>96.27192090242599</v>
      </c>
      <c r="L32" s="36">
        <f t="shared" si="31"/>
        <v>18.527865860882777</v>
      </c>
      <c r="M32" s="123">
        <f t="shared" si="31"/>
        <v>69.833471007374186</v>
      </c>
      <c r="N32" s="36">
        <f t="shared" si="31"/>
        <v>39.727536492991419</v>
      </c>
      <c r="O32" s="36"/>
      <c r="R32" s="54" t="s">
        <v>59</v>
      </c>
      <c r="S32" s="36">
        <f t="shared" si="31"/>
        <v>23.475771014751352</v>
      </c>
      <c r="T32" s="36">
        <f t="shared" si="31"/>
        <v>18.546001655104099</v>
      </c>
      <c r="U32" s="36">
        <f t="shared" si="31"/>
        <v>21.489147258582534</v>
      </c>
      <c r="V32" s="54">
        <f t="shared" si="31"/>
        <v>55.610652985350043</v>
      </c>
      <c r="W32" s="123">
        <f>W31/W30*100</f>
        <v>80.074989192701167</v>
      </c>
      <c r="X32" s="36">
        <f t="shared" si="31"/>
        <v>36.918571163207694</v>
      </c>
      <c r="Y32" s="36">
        <f t="shared" si="31"/>
        <v>25.001854262811051</v>
      </c>
      <c r="Z32" s="36">
        <f t="shared" si="31"/>
        <v>102.19782599394624</v>
      </c>
      <c r="AA32" s="36">
        <f t="shared" si="31"/>
        <v>78.14348718003987</v>
      </c>
      <c r="AB32" s="36">
        <f t="shared" si="31"/>
        <v>70.160992367501777</v>
      </c>
      <c r="AC32" s="36">
        <f t="shared" si="31"/>
        <v>103.46614579765101</v>
      </c>
      <c r="AD32" s="36">
        <f t="shared" si="31"/>
        <v>41.446630931719994</v>
      </c>
      <c r="AE32" s="36">
        <f t="shared" si="31"/>
        <v>34.988442151797777</v>
      </c>
      <c r="AF32" s="36">
        <f t="shared" si="31"/>
        <v>183.72942889246579</v>
      </c>
      <c r="AG32" s="123">
        <f t="shared" si="31"/>
        <v>35.327167762955163</v>
      </c>
      <c r="AH32" s="123">
        <f t="shared" si="31"/>
        <v>37.104011459297212</v>
      </c>
      <c r="AI32" s="123">
        <f t="shared" si="31"/>
        <v>20.789778248622952</v>
      </c>
      <c r="AJ32" s="123">
        <f t="shared" si="31"/>
        <v>23.593875093908697</v>
      </c>
      <c r="AK32" s="36"/>
      <c r="AL32" s="36">
        <f>AL31/AL30*100</f>
        <v>1.6154285277654088</v>
      </c>
      <c r="AM32" s="36">
        <f t="shared" ref="AM32:AR32" si="32">AM31/AM30*100</f>
        <v>0.96574967257737954</v>
      </c>
      <c r="AN32" s="36">
        <f t="shared" si="32"/>
        <v>0.86363731260998888</v>
      </c>
      <c r="AO32" s="36">
        <f t="shared" si="32"/>
        <v>1.3571021020067484</v>
      </c>
      <c r="AP32" s="36">
        <f t="shared" si="32"/>
        <v>1.6895421303476876</v>
      </c>
      <c r="AQ32" s="36">
        <f t="shared" si="32"/>
        <v>23.475771014751267</v>
      </c>
      <c r="AR32" s="36">
        <f t="shared" si="32"/>
        <v>23.475771014751352</v>
      </c>
      <c r="AS32" s="57"/>
      <c r="AT32" s="54" t="s">
        <v>59</v>
      </c>
      <c r="AU32" s="36">
        <f>AU31/AU30*100</f>
        <v>23.188692382368195</v>
      </c>
      <c r="AV32" s="36">
        <f t="shared" ref="AV32:AY32" si="33">AV31/AV30*100</f>
        <v>23.508324793169805</v>
      </c>
      <c r="AW32" s="36">
        <f t="shared" si="33"/>
        <v>23.393967072661692</v>
      </c>
      <c r="AX32" s="36">
        <f t="shared" si="33"/>
        <v>23.355180293017632</v>
      </c>
      <c r="AY32" s="36">
        <f t="shared" si="33"/>
        <v>23.475771014751352</v>
      </c>
      <c r="AZ32" s="36"/>
      <c r="BA32" s="91">
        <f>BA31/BA30*100</f>
        <v>6.1688299133214999</v>
      </c>
      <c r="BB32" s="36">
        <f t="shared" ref="BB32" si="34">BB31/BB30*100</f>
        <v>1.6895421303476876</v>
      </c>
      <c r="BC32" s="36">
        <f t="shared" ref="BC32" si="35">BC31/BC30*100</f>
        <v>0.86363731260998888</v>
      </c>
      <c r="BD32" s="36">
        <f t="shared" ref="BD32" si="36">BD31/BD30*100</f>
        <v>0.96574967257737954</v>
      </c>
      <c r="BE32" s="36">
        <f>BE31/BE30*100</f>
        <v>1.6154285277654088</v>
      </c>
      <c r="BF32" s="91">
        <f>BF31/BF30*100</f>
        <v>13.7518238991271</v>
      </c>
      <c r="BG32" s="36"/>
      <c r="BH32" s="36"/>
      <c r="BI32" s="36"/>
      <c r="BJ32" s="36"/>
    </row>
    <row r="33" spans="1:62" s="148" customFormat="1" ht="14.25">
      <c r="A33" s="148" t="s">
        <v>130</v>
      </c>
      <c r="B33" s="56" t="s">
        <v>136</v>
      </c>
      <c r="C33" s="164"/>
      <c r="D33" s="56">
        <f>AVERAGE(D12:D13)</f>
        <v>71.99298486459449</v>
      </c>
      <c r="E33" s="56">
        <f t="shared" ref="E33:AY33" si="37">AVERAGE(E12:E13)</f>
        <v>0.65546770284942957</v>
      </c>
      <c r="F33" s="56">
        <f t="shared" si="37"/>
        <v>11.89553935758415</v>
      </c>
      <c r="G33" s="56">
        <f t="shared" si="37"/>
        <v>6.3210217964702444</v>
      </c>
      <c r="H33" s="56">
        <f t="shared" si="37"/>
        <v>1.279007406758058E-2</v>
      </c>
      <c r="I33" s="56">
        <f t="shared" si="37"/>
        <v>0.95523173540963402</v>
      </c>
      <c r="J33" s="56">
        <f t="shared" si="37"/>
        <v>8.0041055660449806E-2</v>
      </c>
      <c r="K33" s="56">
        <f t="shared" si="37"/>
        <v>0.10204220998946351</v>
      </c>
      <c r="L33" s="56">
        <f t="shared" si="37"/>
        <v>2.3565485222803852</v>
      </c>
      <c r="M33" s="56">
        <f t="shared" si="37"/>
        <v>7.5303833982491492E-2</v>
      </c>
      <c r="N33" s="56">
        <f t="shared" si="37"/>
        <v>5.21436570148773</v>
      </c>
      <c r="O33" s="56"/>
      <c r="R33" s="56" t="s">
        <v>136</v>
      </c>
      <c r="S33" s="56">
        <f t="shared" si="37"/>
        <v>27.526199999999999</v>
      </c>
      <c r="T33" s="56">
        <f t="shared" si="37"/>
        <v>10.607150000000001</v>
      </c>
      <c r="U33" s="56">
        <f t="shared" si="37"/>
        <v>7.2229999999999999</v>
      </c>
      <c r="V33" s="56">
        <f t="shared" si="37"/>
        <v>30.641350000000003</v>
      </c>
      <c r="W33" s="56">
        <f>AVERAGE(W12:W13)</f>
        <v>0.28784999999999999</v>
      </c>
      <c r="X33" s="56">
        <f t="shared" si="37"/>
        <v>82.491099999999989</v>
      </c>
      <c r="Y33" s="56">
        <f t="shared" si="37"/>
        <v>43.815250000000006</v>
      </c>
      <c r="Z33" s="56">
        <f t="shared" si="37"/>
        <v>1036.6714999999999</v>
      </c>
      <c r="AA33" s="56">
        <f t="shared" si="37"/>
        <v>4.7862</v>
      </c>
      <c r="AB33" s="56">
        <f t="shared" si="37"/>
        <v>20.77065</v>
      </c>
      <c r="AC33" s="56">
        <f t="shared" si="37"/>
        <v>65.0321</v>
      </c>
      <c r="AD33" s="56">
        <f t="shared" si="37"/>
        <v>24.761699999999998</v>
      </c>
      <c r="AE33" s="56">
        <f t="shared" si="37"/>
        <v>135.0806</v>
      </c>
      <c r="AF33" s="56">
        <f t="shared" si="37"/>
        <v>4.0134499999999997</v>
      </c>
      <c r="AG33" s="56">
        <f t="shared" si="37"/>
        <v>152.30000000000001</v>
      </c>
      <c r="AH33" s="56">
        <f t="shared" si="37"/>
        <v>4.2174999999999994</v>
      </c>
      <c r="AI33" s="56">
        <f t="shared" si="37"/>
        <v>12.530000000000001</v>
      </c>
      <c r="AJ33" s="56">
        <f t="shared" si="37"/>
        <v>1.006</v>
      </c>
      <c r="AK33" s="56"/>
      <c r="AL33" s="56">
        <f t="shared" si="37"/>
        <v>19.3772132446623</v>
      </c>
      <c r="AM33" s="56">
        <f t="shared" si="37"/>
        <v>15.5669073541846</v>
      </c>
      <c r="AN33" s="56">
        <f t="shared" si="37"/>
        <v>38.848208526112749</v>
      </c>
      <c r="AO33" s="56">
        <f t="shared" si="37"/>
        <v>2.0048720236726902</v>
      </c>
      <c r="AP33" s="56">
        <f t="shared" si="37"/>
        <v>1.244892222579715</v>
      </c>
      <c r="AQ33" s="56">
        <f t="shared" si="37"/>
        <v>0.38536679999999995</v>
      </c>
      <c r="AR33" s="56">
        <f t="shared" si="37"/>
        <v>27.526199999999999</v>
      </c>
      <c r="AS33" s="56"/>
      <c r="AT33" s="56" t="s">
        <v>136</v>
      </c>
      <c r="AU33" s="56">
        <f t="shared" si="37"/>
        <v>7.463561662334989</v>
      </c>
      <c r="AV33" s="56">
        <f t="shared" si="37"/>
        <v>6.0011541741044301</v>
      </c>
      <c r="AW33" s="56">
        <f t="shared" si="37"/>
        <v>14.965761745215515</v>
      </c>
      <c r="AX33" s="56">
        <f t="shared" si="37"/>
        <v>28.430477581654934</v>
      </c>
      <c r="AY33" s="56">
        <f t="shared" si="37"/>
        <v>27.526199999999999</v>
      </c>
      <c r="AZ33" s="56"/>
      <c r="BA33" s="56">
        <f>AVERAGE(BA12:BA13)</f>
        <v>82.417920392445538</v>
      </c>
      <c r="BB33" s="56">
        <f t="shared" ref="BB33" si="38">AVERAGE(BB12:BB13)</f>
        <v>1.244892222579715</v>
      </c>
      <c r="BC33" s="56">
        <f t="shared" ref="BC33" si="39">AVERAGE(BC12:BC13)</f>
        <v>38.848208526112749</v>
      </c>
      <c r="BD33" s="56">
        <f t="shared" ref="BD33" si="40">AVERAGE(BD12:BD13)</f>
        <v>15.5669073541846</v>
      </c>
      <c r="BE33" s="56">
        <f t="shared" ref="BE33" si="41">AVERAGE(BE12:BE13)</f>
        <v>19.3772132446623</v>
      </c>
      <c r="BF33" s="56">
        <f>AVERAGE(BF12:BF13)</f>
        <v>6.0656185025247265</v>
      </c>
      <c r="BG33" s="56"/>
      <c r="BH33" s="56"/>
      <c r="BI33" s="56"/>
      <c r="BJ33" s="56"/>
    </row>
    <row r="34" spans="1:62" s="104" customFormat="1" ht="15">
      <c r="A34" s="104" t="s">
        <v>131</v>
      </c>
      <c r="B34" s="57" t="s">
        <v>133</v>
      </c>
      <c r="C34" s="165"/>
      <c r="D34" s="57">
        <f>MAX(D12:D24)</f>
        <v>81.632141119834401</v>
      </c>
      <c r="E34" s="57">
        <f t="shared" ref="E34:AY34" si="42">MAX(E12:E24)</f>
        <v>0.70494717035750498</v>
      </c>
      <c r="F34" s="57">
        <f t="shared" si="42"/>
        <v>14.895429790544</v>
      </c>
      <c r="G34" s="57">
        <f t="shared" si="42"/>
        <v>21.5614012145499</v>
      </c>
      <c r="H34" s="57">
        <f t="shared" si="42"/>
        <v>2.17927216642777E-2</v>
      </c>
      <c r="I34" s="57">
        <f t="shared" si="42"/>
        <v>2.69351110678471</v>
      </c>
      <c r="J34" s="57">
        <f t="shared" si="42"/>
        <v>0.12800120670395801</v>
      </c>
      <c r="K34" s="57">
        <f t="shared" si="42"/>
        <v>0.66007127624235296</v>
      </c>
      <c r="L34" s="57">
        <f t="shared" si="42"/>
        <v>2.9910007889468502</v>
      </c>
      <c r="M34" s="57">
        <f t="shared" si="42"/>
        <v>0.24124011501125001</v>
      </c>
      <c r="N34" s="57">
        <f t="shared" si="42"/>
        <v>7.9207920792079403</v>
      </c>
      <c r="O34" s="57"/>
      <c r="R34" s="57" t="s">
        <v>133</v>
      </c>
      <c r="S34" s="57">
        <f t="shared" si="42"/>
        <v>40.553600000000003</v>
      </c>
      <c r="T34" s="57">
        <f t="shared" si="42"/>
        <v>14.495799999999999</v>
      </c>
      <c r="U34" s="57">
        <f t="shared" si="42"/>
        <v>10.69</v>
      </c>
      <c r="V34" s="57">
        <f t="shared" si="42"/>
        <v>51.101100000000002</v>
      </c>
      <c r="W34" s="57">
        <f>MAX(W12:W24)</f>
        <v>0.47789999999999999</v>
      </c>
      <c r="X34" s="57">
        <f t="shared" si="42"/>
        <v>187.75319999999999</v>
      </c>
      <c r="Y34" s="57">
        <f t="shared" si="42"/>
        <v>66.344300000000004</v>
      </c>
      <c r="Z34" s="57">
        <f t="shared" si="42"/>
        <v>1854.761</v>
      </c>
      <c r="AA34" s="57">
        <f t="shared" si="42"/>
        <v>29.5077</v>
      </c>
      <c r="AB34" s="57">
        <f t="shared" si="42"/>
        <v>103.7535</v>
      </c>
      <c r="AC34" s="57">
        <f t="shared" si="42"/>
        <v>336.77499999999998</v>
      </c>
      <c r="AD34" s="57">
        <f t="shared" si="42"/>
        <v>63.064999999999998</v>
      </c>
      <c r="AE34" s="57">
        <f t="shared" si="42"/>
        <v>354.23480000000001</v>
      </c>
      <c r="AF34" s="57">
        <f t="shared" si="42"/>
        <v>5.7034000000000002</v>
      </c>
      <c r="AG34" s="57">
        <f t="shared" si="42"/>
        <v>173.6</v>
      </c>
      <c r="AH34" s="57">
        <f t="shared" si="42"/>
        <v>4.8289999999999997</v>
      </c>
      <c r="AI34" s="57">
        <f t="shared" si="42"/>
        <v>13.42</v>
      </c>
      <c r="AJ34" s="57">
        <f t="shared" si="42"/>
        <v>1.099</v>
      </c>
      <c r="AK34" s="57"/>
      <c r="AL34" s="57">
        <f t="shared" si="42"/>
        <v>19.890228930074201</v>
      </c>
      <c r="AM34" s="57">
        <f t="shared" si="42"/>
        <v>16.004798891094602</v>
      </c>
      <c r="AN34" s="57">
        <f t="shared" si="42"/>
        <v>39.764841694981698</v>
      </c>
      <c r="AO34" s="57">
        <f t="shared" si="42"/>
        <v>2.0081988875986099</v>
      </c>
      <c r="AP34" s="57">
        <f t="shared" si="42"/>
        <v>1.26747239029307</v>
      </c>
      <c r="AQ34" s="57">
        <f t="shared" si="42"/>
        <v>0.56775039999999999</v>
      </c>
      <c r="AR34" s="57">
        <f t="shared" si="42"/>
        <v>40.553600000000003</v>
      </c>
      <c r="AS34" s="57"/>
      <c r="AT34" s="57" t="s">
        <v>133</v>
      </c>
      <c r="AU34" s="57">
        <f t="shared" si="42"/>
        <v>11.122698727599271</v>
      </c>
      <c r="AV34" s="57">
        <f t="shared" si="42"/>
        <v>8.9493018297070979</v>
      </c>
      <c r="AW34" s="57">
        <f t="shared" si="42"/>
        <v>22.174072946756489</v>
      </c>
      <c r="AX34" s="57">
        <f t="shared" si="42"/>
        <v>42.246073504062856</v>
      </c>
      <c r="AY34" s="57">
        <f t="shared" si="42"/>
        <v>40.553600000000003</v>
      </c>
      <c r="AZ34" s="57"/>
      <c r="BA34" s="57">
        <f>MAX(BA12:BA24)</f>
        <v>82.971534900249353</v>
      </c>
      <c r="BB34" s="57">
        <f t="shared" ref="BB34" si="43">MAX(BB12:BB24)</f>
        <v>1.26747239029307</v>
      </c>
      <c r="BC34" s="57">
        <f t="shared" ref="BC34" si="44">MAX(BC12:BC24)</f>
        <v>39.764841694981698</v>
      </c>
      <c r="BD34" s="57">
        <f t="shared" ref="BD34" si="45">MAX(BD12:BD24)</f>
        <v>16.004798891094602</v>
      </c>
      <c r="BE34" s="57">
        <f t="shared" ref="BE34" si="46">MAX(BE12:BE24)</f>
        <v>19.890228930074201</v>
      </c>
      <c r="BF34" s="57">
        <f>MAX(BF12:BF24)</f>
        <v>8.0794092260477974</v>
      </c>
      <c r="BG34" s="57"/>
      <c r="BH34" s="57"/>
      <c r="BI34" s="57"/>
      <c r="BJ34" s="57"/>
    </row>
    <row r="35" spans="1:62" s="104" customFormat="1" ht="15">
      <c r="B35" s="57" t="s">
        <v>134</v>
      </c>
      <c r="C35" s="165"/>
      <c r="D35" s="57">
        <f>MIN(D12:D24)</f>
        <v>57.720496499749899</v>
      </c>
      <c r="E35" s="57">
        <f t="shared" ref="E35:AY35" si="47">MIN(E12:E24)</f>
        <v>0.46145633444170497</v>
      </c>
      <c r="F35" s="57">
        <f t="shared" si="47"/>
        <v>9.7842329803336092</v>
      </c>
      <c r="G35" s="57">
        <f t="shared" si="47"/>
        <v>0.97087839275065502</v>
      </c>
      <c r="H35" s="57">
        <f t="shared" si="47"/>
        <v>2.6828856653587502E-3</v>
      </c>
      <c r="I35" s="57">
        <f t="shared" si="47"/>
        <v>0.820068718377991</v>
      </c>
      <c r="J35" s="57">
        <f t="shared" si="47"/>
        <v>6.56831443139647E-2</v>
      </c>
      <c r="K35" s="57">
        <f t="shared" si="47"/>
        <v>0.1</v>
      </c>
      <c r="L35" s="57">
        <f t="shared" si="47"/>
        <v>1.97102666881689</v>
      </c>
      <c r="M35" s="57">
        <f t="shared" si="47"/>
        <v>2.14612135351573E-2</v>
      </c>
      <c r="N35" s="57">
        <f t="shared" si="47"/>
        <v>2.7671022290545202</v>
      </c>
      <c r="O35" s="57"/>
      <c r="R35" s="57" t="s">
        <v>134</v>
      </c>
      <c r="S35" s="57">
        <f t="shared" si="47"/>
        <v>16.875299999999999</v>
      </c>
      <c r="T35" s="57">
        <f t="shared" si="47"/>
        <v>9.0928000000000004</v>
      </c>
      <c r="U35" s="57">
        <f t="shared" si="47"/>
        <v>6.0140000000000002</v>
      </c>
      <c r="V35" s="57">
        <f t="shared" si="47"/>
        <v>8.9796999999999993</v>
      </c>
      <c r="W35" s="57">
        <f>MIN(W12:W24)</f>
        <v>2.47E-2</v>
      </c>
      <c r="X35" s="57">
        <f t="shared" si="47"/>
        <v>73.188400000000001</v>
      </c>
      <c r="Y35" s="57">
        <f t="shared" si="47"/>
        <v>28.093</v>
      </c>
      <c r="Z35" s="57">
        <f t="shared" si="47"/>
        <v>76.108999999999995</v>
      </c>
      <c r="AA35" s="57">
        <f t="shared" si="47"/>
        <v>1.2495000000000001</v>
      </c>
      <c r="AB35" s="57">
        <f t="shared" si="47"/>
        <v>10.886200000000001</v>
      </c>
      <c r="AC35" s="57">
        <f t="shared" si="47"/>
        <v>20.796700000000001</v>
      </c>
      <c r="AD35" s="57">
        <f t="shared" si="47"/>
        <v>17.9419</v>
      </c>
      <c r="AE35" s="57">
        <f t="shared" si="47"/>
        <v>119.79089999999999</v>
      </c>
      <c r="AF35" s="57">
        <f t="shared" si="47"/>
        <v>1.8816999999999999</v>
      </c>
      <c r="AG35" s="57">
        <f t="shared" si="47"/>
        <v>90.44</v>
      </c>
      <c r="AH35" s="57">
        <f t="shared" si="47"/>
        <v>2.83</v>
      </c>
      <c r="AI35" s="57">
        <f t="shared" si="47"/>
        <v>8.7710000000000008</v>
      </c>
      <c r="AJ35" s="57">
        <f t="shared" si="47"/>
        <v>0.746</v>
      </c>
      <c r="AK35" s="57"/>
      <c r="AL35" s="57">
        <f t="shared" si="47"/>
        <v>19.280915129325599</v>
      </c>
      <c r="AM35" s="57">
        <f t="shared" si="47"/>
        <v>15.3946308306178</v>
      </c>
      <c r="AN35" s="57">
        <f t="shared" si="47"/>
        <v>38.524485053992201</v>
      </c>
      <c r="AO35" s="57">
        <f t="shared" si="47"/>
        <v>1.96659150360651</v>
      </c>
      <c r="AP35" s="57">
        <f t="shared" si="47"/>
        <v>1.2330656305672101</v>
      </c>
      <c r="AQ35" s="57">
        <f t="shared" si="47"/>
        <v>0.23625419999999997</v>
      </c>
      <c r="AR35" s="57">
        <f t="shared" si="47"/>
        <v>16.875299999999999</v>
      </c>
      <c r="AS35" s="57"/>
      <c r="AT35" s="57" t="s">
        <v>134</v>
      </c>
      <c r="AU35" s="57">
        <f t="shared" si="47"/>
        <v>4.6639002523898974</v>
      </c>
      <c r="AV35" s="57">
        <f t="shared" si="47"/>
        <v>3.7146750437105043</v>
      </c>
      <c r="AW35" s="57">
        <f t="shared" si="47"/>
        <v>9.2844885861504256</v>
      </c>
      <c r="AX35" s="57">
        <f t="shared" si="47"/>
        <v>17.663063882250825</v>
      </c>
      <c r="AY35" s="57">
        <f t="shared" si="47"/>
        <v>16.875299999999999</v>
      </c>
      <c r="AZ35" s="57"/>
      <c r="BA35" s="57">
        <f>MIN(BA12:BA24)</f>
        <v>75.329440318235172</v>
      </c>
      <c r="BB35" s="57">
        <f t="shared" ref="BB35" si="48">MIN(BB12:BB24)</f>
        <v>1.2330656305672101</v>
      </c>
      <c r="BC35" s="57">
        <f t="shared" ref="BC35" si="49">MIN(BC12:BC24)</f>
        <v>38.524485053992201</v>
      </c>
      <c r="BD35" s="57">
        <f t="shared" ref="BD35" si="50">MIN(BD12:BD24)</f>
        <v>15.3946308306178</v>
      </c>
      <c r="BE35" s="57">
        <f t="shared" ref="BE35" si="51">MIN(BE12:BE24)</f>
        <v>19.280915129325599</v>
      </c>
      <c r="BF35" s="57">
        <f>MIN(BF12:BF24)</f>
        <v>4.5681183341797915</v>
      </c>
      <c r="BG35" s="57"/>
      <c r="BH35" s="57"/>
      <c r="BI35" s="57"/>
      <c r="BJ35" s="57"/>
    </row>
    <row r="36" spans="1:62" s="148" customFormat="1" ht="14.25">
      <c r="B36" s="56" t="s">
        <v>137</v>
      </c>
      <c r="C36" s="164"/>
      <c r="D36" s="56">
        <f>AVERAGE(D12:D24)</f>
        <v>71.953301390096968</v>
      </c>
      <c r="E36" s="56">
        <f t="shared" ref="E36:AY36" si="52">AVERAGE(E12:E24)</f>
        <v>0.56517868620153722</v>
      </c>
      <c r="F36" s="56">
        <f t="shared" si="52"/>
        <v>11.292143926395815</v>
      </c>
      <c r="G36" s="56">
        <f t="shared" si="52"/>
        <v>6.3322945324452427</v>
      </c>
      <c r="H36" s="56">
        <f t="shared" si="52"/>
        <v>7.9247878571127913E-3</v>
      </c>
      <c r="I36" s="56">
        <f t="shared" si="52"/>
        <v>1.389055173798226</v>
      </c>
      <c r="J36" s="56">
        <f t="shared" si="52"/>
        <v>7.828015435489509E-2</v>
      </c>
      <c r="K36" s="56">
        <f t="shared" si="52"/>
        <v>0.18120197035360916</v>
      </c>
      <c r="L36" s="56">
        <f t="shared" si="52"/>
        <v>2.562647867704448</v>
      </c>
      <c r="M36" s="56">
        <f t="shared" si="52"/>
        <v>6.4051744146475464E-2</v>
      </c>
      <c r="N36" s="56">
        <f t="shared" si="52"/>
        <v>5.4844897441041081</v>
      </c>
      <c r="O36" s="56"/>
      <c r="R36" s="56" t="s">
        <v>137</v>
      </c>
      <c r="S36" s="56">
        <f t="shared" si="52"/>
        <v>25.289338461538456</v>
      </c>
      <c r="T36" s="56">
        <f t="shared" si="52"/>
        <v>11.363715384615386</v>
      </c>
      <c r="U36" s="56">
        <f t="shared" si="52"/>
        <v>8.1716923076923074</v>
      </c>
      <c r="V36" s="56">
        <f t="shared" si="52"/>
        <v>26.189053846153847</v>
      </c>
      <c r="W36" s="56">
        <f>AVERAGE(W12:W24)</f>
        <v>0.1220846153846154</v>
      </c>
      <c r="X36" s="56">
        <f t="shared" si="52"/>
        <v>118.97015384615383</v>
      </c>
      <c r="Y36" s="56">
        <f t="shared" si="52"/>
        <v>48.761692307692314</v>
      </c>
      <c r="Z36" s="56">
        <f t="shared" si="52"/>
        <v>638.92469230769234</v>
      </c>
      <c r="AA36" s="56">
        <f t="shared" si="52"/>
        <v>8.7337153846153832</v>
      </c>
      <c r="AB36" s="56">
        <f t="shared" si="52"/>
        <v>37.809030769230773</v>
      </c>
      <c r="AC36" s="56">
        <f t="shared" si="52"/>
        <v>94.457992307692308</v>
      </c>
      <c r="AD36" s="56">
        <f t="shared" si="52"/>
        <v>29.744915384615378</v>
      </c>
      <c r="AE36" s="56">
        <f t="shared" si="52"/>
        <v>234.50982307692306</v>
      </c>
      <c r="AF36" s="56">
        <f t="shared" si="52"/>
        <v>3.7615846153846153</v>
      </c>
      <c r="AG36" s="56">
        <f t="shared" si="52"/>
        <v>123.64615384615384</v>
      </c>
      <c r="AH36" s="56">
        <f t="shared" si="52"/>
        <v>3.5684615384615386</v>
      </c>
      <c r="AI36" s="56">
        <f t="shared" si="52"/>
        <v>10.813076923076924</v>
      </c>
      <c r="AJ36" s="56">
        <f t="shared" si="52"/>
        <v>0.8906153846153847</v>
      </c>
      <c r="AK36" s="56"/>
      <c r="AL36" s="56">
        <f t="shared" si="52"/>
        <v>19.570164486261334</v>
      </c>
      <c r="AM36" s="56">
        <f t="shared" si="52"/>
        <v>15.661708346416516</v>
      </c>
      <c r="AN36" s="56">
        <f t="shared" si="52"/>
        <v>39.031325141995708</v>
      </c>
      <c r="AO36" s="56">
        <f t="shared" si="52"/>
        <v>1.9944939956022631</v>
      </c>
      <c r="AP36" s="56">
        <f t="shared" si="52"/>
        <v>1.2496357480431717</v>
      </c>
      <c r="AQ36" s="56">
        <f t="shared" si="52"/>
        <v>0.35405073846153839</v>
      </c>
      <c r="AR36" s="56">
        <f t="shared" si="52"/>
        <v>25.289338461538456</v>
      </c>
      <c r="AS36" s="56"/>
      <c r="AT36" s="56" t="s">
        <v>137</v>
      </c>
      <c r="AU36" s="56">
        <f t="shared" si="52"/>
        <v>6.9291663097900944</v>
      </c>
      <c r="AV36" s="56">
        <f t="shared" si="52"/>
        <v>5.5442944097259632</v>
      </c>
      <c r="AW36" s="56">
        <f t="shared" si="52"/>
        <v>13.816935669192334</v>
      </c>
      <c r="AX36" s="56">
        <f t="shared" si="52"/>
        <v>26.290396388708391</v>
      </c>
      <c r="AY36" s="56">
        <f t="shared" si="52"/>
        <v>25.289338461538456</v>
      </c>
      <c r="AZ36" s="56"/>
      <c r="BA36" s="56">
        <f>AVERAGE(BA12:BA24)</f>
        <v>79.92602880123998</v>
      </c>
      <c r="BB36" s="56">
        <f t="shared" ref="BB36" si="53">AVERAGE(BB12:BB24)</f>
        <v>1.2496357480431717</v>
      </c>
      <c r="BC36" s="56">
        <f t="shared" ref="BC36" si="54">AVERAGE(BC12:BC24)</f>
        <v>39.031325141995708</v>
      </c>
      <c r="BD36" s="56">
        <f t="shared" ref="BD36" si="55">AVERAGE(BD12:BD24)</f>
        <v>15.661708346416516</v>
      </c>
      <c r="BE36" s="56">
        <f t="shared" ref="BE36" si="56">AVERAGE(BE12:BE24)</f>
        <v>19.570164486261334</v>
      </c>
      <c r="BF36" s="56">
        <f>AVERAGE(BF12:BF24)</f>
        <v>6.463009836728923</v>
      </c>
      <c r="BG36" s="56"/>
      <c r="BH36" s="56"/>
      <c r="BI36" s="56"/>
      <c r="BJ36" s="56"/>
    </row>
    <row r="37" spans="1:62" s="148" customFormat="1" ht="14.25">
      <c r="A37" s="148" t="s">
        <v>132</v>
      </c>
      <c r="B37" s="56" t="s">
        <v>139</v>
      </c>
      <c r="C37" s="164"/>
      <c r="D37" s="56">
        <f>AVERAGE(D25:D27)</f>
        <v>65.86912142749047</v>
      </c>
      <c r="E37" s="56">
        <f t="shared" ref="E37:AY37" si="57">AVERAGE(E25:E27)</f>
        <v>0.48292530963657371</v>
      </c>
      <c r="F37" s="56">
        <f t="shared" si="57"/>
        <v>9.5935124200520736</v>
      </c>
      <c r="G37" s="56">
        <f t="shared" si="57"/>
        <v>4.0764951864993231</v>
      </c>
      <c r="H37" s="56">
        <f t="shared" si="57"/>
        <v>2.5978242125021086E-2</v>
      </c>
      <c r="I37" s="56">
        <f t="shared" si="57"/>
        <v>3.4355008723674803</v>
      </c>
      <c r="J37" s="56">
        <f t="shared" si="57"/>
        <v>2.873713919783869</v>
      </c>
      <c r="K37" s="56">
        <f t="shared" si="57"/>
        <v>0.75353352445892907</v>
      </c>
      <c r="L37" s="56">
        <f t="shared" si="57"/>
        <v>2.5907850302746831</v>
      </c>
      <c r="M37" s="56">
        <f t="shared" si="57"/>
        <v>8.4237118880723064E-2</v>
      </c>
      <c r="N37" s="56">
        <f t="shared" si="57"/>
        <v>9.9577318501362679</v>
      </c>
      <c r="O37" s="56"/>
      <c r="R37" s="56" t="s">
        <v>139</v>
      </c>
      <c r="S37" s="56">
        <f t="shared" si="57"/>
        <v>22.294833333333333</v>
      </c>
      <c r="T37" s="56">
        <f t="shared" si="57"/>
        <v>9.2150000000000016</v>
      </c>
      <c r="U37" s="56">
        <f t="shared" si="57"/>
        <v>8.1023333333333341</v>
      </c>
      <c r="V37" s="56">
        <f t="shared" si="57"/>
        <v>23.322800000000001</v>
      </c>
      <c r="W37" s="56">
        <f>AVERAGE(W25:W27)</f>
        <v>0.15340000000000001</v>
      </c>
      <c r="X37" s="56">
        <f t="shared" si="57"/>
        <v>79.892566666666667</v>
      </c>
      <c r="Y37" s="56">
        <f t="shared" si="57"/>
        <v>40.915466666666667</v>
      </c>
      <c r="Z37" s="56">
        <f t="shared" si="57"/>
        <v>2328.9773333333337</v>
      </c>
      <c r="AA37" s="56">
        <f t="shared" si="57"/>
        <v>15.449266666666665</v>
      </c>
      <c r="AB37" s="56">
        <f t="shared" si="57"/>
        <v>44.307533333333332</v>
      </c>
      <c r="AC37" s="56">
        <f t="shared" si="57"/>
        <v>61.530700000000003</v>
      </c>
      <c r="AD37" s="56">
        <f t="shared" si="57"/>
        <v>32.852466666666665</v>
      </c>
      <c r="AE37" s="56">
        <f t="shared" si="57"/>
        <v>236.86863333333335</v>
      </c>
      <c r="AF37" s="56">
        <f t="shared" si="57"/>
        <v>40.072266666666671</v>
      </c>
      <c r="AG37" s="56">
        <f t="shared" si="57"/>
        <v>122.86666666666667</v>
      </c>
      <c r="AH37" s="56">
        <f t="shared" si="57"/>
        <v>3.339</v>
      </c>
      <c r="AI37" s="56">
        <f t="shared" si="57"/>
        <v>10.347</v>
      </c>
      <c r="AJ37" s="56">
        <f t="shared" si="57"/>
        <v>0.78833333333333344</v>
      </c>
      <c r="AK37" s="56"/>
      <c r="AL37" s="56">
        <f t="shared" si="57"/>
        <v>20.123201988722634</v>
      </c>
      <c r="AM37" s="56">
        <f t="shared" si="57"/>
        <v>15.697318287412301</v>
      </c>
      <c r="AN37" s="56">
        <f t="shared" si="57"/>
        <v>38.989299228744962</v>
      </c>
      <c r="AO37" s="56">
        <f t="shared" si="57"/>
        <v>1.93797468449647</v>
      </c>
      <c r="AP37" s="56">
        <f t="shared" si="57"/>
        <v>1.2820829048261835</v>
      </c>
      <c r="AQ37" s="56">
        <f t="shared" si="57"/>
        <v>0.31212766666666664</v>
      </c>
      <c r="AR37" s="56">
        <f t="shared" si="57"/>
        <v>22.294833333333333</v>
      </c>
      <c r="AS37" s="56"/>
      <c r="AT37" s="56" t="s">
        <v>139</v>
      </c>
      <c r="AU37" s="56">
        <f t="shared" si="57"/>
        <v>6.2699116855032457</v>
      </c>
      <c r="AV37" s="56">
        <f t="shared" si="57"/>
        <v>4.9035113671260158</v>
      </c>
      <c r="AW37" s="56">
        <f t="shared" si="57"/>
        <v>12.160853427403685</v>
      </c>
      <c r="AX37" s="56">
        <f t="shared" si="57"/>
        <v>23.334276480032944</v>
      </c>
      <c r="AY37" s="56">
        <f t="shared" si="57"/>
        <v>22.294833333333333</v>
      </c>
      <c r="AZ37" s="56"/>
      <c r="BA37" s="56">
        <f>AVERAGE(BA25:BA27)</f>
        <v>70.957169385963923</v>
      </c>
      <c r="BB37" s="56">
        <f t="shared" ref="BB37" si="58">AVERAGE(BB25:BB27)</f>
        <v>1.2820829048261835</v>
      </c>
      <c r="BC37" s="56">
        <f t="shared" ref="BC37" si="59">AVERAGE(BC25:BC27)</f>
        <v>38.989299228744962</v>
      </c>
      <c r="BD37" s="56">
        <f t="shared" ref="BD37" si="60">AVERAGE(BD25:BD27)</f>
        <v>15.697318287412301</v>
      </c>
      <c r="BE37" s="56">
        <f t="shared" ref="BE37" si="61">AVERAGE(BE25:BE27)</f>
        <v>20.123201988722634</v>
      </c>
      <c r="BF37" s="56">
        <f>AVERAGE(BF25:BF27)</f>
        <v>6.8577418665627121</v>
      </c>
      <c r="BG37" s="56"/>
      <c r="BH37" s="56"/>
      <c r="BI37" s="56"/>
      <c r="BJ37" s="56"/>
    </row>
  </sheetData>
  <phoneticPr fontId="33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U27"/>
  <sheetViews>
    <sheetView workbookViewId="0">
      <selection activeCell="I35" sqref="I35"/>
    </sheetView>
  </sheetViews>
  <sheetFormatPr defaultColWidth="9" defaultRowHeight="13.5"/>
  <sheetData>
    <row r="2" spans="1:73" ht="14.25">
      <c r="A2" s="199"/>
      <c r="B2" s="199"/>
      <c r="C2" s="199"/>
      <c r="D2" s="209" t="s">
        <v>169</v>
      </c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199"/>
      <c r="AD2" s="199"/>
      <c r="AE2" s="199"/>
      <c r="AF2" s="199"/>
      <c r="AG2" s="199"/>
      <c r="AH2" s="199"/>
      <c r="AI2" s="199"/>
      <c r="AJ2" s="199"/>
      <c r="AK2" s="199"/>
      <c r="AL2" s="199"/>
      <c r="AM2" s="199"/>
      <c r="AN2" s="199"/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199"/>
      <c r="BF2" s="199"/>
      <c r="BG2" s="199"/>
      <c r="BH2" s="199"/>
      <c r="BI2" s="199"/>
      <c r="BJ2" s="199"/>
      <c r="BK2" s="199"/>
      <c r="BL2" s="199"/>
      <c r="BM2" s="199"/>
      <c r="BN2" s="199"/>
      <c r="BO2" s="199"/>
      <c r="BP2" s="199"/>
      <c r="BQ2" s="199"/>
      <c r="BR2" s="199"/>
      <c r="BS2" s="199"/>
      <c r="BT2" s="199"/>
      <c r="BU2" s="199"/>
    </row>
    <row r="4" spans="1:73" ht="18">
      <c r="A4" s="196"/>
      <c r="B4" s="196"/>
      <c r="C4" s="196"/>
      <c r="D4" s="190" t="s">
        <v>32</v>
      </c>
      <c r="E4" s="213" t="s">
        <v>116</v>
      </c>
      <c r="F4" s="214" t="s">
        <v>170</v>
      </c>
      <c r="G4" s="213" t="s">
        <v>117</v>
      </c>
      <c r="H4" s="214" t="s">
        <v>170</v>
      </c>
      <c r="I4" s="213" t="s">
        <v>118</v>
      </c>
      <c r="J4" s="214" t="s">
        <v>170</v>
      </c>
      <c r="K4" s="215" t="s">
        <v>119</v>
      </c>
      <c r="L4" s="215" t="s">
        <v>171</v>
      </c>
      <c r="M4" s="215" t="s">
        <v>120</v>
      </c>
      <c r="N4" s="215"/>
      <c r="O4" s="213" t="s">
        <v>116</v>
      </c>
      <c r="P4" s="213" t="s">
        <v>118</v>
      </c>
      <c r="Q4" s="213" t="s">
        <v>117</v>
      </c>
      <c r="R4" s="216" t="s">
        <v>172</v>
      </c>
      <c r="S4" s="215"/>
      <c r="T4" s="215"/>
      <c r="U4" s="215"/>
      <c r="V4" s="205" t="s">
        <v>173</v>
      </c>
      <c r="W4" s="190" t="s">
        <v>174</v>
      </c>
      <c r="X4" s="190" t="s">
        <v>175</v>
      </c>
      <c r="Y4" s="190" t="s">
        <v>176</v>
      </c>
      <c r="Z4" s="190" t="s">
        <v>177</v>
      </c>
      <c r="AA4" s="196" t="s">
        <v>178</v>
      </c>
      <c r="AB4" s="196" t="s">
        <v>179</v>
      </c>
      <c r="AC4" s="196" t="s">
        <v>180</v>
      </c>
      <c r="AD4" s="196" t="s">
        <v>181</v>
      </c>
      <c r="AE4" s="196" t="s">
        <v>182</v>
      </c>
      <c r="AF4" s="196" t="s">
        <v>183</v>
      </c>
      <c r="AG4" s="196"/>
      <c r="AH4" s="215" t="s">
        <v>173</v>
      </c>
      <c r="AI4" s="215" t="s">
        <v>20</v>
      </c>
      <c r="AJ4" s="190" t="s">
        <v>21</v>
      </c>
      <c r="AK4" s="215" t="s">
        <v>22</v>
      </c>
      <c r="AL4" s="190" t="s">
        <v>23</v>
      </c>
      <c r="AM4" s="190" t="s">
        <v>17</v>
      </c>
      <c r="AN4" s="208" t="s">
        <v>24</v>
      </c>
      <c r="AO4" s="190" t="s">
        <v>25</v>
      </c>
      <c r="AP4" s="190" t="s">
        <v>184</v>
      </c>
      <c r="AQ4" s="190" t="s">
        <v>26</v>
      </c>
      <c r="AR4" s="208" t="s">
        <v>185</v>
      </c>
      <c r="AS4" s="215" t="s">
        <v>186</v>
      </c>
      <c r="AT4" s="215" t="s">
        <v>172</v>
      </c>
      <c r="AU4" s="215" t="s">
        <v>18</v>
      </c>
      <c r="AV4" s="215" t="s">
        <v>19</v>
      </c>
      <c r="AW4" s="215" t="s">
        <v>187</v>
      </c>
      <c r="AX4" s="215" t="s">
        <v>188</v>
      </c>
      <c r="AY4" s="208" t="s">
        <v>189</v>
      </c>
      <c r="AZ4" s="208" t="s">
        <v>190</v>
      </c>
      <c r="BA4" s="208" t="s">
        <v>191</v>
      </c>
      <c r="BB4" s="215" t="s">
        <v>27</v>
      </c>
      <c r="BC4" s="190" t="s">
        <v>62</v>
      </c>
      <c r="BD4" s="211" t="s">
        <v>192</v>
      </c>
      <c r="BE4" s="207" t="s">
        <v>193</v>
      </c>
      <c r="BF4" s="207" t="s">
        <v>194</v>
      </c>
      <c r="BG4" s="211" t="s">
        <v>195</v>
      </c>
      <c r="BH4" s="207" t="s">
        <v>196</v>
      </c>
      <c r="BI4" s="207" t="s">
        <v>197</v>
      </c>
      <c r="BJ4" s="239" t="s">
        <v>198</v>
      </c>
      <c r="BK4" s="207" t="s">
        <v>199</v>
      </c>
      <c r="BL4" s="215" t="s">
        <v>173</v>
      </c>
      <c r="BM4" s="190" t="s">
        <v>200</v>
      </c>
      <c r="BN4" s="196"/>
      <c r="BO4" s="196"/>
      <c r="BP4" s="196"/>
      <c r="BQ4" s="205" t="s">
        <v>201</v>
      </c>
      <c r="BR4" s="215" t="s">
        <v>28</v>
      </c>
      <c r="BS4" s="208" t="s">
        <v>29</v>
      </c>
      <c r="BT4" s="190" t="s">
        <v>30</v>
      </c>
      <c r="BU4" s="190" t="s">
        <v>31</v>
      </c>
    </row>
    <row r="5" spans="1:73" ht="18.75">
      <c r="A5" s="196"/>
      <c r="B5" s="220" t="s">
        <v>202</v>
      </c>
      <c r="C5" s="196"/>
      <c r="D5" s="190"/>
      <c r="E5" s="213"/>
      <c r="F5" s="214"/>
      <c r="G5" s="213"/>
      <c r="H5" s="214"/>
      <c r="I5" s="213"/>
      <c r="J5" s="214"/>
      <c r="K5" s="215"/>
      <c r="L5" s="215"/>
      <c r="M5" s="215"/>
      <c r="N5" s="215"/>
      <c r="O5" s="213"/>
      <c r="P5" s="213"/>
      <c r="Q5" s="213"/>
      <c r="R5" s="216"/>
      <c r="S5" s="215"/>
      <c r="T5" s="215"/>
      <c r="U5" s="215"/>
      <c r="V5" s="215"/>
      <c r="W5" s="190"/>
      <c r="X5" s="190"/>
      <c r="Y5" s="190"/>
      <c r="Z5" s="190"/>
      <c r="AA5" s="196"/>
      <c r="AB5" s="196"/>
      <c r="AC5" s="196"/>
      <c r="AD5" s="196"/>
      <c r="AE5" s="196"/>
      <c r="AF5" s="196"/>
      <c r="AG5" s="196"/>
      <c r="AH5" s="215"/>
      <c r="AI5" s="210"/>
      <c r="AJ5" s="210"/>
      <c r="AK5" s="210"/>
      <c r="AL5" s="210"/>
      <c r="AM5" s="235"/>
      <c r="AN5" s="233"/>
      <c r="AO5" s="210"/>
      <c r="AP5" s="210"/>
      <c r="AQ5" s="212"/>
      <c r="AR5" s="233"/>
      <c r="AS5" s="215"/>
      <c r="AT5" s="215"/>
      <c r="AU5" s="210"/>
      <c r="AV5" s="210"/>
      <c r="AW5" s="210"/>
      <c r="AX5" s="210"/>
      <c r="AY5" s="233"/>
      <c r="AZ5" s="233"/>
      <c r="BA5" s="233"/>
      <c r="BB5" s="210"/>
      <c r="BC5" s="190"/>
      <c r="BD5" s="211"/>
      <c r="BE5" s="207"/>
      <c r="BF5" s="207"/>
      <c r="BG5" s="211"/>
      <c r="BH5" s="207"/>
      <c r="BI5" s="207"/>
      <c r="BJ5" s="239"/>
      <c r="BK5" s="207"/>
      <c r="BL5" s="215"/>
      <c r="BM5" s="190"/>
      <c r="BN5" s="196"/>
      <c r="BO5" s="196"/>
      <c r="BP5" s="196"/>
      <c r="BQ5" s="205"/>
      <c r="BR5" s="210"/>
      <c r="BS5" s="233"/>
      <c r="BT5" s="212"/>
      <c r="BU5" s="190"/>
    </row>
    <row r="6" spans="1:73" ht="15">
      <c r="A6" s="201"/>
      <c r="B6" s="201" t="s">
        <v>203</v>
      </c>
      <c r="C6" s="201"/>
      <c r="D6" s="201" t="s">
        <v>204</v>
      </c>
      <c r="E6" s="204">
        <v>18.015900999999999</v>
      </c>
      <c r="F6" s="204">
        <v>1.1828599E-3</v>
      </c>
      <c r="G6" s="204">
        <v>15.600425</v>
      </c>
      <c r="H6" s="204">
        <v>1.0881998E-3</v>
      </c>
      <c r="I6" s="204">
        <v>37.919845000000002</v>
      </c>
      <c r="J6" s="204">
        <v>2.7264148000000002E-3</v>
      </c>
      <c r="K6" s="204">
        <v>2.1047986997708303</v>
      </c>
      <c r="L6" s="204">
        <v>0.86592532896356389</v>
      </c>
      <c r="M6" s="204">
        <v>1.1548339868945878</v>
      </c>
      <c r="N6" s="204"/>
      <c r="O6" s="204">
        <v>18.015900999999999</v>
      </c>
      <c r="P6" s="204">
        <v>37.919845000000002</v>
      </c>
      <c r="Q6" s="204"/>
      <c r="R6" s="206"/>
      <c r="S6" s="204"/>
      <c r="T6" s="204"/>
      <c r="U6" s="204"/>
      <c r="V6" s="201" t="s">
        <v>204</v>
      </c>
      <c r="W6" s="201">
        <v>7.32</v>
      </c>
      <c r="X6" s="201"/>
      <c r="Y6" s="201"/>
      <c r="Z6" s="201"/>
      <c r="AA6" s="201"/>
      <c r="AB6" s="201"/>
      <c r="AC6" s="201"/>
      <c r="AD6" s="201"/>
      <c r="AE6" s="201"/>
      <c r="AF6" s="201"/>
      <c r="AG6" s="201"/>
      <c r="AH6" s="222">
        <v>1.6040000000000001</v>
      </c>
      <c r="AI6" s="219">
        <v>1.5509999999999999</v>
      </c>
      <c r="AJ6" s="219">
        <v>4.8000000000000001E-2</v>
      </c>
      <c r="AK6" s="219">
        <v>1.03</v>
      </c>
      <c r="AL6" s="219">
        <v>0.77900000000000003</v>
      </c>
      <c r="AM6" s="219">
        <v>7.0670000000000002</v>
      </c>
      <c r="AN6" s="234">
        <v>0.60199999999999998</v>
      </c>
      <c r="AO6" s="219">
        <v>3.5000000000000003E-2</v>
      </c>
      <c r="AP6" s="222">
        <v>2.8000000000000001E-2</v>
      </c>
      <c r="AQ6" s="222">
        <v>23.23</v>
      </c>
      <c r="AR6" s="236">
        <v>1.2E-2</v>
      </c>
      <c r="AS6" s="222">
        <v>1.7000000000000001E-2</v>
      </c>
      <c r="AT6" s="222">
        <v>0.36299999999999999</v>
      </c>
      <c r="AU6" s="234">
        <v>0.437</v>
      </c>
      <c r="AV6" s="219">
        <v>1.216</v>
      </c>
      <c r="AW6" s="219"/>
      <c r="AX6" s="219"/>
      <c r="AY6" s="234"/>
      <c r="AZ6" s="234"/>
      <c r="BA6" s="234"/>
      <c r="BB6" s="219"/>
      <c r="BC6" s="222"/>
      <c r="BD6" s="238"/>
      <c r="BE6" s="221"/>
      <c r="BF6" s="221"/>
      <c r="BG6" s="238"/>
      <c r="BH6" s="221"/>
      <c r="BI6" s="221"/>
      <c r="BJ6" s="221"/>
      <c r="BK6" s="221"/>
      <c r="BL6" s="201" t="s">
        <v>204</v>
      </c>
      <c r="BM6" s="201"/>
      <c r="BN6" s="201"/>
      <c r="BO6" s="201"/>
      <c r="BP6" s="201"/>
      <c r="BQ6" s="201">
        <v>4.6831955922865015E-2</v>
      </c>
      <c r="BR6" s="219"/>
      <c r="BS6" s="234"/>
      <c r="BT6" s="222"/>
      <c r="BU6" s="222"/>
    </row>
    <row r="7" spans="1:73" ht="15">
      <c r="A7" s="196"/>
      <c r="B7" s="196"/>
      <c r="C7" s="196"/>
      <c r="D7" s="196" t="s">
        <v>205</v>
      </c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  <c r="S7" s="196"/>
      <c r="T7" s="196"/>
      <c r="U7" s="196"/>
      <c r="V7" s="196" t="s">
        <v>205</v>
      </c>
      <c r="W7" s="196">
        <v>7.2</v>
      </c>
      <c r="X7" s="196"/>
      <c r="Y7" s="196"/>
      <c r="Z7" s="196"/>
      <c r="AA7" s="196"/>
      <c r="AB7" s="196"/>
      <c r="AC7" s="196"/>
      <c r="AD7" s="196"/>
      <c r="AE7" s="196"/>
      <c r="AF7" s="196"/>
      <c r="AG7" s="196"/>
      <c r="AH7" s="190"/>
      <c r="AI7" s="190"/>
      <c r="AJ7" s="190"/>
      <c r="AK7" s="190"/>
      <c r="AL7" s="190"/>
      <c r="AM7" s="190"/>
      <c r="AN7" s="208"/>
      <c r="AO7" s="190"/>
      <c r="AP7" s="190"/>
      <c r="AQ7" s="190"/>
      <c r="AR7" s="208"/>
      <c r="AS7" s="190"/>
      <c r="AT7" s="190"/>
      <c r="AU7" s="208"/>
      <c r="AV7" s="190"/>
      <c r="AW7" s="190"/>
      <c r="AX7" s="190"/>
      <c r="AY7" s="208"/>
      <c r="AZ7" s="208"/>
      <c r="BA7" s="208"/>
      <c r="BB7" s="190"/>
      <c r="BC7" s="190"/>
      <c r="BD7" s="211"/>
      <c r="BE7" s="207"/>
      <c r="BF7" s="207"/>
      <c r="BG7" s="211"/>
      <c r="BH7" s="207"/>
      <c r="BI7" s="207"/>
      <c r="BJ7" s="207"/>
      <c r="BK7" s="207"/>
      <c r="BL7" s="196" t="s">
        <v>205</v>
      </c>
      <c r="BM7" s="196"/>
      <c r="BN7" s="196"/>
      <c r="BO7" s="196"/>
      <c r="BP7" s="196"/>
      <c r="BQ7" s="196"/>
      <c r="BR7" s="190"/>
      <c r="BS7" s="208"/>
      <c r="BT7" s="190"/>
      <c r="BU7" s="190"/>
    </row>
    <row r="8" spans="1:73" s="2" customFormat="1" ht="15">
      <c r="A8" s="196"/>
      <c r="B8" s="196"/>
      <c r="C8" s="196"/>
      <c r="D8" s="196" t="s">
        <v>206</v>
      </c>
      <c r="E8" s="196"/>
      <c r="F8" s="196"/>
      <c r="G8" s="196"/>
      <c r="H8" s="196"/>
      <c r="I8" s="196"/>
      <c r="J8" s="196"/>
      <c r="K8" s="196"/>
      <c r="L8" s="196"/>
      <c r="M8" s="196"/>
      <c r="N8" s="196"/>
      <c r="O8" s="196"/>
      <c r="P8" s="196"/>
      <c r="Q8" s="196"/>
      <c r="R8" s="196"/>
      <c r="S8" s="196"/>
      <c r="T8" s="196"/>
      <c r="U8" s="196"/>
      <c r="V8" s="196" t="s">
        <v>206</v>
      </c>
      <c r="W8" s="196">
        <v>2.78</v>
      </c>
      <c r="X8" s="196"/>
      <c r="Y8" s="196"/>
      <c r="Z8" s="196"/>
      <c r="AA8" s="196"/>
      <c r="AB8" s="196"/>
      <c r="AC8" s="196"/>
      <c r="AD8" s="196"/>
      <c r="AE8" s="196"/>
      <c r="AF8" s="196"/>
      <c r="AG8" s="196"/>
      <c r="AH8" s="190">
        <v>73.84</v>
      </c>
      <c r="AI8" s="190">
        <v>17198.400000000001</v>
      </c>
      <c r="AJ8" s="190">
        <v>1643.6</v>
      </c>
      <c r="AK8" s="190">
        <v>16827.900000000001</v>
      </c>
      <c r="AL8" s="190">
        <v>5789.9</v>
      </c>
      <c r="AM8" s="190">
        <v>156868.70000000001</v>
      </c>
      <c r="AN8" s="208">
        <v>2.48</v>
      </c>
      <c r="AO8" s="190">
        <v>7503.9</v>
      </c>
      <c r="AP8" s="190">
        <v>10.66</v>
      </c>
      <c r="AQ8" s="190">
        <v>49.37</v>
      </c>
      <c r="AR8" s="208">
        <v>0.157</v>
      </c>
      <c r="AS8" s="190">
        <v>5.7919999999999998</v>
      </c>
      <c r="AT8" s="190">
        <v>437.2</v>
      </c>
      <c r="AU8" s="208">
        <v>5.53</v>
      </c>
      <c r="AV8" s="190">
        <v>15.103999999999999</v>
      </c>
      <c r="AW8" s="190">
        <v>8.9410000000000007</v>
      </c>
      <c r="AX8" s="200">
        <v>991.1</v>
      </c>
      <c r="AY8" s="208">
        <v>6.0999999999999999E-2</v>
      </c>
      <c r="AZ8" s="208">
        <v>9.0999999999999998E-2</v>
      </c>
      <c r="BA8" s="208">
        <v>30.18</v>
      </c>
      <c r="BB8" s="190">
        <v>1739.7</v>
      </c>
      <c r="BC8" s="190">
        <v>5.0350000000000001</v>
      </c>
      <c r="BD8" s="211">
        <v>75.483425414364646</v>
      </c>
      <c r="BE8" s="207">
        <v>0.64780225925511681</v>
      </c>
      <c r="BF8" s="207">
        <v>5.9940417080436941</v>
      </c>
      <c r="BG8" s="211">
        <v>57.644135188866798</v>
      </c>
      <c r="BH8" s="207">
        <v>0.67032967032967028</v>
      </c>
      <c r="BI8" s="207">
        <v>196.84210526315789</v>
      </c>
      <c r="BJ8" s="207">
        <v>56.949044585987266</v>
      </c>
      <c r="BK8" s="207">
        <v>1.6892964992730117</v>
      </c>
      <c r="BL8" s="196" t="s">
        <v>206</v>
      </c>
      <c r="BM8" s="196"/>
      <c r="BN8" s="196"/>
      <c r="BO8" s="196"/>
      <c r="BP8" s="196"/>
      <c r="BQ8" s="196"/>
      <c r="BR8" s="190">
        <v>0.48099999999999998</v>
      </c>
      <c r="BS8" s="208">
        <v>0.40799999999999997</v>
      </c>
      <c r="BT8" s="190">
        <v>5.0000000000000001E-3</v>
      </c>
      <c r="BU8" s="190">
        <v>8.1000000000000003E-2</v>
      </c>
    </row>
    <row r="9" spans="1:73" s="2" customFormat="1" ht="15">
      <c r="A9" s="196"/>
      <c r="B9" s="196"/>
      <c r="C9" s="196"/>
      <c r="D9" s="196" t="s">
        <v>207</v>
      </c>
      <c r="E9" s="203"/>
      <c r="F9" s="203"/>
      <c r="G9" s="203"/>
      <c r="H9" s="203"/>
      <c r="I9" s="203"/>
      <c r="J9" s="203"/>
      <c r="K9" s="203"/>
      <c r="L9" s="203"/>
      <c r="M9" s="203"/>
      <c r="N9" s="203"/>
      <c r="O9" s="203"/>
      <c r="P9" s="203"/>
      <c r="Q9" s="203"/>
      <c r="R9" s="194"/>
      <c r="S9" s="203"/>
      <c r="T9" s="203"/>
      <c r="U9" s="203"/>
      <c r="V9" s="196" t="s">
        <v>207</v>
      </c>
      <c r="W9" s="196">
        <v>2.79</v>
      </c>
      <c r="X9" s="196"/>
      <c r="Y9" s="196"/>
      <c r="Z9" s="196"/>
      <c r="AA9" s="196"/>
      <c r="AB9" s="196"/>
      <c r="AC9" s="196"/>
      <c r="AD9" s="196"/>
      <c r="AE9" s="196"/>
      <c r="AF9" s="196"/>
      <c r="AG9" s="196"/>
      <c r="AH9" s="190">
        <v>66.873999999999995</v>
      </c>
      <c r="AI9" s="217">
        <v>16675.400000000001</v>
      </c>
      <c r="AJ9" s="217">
        <v>1628.4</v>
      </c>
      <c r="AK9" s="217">
        <v>16720.400000000001</v>
      </c>
      <c r="AL9" s="217">
        <v>5898.2</v>
      </c>
      <c r="AM9" s="231">
        <v>156126.29999999999</v>
      </c>
      <c r="AN9" s="230">
        <v>2.4590000000000001</v>
      </c>
      <c r="AO9" s="231">
        <v>7446.4</v>
      </c>
      <c r="AP9" s="217">
        <v>10.93</v>
      </c>
      <c r="AQ9" s="190">
        <v>50.43</v>
      </c>
      <c r="AR9" s="230">
        <v>0.13800000000000001</v>
      </c>
      <c r="AS9" s="190">
        <v>5.8849999999999998</v>
      </c>
      <c r="AT9" s="190">
        <v>428.7</v>
      </c>
      <c r="AU9" s="230">
        <v>5.2770000000000001</v>
      </c>
      <c r="AV9" s="217">
        <v>15.526999999999999</v>
      </c>
      <c r="AW9" s="230">
        <v>9.0289999999999999</v>
      </c>
      <c r="AX9" s="229">
        <v>977.8</v>
      </c>
      <c r="AY9" s="230">
        <v>6.2E-2</v>
      </c>
      <c r="AZ9" s="230">
        <v>9.2999999999999999E-2</v>
      </c>
      <c r="BA9" s="230">
        <v>29.76</v>
      </c>
      <c r="BB9" s="231">
        <v>1674.1</v>
      </c>
      <c r="BC9" s="190">
        <v>5.0469999999999997</v>
      </c>
      <c r="BD9" s="211">
        <v>72.846219201359389</v>
      </c>
      <c r="BE9" s="207">
        <v>0.651788680917045</v>
      </c>
      <c r="BF9" s="207">
        <v>5.8965722211214588</v>
      </c>
      <c r="BG9" s="211">
        <v>56.25336021505376</v>
      </c>
      <c r="BH9" s="207">
        <v>0.66666666666666663</v>
      </c>
      <c r="BI9" s="207">
        <v>193.73885476520707</v>
      </c>
      <c r="BJ9" s="207">
        <v>65.427536231884048</v>
      </c>
      <c r="BK9" s="207">
        <v>1.7196810277993133</v>
      </c>
      <c r="BL9" s="196" t="s">
        <v>207</v>
      </c>
      <c r="BM9" s="196"/>
      <c r="BN9" s="196"/>
      <c r="BO9" s="196"/>
      <c r="BP9" s="196"/>
      <c r="BQ9" s="196"/>
      <c r="BR9" s="217">
        <v>0.38900000000000001</v>
      </c>
      <c r="BS9" s="230">
        <v>0.40100000000000002</v>
      </c>
      <c r="BT9" s="190">
        <v>4.0000000000000001E-3</v>
      </c>
      <c r="BU9" s="190">
        <v>7.8E-2</v>
      </c>
    </row>
    <row r="10" spans="1:73" s="2" customFormat="1" ht="15">
      <c r="A10" s="196"/>
      <c r="B10" s="196"/>
      <c r="C10" s="196"/>
      <c r="D10" s="196" t="s">
        <v>208</v>
      </c>
      <c r="E10" s="203"/>
      <c r="F10" s="203"/>
      <c r="G10" s="203"/>
      <c r="H10" s="203"/>
      <c r="I10" s="203"/>
      <c r="J10" s="203"/>
      <c r="K10" s="203"/>
      <c r="L10" s="203"/>
      <c r="M10" s="203"/>
      <c r="N10" s="203"/>
      <c r="O10" s="203"/>
      <c r="P10" s="203"/>
      <c r="Q10" s="203"/>
      <c r="R10" s="194"/>
      <c r="S10" s="203"/>
      <c r="T10" s="203"/>
      <c r="U10" s="203"/>
      <c r="V10" s="196" t="s">
        <v>208</v>
      </c>
      <c r="W10" s="196">
        <v>2.9</v>
      </c>
      <c r="X10" s="196"/>
      <c r="Y10" s="196"/>
      <c r="Z10" s="196"/>
      <c r="AA10" s="196"/>
      <c r="AB10" s="196"/>
      <c r="AC10" s="196"/>
      <c r="AD10" s="196"/>
      <c r="AE10" s="196"/>
      <c r="AF10" s="196"/>
      <c r="AG10" s="196"/>
      <c r="AH10" s="190">
        <v>60.430999999999997</v>
      </c>
      <c r="AI10" s="217">
        <v>11223.6</v>
      </c>
      <c r="AJ10" s="217">
        <v>1242.9000000000001</v>
      </c>
      <c r="AK10" s="217">
        <v>15216.8</v>
      </c>
      <c r="AL10" s="217">
        <v>7119.9</v>
      </c>
      <c r="AM10" s="231">
        <v>184668</v>
      </c>
      <c r="AN10" s="230">
        <v>27.402999999999999</v>
      </c>
      <c r="AO10" s="231">
        <v>5228.1000000000004</v>
      </c>
      <c r="AP10" s="217">
        <v>11.951000000000001</v>
      </c>
      <c r="AQ10" s="190">
        <v>39.427</v>
      </c>
      <c r="AR10" s="230">
        <v>0.217</v>
      </c>
      <c r="AS10" s="190">
        <v>31.446999999999999</v>
      </c>
      <c r="AT10" s="190">
        <v>889.6</v>
      </c>
      <c r="AU10" s="230">
        <v>43.082000000000001</v>
      </c>
      <c r="AV10" s="217">
        <v>90.680999999999997</v>
      </c>
      <c r="AW10" s="230">
        <v>19.338000000000001</v>
      </c>
      <c r="AX10" s="218">
        <v>765.4</v>
      </c>
      <c r="AY10" s="230">
        <v>6.9000000000000006E-2</v>
      </c>
      <c r="AZ10" s="230">
        <v>9.9000000000000005E-2</v>
      </c>
      <c r="BA10" s="230">
        <v>22.584</v>
      </c>
      <c r="BB10" s="231">
        <v>1504.4</v>
      </c>
      <c r="BC10" s="190">
        <v>8.1029999999999998</v>
      </c>
      <c r="BD10" s="211">
        <v>28.288866982542057</v>
      </c>
      <c r="BE10" s="207">
        <v>1.6261764401696142</v>
      </c>
      <c r="BF10" s="207">
        <v>2.7871158830062939</v>
      </c>
      <c r="BG10" s="211">
        <v>66.613531703861142</v>
      </c>
      <c r="BH10" s="207">
        <v>0.69696969696969702</v>
      </c>
      <c r="BI10" s="207">
        <v>94.458842404047886</v>
      </c>
      <c r="BJ10" s="207">
        <v>89.1152073732719</v>
      </c>
      <c r="BK10" s="207">
        <v>4.6892646602544206</v>
      </c>
      <c r="BL10" s="196" t="s">
        <v>208</v>
      </c>
      <c r="BM10" s="196"/>
      <c r="BN10" s="196"/>
      <c r="BO10" s="196"/>
      <c r="BP10" s="196"/>
      <c r="BQ10" s="196"/>
      <c r="BR10" s="217">
        <v>0.97</v>
      </c>
      <c r="BS10" s="230">
        <v>0.64600000000000002</v>
      </c>
      <c r="BT10" s="190">
        <v>5.0000000000000001E-3</v>
      </c>
      <c r="BU10" s="190">
        <v>0.128</v>
      </c>
    </row>
    <row r="11" spans="1:73" s="2" customFormat="1" ht="15">
      <c r="A11" s="196"/>
      <c r="B11" s="196"/>
      <c r="C11" s="196"/>
      <c r="D11" s="196" t="s">
        <v>209</v>
      </c>
      <c r="E11" s="203"/>
      <c r="F11" s="203"/>
      <c r="G11" s="203"/>
      <c r="H11" s="203"/>
      <c r="I11" s="203"/>
      <c r="J11" s="203"/>
      <c r="K11" s="203"/>
      <c r="L11" s="203"/>
      <c r="M11" s="203"/>
      <c r="N11" s="203"/>
      <c r="O11" s="203"/>
      <c r="P11" s="203"/>
      <c r="Q11" s="203"/>
      <c r="R11" s="194"/>
      <c r="S11" s="203"/>
      <c r="T11" s="203"/>
      <c r="U11" s="203"/>
      <c r="V11" s="196" t="s">
        <v>209</v>
      </c>
      <c r="W11" s="196">
        <v>2.73</v>
      </c>
      <c r="X11" s="196"/>
      <c r="Y11" s="196"/>
      <c r="Z11" s="196"/>
      <c r="AA11" s="196"/>
      <c r="AB11" s="196"/>
      <c r="AC11" s="196"/>
      <c r="AD11" s="196"/>
      <c r="AE11" s="196"/>
      <c r="AF11" s="196"/>
      <c r="AG11" s="196"/>
      <c r="AH11" s="190">
        <v>81.085999999999999</v>
      </c>
      <c r="AI11" s="217">
        <v>9650.6</v>
      </c>
      <c r="AJ11" s="217">
        <v>1229.8</v>
      </c>
      <c r="AK11" s="217">
        <v>15519.7</v>
      </c>
      <c r="AL11" s="217">
        <v>9959.4</v>
      </c>
      <c r="AM11" s="231">
        <v>201618.9</v>
      </c>
      <c r="AN11" s="230">
        <v>69.647999999999996</v>
      </c>
      <c r="AO11" s="231">
        <v>5233.8999999999996</v>
      </c>
      <c r="AP11" s="230">
        <v>4.78</v>
      </c>
      <c r="AQ11" s="190">
        <v>59.381999999999998</v>
      </c>
      <c r="AR11" s="230">
        <v>0.24399999999999999</v>
      </c>
      <c r="AS11" s="190">
        <v>57.613</v>
      </c>
      <c r="AT11" s="190">
        <v>1270.0999999999999</v>
      </c>
      <c r="AU11" s="230">
        <v>17.556999999999999</v>
      </c>
      <c r="AV11" s="217">
        <v>188.21</v>
      </c>
      <c r="AW11" s="230">
        <v>32.643000000000001</v>
      </c>
      <c r="AX11" s="218">
        <v>759.5</v>
      </c>
      <c r="AY11" s="230">
        <v>0.10100000000000001</v>
      </c>
      <c r="AZ11" s="230">
        <v>0.14299999999999999</v>
      </c>
      <c r="BA11" s="230">
        <v>15.236000000000001</v>
      </c>
      <c r="BB11" s="231">
        <v>1399.7</v>
      </c>
      <c r="BC11" s="190">
        <v>8.6050000000000004</v>
      </c>
      <c r="BD11" s="211">
        <v>22.045371704302848</v>
      </c>
      <c r="BE11" s="207">
        <v>1.7649419477376467</v>
      </c>
      <c r="BF11" s="207">
        <v>1.7705984892504358</v>
      </c>
      <c r="BG11" s="211">
        <v>91.867944342347073</v>
      </c>
      <c r="BH11" s="207">
        <v>0.70629370629370636</v>
      </c>
      <c r="BI11" s="207">
        <v>88.262638001162117</v>
      </c>
      <c r="BJ11" s="207">
        <v>133.78278688524591</v>
      </c>
      <c r="BK11" s="207">
        <v>5.7657078087185614</v>
      </c>
      <c r="BL11" s="196" t="s">
        <v>209</v>
      </c>
      <c r="BM11" s="196"/>
      <c r="BN11" s="196"/>
      <c r="BO11" s="196"/>
      <c r="BP11" s="196"/>
      <c r="BQ11" s="196"/>
      <c r="BR11" s="217">
        <v>1.5429999999999999</v>
      </c>
      <c r="BS11" s="230">
        <v>0.92600000000000005</v>
      </c>
      <c r="BT11" s="190">
        <v>6.0000000000000001E-3</v>
      </c>
      <c r="BU11" s="190">
        <v>0.17699999999999999</v>
      </c>
    </row>
    <row r="12" spans="1:73" s="2" customFormat="1" ht="15">
      <c r="A12" s="196"/>
      <c r="B12" s="196"/>
      <c r="C12" s="196"/>
      <c r="D12" s="196" t="s">
        <v>210</v>
      </c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194"/>
      <c r="S12" s="203"/>
      <c r="T12" s="203"/>
      <c r="U12" s="203"/>
      <c r="V12" s="196" t="s">
        <v>210</v>
      </c>
      <c r="W12" s="196">
        <v>2.94</v>
      </c>
      <c r="X12" s="196">
        <v>969</v>
      </c>
      <c r="Y12" s="196">
        <v>142</v>
      </c>
      <c r="Z12" s="196">
        <v>5571</v>
      </c>
      <c r="AA12" s="196">
        <v>10007</v>
      </c>
      <c r="AB12" s="196">
        <v>113</v>
      </c>
      <c r="AC12" s="196">
        <v>121</v>
      </c>
      <c r="AD12" s="196">
        <v>181</v>
      </c>
      <c r="AE12" s="196">
        <v>115487</v>
      </c>
      <c r="AF12" s="196">
        <v>388</v>
      </c>
      <c r="AG12" s="196"/>
      <c r="AH12" s="190">
        <v>274.5</v>
      </c>
      <c r="AI12" s="217">
        <v>6056.9</v>
      </c>
      <c r="AJ12" s="217">
        <v>536.70000000000005</v>
      </c>
      <c r="AK12" s="217">
        <v>4710.3999999999996</v>
      </c>
      <c r="AL12" s="217">
        <v>6699.3</v>
      </c>
      <c r="AM12" s="231">
        <v>17955.7</v>
      </c>
      <c r="AN12" s="230">
        <v>9.19</v>
      </c>
      <c r="AO12" s="231">
        <v>554.70000000000005</v>
      </c>
      <c r="AP12" s="230">
        <v>2.391</v>
      </c>
      <c r="AQ12" s="190">
        <v>40.200000000000003</v>
      </c>
      <c r="AR12" s="228">
        <v>160.4</v>
      </c>
      <c r="AS12" s="190">
        <v>23.92</v>
      </c>
      <c r="AT12" s="190">
        <v>475</v>
      </c>
      <c r="AU12" s="230">
        <v>13.61</v>
      </c>
      <c r="AV12" s="217">
        <v>81.569999999999993</v>
      </c>
      <c r="AW12" s="230">
        <v>18.13</v>
      </c>
      <c r="AX12" s="217">
        <v>22.9</v>
      </c>
      <c r="AY12" s="230">
        <v>5.4210000000000003</v>
      </c>
      <c r="AZ12" s="230">
        <v>8.7789999999999999</v>
      </c>
      <c r="BA12" s="230">
        <v>3.4169999999999998</v>
      </c>
      <c r="BB12" s="231">
        <v>311</v>
      </c>
      <c r="BC12" s="190">
        <v>0.31</v>
      </c>
      <c r="BD12" s="211">
        <v>19.857859531772572</v>
      </c>
      <c r="BE12" s="207">
        <v>1.3193601765030338</v>
      </c>
      <c r="BF12" s="207">
        <v>11.022580645161289</v>
      </c>
      <c r="BG12" s="211">
        <v>91.015510681884706</v>
      </c>
      <c r="BH12" s="207">
        <v>0.6174962979838251</v>
      </c>
      <c r="BI12" s="207">
        <v>73.870967741935473</v>
      </c>
      <c r="BJ12" s="207">
        <v>0.11302992518703241</v>
      </c>
      <c r="BK12" s="207">
        <v>4.4991726420297846</v>
      </c>
      <c r="BL12" s="196" t="s">
        <v>210</v>
      </c>
      <c r="BM12" s="196">
        <v>20</v>
      </c>
      <c r="BN12" s="196"/>
      <c r="BO12" s="196"/>
      <c r="BP12" s="196"/>
      <c r="BQ12" s="196"/>
      <c r="BR12" s="217">
        <v>0</v>
      </c>
      <c r="BS12" s="230">
        <v>0</v>
      </c>
      <c r="BT12" s="190">
        <v>0</v>
      </c>
      <c r="BU12" s="190">
        <v>0</v>
      </c>
    </row>
    <row r="13" spans="1:73" s="2" customFormat="1" ht="15">
      <c r="A13" s="196"/>
      <c r="B13" s="196"/>
      <c r="C13" s="196"/>
      <c r="D13" s="196" t="s">
        <v>211</v>
      </c>
      <c r="E13" s="203">
        <v>26.661418999999999</v>
      </c>
      <c r="F13" s="203">
        <v>1.1033025E-3</v>
      </c>
      <c r="G13" s="203">
        <v>16.169848000000002</v>
      </c>
      <c r="H13" s="203">
        <v>7.0473567999999995E-4</v>
      </c>
      <c r="I13" s="203">
        <v>38.696199999999997</v>
      </c>
      <c r="J13" s="203">
        <v>1.875413E-3</v>
      </c>
      <c r="K13" s="203">
        <v>1.4513931160228193</v>
      </c>
      <c r="L13" s="203">
        <v>0.60648864938509095</v>
      </c>
      <c r="M13" s="203">
        <v>1.6488354745202303</v>
      </c>
      <c r="N13" s="203"/>
      <c r="O13" s="203">
        <v>26.661418999999999</v>
      </c>
      <c r="P13" s="203">
        <v>38.696199999999997</v>
      </c>
      <c r="Q13" s="203">
        <v>16.169848000000002</v>
      </c>
      <c r="R13" s="194">
        <v>457.1</v>
      </c>
      <c r="S13" s="203"/>
      <c r="T13" s="203"/>
      <c r="U13" s="203"/>
      <c r="V13" s="196" t="s">
        <v>211</v>
      </c>
      <c r="W13" s="196">
        <v>3.08</v>
      </c>
      <c r="X13" s="196">
        <v>998</v>
      </c>
      <c r="Y13" s="196">
        <v>300</v>
      </c>
      <c r="Z13" s="196">
        <v>5746</v>
      </c>
      <c r="AA13" s="196">
        <v>10024</v>
      </c>
      <c r="AB13" s="196">
        <v>116</v>
      </c>
      <c r="AC13" s="196">
        <v>125</v>
      </c>
      <c r="AD13" s="196">
        <v>385</v>
      </c>
      <c r="AE13" s="196">
        <v>119332</v>
      </c>
      <c r="AF13" s="196">
        <v>285</v>
      </c>
      <c r="AG13" s="196"/>
      <c r="AH13" s="190">
        <v>4.7270000000000003</v>
      </c>
      <c r="AI13" s="217">
        <v>5527.7</v>
      </c>
      <c r="AJ13" s="217">
        <v>491.4</v>
      </c>
      <c r="AK13" s="217">
        <v>4390.1000000000004</v>
      </c>
      <c r="AL13" s="217">
        <v>5950.7</v>
      </c>
      <c r="AM13" s="231">
        <v>16930.5</v>
      </c>
      <c r="AN13" s="230">
        <v>7.8259999999999996</v>
      </c>
      <c r="AO13" s="231">
        <v>524.29999999999995</v>
      </c>
      <c r="AP13" s="230">
        <v>2.4209999999999998</v>
      </c>
      <c r="AQ13" s="212">
        <v>21.2</v>
      </c>
      <c r="AR13" s="230">
        <v>1.75</v>
      </c>
      <c r="AS13" s="190">
        <v>24.71</v>
      </c>
      <c r="AT13" s="190">
        <v>457.1</v>
      </c>
      <c r="AU13" s="230">
        <v>16.53</v>
      </c>
      <c r="AV13" s="217">
        <v>72.33</v>
      </c>
      <c r="AW13" s="230">
        <v>16.440000000000001</v>
      </c>
      <c r="AX13" s="230">
        <v>6.52</v>
      </c>
      <c r="AY13" s="230">
        <v>5.032</v>
      </c>
      <c r="AZ13" s="230">
        <v>8.2889999999999997</v>
      </c>
      <c r="BA13" s="230">
        <v>2.6059999999999999</v>
      </c>
      <c r="BB13" s="231">
        <v>291.2</v>
      </c>
      <c r="BC13" s="190">
        <v>0.372</v>
      </c>
      <c r="BD13" s="211">
        <v>18.498583569405099</v>
      </c>
      <c r="BE13" s="207">
        <v>1.5030413625304135</v>
      </c>
      <c r="BF13" s="207">
        <v>7.0053763440860211</v>
      </c>
      <c r="BG13" s="211">
        <v>111.74213353798926</v>
      </c>
      <c r="BH13" s="207">
        <v>0.60706961032693929</v>
      </c>
      <c r="BI13" s="207">
        <v>17.526881720430108</v>
      </c>
      <c r="BJ13" s="207">
        <v>9.394285714285715</v>
      </c>
      <c r="BK13" s="207">
        <v>4.3996350364963499</v>
      </c>
      <c r="BL13" s="196" t="s">
        <v>211</v>
      </c>
      <c r="BM13" s="196"/>
      <c r="BN13" s="196"/>
      <c r="BO13" s="196"/>
      <c r="BP13" s="196"/>
      <c r="BQ13" s="196">
        <v>5.4058192955589585E-2</v>
      </c>
      <c r="BR13" s="217">
        <v>0</v>
      </c>
      <c r="BS13" s="230">
        <v>0</v>
      </c>
      <c r="BT13" s="212">
        <v>0</v>
      </c>
      <c r="BU13" s="190">
        <v>0</v>
      </c>
    </row>
    <row r="14" spans="1:73" s="2" customFormat="1" ht="15">
      <c r="A14" s="196"/>
      <c r="B14" s="196"/>
      <c r="C14" s="196"/>
      <c r="D14" s="196" t="s">
        <v>212</v>
      </c>
      <c r="E14" s="203">
        <v>28.926456000000002</v>
      </c>
      <c r="F14" s="203">
        <v>3.0406562000000002E-3</v>
      </c>
      <c r="G14" s="203">
        <v>16.309818</v>
      </c>
      <c r="H14" s="203">
        <v>1.6503433E-3</v>
      </c>
      <c r="I14" s="203">
        <v>38.762461999999999</v>
      </c>
      <c r="J14" s="203">
        <v>4.3022605999999998E-3</v>
      </c>
      <c r="K14" s="203">
        <v>1.3400349493211334</v>
      </c>
      <c r="L14" s="203">
        <v>0.56383740891037604</v>
      </c>
      <c r="M14" s="203">
        <v>1.7735609312133342</v>
      </c>
      <c r="N14" s="203"/>
      <c r="O14" s="203">
        <v>28.926456000000002</v>
      </c>
      <c r="P14" s="203">
        <v>38.762461999999999</v>
      </c>
      <c r="Q14" s="203">
        <v>16.309818</v>
      </c>
      <c r="R14" s="194">
        <v>815.3</v>
      </c>
      <c r="S14" s="203"/>
      <c r="T14" s="203"/>
      <c r="U14" s="203"/>
      <c r="V14" s="196" t="s">
        <v>212</v>
      </c>
      <c r="W14" s="196">
        <v>2.95</v>
      </c>
      <c r="X14" s="196">
        <v>981</v>
      </c>
      <c r="Y14" s="196">
        <v>136</v>
      </c>
      <c r="Z14" s="196">
        <v>7760</v>
      </c>
      <c r="AA14" s="196">
        <v>11593</v>
      </c>
      <c r="AB14" s="196">
        <v>142</v>
      </c>
      <c r="AC14" s="196">
        <v>207</v>
      </c>
      <c r="AD14" s="196">
        <v>257</v>
      </c>
      <c r="AE14" s="196">
        <v>166995</v>
      </c>
      <c r="AF14" s="196">
        <v>676</v>
      </c>
      <c r="AG14" s="196"/>
      <c r="AH14" s="190">
        <v>27.8</v>
      </c>
      <c r="AI14" s="217">
        <v>9389.5</v>
      </c>
      <c r="AJ14" s="217">
        <v>871.3</v>
      </c>
      <c r="AK14" s="217">
        <v>7966.1</v>
      </c>
      <c r="AL14" s="217">
        <v>10132.799999999999</v>
      </c>
      <c r="AM14" s="231">
        <v>31713.8</v>
      </c>
      <c r="AN14" s="231">
        <v>104.5</v>
      </c>
      <c r="AO14" s="231">
        <v>1032.5999999999999</v>
      </c>
      <c r="AP14" s="230">
        <v>3.9079999999999999</v>
      </c>
      <c r="AQ14" s="212">
        <v>26.25</v>
      </c>
      <c r="AR14" s="230">
        <v>7.79</v>
      </c>
      <c r="AS14" s="190">
        <v>50.07</v>
      </c>
      <c r="AT14" s="190">
        <v>815.3</v>
      </c>
      <c r="AU14" s="231">
        <v>327.7</v>
      </c>
      <c r="AV14" s="231">
        <v>146.5</v>
      </c>
      <c r="AW14" s="230">
        <v>30.19</v>
      </c>
      <c r="AX14" s="230">
        <v>9.25</v>
      </c>
      <c r="AY14" s="230">
        <v>9.4359999999999999</v>
      </c>
      <c r="AZ14" s="230">
        <v>14.13</v>
      </c>
      <c r="BA14" s="230">
        <v>4.282</v>
      </c>
      <c r="BB14" s="231">
        <v>447</v>
      </c>
      <c r="BC14" s="190">
        <v>0.41099999999999998</v>
      </c>
      <c r="BD14" s="211">
        <v>16.283203515078888</v>
      </c>
      <c r="BE14" s="207">
        <v>1.6584961907916529</v>
      </c>
      <c r="BF14" s="207">
        <v>10.418491484184916</v>
      </c>
      <c r="BG14" s="211">
        <v>104.39047174217656</v>
      </c>
      <c r="BH14" s="207">
        <v>0.66779900920028301</v>
      </c>
      <c r="BI14" s="207">
        <v>22.506082725060828</v>
      </c>
      <c r="BJ14" s="207">
        <v>3.8754813863928113</v>
      </c>
      <c r="BK14" s="207">
        <v>4.852600198741305</v>
      </c>
      <c r="BL14" s="196" t="s">
        <v>212</v>
      </c>
      <c r="BM14" s="196">
        <v>19</v>
      </c>
      <c r="BN14" s="196"/>
      <c r="BO14" s="196"/>
      <c r="BP14" s="196"/>
      <c r="BQ14" s="196">
        <v>6.1412976818349077E-2</v>
      </c>
      <c r="BR14" s="217">
        <v>0</v>
      </c>
      <c r="BS14" s="230">
        <v>0</v>
      </c>
      <c r="BT14" s="212">
        <v>0</v>
      </c>
      <c r="BU14" s="190">
        <v>0</v>
      </c>
    </row>
    <row r="15" spans="1:73" s="2" customFormat="1" ht="15">
      <c r="A15" s="196"/>
      <c r="B15" s="196"/>
      <c r="C15" s="196"/>
      <c r="D15" s="196" t="s">
        <v>213</v>
      </c>
      <c r="E15" s="203">
        <v>37.425676000000003</v>
      </c>
      <c r="F15" s="203">
        <v>1.0044372E-3</v>
      </c>
      <c r="G15" s="203">
        <v>16.819091</v>
      </c>
      <c r="H15" s="203">
        <v>5.6468990000000004E-4</v>
      </c>
      <c r="I15" s="203">
        <v>38.770130000000002</v>
      </c>
      <c r="J15" s="203">
        <v>1.3556046E-3</v>
      </c>
      <c r="K15" s="203">
        <v>1.0359233057006105</v>
      </c>
      <c r="L15" s="203">
        <v>0.44939979173656075</v>
      </c>
      <c r="M15" s="203">
        <v>2.2251901722869567</v>
      </c>
      <c r="N15" s="203"/>
      <c r="O15" s="203">
        <v>37.425676000000003</v>
      </c>
      <c r="P15" s="203">
        <v>38.770130000000002</v>
      </c>
      <c r="Q15" s="203">
        <v>16.819091</v>
      </c>
      <c r="R15" s="194">
        <v>1305.3</v>
      </c>
      <c r="S15" s="203"/>
      <c r="T15" s="203"/>
      <c r="U15" s="203"/>
      <c r="V15" s="196" t="s">
        <v>213</v>
      </c>
      <c r="W15" s="196">
        <v>2.7</v>
      </c>
      <c r="X15" s="196">
        <v>267</v>
      </c>
      <c r="Y15" s="196">
        <v>183</v>
      </c>
      <c r="Z15" s="196">
        <v>8044</v>
      </c>
      <c r="AA15" s="196">
        <v>15077</v>
      </c>
      <c r="AB15" s="196">
        <v>120</v>
      </c>
      <c r="AC15" s="196">
        <v>404</v>
      </c>
      <c r="AD15" s="196">
        <v>231</v>
      </c>
      <c r="AE15" s="196">
        <v>285783</v>
      </c>
      <c r="AF15" s="196">
        <v>608</v>
      </c>
      <c r="AG15" s="196"/>
      <c r="AH15" s="190">
        <v>9.8409999999999993</v>
      </c>
      <c r="AI15" s="217">
        <v>7688</v>
      </c>
      <c r="AJ15" s="217">
        <v>928.1</v>
      </c>
      <c r="AK15" s="217">
        <v>9258.6</v>
      </c>
      <c r="AL15" s="217">
        <v>16903.400000000001</v>
      </c>
      <c r="AM15" s="231">
        <v>39846.6</v>
      </c>
      <c r="AN15" s="231">
        <v>312.7</v>
      </c>
      <c r="AO15" s="231">
        <v>1469.3</v>
      </c>
      <c r="AP15" s="230">
        <v>4.5380000000000003</v>
      </c>
      <c r="AQ15" s="212">
        <v>23.65</v>
      </c>
      <c r="AR15" s="230">
        <v>2.1829999999999998</v>
      </c>
      <c r="AS15" s="190">
        <v>67.52</v>
      </c>
      <c r="AT15" s="190">
        <v>1305.3</v>
      </c>
      <c r="AU15" s="231">
        <v>1240.2</v>
      </c>
      <c r="AV15" s="231">
        <v>276.8</v>
      </c>
      <c r="AW15" s="230">
        <v>39.89</v>
      </c>
      <c r="AX15" s="230">
        <v>7.1269999999999998</v>
      </c>
      <c r="AY15" s="230">
        <v>17.510000000000002</v>
      </c>
      <c r="AZ15" s="230">
        <v>19.78</v>
      </c>
      <c r="BA15" s="230">
        <v>3.8159999999999998</v>
      </c>
      <c r="BB15" s="231">
        <v>429.4</v>
      </c>
      <c r="BC15" s="190">
        <v>0.433</v>
      </c>
      <c r="BD15" s="211">
        <v>19.332049763033176</v>
      </c>
      <c r="BE15" s="207">
        <v>1.6926548007019302</v>
      </c>
      <c r="BF15" s="207">
        <v>8.8129330254041562</v>
      </c>
      <c r="BG15" s="211">
        <v>112.52620545073376</v>
      </c>
      <c r="BH15" s="207">
        <v>0.88523761375126397</v>
      </c>
      <c r="BI15" s="207">
        <v>16.459584295612007</v>
      </c>
      <c r="BJ15" s="207">
        <v>18.273018781493359</v>
      </c>
      <c r="BK15" s="207">
        <v>6.9390824768112314</v>
      </c>
      <c r="BL15" s="196" t="s">
        <v>213</v>
      </c>
      <c r="BM15" s="196">
        <v>21</v>
      </c>
      <c r="BN15" s="196"/>
      <c r="BO15" s="196"/>
      <c r="BP15" s="196"/>
      <c r="BQ15" s="196">
        <v>5.1727572205623226E-2</v>
      </c>
      <c r="BR15" s="217">
        <v>0</v>
      </c>
      <c r="BS15" s="230">
        <v>0</v>
      </c>
      <c r="BT15" s="212">
        <v>0</v>
      </c>
      <c r="BU15" s="190">
        <v>0</v>
      </c>
    </row>
    <row r="16" spans="1:73" s="2" customFormat="1" ht="15">
      <c r="A16" s="196"/>
      <c r="B16" s="196"/>
      <c r="C16" s="196"/>
      <c r="D16" s="196" t="s">
        <v>214</v>
      </c>
      <c r="E16" s="203">
        <v>28.059881000000001</v>
      </c>
      <c r="F16" s="203">
        <v>1.9632534E-3</v>
      </c>
      <c r="G16" s="203">
        <v>16.247508</v>
      </c>
      <c r="H16" s="203">
        <v>1.1064643E-3</v>
      </c>
      <c r="I16" s="203">
        <v>38.717584000000002</v>
      </c>
      <c r="J16" s="203">
        <v>2.6895358000000001E-3</v>
      </c>
      <c r="K16" s="203">
        <v>1.379819964311324</v>
      </c>
      <c r="L16" s="203">
        <v>0.57902982553632354</v>
      </c>
      <c r="M16" s="203">
        <v>1.7270267538874269</v>
      </c>
      <c r="N16" s="203"/>
      <c r="O16" s="203">
        <v>28.059881000000001</v>
      </c>
      <c r="P16" s="203">
        <v>38.717584000000002</v>
      </c>
      <c r="Q16" s="203">
        <v>16.247508</v>
      </c>
      <c r="R16" s="194">
        <v>621.9</v>
      </c>
      <c r="S16" s="203"/>
      <c r="T16" s="203"/>
      <c r="U16" s="203"/>
      <c r="V16" s="196" t="s">
        <v>214</v>
      </c>
      <c r="W16" s="196">
        <v>3.04</v>
      </c>
      <c r="X16" s="196">
        <v>1004</v>
      </c>
      <c r="Y16" s="196">
        <v>121</v>
      </c>
      <c r="Z16" s="196">
        <v>5485</v>
      </c>
      <c r="AA16" s="196">
        <v>9469</v>
      </c>
      <c r="AB16" s="196">
        <v>91</v>
      </c>
      <c r="AC16" s="196">
        <v>114</v>
      </c>
      <c r="AD16" s="196">
        <v>217</v>
      </c>
      <c r="AE16" s="196">
        <v>115413</v>
      </c>
      <c r="AF16" s="196">
        <v>405</v>
      </c>
      <c r="AG16" s="196"/>
      <c r="AH16" s="190">
        <v>7.8019999999999996</v>
      </c>
      <c r="AI16" s="217">
        <v>6792.2</v>
      </c>
      <c r="AJ16" s="217">
        <v>643.9</v>
      </c>
      <c r="AK16" s="217">
        <v>5631.3</v>
      </c>
      <c r="AL16" s="217">
        <v>8306</v>
      </c>
      <c r="AM16" s="231">
        <v>21842</v>
      </c>
      <c r="AN16" s="230">
        <v>16.63</v>
      </c>
      <c r="AO16" s="231">
        <v>702.2</v>
      </c>
      <c r="AP16" s="230">
        <v>3.13</v>
      </c>
      <c r="AQ16" s="212">
        <v>25.12</v>
      </c>
      <c r="AR16" s="230">
        <v>1.3160000000000001</v>
      </c>
      <c r="AS16" s="190">
        <v>35.82</v>
      </c>
      <c r="AT16" s="190">
        <v>621.9</v>
      </c>
      <c r="AU16" s="217">
        <v>46.21</v>
      </c>
      <c r="AV16" s="217">
        <v>98.7</v>
      </c>
      <c r="AW16" s="230">
        <v>21.8</v>
      </c>
      <c r="AX16" s="230">
        <v>3.1840000000000002</v>
      </c>
      <c r="AY16" s="230">
        <v>6.8079999999999998</v>
      </c>
      <c r="AZ16" s="230">
        <v>9.5500000000000007</v>
      </c>
      <c r="BA16" s="230">
        <v>3.181</v>
      </c>
      <c r="BB16" s="231">
        <v>353.2</v>
      </c>
      <c r="BC16" s="190">
        <v>0.34899999999999998</v>
      </c>
      <c r="BD16" s="211">
        <v>17.361809045226131</v>
      </c>
      <c r="BE16" s="207">
        <v>1.6431192660550458</v>
      </c>
      <c r="BF16" s="207">
        <v>9.1146131805157609</v>
      </c>
      <c r="BG16" s="211">
        <v>111.03426595410248</v>
      </c>
      <c r="BH16" s="207">
        <v>0.71287958115183236</v>
      </c>
      <c r="BI16" s="207">
        <v>9.1232091690544426</v>
      </c>
      <c r="BJ16" s="207">
        <v>16.565349544072948</v>
      </c>
      <c r="BK16" s="207">
        <v>4.5275229357798166</v>
      </c>
      <c r="BL16" s="196" t="s">
        <v>214</v>
      </c>
      <c r="BM16" s="196">
        <v>18</v>
      </c>
      <c r="BN16" s="196"/>
      <c r="BO16" s="196"/>
      <c r="BP16" s="196"/>
      <c r="BQ16" s="196">
        <v>5.7597684515195369E-2</v>
      </c>
      <c r="BR16" s="217">
        <v>0</v>
      </c>
      <c r="BS16" s="230">
        <v>0</v>
      </c>
      <c r="BT16" s="212">
        <v>0</v>
      </c>
      <c r="BU16" s="190">
        <v>0</v>
      </c>
    </row>
    <row r="17" spans="1:73" s="2" customFormat="1" ht="15">
      <c r="A17" s="196"/>
      <c r="B17" s="196"/>
      <c r="C17" s="196"/>
      <c r="D17" s="196" t="s">
        <v>215</v>
      </c>
      <c r="E17" s="203">
        <v>34.770273000000003</v>
      </c>
      <c r="F17" s="203">
        <v>1.9685267999999998E-3</v>
      </c>
      <c r="G17" s="203">
        <v>16.665586999999999</v>
      </c>
      <c r="H17" s="203">
        <v>9.808586900000001E-4</v>
      </c>
      <c r="I17" s="203">
        <v>38.791460000000001</v>
      </c>
      <c r="J17" s="203">
        <v>2.5297181999999999E-3</v>
      </c>
      <c r="K17" s="203">
        <v>1.1156501417173226</v>
      </c>
      <c r="L17" s="203">
        <v>0.47930561258463505</v>
      </c>
      <c r="M17" s="203">
        <v>2.0863515338523633</v>
      </c>
      <c r="N17" s="203"/>
      <c r="O17" s="203">
        <v>34.770273000000003</v>
      </c>
      <c r="P17" s="203">
        <v>38.791460000000001</v>
      </c>
      <c r="Q17" s="203">
        <v>16.665586999999999</v>
      </c>
      <c r="R17" s="194">
        <v>1487.8</v>
      </c>
      <c r="S17" s="203"/>
      <c r="T17" s="203"/>
      <c r="U17" s="203"/>
      <c r="V17" s="196" t="s">
        <v>215</v>
      </c>
      <c r="W17" s="196">
        <v>2.81</v>
      </c>
      <c r="X17" s="196">
        <v>277</v>
      </c>
      <c r="Y17" s="196">
        <v>148</v>
      </c>
      <c r="Z17" s="196">
        <v>7791</v>
      </c>
      <c r="AA17" s="196">
        <v>9258</v>
      </c>
      <c r="AB17" s="196">
        <v>128</v>
      </c>
      <c r="AC17" s="196">
        <v>347</v>
      </c>
      <c r="AD17" s="196">
        <v>185</v>
      </c>
      <c r="AE17" s="196">
        <v>219734</v>
      </c>
      <c r="AF17" s="196">
        <v>514</v>
      </c>
      <c r="AG17" s="196"/>
      <c r="AH17" s="190">
        <v>13.04</v>
      </c>
      <c r="AI17" s="217">
        <v>9933.2000000000007</v>
      </c>
      <c r="AJ17" s="217">
        <v>1159.0999999999999</v>
      </c>
      <c r="AK17" s="217">
        <v>11244.5</v>
      </c>
      <c r="AL17" s="217">
        <v>19870.2</v>
      </c>
      <c r="AM17" s="231">
        <v>49275.6</v>
      </c>
      <c r="AN17" s="231">
        <v>276.60000000000002</v>
      </c>
      <c r="AO17" s="231">
        <v>1770.9</v>
      </c>
      <c r="AP17" s="230">
        <v>6.5339999999999998</v>
      </c>
      <c r="AQ17" s="212">
        <v>34.630000000000003</v>
      </c>
      <c r="AR17" s="230">
        <v>1.397</v>
      </c>
      <c r="AS17" s="190">
        <v>74.900000000000006</v>
      </c>
      <c r="AT17" s="190">
        <v>1487.8</v>
      </c>
      <c r="AU17" s="231">
        <v>1140.4000000000001</v>
      </c>
      <c r="AV17" s="231">
        <v>280.10000000000002</v>
      </c>
      <c r="AW17" s="230">
        <v>44.42</v>
      </c>
      <c r="AX17" s="230">
        <v>3.1840000000000002</v>
      </c>
      <c r="AY17" s="230">
        <v>19.420000000000002</v>
      </c>
      <c r="AZ17" s="230">
        <v>21.64</v>
      </c>
      <c r="BA17" s="230">
        <v>5.1890000000000001</v>
      </c>
      <c r="BB17" s="231">
        <v>654.1</v>
      </c>
      <c r="BC17" s="190">
        <v>0.60099999999999998</v>
      </c>
      <c r="BD17" s="211">
        <v>19.863818424566087</v>
      </c>
      <c r="BE17" s="207">
        <v>1.6861773975686629</v>
      </c>
      <c r="BF17" s="207">
        <v>8.6339434276206326</v>
      </c>
      <c r="BG17" s="211">
        <v>126.05511659279244</v>
      </c>
      <c r="BH17" s="207">
        <v>0.89741219963031427</v>
      </c>
      <c r="BI17" s="207">
        <v>5.2978369384359407</v>
      </c>
      <c r="BJ17" s="207">
        <v>31.796707229778097</v>
      </c>
      <c r="BK17" s="207">
        <v>6.305718144979739</v>
      </c>
      <c r="BL17" s="196" t="s">
        <v>215</v>
      </c>
      <c r="BM17" s="196">
        <v>17</v>
      </c>
      <c r="BN17" s="196"/>
      <c r="BO17" s="196"/>
      <c r="BP17" s="196"/>
      <c r="BQ17" s="196">
        <v>5.0342788009141021E-2</v>
      </c>
      <c r="BR17" s="217">
        <v>0</v>
      </c>
      <c r="BS17" s="230">
        <v>0</v>
      </c>
      <c r="BT17" s="212">
        <v>0</v>
      </c>
      <c r="BU17" s="190">
        <v>0</v>
      </c>
    </row>
    <row r="18" spans="1:73" s="2" customFormat="1" ht="15">
      <c r="A18" s="196"/>
      <c r="B18" s="196"/>
      <c r="C18" s="196"/>
      <c r="D18" s="196" t="s">
        <v>216</v>
      </c>
      <c r="E18" s="203">
        <v>31.073909</v>
      </c>
      <c r="F18" s="203">
        <v>1.6641078E-3</v>
      </c>
      <c r="G18" s="203">
        <v>16.432860000000002</v>
      </c>
      <c r="H18" s="203">
        <v>1.0539410000000001E-3</v>
      </c>
      <c r="I18" s="203">
        <v>38.711010999999999</v>
      </c>
      <c r="J18" s="203">
        <v>2.7507654000000002E-3</v>
      </c>
      <c r="K18" s="203">
        <v>1.245772168541782</v>
      </c>
      <c r="L18" s="203">
        <v>0.52883143861945403</v>
      </c>
      <c r="M18" s="203">
        <v>1.8909617072134732</v>
      </c>
      <c r="N18" s="203"/>
      <c r="O18" s="203">
        <v>31.073909</v>
      </c>
      <c r="P18" s="203">
        <v>38.711010999999999</v>
      </c>
      <c r="Q18" s="203">
        <v>16.432860000000002</v>
      </c>
      <c r="R18" s="194">
        <v>717.5</v>
      </c>
      <c r="S18" s="203"/>
      <c r="T18" s="203"/>
      <c r="U18" s="203"/>
      <c r="V18" s="196" t="s">
        <v>216</v>
      </c>
      <c r="W18" s="196">
        <v>2.96</v>
      </c>
      <c r="X18" s="196">
        <v>675</v>
      </c>
      <c r="Y18" s="196">
        <v>812</v>
      </c>
      <c r="Z18" s="196">
        <v>7275</v>
      </c>
      <c r="AA18" s="196">
        <v>5626</v>
      </c>
      <c r="AB18" s="196">
        <v>258</v>
      </c>
      <c r="AC18" s="196">
        <v>462</v>
      </c>
      <c r="AD18" s="196">
        <v>1431</v>
      </c>
      <c r="AE18" s="196">
        <v>40196</v>
      </c>
      <c r="AF18" s="196">
        <v>1632</v>
      </c>
      <c r="AG18" s="196"/>
      <c r="AH18" s="190">
        <v>7.9180000000000001</v>
      </c>
      <c r="AI18" s="217">
        <v>7628.8</v>
      </c>
      <c r="AJ18" s="217">
        <v>710.1</v>
      </c>
      <c r="AK18" s="217">
        <v>6632.7</v>
      </c>
      <c r="AL18" s="217">
        <v>9466.9</v>
      </c>
      <c r="AM18" s="231">
        <v>26620.7</v>
      </c>
      <c r="AN18" s="230">
        <v>80.05</v>
      </c>
      <c r="AO18" s="231">
        <v>901.8</v>
      </c>
      <c r="AP18" s="230">
        <v>3.3239999999999998</v>
      </c>
      <c r="AQ18" s="212">
        <v>24.67</v>
      </c>
      <c r="AR18" s="230">
        <v>1.28</v>
      </c>
      <c r="AS18" s="190">
        <v>43.57</v>
      </c>
      <c r="AT18" s="190">
        <v>717.5</v>
      </c>
      <c r="AU18" s="231">
        <v>261.89999999999998</v>
      </c>
      <c r="AV18" s="231">
        <v>124.6</v>
      </c>
      <c r="AW18" s="230">
        <v>25.25</v>
      </c>
      <c r="AX18" s="230">
        <v>5.4589999999999996</v>
      </c>
      <c r="AY18" s="230">
        <v>7.5949999999999998</v>
      </c>
      <c r="AZ18" s="230">
        <v>11.77</v>
      </c>
      <c r="BA18" s="230">
        <v>3.3319999999999999</v>
      </c>
      <c r="BB18" s="231">
        <v>369.4</v>
      </c>
      <c r="BC18" s="190">
        <v>0.33800000000000002</v>
      </c>
      <c r="BD18" s="211">
        <v>16.467753041083313</v>
      </c>
      <c r="BE18" s="207">
        <v>1.7255445544554455</v>
      </c>
      <c r="BF18" s="207">
        <v>9.8579881656804726</v>
      </c>
      <c r="BG18" s="211">
        <v>110.86434573829531</v>
      </c>
      <c r="BH18" s="207">
        <v>0.64528462192013591</v>
      </c>
      <c r="BI18" s="207">
        <v>16.150887573964496</v>
      </c>
      <c r="BJ18" s="207">
        <v>19.7265625</v>
      </c>
      <c r="BK18" s="207">
        <v>4.9346534653465346</v>
      </c>
      <c r="BL18" s="196" t="s">
        <v>216</v>
      </c>
      <c r="BM18" s="196">
        <v>22</v>
      </c>
      <c r="BN18" s="196"/>
      <c r="BO18" s="196"/>
      <c r="BP18" s="196"/>
      <c r="BQ18" s="196">
        <v>6.0724738675958186E-2</v>
      </c>
      <c r="BR18" s="217">
        <v>0</v>
      </c>
      <c r="BS18" s="230">
        <v>0</v>
      </c>
      <c r="BT18" s="212">
        <v>0</v>
      </c>
      <c r="BU18" s="190">
        <v>0</v>
      </c>
    </row>
    <row r="19" spans="1:73" s="2" customFormat="1" ht="15">
      <c r="A19" s="196"/>
      <c r="B19" s="196"/>
      <c r="C19" s="196"/>
      <c r="D19" s="196" t="s">
        <v>217</v>
      </c>
      <c r="E19" s="203">
        <v>22.056723000000002</v>
      </c>
      <c r="F19" s="203">
        <v>1.4191640999999999E-3</v>
      </c>
      <c r="G19" s="203">
        <v>15.887259999999999</v>
      </c>
      <c r="H19" s="203">
        <v>1.0608455000000001E-3</v>
      </c>
      <c r="I19" s="203">
        <v>38.590314999999997</v>
      </c>
      <c r="J19" s="203">
        <v>2.8404947000000001E-3</v>
      </c>
      <c r="K19" s="203">
        <v>1.7495942166930234</v>
      </c>
      <c r="L19" s="203">
        <v>0.72029104232754781</v>
      </c>
      <c r="M19" s="203">
        <v>1.3883276914962053</v>
      </c>
      <c r="N19" s="203"/>
      <c r="O19" s="203">
        <v>22.056723000000002</v>
      </c>
      <c r="P19" s="203">
        <v>38.590314999999997</v>
      </c>
      <c r="Q19" s="203">
        <v>15.887259999999999</v>
      </c>
      <c r="R19" s="194">
        <v>69.430000000000007</v>
      </c>
      <c r="S19" s="203"/>
      <c r="T19" s="203"/>
      <c r="U19" s="203"/>
      <c r="V19" s="196" t="s">
        <v>217</v>
      </c>
      <c r="W19" s="196">
        <v>3.66</v>
      </c>
      <c r="X19" s="196">
        <v>1158</v>
      </c>
      <c r="Y19" s="196">
        <v>1111</v>
      </c>
      <c r="Z19" s="196">
        <v>4026</v>
      </c>
      <c r="AA19" s="196">
        <v>9357</v>
      </c>
      <c r="AB19" s="196">
        <v>143</v>
      </c>
      <c r="AC19" s="196"/>
      <c r="AD19" s="196">
        <v>955</v>
      </c>
      <c r="AE19" s="196">
        <v>51593</v>
      </c>
      <c r="AF19" s="196">
        <v>246</v>
      </c>
      <c r="AG19" s="196"/>
      <c r="AH19" s="190">
        <v>3.3290000000000002</v>
      </c>
      <c r="AI19" s="217">
        <v>1017.6</v>
      </c>
      <c r="AJ19" s="217">
        <v>131.5</v>
      </c>
      <c r="AK19" s="217">
        <v>1316.3</v>
      </c>
      <c r="AL19" s="217">
        <v>1363.8</v>
      </c>
      <c r="AM19" s="231">
        <v>8217.2000000000007</v>
      </c>
      <c r="AN19" s="230">
        <v>0.69199999999999995</v>
      </c>
      <c r="AO19" s="231">
        <v>656.8</v>
      </c>
      <c r="AP19" s="230">
        <v>2.8290000000000002</v>
      </c>
      <c r="AQ19" s="217">
        <v>22.83</v>
      </c>
      <c r="AR19" s="230">
        <v>1.73</v>
      </c>
      <c r="AS19" s="190">
        <v>2.9409999999999998</v>
      </c>
      <c r="AT19" s="190">
        <v>69.430000000000007</v>
      </c>
      <c r="AU19" s="230">
        <v>0.36199999999999999</v>
      </c>
      <c r="AV19" s="230">
        <v>8.4860000000000007</v>
      </c>
      <c r="AW19" s="230">
        <v>2.347</v>
      </c>
      <c r="AX19" s="230">
        <v>8.0370000000000008</v>
      </c>
      <c r="AY19" s="230">
        <v>0.76800000000000002</v>
      </c>
      <c r="AZ19" s="230">
        <v>1.448</v>
      </c>
      <c r="BA19" s="230">
        <v>4.3419999999999996</v>
      </c>
      <c r="BB19" s="231">
        <v>412.1</v>
      </c>
      <c r="BC19" s="190">
        <v>0.89800000000000002</v>
      </c>
      <c r="BD19" s="211">
        <v>23.607616456987422</v>
      </c>
      <c r="BE19" s="207">
        <v>1.2530890498508733</v>
      </c>
      <c r="BF19" s="207">
        <v>4.8351893095768368</v>
      </c>
      <c r="BG19" s="211">
        <v>94.910179640718582</v>
      </c>
      <c r="BH19" s="207">
        <v>0.53038674033149169</v>
      </c>
      <c r="BI19" s="207">
        <v>8.9498886414253906</v>
      </c>
      <c r="BJ19" s="207">
        <v>1.3566473988439307</v>
      </c>
      <c r="BK19" s="207">
        <v>3.6156795909671926</v>
      </c>
      <c r="BL19" s="196" t="s">
        <v>217</v>
      </c>
      <c r="BM19" s="196">
        <v>16</v>
      </c>
      <c r="BN19" s="196"/>
      <c r="BO19" s="196"/>
      <c r="BP19" s="196"/>
      <c r="BQ19" s="196">
        <v>4.2359210715828884E-2</v>
      </c>
      <c r="BR19" s="217">
        <v>0</v>
      </c>
      <c r="BS19" s="230">
        <v>0</v>
      </c>
      <c r="BT19" s="212">
        <v>0</v>
      </c>
      <c r="BU19" s="190">
        <v>0</v>
      </c>
    </row>
    <row r="20" spans="1:73" s="2" customFormat="1" ht="15">
      <c r="A20" s="196"/>
      <c r="B20" s="196"/>
      <c r="C20" s="196"/>
      <c r="D20" s="196" t="s">
        <v>218</v>
      </c>
      <c r="E20" s="203">
        <v>25.707350000000002</v>
      </c>
      <c r="F20" s="203">
        <v>4.7112650000000001E-3</v>
      </c>
      <c r="G20" s="203">
        <v>16.086334999999998</v>
      </c>
      <c r="H20" s="203">
        <v>2.8386272999999999E-3</v>
      </c>
      <c r="I20" s="203">
        <v>38.270437000000001</v>
      </c>
      <c r="J20" s="203">
        <v>6.6304301000000001E-3</v>
      </c>
      <c r="K20" s="203">
        <v>1.4886963066982788</v>
      </c>
      <c r="L20" s="203">
        <v>0.62574847271305667</v>
      </c>
      <c r="M20" s="203">
        <v>1.5980862017358215</v>
      </c>
      <c r="N20" s="203"/>
      <c r="O20" s="203">
        <v>25.707350000000002</v>
      </c>
      <c r="P20" s="203">
        <v>38.270437000000001</v>
      </c>
      <c r="Q20" s="203">
        <v>16.086334999999998</v>
      </c>
      <c r="R20" s="194">
        <v>127.9</v>
      </c>
      <c r="S20" s="203"/>
      <c r="T20" s="203"/>
      <c r="U20" s="203"/>
      <c r="V20" s="196" t="s">
        <v>218</v>
      </c>
      <c r="W20" s="196">
        <v>3.58</v>
      </c>
      <c r="X20" s="196">
        <v>422</v>
      </c>
      <c r="Y20" s="196">
        <v>308</v>
      </c>
      <c r="Z20" s="196">
        <v>4225</v>
      </c>
      <c r="AA20" s="196">
        <v>16394</v>
      </c>
      <c r="AB20" s="196">
        <v>221</v>
      </c>
      <c r="AC20" s="196"/>
      <c r="AD20" s="196">
        <v>255</v>
      </c>
      <c r="AE20" s="196">
        <v>71459</v>
      </c>
      <c r="AF20" s="196">
        <v>712</v>
      </c>
      <c r="AG20" s="196"/>
      <c r="AH20" s="190">
        <v>10.95</v>
      </c>
      <c r="AI20" s="217">
        <v>1423.4</v>
      </c>
      <c r="AJ20" s="217">
        <v>187.2</v>
      </c>
      <c r="AK20" s="217">
        <v>1962.1</v>
      </c>
      <c r="AL20" s="217">
        <v>2463.9</v>
      </c>
      <c r="AM20" s="231">
        <v>11933.8</v>
      </c>
      <c r="AN20" s="230">
        <v>0.54200000000000004</v>
      </c>
      <c r="AO20" s="231">
        <v>851.7</v>
      </c>
      <c r="AP20" s="230">
        <v>3.577</v>
      </c>
      <c r="AQ20" s="217">
        <v>34.01</v>
      </c>
      <c r="AR20" s="230">
        <v>1.504</v>
      </c>
      <c r="AS20" s="190">
        <v>3.3559999999999999</v>
      </c>
      <c r="AT20" s="190">
        <v>127.9</v>
      </c>
      <c r="AU20" s="230">
        <v>0.42599999999999999</v>
      </c>
      <c r="AV20" s="230">
        <v>13.62</v>
      </c>
      <c r="AW20" s="230">
        <v>3.5939999999999999</v>
      </c>
      <c r="AX20" s="230">
        <v>9.0980000000000008</v>
      </c>
      <c r="AY20" s="230">
        <v>1.4339999999999999</v>
      </c>
      <c r="AZ20" s="230">
        <v>1.8680000000000001</v>
      </c>
      <c r="BA20" s="230">
        <v>5.7510000000000003</v>
      </c>
      <c r="BB20" s="231">
        <v>547.70000000000005</v>
      </c>
      <c r="BC20" s="190">
        <v>1.4079999999999999</v>
      </c>
      <c r="BD20" s="211">
        <v>38.110846245530396</v>
      </c>
      <c r="BE20" s="207">
        <v>0.93377851975514747</v>
      </c>
      <c r="BF20" s="207">
        <v>4.0845170454545459</v>
      </c>
      <c r="BG20" s="211">
        <v>95.23561119805251</v>
      </c>
      <c r="BH20" s="207">
        <v>0.7676659528907922</v>
      </c>
      <c r="BI20" s="207">
        <v>6.4616477272727284</v>
      </c>
      <c r="BJ20" s="207">
        <v>2.3896276595744679</v>
      </c>
      <c r="BK20" s="207">
        <v>3.7896494156928213</v>
      </c>
      <c r="BL20" s="196" t="s">
        <v>218</v>
      </c>
      <c r="BM20" s="196">
        <v>18</v>
      </c>
      <c r="BN20" s="196"/>
      <c r="BO20" s="196"/>
      <c r="BP20" s="196"/>
      <c r="BQ20" s="196">
        <v>2.6239249413604376E-2</v>
      </c>
      <c r="BR20" s="217">
        <v>0</v>
      </c>
      <c r="BS20" s="230">
        <v>0</v>
      </c>
      <c r="BT20" s="212">
        <v>0</v>
      </c>
      <c r="BU20" s="190">
        <v>0</v>
      </c>
    </row>
    <row r="21" spans="1:73" s="2" customFormat="1" ht="15">
      <c r="A21" s="196"/>
      <c r="B21" s="196"/>
      <c r="C21" s="196"/>
      <c r="D21" s="196" t="s">
        <v>219</v>
      </c>
      <c r="E21" s="203">
        <v>29.926473999999999</v>
      </c>
      <c r="F21" s="203">
        <v>1.6822854000000001E-3</v>
      </c>
      <c r="G21" s="203">
        <v>16.373418000000001</v>
      </c>
      <c r="H21" s="203">
        <v>9.4688189999999998E-4</v>
      </c>
      <c r="I21" s="203">
        <v>38.870089999999998</v>
      </c>
      <c r="J21" s="203">
        <v>2.7410392999999999E-3</v>
      </c>
      <c r="K21" s="203">
        <v>1.2988529821455077</v>
      </c>
      <c r="L21" s="203">
        <v>0.54712152190064223</v>
      </c>
      <c r="M21" s="203">
        <v>1.8277475112404751</v>
      </c>
      <c r="N21" s="203"/>
      <c r="O21" s="203">
        <v>29.926473999999999</v>
      </c>
      <c r="P21" s="203">
        <v>38.870089999999998</v>
      </c>
      <c r="Q21" s="203">
        <v>16.373418000000001</v>
      </c>
      <c r="R21" s="194">
        <v>282.39999999999998</v>
      </c>
      <c r="S21" s="203"/>
      <c r="T21" s="203"/>
      <c r="U21" s="203"/>
      <c r="V21" s="196" t="s">
        <v>219</v>
      </c>
      <c r="W21" s="196">
        <v>3.16</v>
      </c>
      <c r="X21" s="196">
        <v>283</v>
      </c>
      <c r="Y21" s="196">
        <v>1465</v>
      </c>
      <c r="Z21" s="196">
        <v>2995</v>
      </c>
      <c r="AA21" s="196">
        <v>18127</v>
      </c>
      <c r="AB21" s="196">
        <v>141</v>
      </c>
      <c r="AC21" s="196">
        <v>18</v>
      </c>
      <c r="AD21" s="196">
        <v>1246</v>
      </c>
      <c r="AE21" s="196">
        <v>80296</v>
      </c>
      <c r="AF21" s="196">
        <v>667</v>
      </c>
      <c r="AG21" s="196"/>
      <c r="AH21" s="190">
        <v>28.86</v>
      </c>
      <c r="AI21" s="217">
        <v>7129.3</v>
      </c>
      <c r="AJ21" s="217">
        <v>540.6</v>
      </c>
      <c r="AK21" s="217">
        <v>5075.7</v>
      </c>
      <c r="AL21" s="217">
        <v>4726.7</v>
      </c>
      <c r="AM21" s="231">
        <v>38144.699999999997</v>
      </c>
      <c r="AN21" s="230">
        <v>2.8039999999999998</v>
      </c>
      <c r="AO21" s="231">
        <v>1260.3</v>
      </c>
      <c r="AP21" s="230">
        <v>2.7890000000000001</v>
      </c>
      <c r="AQ21" s="217">
        <v>46.75</v>
      </c>
      <c r="AR21" s="230">
        <v>1.476</v>
      </c>
      <c r="AS21" s="190">
        <v>13.1</v>
      </c>
      <c r="AT21" s="190">
        <v>282.39999999999998</v>
      </c>
      <c r="AU21" s="230">
        <v>3.7959999999999998</v>
      </c>
      <c r="AV21" s="230">
        <v>22.44</v>
      </c>
      <c r="AW21" s="230">
        <v>12.49</v>
      </c>
      <c r="AX21" s="230">
        <v>4.7009999999999996</v>
      </c>
      <c r="AY21" s="230">
        <v>6.734</v>
      </c>
      <c r="AZ21" s="230">
        <v>7.1680000000000001</v>
      </c>
      <c r="BA21" s="230">
        <v>5.5270000000000001</v>
      </c>
      <c r="BB21" s="231">
        <v>1064.5999999999999</v>
      </c>
      <c r="BC21" s="190">
        <v>0.95</v>
      </c>
      <c r="BD21" s="211">
        <v>21.557251908396946</v>
      </c>
      <c r="BE21" s="207">
        <v>1.0488390712570055</v>
      </c>
      <c r="BF21" s="207">
        <v>5.8178947368421055</v>
      </c>
      <c r="BG21" s="211">
        <v>192.61805681201372</v>
      </c>
      <c r="BH21" s="207">
        <v>0.939453125</v>
      </c>
      <c r="BI21" s="207">
        <v>4.9484210526315788</v>
      </c>
      <c r="BJ21" s="207">
        <v>8.4620596205962055</v>
      </c>
      <c r="BK21" s="207">
        <v>1.7966373098478783</v>
      </c>
      <c r="BL21" s="196" t="s">
        <v>219</v>
      </c>
      <c r="BM21" s="196"/>
      <c r="BN21" s="196"/>
      <c r="BO21" s="196"/>
      <c r="BP21" s="196"/>
      <c r="BQ21" s="196">
        <v>4.6388101983002833E-2</v>
      </c>
      <c r="BR21" s="217">
        <v>0</v>
      </c>
      <c r="BS21" s="230">
        <v>0</v>
      </c>
      <c r="BT21" s="212">
        <v>0</v>
      </c>
      <c r="BU21" s="190">
        <v>0</v>
      </c>
    </row>
    <row r="22" spans="1:73" s="2" customFormat="1" ht="15">
      <c r="A22" s="196"/>
      <c r="B22" s="196"/>
      <c r="C22" s="196"/>
      <c r="D22" s="196" t="s">
        <v>220</v>
      </c>
      <c r="E22" s="203">
        <v>30.276568999999999</v>
      </c>
      <c r="F22" s="203">
        <v>2.8032881000000002E-3</v>
      </c>
      <c r="G22" s="203">
        <v>16.396284000000001</v>
      </c>
      <c r="H22" s="203">
        <v>1.6939972999999999E-3</v>
      </c>
      <c r="I22" s="203">
        <v>38.888708999999999</v>
      </c>
      <c r="J22" s="203">
        <v>4.3485935000000002E-3</v>
      </c>
      <c r="K22" s="203">
        <v>1.2844490074156025</v>
      </c>
      <c r="L22" s="203">
        <v>0.54155026614805668</v>
      </c>
      <c r="M22" s="203">
        <v>1.8465506574538473</v>
      </c>
      <c r="N22" s="203"/>
      <c r="O22" s="203">
        <v>30.276568999999999</v>
      </c>
      <c r="P22" s="203">
        <v>38.888708999999999</v>
      </c>
      <c r="Q22" s="203">
        <v>16.396284000000001</v>
      </c>
      <c r="R22" s="194">
        <v>192.4</v>
      </c>
      <c r="S22" s="203"/>
      <c r="T22" s="203"/>
      <c r="U22" s="203"/>
      <c r="V22" s="196" t="s">
        <v>220</v>
      </c>
      <c r="W22" s="196">
        <v>3.15</v>
      </c>
      <c r="X22" s="196">
        <v>292</v>
      </c>
      <c r="Y22" s="196">
        <v>242</v>
      </c>
      <c r="Z22" s="196">
        <v>2885</v>
      </c>
      <c r="AA22" s="196">
        <v>19901</v>
      </c>
      <c r="AB22" s="196">
        <v>137</v>
      </c>
      <c r="AC22" s="196">
        <v>18</v>
      </c>
      <c r="AD22" s="196">
        <v>178</v>
      </c>
      <c r="AE22" s="196">
        <v>83739</v>
      </c>
      <c r="AF22" s="196">
        <v>765</v>
      </c>
      <c r="AG22" s="196"/>
      <c r="AH22" s="190">
        <v>26.58</v>
      </c>
      <c r="AI22" s="217">
        <v>5026.3</v>
      </c>
      <c r="AJ22" s="217">
        <v>376.9</v>
      </c>
      <c r="AK22" s="217">
        <v>3501.1</v>
      </c>
      <c r="AL22" s="217">
        <v>3276.1</v>
      </c>
      <c r="AM22" s="231">
        <v>26441.3</v>
      </c>
      <c r="AN22" s="230">
        <v>3.762</v>
      </c>
      <c r="AO22" s="231">
        <v>851</v>
      </c>
      <c r="AP22" s="230">
        <v>1.9570000000000001</v>
      </c>
      <c r="AQ22" s="217">
        <v>32.19</v>
      </c>
      <c r="AR22" s="230">
        <v>1.59</v>
      </c>
      <c r="AS22" s="190">
        <v>9.5960000000000001</v>
      </c>
      <c r="AT22" s="190">
        <v>192.4</v>
      </c>
      <c r="AU22" s="230">
        <v>2.7450000000000001</v>
      </c>
      <c r="AV22" s="230">
        <v>15.94</v>
      </c>
      <c r="AW22" s="230">
        <v>9.0660000000000007</v>
      </c>
      <c r="AX22" s="230">
        <v>7.8849999999999998</v>
      </c>
      <c r="AY22" s="230">
        <v>4.6619999999999999</v>
      </c>
      <c r="AZ22" s="230">
        <v>5.16</v>
      </c>
      <c r="BA22" s="230">
        <v>4.0460000000000003</v>
      </c>
      <c r="BB22" s="231">
        <v>724.9</v>
      </c>
      <c r="BC22" s="190">
        <v>0.67</v>
      </c>
      <c r="BD22" s="211">
        <v>20.050020842017506</v>
      </c>
      <c r="BE22" s="207">
        <v>1.058460180895654</v>
      </c>
      <c r="BF22" s="207">
        <v>6.0388059701492534</v>
      </c>
      <c r="BG22" s="211">
        <v>179.16460701927829</v>
      </c>
      <c r="BH22" s="207">
        <v>0.90348837209302324</v>
      </c>
      <c r="BI22" s="207">
        <v>11.76865671641791</v>
      </c>
      <c r="BJ22" s="207">
        <v>5.7018867924528305</v>
      </c>
      <c r="BK22" s="207">
        <v>1.7582175159938229</v>
      </c>
      <c r="BL22" s="196" t="s">
        <v>220</v>
      </c>
      <c r="BM22" s="196">
        <v>18</v>
      </c>
      <c r="BN22" s="196"/>
      <c r="BO22" s="196"/>
      <c r="BP22" s="196"/>
      <c r="BQ22" s="196">
        <v>4.9875259875259877E-2</v>
      </c>
      <c r="BR22" s="217">
        <v>0</v>
      </c>
      <c r="BS22" s="230">
        <v>0</v>
      </c>
      <c r="BT22" s="212">
        <v>0</v>
      </c>
      <c r="BU22" s="190">
        <v>0</v>
      </c>
    </row>
    <row r="23" spans="1:73" s="2" customFormat="1" ht="15">
      <c r="A23" s="196"/>
      <c r="B23" s="196"/>
      <c r="C23" s="196"/>
      <c r="D23" s="196" t="s">
        <v>221</v>
      </c>
      <c r="E23" s="203">
        <v>30.159987000000001</v>
      </c>
      <c r="F23" s="203">
        <v>1.8041800000000001E-3</v>
      </c>
      <c r="G23" s="203">
        <v>16.389873000000001</v>
      </c>
      <c r="H23" s="203">
        <v>1.0596131999999999E-3</v>
      </c>
      <c r="I23" s="203">
        <v>38.888688999999999</v>
      </c>
      <c r="J23" s="203">
        <v>2.6089512E-3</v>
      </c>
      <c r="K23" s="203">
        <v>1.2894133210335932</v>
      </c>
      <c r="L23" s="203">
        <v>0.54343103662478376</v>
      </c>
      <c r="M23" s="203">
        <v>1.8401598962969388</v>
      </c>
      <c r="N23" s="203"/>
      <c r="O23" s="203">
        <v>30.159987000000001</v>
      </c>
      <c r="P23" s="203">
        <v>38.888688999999999</v>
      </c>
      <c r="Q23" s="203">
        <v>16.389873000000001</v>
      </c>
      <c r="R23" s="194">
        <v>260.8</v>
      </c>
      <c r="S23" s="203"/>
      <c r="T23" s="203"/>
      <c r="U23" s="203"/>
      <c r="V23" s="196" t="s">
        <v>221</v>
      </c>
      <c r="W23" s="196">
        <v>3.14</v>
      </c>
      <c r="X23" s="196">
        <v>260</v>
      </c>
      <c r="Y23" s="196">
        <v>305</v>
      </c>
      <c r="Z23" s="196">
        <v>2750</v>
      </c>
      <c r="AA23" s="196">
        <v>12330</v>
      </c>
      <c r="AB23" s="196">
        <v>334</v>
      </c>
      <c r="AC23" s="196"/>
      <c r="AD23" s="196">
        <v>273</v>
      </c>
      <c r="AE23" s="196">
        <v>64618</v>
      </c>
      <c r="AF23" s="196">
        <v>461</v>
      </c>
      <c r="AG23" s="196"/>
      <c r="AH23" s="190">
        <v>52.82</v>
      </c>
      <c r="AI23" s="217">
        <v>6378.7</v>
      </c>
      <c r="AJ23" s="217">
        <v>484.1</v>
      </c>
      <c r="AK23" s="217">
        <v>4552</v>
      </c>
      <c r="AL23" s="217">
        <v>4353.7</v>
      </c>
      <c r="AM23" s="231">
        <v>33298.400000000001</v>
      </c>
      <c r="AN23" s="230">
        <v>3.7120000000000002</v>
      </c>
      <c r="AO23" s="231">
        <v>1092</v>
      </c>
      <c r="AP23" s="230">
        <v>2.7719999999999998</v>
      </c>
      <c r="AQ23" s="217">
        <v>51.19</v>
      </c>
      <c r="AR23" s="230">
        <v>1.702</v>
      </c>
      <c r="AS23" s="190">
        <v>12.78</v>
      </c>
      <c r="AT23" s="190">
        <v>260.8</v>
      </c>
      <c r="AU23" s="230">
        <v>6.4359999999999999</v>
      </c>
      <c r="AV23" s="230">
        <v>21.07</v>
      </c>
      <c r="AW23" s="230">
        <v>10.68</v>
      </c>
      <c r="AX23" s="230">
        <v>10.77</v>
      </c>
      <c r="AY23" s="230">
        <v>6.4660000000000002</v>
      </c>
      <c r="AZ23" s="230">
        <v>6.0709999999999997</v>
      </c>
      <c r="BA23" s="230">
        <v>4.9589999999999996</v>
      </c>
      <c r="BB23" s="231">
        <v>949.5</v>
      </c>
      <c r="BC23" s="190">
        <v>0.72599999999999998</v>
      </c>
      <c r="BD23" s="211">
        <v>20.406885758998438</v>
      </c>
      <c r="BE23" s="207">
        <v>1.196629213483146</v>
      </c>
      <c r="BF23" s="207">
        <v>6.830578512396694</v>
      </c>
      <c r="BG23" s="211">
        <v>191.47005444646101</v>
      </c>
      <c r="BH23" s="207">
        <v>1.0650634162411465</v>
      </c>
      <c r="BI23" s="207">
        <v>14.834710743801653</v>
      </c>
      <c r="BJ23" s="207">
        <v>6.2749706227967099</v>
      </c>
      <c r="BK23" s="207">
        <v>1.9728464419475655</v>
      </c>
      <c r="BL23" s="196" t="s">
        <v>221</v>
      </c>
      <c r="BM23" s="196"/>
      <c r="BN23" s="196"/>
      <c r="BO23" s="196"/>
      <c r="BP23" s="196"/>
      <c r="BQ23" s="196">
        <v>4.9003067484662571E-2</v>
      </c>
      <c r="BR23" s="217">
        <v>0</v>
      </c>
      <c r="BS23" s="230">
        <v>0</v>
      </c>
      <c r="BT23" s="212">
        <v>0</v>
      </c>
      <c r="BU23" s="190">
        <v>0</v>
      </c>
    </row>
    <row r="24" spans="1:73" s="2" customFormat="1" ht="15">
      <c r="A24" s="223"/>
      <c r="B24" s="223"/>
      <c r="C24" s="223"/>
      <c r="D24" s="223" t="s">
        <v>55</v>
      </c>
      <c r="E24" s="192">
        <v>22.056723000000002</v>
      </c>
      <c r="F24" s="192"/>
      <c r="G24" s="192">
        <v>15.887259999999999</v>
      </c>
      <c r="H24" s="192"/>
      <c r="I24" s="192">
        <v>38.270437000000001</v>
      </c>
      <c r="J24" s="192"/>
      <c r="K24" s="192">
        <v>1.0359233057006105</v>
      </c>
      <c r="L24" s="192">
        <v>0.44939979173656075</v>
      </c>
      <c r="M24" s="192">
        <v>1.3883276914962053</v>
      </c>
      <c r="N24" s="224"/>
      <c r="O24" s="224">
        <v>22.056723000000002</v>
      </c>
      <c r="P24" s="224">
        <v>38.270437000000001</v>
      </c>
      <c r="Q24" s="224">
        <v>15.887259999999999</v>
      </c>
      <c r="R24" s="224">
        <v>69.430000000000007</v>
      </c>
      <c r="S24" s="224"/>
      <c r="T24" s="224"/>
      <c r="U24" s="224"/>
      <c r="V24" s="223" t="s">
        <v>55</v>
      </c>
      <c r="W24" s="237">
        <v>2.7</v>
      </c>
      <c r="X24" s="227">
        <v>260</v>
      </c>
      <c r="Y24" s="227">
        <v>121</v>
      </c>
      <c r="Z24" s="227">
        <v>2750</v>
      </c>
      <c r="AA24" s="227">
        <v>5626</v>
      </c>
      <c r="AB24" s="227">
        <v>91</v>
      </c>
      <c r="AC24" s="227">
        <v>18</v>
      </c>
      <c r="AD24" s="227">
        <v>178</v>
      </c>
      <c r="AE24" s="227">
        <v>40196</v>
      </c>
      <c r="AF24" s="226">
        <v>246</v>
      </c>
      <c r="AG24" s="226"/>
      <c r="AH24" s="225">
        <v>3.3290000000000002</v>
      </c>
      <c r="AI24" s="226">
        <v>1017.6</v>
      </c>
      <c r="AJ24" s="226">
        <v>131.5</v>
      </c>
      <c r="AK24" s="226">
        <v>1316.3</v>
      </c>
      <c r="AL24" s="226">
        <v>1363.8</v>
      </c>
      <c r="AM24" s="226">
        <v>8217.2000000000007</v>
      </c>
      <c r="AN24" s="232">
        <v>0.54200000000000004</v>
      </c>
      <c r="AO24" s="227">
        <v>524.29999999999995</v>
      </c>
      <c r="AP24" s="232">
        <v>1.9570000000000001</v>
      </c>
      <c r="AQ24" s="225">
        <v>21.2</v>
      </c>
      <c r="AR24" s="232">
        <v>0.13800000000000001</v>
      </c>
      <c r="AS24" s="225">
        <v>2.9409999999999998</v>
      </c>
      <c r="AT24" s="225">
        <v>69.430000000000007</v>
      </c>
      <c r="AU24" s="225">
        <v>0.36199999999999999</v>
      </c>
      <c r="AV24" s="225">
        <v>8.4860000000000007</v>
      </c>
      <c r="AW24" s="225">
        <v>2.347</v>
      </c>
      <c r="AX24" s="225">
        <v>3.1840000000000002</v>
      </c>
      <c r="AY24" s="225">
        <v>6.2E-2</v>
      </c>
      <c r="AZ24" s="225">
        <v>9.2999999999999999E-2</v>
      </c>
      <c r="BA24" s="225">
        <v>2.6059999999999999</v>
      </c>
      <c r="BB24" s="225">
        <v>291.2</v>
      </c>
      <c r="BC24" s="225">
        <v>0.31</v>
      </c>
      <c r="BD24" s="225">
        <v>16.283203515078888</v>
      </c>
      <c r="BE24" s="225">
        <v>0.651788680917045</v>
      </c>
      <c r="BF24" s="225">
        <v>1.7705984892504358</v>
      </c>
      <c r="BG24" s="225">
        <v>56.25336021505376</v>
      </c>
      <c r="BH24" s="225">
        <v>0.53038674033149169</v>
      </c>
      <c r="BI24" s="225">
        <v>4.9484210526315788</v>
      </c>
      <c r="BJ24" s="225">
        <v>0.11302992518703241</v>
      </c>
      <c r="BK24" s="225">
        <v>1.7196810277993133</v>
      </c>
      <c r="BL24" s="223" t="s">
        <v>55</v>
      </c>
      <c r="BM24" s="237">
        <v>16</v>
      </c>
      <c r="BN24" s="223"/>
      <c r="BO24" s="223"/>
      <c r="BP24" s="223"/>
      <c r="BQ24" s="223"/>
      <c r="BR24" s="225">
        <v>0</v>
      </c>
      <c r="BS24" s="225">
        <v>0</v>
      </c>
      <c r="BT24" s="225">
        <v>0</v>
      </c>
      <c r="BU24" s="225">
        <v>0</v>
      </c>
    </row>
    <row r="25" spans="1:73" s="3" customFormat="1" ht="14.25">
      <c r="A25" s="223"/>
      <c r="B25" s="223"/>
      <c r="C25" s="223"/>
      <c r="D25" s="223" t="s">
        <v>56</v>
      </c>
      <c r="E25" s="192">
        <v>37.425676000000003</v>
      </c>
      <c r="F25" s="192"/>
      <c r="G25" s="192">
        <v>16.819091</v>
      </c>
      <c r="H25" s="192"/>
      <c r="I25" s="192">
        <v>38.888708999999999</v>
      </c>
      <c r="J25" s="192"/>
      <c r="K25" s="192">
        <v>1.7495942166930234</v>
      </c>
      <c r="L25" s="192">
        <v>0.72029104232754781</v>
      </c>
      <c r="M25" s="192">
        <v>2.2251901722869567</v>
      </c>
      <c r="N25" s="224"/>
      <c r="O25" s="224">
        <v>37.425676000000003</v>
      </c>
      <c r="P25" s="224">
        <v>38.888708999999999</v>
      </c>
      <c r="Q25" s="224">
        <v>16.819091</v>
      </c>
      <c r="R25" s="224">
        <v>1487.8</v>
      </c>
      <c r="S25" s="224"/>
      <c r="T25" s="224"/>
      <c r="U25" s="224"/>
      <c r="V25" s="223" t="s">
        <v>56</v>
      </c>
      <c r="W25" s="237">
        <v>3.66</v>
      </c>
      <c r="X25" s="227">
        <v>1158</v>
      </c>
      <c r="Y25" s="227">
        <v>1465</v>
      </c>
      <c r="Z25" s="227">
        <v>8044</v>
      </c>
      <c r="AA25" s="227">
        <v>19901</v>
      </c>
      <c r="AB25" s="227">
        <v>334</v>
      </c>
      <c r="AC25" s="227">
        <v>462</v>
      </c>
      <c r="AD25" s="227">
        <v>1431</v>
      </c>
      <c r="AE25" s="227">
        <v>285783</v>
      </c>
      <c r="AF25" s="226">
        <v>1632</v>
      </c>
      <c r="AG25" s="226"/>
      <c r="AH25" s="237">
        <v>274.5</v>
      </c>
      <c r="AI25" s="226">
        <v>16675.400000000001</v>
      </c>
      <c r="AJ25" s="226">
        <v>1628.4</v>
      </c>
      <c r="AK25" s="226">
        <v>16720.400000000001</v>
      </c>
      <c r="AL25" s="226">
        <v>19870.2</v>
      </c>
      <c r="AM25" s="226">
        <v>201618.9</v>
      </c>
      <c r="AN25" s="227">
        <v>312.7</v>
      </c>
      <c r="AO25" s="227">
        <v>7446.4</v>
      </c>
      <c r="AP25" s="225">
        <v>11.951000000000001</v>
      </c>
      <c r="AQ25" s="225">
        <v>59.381999999999998</v>
      </c>
      <c r="AR25" s="232">
        <v>160.4</v>
      </c>
      <c r="AS25" s="237">
        <v>74.900000000000006</v>
      </c>
      <c r="AT25" s="226">
        <v>1487.8</v>
      </c>
      <c r="AU25" s="226">
        <v>1240.2</v>
      </c>
      <c r="AV25" s="226">
        <v>280.10000000000002</v>
      </c>
      <c r="AW25" s="226">
        <v>44.42</v>
      </c>
      <c r="AX25" s="226">
        <v>977.8</v>
      </c>
      <c r="AY25" s="226">
        <v>19.420000000000002</v>
      </c>
      <c r="AZ25" s="226">
        <v>21.64</v>
      </c>
      <c r="BA25" s="226">
        <v>29.76</v>
      </c>
      <c r="BB25" s="226">
        <v>1674.1</v>
      </c>
      <c r="BC25" s="226">
        <v>8.6050000000000004</v>
      </c>
      <c r="BD25" s="226">
        <v>72.846219201359389</v>
      </c>
      <c r="BE25" s="226">
        <v>1.7649419477376467</v>
      </c>
      <c r="BF25" s="226">
        <v>11.022580645161289</v>
      </c>
      <c r="BG25" s="226">
        <v>192.61805681201372</v>
      </c>
      <c r="BH25" s="226">
        <v>1.0650634162411465</v>
      </c>
      <c r="BI25" s="226">
        <v>193.73885476520707</v>
      </c>
      <c r="BJ25" s="226">
        <v>133.78278688524591</v>
      </c>
      <c r="BK25" s="226">
        <v>6.9390824768112314</v>
      </c>
      <c r="BL25" s="223" t="s">
        <v>56</v>
      </c>
      <c r="BM25" s="237">
        <v>22</v>
      </c>
      <c r="BN25" s="223"/>
      <c r="BO25" s="223"/>
      <c r="BP25" s="223"/>
      <c r="BQ25" s="223"/>
      <c r="BR25" s="226">
        <v>1.5429999999999999</v>
      </c>
      <c r="BS25" s="226">
        <v>0.92600000000000005</v>
      </c>
      <c r="BT25" s="226">
        <v>6.0000000000000001E-3</v>
      </c>
      <c r="BU25" s="226">
        <v>0.17699999999999999</v>
      </c>
    </row>
    <row r="26" spans="1:73" s="2" customFormat="1" ht="15">
      <c r="A26" s="223"/>
      <c r="B26" s="223"/>
      <c r="C26" s="223"/>
      <c r="D26" s="223" t="s">
        <v>57</v>
      </c>
      <c r="E26" s="192">
        <v>29.549519727272727</v>
      </c>
      <c r="F26" s="192"/>
      <c r="G26" s="192">
        <v>16.343443818181822</v>
      </c>
      <c r="H26" s="192"/>
      <c r="I26" s="192">
        <v>38.723371545454548</v>
      </c>
      <c r="J26" s="192"/>
      <c r="K26" s="192">
        <v>1.3345090436000908</v>
      </c>
      <c r="L26" s="192">
        <v>0.56227591513513886</v>
      </c>
      <c r="M26" s="192">
        <v>1.8047998664724609</v>
      </c>
      <c r="N26" s="224"/>
      <c r="O26" s="224">
        <v>29.549519727272727</v>
      </c>
      <c r="P26" s="224">
        <v>38.723371545454548</v>
      </c>
      <c r="Q26" s="224">
        <v>16.343443818181822</v>
      </c>
      <c r="R26" s="224">
        <v>576.1663636363636</v>
      </c>
      <c r="S26" s="224"/>
      <c r="T26" s="224"/>
      <c r="U26" s="224"/>
      <c r="V26" s="223" t="s">
        <v>57</v>
      </c>
      <c r="W26" s="237">
        <v>3.039333333333333</v>
      </c>
      <c r="X26" s="227">
        <v>632.16666666666663</v>
      </c>
      <c r="Y26" s="227">
        <v>439.41666666666669</v>
      </c>
      <c r="Z26" s="227">
        <v>5379.416666666667</v>
      </c>
      <c r="AA26" s="227">
        <v>12263.583333333334</v>
      </c>
      <c r="AB26" s="227">
        <v>162</v>
      </c>
      <c r="AC26" s="227">
        <v>201.77777777777777</v>
      </c>
      <c r="AD26" s="227">
        <v>482.83333333333331</v>
      </c>
      <c r="AE26" s="227">
        <v>117887.08333333333</v>
      </c>
      <c r="AF26" s="226">
        <v>613.25</v>
      </c>
      <c r="AG26" s="226"/>
      <c r="AH26" s="237">
        <v>45.103866666666669</v>
      </c>
      <c r="AI26" s="226">
        <v>7436.08</v>
      </c>
      <c r="AJ26" s="226">
        <v>744.13333333333344</v>
      </c>
      <c r="AK26" s="226">
        <v>7579.8533333333344</v>
      </c>
      <c r="AL26" s="226">
        <v>7766.0666666666666</v>
      </c>
      <c r="AM26" s="226">
        <v>57642.233333333323</v>
      </c>
      <c r="AN26" s="232">
        <v>61.234533333333324</v>
      </c>
      <c r="AO26" s="227">
        <v>1971.7333333333333</v>
      </c>
      <c r="AP26" s="225">
        <v>4.5220666666666665</v>
      </c>
      <c r="AQ26" s="225">
        <v>35.461933333333334</v>
      </c>
      <c r="AR26" s="232">
        <v>12.314466666666664</v>
      </c>
      <c r="AS26" s="237">
        <v>30.481866666666665</v>
      </c>
      <c r="AT26" s="226">
        <v>626.74866666666651</v>
      </c>
      <c r="AU26" s="226">
        <v>208.41540000000001</v>
      </c>
      <c r="AV26" s="225">
        <v>97.104933333333335</v>
      </c>
      <c r="AW26" s="225">
        <v>19.687133333333332</v>
      </c>
      <c r="AX26" s="225">
        <v>173.38766666666666</v>
      </c>
      <c r="AY26" s="225">
        <v>6.1012000000000004</v>
      </c>
      <c r="AZ26" s="225">
        <v>7.7325333333333326</v>
      </c>
      <c r="BA26" s="225">
        <v>7.8685333333333336</v>
      </c>
      <c r="BB26" s="225">
        <v>742.15333333333331</v>
      </c>
      <c r="BC26" s="225">
        <v>1.9480666666666666</v>
      </c>
      <c r="BD26" s="225">
        <v>24.971877066020017</v>
      </c>
      <c r="BE26" s="225">
        <v>1.3841397901781545</v>
      </c>
      <c r="BF26" s="225">
        <v>6.8618132293633911</v>
      </c>
      <c r="BG26" s="225">
        <v>115.71742633838406</v>
      </c>
      <c r="BH26" s="225">
        <v>0.75394444069674127</v>
      </c>
      <c r="BI26" s="225">
        <v>38.957274014430645</v>
      </c>
      <c r="BJ26" s="225">
        <v>27.483677177725074</v>
      </c>
      <c r="BK26" s="225">
        <v>4.1044045780937557</v>
      </c>
      <c r="BL26" s="223" t="s">
        <v>57</v>
      </c>
      <c r="BM26" s="237">
        <v>18.777777777777779</v>
      </c>
      <c r="BN26" s="223"/>
      <c r="BO26" s="223"/>
      <c r="BP26" s="223"/>
      <c r="BQ26" s="223"/>
      <c r="BR26" s="225">
        <v>0.19346666666666668</v>
      </c>
      <c r="BS26" s="225">
        <v>0.13153333333333336</v>
      </c>
      <c r="BT26" s="225">
        <v>1E-3</v>
      </c>
      <c r="BU26" s="225">
        <v>2.5533333333333335E-2</v>
      </c>
    </row>
    <row r="27" spans="1:73" s="2" customFormat="1" ht="15">
      <c r="B27" s="66"/>
      <c r="C27" s="168"/>
      <c r="D27" s="42"/>
      <c r="E27" s="42"/>
      <c r="F27" s="42"/>
      <c r="G27" s="42"/>
      <c r="H27" s="43"/>
      <c r="I27" s="43"/>
      <c r="J27" s="43"/>
      <c r="K27" s="43"/>
      <c r="L27" s="43"/>
      <c r="M27" s="43"/>
      <c r="N27" s="63"/>
      <c r="O27" s="181"/>
      <c r="P27" s="181"/>
      <c r="Q27" s="66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54"/>
      <c r="AT27" s="54"/>
      <c r="AU27" s="54"/>
      <c r="AV27" s="54"/>
      <c r="AW27" s="27"/>
      <c r="AX27" s="27"/>
      <c r="AY27" s="27"/>
      <c r="AZ27" s="27"/>
      <c r="BA27" s="27"/>
      <c r="BB27" s="27"/>
      <c r="BC27" s="27"/>
    </row>
  </sheetData>
  <phoneticPr fontId="3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Profile rocks</vt:lpstr>
      <vt:lpstr>CIA-Pb isotope correlation</vt:lpstr>
      <vt:lpstr>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</dc:creator>
  <cp:lastModifiedBy>BP</cp:lastModifiedBy>
  <dcterms:created xsi:type="dcterms:W3CDTF">2026-07-05T23:47:00Z</dcterms:created>
  <dcterms:modified xsi:type="dcterms:W3CDTF">2026-09-24T01:16:11Z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1869D870D3E74063BBFE71F3D4784563_12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