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emf" ContentType="image/x-emf"/>
  <Default Extension="rels" ContentType="application/vnd.openxmlformats-package.relationships+xml"/>
  <Default Extension="xml" ContentType="application/xml"/>
  <Default Extension="vml" ContentType="application/vnd.openxmlformats-officedocument.vmlDrawing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worksheets/sheet4.xml" ContentType="application/vnd.openxmlformats-officedocument.spreadsheetml.worksheet+xml"/>
  <Override PartName="/xl/worksheets/sheet5.xml" ContentType="application/vnd.openxmlformats-officedocument.spreadsheetml.worksheet+xml"/>
  <Override PartName="/xl/worksheets/sheet6.xml" ContentType="application/vnd.openxmlformats-officedocument.spreadsheetml.worksheet+xml"/>
  <Override PartName="/xl/worksheets/sheet7.xml" ContentType="application/vnd.openxmlformats-officedocument.spreadsheetml.worksheet+xml"/>
  <Override PartName="/xl/worksheets/sheet8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drawings/drawing1.xml" ContentType="application/vnd.openxmlformats-officedocument.drawing+xml"/>
  <Override PartName="/xl/ctrlProps/ctrlProp1.xml" ContentType="application/vnd.ms-excel.controlproperties+xml"/>
  <Override PartName="/xl/ctrlProps/ctrlProp2.xml" ContentType="application/vnd.ms-excel.controlproperties+xml"/>
  <Override PartName="/xl/charts/chart1.xml" ContentType="application/vnd.openxmlformats-officedocument.drawingml.chart+xml"/>
  <Override PartName="/xl/charts/style1.xml" ContentType="application/vnd.ms-office.chartstyle+xml"/>
  <Override PartName="/xl/charts/colors1.xml" ContentType="application/vnd.ms-office.chartcolorstyle+xml"/>
  <Override PartName="/xl/drawings/drawing2.xml" ContentType="application/vnd.openxmlformats-officedocument.drawing+xml"/>
  <Override PartName="/xl/charts/chart2.xml" ContentType="application/vnd.openxmlformats-officedocument.drawingml.chart+xml"/>
  <Override PartName="/xl/charts/style2.xml" ContentType="application/vnd.ms-office.chartstyle+xml"/>
  <Override PartName="/xl/charts/colors2.xml" ContentType="application/vnd.ms-office.chartcolorstyle+xml"/>
  <Override PartName="/xl/drawings/drawing3.xml" ContentType="application/vnd.openxmlformats-officedocument.drawing+xml"/>
  <Override PartName="/xl/charts/chart3.xml" ContentType="application/vnd.openxmlformats-officedocument.drawingml.chart+xml"/>
  <Override PartName="/xl/charts/style3.xml" ContentType="application/vnd.ms-office.chartstyle+xml"/>
  <Override PartName="/xl/charts/colors3.xml" ContentType="application/vnd.ms-office.chartcolorstyle+xml"/>
  <Override PartName="/xl/calcChain.xml" ContentType="application/vnd.openxmlformats-officedocument.spreadsheetml.calcChain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6" rupBuild="14420"/>
  <workbookPr backupFile="1"/>
  <mc:AlternateContent xmlns:mc="http://schemas.openxmlformats.org/markup-compatibility/2006">
    <mc:Choice Requires="x15">
      <x15ac:absPath xmlns:x15ac="http://schemas.microsoft.com/office/spreadsheetml/2010/11/ac" url="D:\PAPERS\ARTICLES\NATURE\The MANUSCRIPT2021\"/>
    </mc:Choice>
  </mc:AlternateContent>
  <bookViews>
    <workbookView xWindow="370656" yWindow="36" windowWidth="7488" windowHeight="7248" tabRatio="681"/>
  </bookViews>
  <sheets>
    <sheet name="The Legend" sheetId="60" r:id="rId1"/>
    <sheet name="AC Curve" sheetId="44" r:id="rId2"/>
    <sheet name="BC Line" sheetId="46" r:id="rId3"/>
    <sheet name="AB Hysteresis" sheetId="49" r:id="rId4"/>
    <sheet name="Tc(P)" sheetId="59" r:id="rId5"/>
    <sheet name="Diamond Melting Point" sheetId="57" r:id="rId6"/>
    <sheet name="Magnetic moments" sheetId="19" r:id="rId7"/>
    <sheet name="Fundamental constants" sheetId="20" r:id="rId8"/>
  </sheets>
  <definedNames>
    <definedName name="_xlnm.Print_Area" localSheetId="3">'AB Hysteresis'!$A$1:$J$10</definedName>
    <definedName name="_xlnm.Print_Area" localSheetId="1">'AC Curve'!$A$1:$P$74</definedName>
    <definedName name="_xlnm.Print_Area" localSheetId="2">'BC Line'!$A$1:$Q$54</definedName>
    <definedName name="_xlnm.Print_Area" localSheetId="5">'Diamond Melting Point'!$A$1:$J$17</definedName>
    <definedName name="_xlnm.Print_Area" localSheetId="7">'Fundamental constants'!$A$1:$H$25</definedName>
    <definedName name="_xlnm.Print_Area" localSheetId="6">'Magnetic moments'!$A$1:$D$17</definedName>
    <definedName name="_xlnm.Print_Area" localSheetId="4">'Tc(P)'!$A$1:$S$70</definedName>
  </definedNames>
  <calcPr calcId="162913"/>
</workbook>
</file>

<file path=xl/calcChain.xml><?xml version="1.0" encoding="utf-8"?>
<calcChain xmlns="http://schemas.openxmlformats.org/spreadsheetml/2006/main">
  <c r="E9" i="57" l="1"/>
  <c r="C10" i="44" l="1"/>
  <c r="E10" i="57" l="1"/>
  <c r="E15" i="57" l="1"/>
  <c r="E16" i="57" s="1"/>
  <c r="J10" i="44" l="1"/>
  <c r="L10" i="44" s="1"/>
  <c r="A11" i="59" l="1"/>
  <c r="I4" i="59"/>
  <c r="I5" i="59" s="1"/>
  <c r="H4" i="59"/>
  <c r="H5" i="59" s="1"/>
  <c r="G4" i="59"/>
  <c r="G5" i="59" s="1"/>
  <c r="F4" i="59"/>
  <c r="F5" i="59" s="1"/>
  <c r="E4" i="59"/>
  <c r="E5" i="59" s="1"/>
  <c r="D4" i="59"/>
  <c r="D5" i="59" s="1"/>
  <c r="C4" i="59"/>
  <c r="C5" i="59" s="1"/>
  <c r="B4" i="59"/>
  <c r="B5" i="59" s="1"/>
  <c r="A10" i="59" s="1"/>
  <c r="A12" i="59" l="1"/>
  <c r="A13" i="59" l="1"/>
  <c r="A14" i="59" l="1"/>
  <c r="A15" i="59" l="1"/>
  <c r="A16" i="59" l="1"/>
  <c r="A17" i="59" l="1"/>
  <c r="L1" i="46"/>
  <c r="L2" i="46" s="1"/>
  <c r="N1" i="46"/>
  <c r="N2" i="46" s="1"/>
  <c r="J2" i="46"/>
  <c r="A18" i="59" l="1"/>
  <c r="D5" i="49"/>
  <c r="A19" i="59" l="1"/>
  <c r="A20" i="59" l="1"/>
  <c r="A21" i="59" l="1"/>
  <c r="E12" i="57" l="1"/>
  <c r="A22" i="59"/>
  <c r="A23" i="59" l="1"/>
  <c r="A24" i="59" l="1"/>
  <c r="A25" i="59" l="1"/>
  <c r="A26" i="59" l="1"/>
  <c r="A27" i="59" l="1"/>
  <c r="A28" i="59" l="1"/>
  <c r="A29" i="59" l="1"/>
  <c r="A30" i="59" l="1"/>
  <c r="A31" i="59" l="1"/>
  <c r="E11" i="57" l="1"/>
  <c r="A14" i="57" s="1"/>
  <c r="A32" i="59"/>
  <c r="A33" i="59" l="1"/>
  <c r="A34" i="59" l="1"/>
  <c r="A35" i="59" l="1"/>
  <c r="A36" i="59" l="1"/>
  <c r="A37" i="59" l="1"/>
  <c r="A38" i="59" l="1"/>
  <c r="A39" i="59" l="1"/>
  <c r="A40" i="59" l="1"/>
  <c r="A41" i="59" l="1"/>
  <c r="J1" i="44"/>
  <c r="I13" i="59" s="1"/>
  <c r="B11" i="59" l="1"/>
  <c r="B10" i="59"/>
  <c r="B12" i="59"/>
  <c r="B13" i="59"/>
  <c r="B14" i="59"/>
  <c r="B15" i="59"/>
  <c r="B16" i="59"/>
  <c r="B17" i="59"/>
  <c r="B18" i="59"/>
  <c r="B19" i="59"/>
  <c r="B20" i="59"/>
  <c r="B21" i="59"/>
  <c r="B22" i="59"/>
  <c r="B23" i="59"/>
  <c r="B24" i="59"/>
  <c r="B25" i="59"/>
  <c r="B26" i="59"/>
  <c r="B27" i="59"/>
  <c r="B28" i="59"/>
  <c r="B29" i="59"/>
  <c r="B30" i="59"/>
  <c r="B31" i="59"/>
  <c r="B32" i="59"/>
  <c r="B33" i="59"/>
  <c r="B34" i="59"/>
  <c r="B35" i="59"/>
  <c r="B36" i="59"/>
  <c r="B37" i="59"/>
  <c r="B38" i="59"/>
  <c r="B39" i="59"/>
  <c r="B40" i="59"/>
  <c r="B41" i="59"/>
  <c r="A42" i="59"/>
  <c r="A43" i="59" l="1"/>
  <c r="B42" i="59"/>
  <c r="B7" i="49"/>
  <c r="B43" i="59" l="1"/>
  <c r="A44" i="59"/>
  <c r="B44" i="59" l="1"/>
  <c r="A45" i="59"/>
  <c r="B45" i="59" l="1"/>
  <c r="A46" i="59"/>
  <c r="C11" i="44"/>
  <c r="F11" i="44"/>
  <c r="B46" i="59" l="1"/>
  <c r="A47" i="59"/>
  <c r="B47" i="59" l="1"/>
  <c r="A48" i="59"/>
  <c r="B48" i="59" l="1"/>
  <c r="A49" i="59"/>
  <c r="B49" i="59" l="1"/>
  <c r="A50" i="59"/>
  <c r="A14" i="44"/>
  <c r="B50" i="59" l="1"/>
  <c r="A51" i="59"/>
  <c r="A15" i="44"/>
  <c r="J5" i="44"/>
  <c r="B51" i="59" l="1"/>
  <c r="A52" i="59"/>
  <c r="L5" i="44"/>
  <c r="A16" i="44"/>
  <c r="B52" i="59" l="1"/>
  <c r="A53" i="59"/>
  <c r="A17" i="44"/>
  <c r="H5" i="49"/>
  <c r="B53" i="59" l="1"/>
  <c r="A54" i="59"/>
  <c r="B4" i="49"/>
  <c r="A18" i="44"/>
  <c r="F4" i="49" l="1"/>
  <c r="B54" i="59"/>
  <c r="A55" i="59"/>
  <c r="J9" i="44"/>
  <c r="A19" i="44"/>
  <c r="L1" i="44"/>
  <c r="B8" i="49" l="1"/>
  <c r="C40" i="59" s="1"/>
  <c r="D40" i="59" s="1"/>
  <c r="B55" i="59"/>
  <c r="A56" i="59"/>
  <c r="A20" i="44"/>
  <c r="N1" i="44"/>
  <c r="C21" i="59" l="1"/>
  <c r="D21" i="59" s="1"/>
  <c r="C51" i="59"/>
  <c r="D51" i="59" s="1"/>
  <c r="E51" i="59" s="1"/>
  <c r="C19" i="59"/>
  <c r="D19" i="59" s="1"/>
  <c r="C18" i="59"/>
  <c r="D18" i="59" s="1"/>
  <c r="C35" i="59"/>
  <c r="D35" i="59" s="1"/>
  <c r="C43" i="59"/>
  <c r="D43" i="59" s="1"/>
  <c r="E43" i="59" s="1"/>
  <c r="E8" i="49"/>
  <c r="H8" i="49" s="1"/>
  <c r="H9" i="49" s="1"/>
  <c r="C27" i="59"/>
  <c r="D27" i="59" s="1"/>
  <c r="C32" i="59"/>
  <c r="D32" i="59" s="1"/>
  <c r="C34" i="59"/>
  <c r="D34" i="59" s="1"/>
  <c r="C26" i="59"/>
  <c r="D26" i="59" s="1"/>
  <c r="C16" i="59"/>
  <c r="D16" i="59" s="1"/>
  <c r="C46" i="59"/>
  <c r="D46" i="59" s="1"/>
  <c r="E46" i="59" s="1"/>
  <c r="C44" i="59"/>
  <c r="D44" i="59" s="1"/>
  <c r="E44" i="59" s="1"/>
  <c r="C17" i="59"/>
  <c r="D17" i="59" s="1"/>
  <c r="C24" i="59"/>
  <c r="D24" i="59" s="1"/>
  <c r="C36" i="59"/>
  <c r="D36" i="59" s="1"/>
  <c r="C49" i="59"/>
  <c r="D49" i="59" s="1"/>
  <c r="E49" i="59" s="1"/>
  <c r="C52" i="59"/>
  <c r="D52" i="59" s="1"/>
  <c r="E52" i="59" s="1"/>
  <c r="C15" i="59"/>
  <c r="D15" i="59" s="1"/>
  <c r="C31" i="59"/>
  <c r="D31" i="59" s="1"/>
  <c r="C47" i="59"/>
  <c r="D47" i="59" s="1"/>
  <c r="E47" i="59" s="1"/>
  <c r="C20" i="59"/>
  <c r="D20" i="59" s="1"/>
  <c r="C10" i="59"/>
  <c r="D10" i="59" s="1"/>
  <c r="C29" i="59"/>
  <c r="D29" i="59" s="1"/>
  <c r="C53" i="59"/>
  <c r="D53" i="59" s="1"/>
  <c r="E53" i="59" s="1"/>
  <c r="C42" i="59"/>
  <c r="D42" i="59" s="1"/>
  <c r="E42" i="59" s="1"/>
  <c r="C37" i="59"/>
  <c r="D37" i="59" s="1"/>
  <c r="C30" i="59"/>
  <c r="D30" i="59" s="1"/>
  <c r="C11" i="59"/>
  <c r="D11" i="59" s="1"/>
  <c r="C48" i="59"/>
  <c r="D48" i="59" s="1"/>
  <c r="E48" i="59" s="1"/>
  <c r="C22" i="59"/>
  <c r="D22" i="59" s="1"/>
  <c r="C33" i="59"/>
  <c r="D33" i="59" s="1"/>
  <c r="C38" i="59"/>
  <c r="D38" i="59" s="1"/>
  <c r="C55" i="59"/>
  <c r="C23" i="59"/>
  <c r="D23" i="59" s="1"/>
  <c r="C39" i="59"/>
  <c r="D39" i="59" s="1"/>
  <c r="C12" i="59"/>
  <c r="D12" i="59" s="1"/>
  <c r="C28" i="59"/>
  <c r="D28" i="59" s="1"/>
  <c r="C13" i="59"/>
  <c r="D13" i="59" s="1"/>
  <c r="C41" i="59"/>
  <c r="D41" i="59" s="1"/>
  <c r="E41" i="59" s="1"/>
  <c r="C25" i="59"/>
  <c r="D25" i="59" s="1"/>
  <c r="C14" i="59"/>
  <c r="D14" i="59" s="1"/>
  <c r="C50" i="59"/>
  <c r="D50" i="59" s="1"/>
  <c r="E50" i="59" s="1"/>
  <c r="C45" i="59"/>
  <c r="D45" i="59" s="1"/>
  <c r="E45" i="59" s="1"/>
  <c r="C54" i="59"/>
  <c r="D54" i="59" s="1"/>
  <c r="E54" i="59" s="1"/>
  <c r="D55" i="59"/>
  <c r="E55" i="59" s="1"/>
  <c r="B56" i="59"/>
  <c r="C56" i="59" s="1"/>
  <c r="A57" i="59"/>
  <c r="A21" i="44"/>
  <c r="A14" i="46"/>
  <c r="A15" i="46" s="1"/>
  <c r="A16" i="46" s="1"/>
  <c r="A17" i="46" s="1"/>
  <c r="A18" i="46" s="1"/>
  <c r="A19" i="46" s="1"/>
  <c r="A20" i="46" s="1"/>
  <c r="A21" i="46" s="1"/>
  <c r="A22" i="46" s="1"/>
  <c r="A23" i="46" s="1"/>
  <c r="A24" i="46" s="1"/>
  <c r="A25" i="46" s="1"/>
  <c r="A26" i="46" s="1"/>
  <c r="A27" i="46" s="1"/>
  <c r="A28" i="46" s="1"/>
  <c r="A29" i="46" s="1"/>
  <c r="A30" i="46" s="1"/>
  <c r="A31" i="46" s="1"/>
  <c r="A32" i="46" s="1"/>
  <c r="A33" i="46" s="1"/>
  <c r="A34" i="46" s="1"/>
  <c r="A35" i="46" s="1"/>
  <c r="A36" i="46" s="1"/>
  <c r="A37" i="46" s="1"/>
  <c r="A38" i="46" s="1"/>
  <c r="A39" i="46" s="1"/>
  <c r="A40" i="46" s="1"/>
  <c r="A41" i="46" s="1"/>
  <c r="A42" i="46" s="1"/>
  <c r="A43" i="46" s="1"/>
  <c r="A44" i="46" s="1"/>
  <c r="A45" i="46" s="1"/>
  <c r="A46" i="46" s="1"/>
  <c r="A47" i="46" s="1"/>
  <c r="A48" i="46" s="1"/>
  <c r="A49" i="46" s="1"/>
  <c r="A50" i="46" s="1"/>
  <c r="A51" i="46" s="1"/>
  <c r="A52" i="46" s="1"/>
  <c r="A53" i="46" s="1"/>
  <c r="D56" i="59" l="1"/>
  <c r="E56" i="59" s="1"/>
  <c r="B57" i="59"/>
  <c r="C57" i="59" s="1"/>
  <c r="A58" i="59"/>
  <c r="A22" i="44"/>
  <c r="D57" i="59" l="1"/>
  <c r="E57" i="59" s="1"/>
  <c r="B58" i="59"/>
  <c r="C58" i="59" s="1"/>
  <c r="A59" i="59"/>
  <c r="A23" i="44"/>
  <c r="D58" i="59" l="1"/>
  <c r="E58" i="59" s="1"/>
  <c r="B59" i="59"/>
  <c r="C59" i="59" s="1"/>
  <c r="A60" i="59"/>
  <c r="A24" i="44"/>
  <c r="D59" i="59" l="1"/>
  <c r="E59" i="59" s="1"/>
  <c r="B60" i="59"/>
  <c r="C60" i="59" s="1"/>
  <c r="A61" i="59"/>
  <c r="A25" i="44"/>
  <c r="D60" i="59" l="1"/>
  <c r="E60" i="59" s="1"/>
  <c r="B61" i="59"/>
  <c r="C61" i="59" s="1"/>
  <c r="A62" i="59"/>
  <c r="A26" i="44"/>
  <c r="D61" i="59" l="1"/>
  <c r="E61" i="59" s="1"/>
  <c r="B62" i="59"/>
  <c r="C62" i="59" s="1"/>
  <c r="A63" i="59"/>
  <c r="A27" i="44"/>
  <c r="H11" i="46"/>
  <c r="D11" i="46"/>
  <c r="D62" i="59" l="1"/>
  <c r="E62" i="59" s="1"/>
  <c r="B63" i="59"/>
  <c r="C63" i="59" s="1"/>
  <c r="A64" i="59"/>
  <c r="B28" i="46"/>
  <c r="D28" i="46" s="1"/>
  <c r="B32" i="46"/>
  <c r="D32" i="46" s="1"/>
  <c r="B36" i="46"/>
  <c r="D36" i="46" s="1"/>
  <c r="B40" i="46"/>
  <c r="D40" i="46" s="1"/>
  <c r="B44" i="46"/>
  <c r="D44" i="46" s="1"/>
  <c r="B48" i="46"/>
  <c r="D48" i="46" s="1"/>
  <c r="B52" i="46"/>
  <c r="D52" i="46" s="1"/>
  <c r="B22" i="46"/>
  <c r="B18" i="46"/>
  <c r="B16" i="46"/>
  <c r="B25" i="46"/>
  <c r="D25" i="46" s="1"/>
  <c r="B29" i="46"/>
  <c r="D29" i="46" s="1"/>
  <c r="B33" i="46"/>
  <c r="D33" i="46" s="1"/>
  <c r="B37" i="46"/>
  <c r="D37" i="46" s="1"/>
  <c r="B41" i="46"/>
  <c r="D41" i="46" s="1"/>
  <c r="B45" i="46"/>
  <c r="D45" i="46" s="1"/>
  <c r="B49" i="46"/>
  <c r="D49" i="46" s="1"/>
  <c r="B53" i="46"/>
  <c r="D53" i="46" s="1"/>
  <c r="B21" i="46"/>
  <c r="B17" i="46"/>
  <c r="B13" i="46"/>
  <c r="D13" i="46" s="1"/>
  <c r="B26" i="46"/>
  <c r="D26" i="46" s="1"/>
  <c r="B30" i="46"/>
  <c r="D30" i="46" s="1"/>
  <c r="B34" i="46"/>
  <c r="D34" i="46" s="1"/>
  <c r="B38" i="46"/>
  <c r="D38" i="46" s="1"/>
  <c r="B42" i="46"/>
  <c r="D42" i="46" s="1"/>
  <c r="B46" i="46"/>
  <c r="D46" i="46" s="1"/>
  <c r="B50" i="46"/>
  <c r="D50" i="46" s="1"/>
  <c r="B24" i="46"/>
  <c r="D24" i="46" s="1"/>
  <c r="B20" i="46"/>
  <c r="B27" i="46"/>
  <c r="D27" i="46" s="1"/>
  <c r="B31" i="46"/>
  <c r="D31" i="46" s="1"/>
  <c r="B35" i="46"/>
  <c r="D35" i="46" s="1"/>
  <c r="B43" i="46"/>
  <c r="D43" i="46" s="1"/>
  <c r="B47" i="46"/>
  <c r="D47" i="46" s="1"/>
  <c r="B23" i="46"/>
  <c r="D23" i="46" s="1"/>
  <c r="B15" i="46"/>
  <c r="B14" i="46"/>
  <c r="D14" i="46" s="1"/>
  <c r="B39" i="46"/>
  <c r="D39" i="46" s="1"/>
  <c r="B51" i="46"/>
  <c r="D51" i="46" s="1"/>
  <c r="B19" i="46"/>
  <c r="A28" i="44"/>
  <c r="D15" i="46" l="1"/>
  <c r="E15" i="46" s="1"/>
  <c r="D17" i="46"/>
  <c r="E17" i="46" s="1"/>
  <c r="D22" i="46"/>
  <c r="E22" i="46" s="1"/>
  <c r="D19" i="46"/>
  <c r="E19" i="46" s="1"/>
  <c r="D18" i="46"/>
  <c r="E18" i="46" s="1"/>
  <c r="D21" i="46"/>
  <c r="E21" i="46" s="1"/>
  <c r="D20" i="46"/>
  <c r="E20" i="46" s="1"/>
  <c r="D16" i="46"/>
  <c r="E16" i="46" s="1"/>
  <c r="D63" i="59"/>
  <c r="E63" i="59" s="1"/>
  <c r="B64" i="59"/>
  <c r="C64" i="59" s="1"/>
  <c r="A65" i="59"/>
  <c r="E10" i="59"/>
  <c r="E13" i="59"/>
  <c r="E14" i="59"/>
  <c r="E11" i="59"/>
  <c r="E16" i="59"/>
  <c r="E17" i="59"/>
  <c r="E12" i="59"/>
  <c r="E15" i="59"/>
  <c r="E18" i="59"/>
  <c r="E19" i="59"/>
  <c r="E20" i="59"/>
  <c r="E21" i="59"/>
  <c r="E22" i="59"/>
  <c r="E23" i="59"/>
  <c r="E24" i="59"/>
  <c r="E25" i="59"/>
  <c r="E26" i="59"/>
  <c r="E27" i="59"/>
  <c r="E28" i="59"/>
  <c r="E29" i="59"/>
  <c r="E30" i="59"/>
  <c r="E31" i="59"/>
  <c r="E32" i="59"/>
  <c r="E33" i="59"/>
  <c r="E34" i="59"/>
  <c r="E35" i="59"/>
  <c r="E36" i="59"/>
  <c r="E37" i="59"/>
  <c r="E38" i="59"/>
  <c r="E39" i="59"/>
  <c r="E40" i="59"/>
  <c r="C31" i="46"/>
  <c r="E31" i="46"/>
  <c r="C34" i="46"/>
  <c r="E34" i="46"/>
  <c r="C47" i="46"/>
  <c r="E47" i="46"/>
  <c r="C27" i="46"/>
  <c r="E27" i="46"/>
  <c r="C46" i="46"/>
  <c r="E46" i="46"/>
  <c r="C30" i="46"/>
  <c r="E30" i="46"/>
  <c r="C41" i="46"/>
  <c r="E41" i="46"/>
  <c r="C25" i="46"/>
  <c r="E25" i="46"/>
  <c r="C52" i="46"/>
  <c r="E52" i="46"/>
  <c r="C36" i="46"/>
  <c r="E36" i="46"/>
  <c r="C23" i="46"/>
  <c r="E23" i="46"/>
  <c r="C29" i="46"/>
  <c r="E29" i="46"/>
  <c r="C40" i="46"/>
  <c r="E40" i="46"/>
  <c r="C39" i="46"/>
  <c r="E39" i="46"/>
  <c r="C14" i="46"/>
  <c r="C43" i="46"/>
  <c r="E43" i="46"/>
  <c r="C42" i="46"/>
  <c r="E42" i="46"/>
  <c r="C26" i="46"/>
  <c r="E26" i="46"/>
  <c r="C53" i="46"/>
  <c r="E53" i="46"/>
  <c r="C37" i="46"/>
  <c r="E37" i="46"/>
  <c r="C48" i="46"/>
  <c r="E48" i="46"/>
  <c r="C32" i="46"/>
  <c r="E32" i="46"/>
  <c r="C51" i="46"/>
  <c r="E51" i="46"/>
  <c r="C50" i="46"/>
  <c r="E50" i="46"/>
  <c r="C45" i="46"/>
  <c r="E45" i="46"/>
  <c r="C35" i="46"/>
  <c r="E35" i="46"/>
  <c r="C24" i="46"/>
  <c r="E24" i="46"/>
  <c r="C38" i="46"/>
  <c r="E38" i="46"/>
  <c r="C49" i="46"/>
  <c r="E49" i="46"/>
  <c r="C33" i="46"/>
  <c r="E33" i="46"/>
  <c r="C44" i="46"/>
  <c r="E44" i="46"/>
  <c r="C28" i="46"/>
  <c r="E28" i="46"/>
  <c r="C13" i="46"/>
  <c r="A29" i="44"/>
  <c r="E13" i="46" l="1"/>
  <c r="F13" i="46" s="1"/>
  <c r="E14" i="46"/>
  <c r="F14" i="46" s="1"/>
  <c r="D64" i="59"/>
  <c r="E64" i="59" s="1"/>
  <c r="B65" i="59"/>
  <c r="C65" i="59" s="1"/>
  <c r="A66" i="59"/>
  <c r="A30" i="44"/>
  <c r="F15" i="46"/>
  <c r="C15" i="46"/>
  <c r="D65" i="59" l="1"/>
  <c r="E65" i="59" s="1"/>
  <c r="B66" i="59"/>
  <c r="C66" i="59" s="1"/>
  <c r="A67" i="59"/>
  <c r="A31" i="44"/>
  <c r="F16" i="46"/>
  <c r="C16" i="46"/>
  <c r="D66" i="59" l="1"/>
  <c r="E66" i="59" s="1"/>
  <c r="B67" i="59"/>
  <c r="C67" i="59" s="1"/>
  <c r="A68" i="59"/>
  <c r="A32" i="44"/>
  <c r="F17" i="46"/>
  <c r="C17" i="46"/>
  <c r="D67" i="59" l="1"/>
  <c r="E67" i="59" s="1"/>
  <c r="B68" i="59"/>
  <c r="C68" i="59" s="1"/>
  <c r="A69" i="59"/>
  <c r="A33" i="44"/>
  <c r="F18" i="46"/>
  <c r="C18" i="46"/>
  <c r="D68" i="59" l="1"/>
  <c r="E68" i="59" s="1"/>
  <c r="B69" i="59"/>
  <c r="C69" i="59" s="1"/>
  <c r="A70" i="59"/>
  <c r="A34" i="44"/>
  <c r="F19" i="46"/>
  <c r="C19" i="46"/>
  <c r="D69" i="59" l="1"/>
  <c r="E69" i="59" s="1"/>
  <c r="B70" i="59"/>
  <c r="C70" i="59" s="1"/>
  <c r="A35" i="44"/>
  <c r="F20" i="46"/>
  <c r="C20" i="46"/>
  <c r="L8" i="44"/>
  <c r="L7" i="44"/>
  <c r="L4" i="44"/>
  <c r="L3" i="44"/>
  <c r="L2" i="44"/>
  <c r="D70" i="59" l="1"/>
  <c r="E70" i="59" s="1"/>
  <c r="A36" i="44"/>
  <c r="F21" i="46"/>
  <c r="C21" i="46"/>
  <c r="L9" i="44"/>
  <c r="L6" i="44"/>
  <c r="A37" i="44" l="1"/>
  <c r="F22" i="46"/>
  <c r="C22" i="46"/>
  <c r="A38" i="44" l="1"/>
  <c r="F23" i="46"/>
  <c r="F24" i="46" l="1"/>
  <c r="F25" i="46" l="1"/>
  <c r="F26" i="46" l="1"/>
  <c r="F27" i="46" l="1"/>
  <c r="F28" i="46" l="1"/>
  <c r="F29" i="46" l="1"/>
  <c r="F30" i="46" l="1"/>
  <c r="F31" i="46" l="1"/>
  <c r="F32" i="46" l="1"/>
  <c r="F33" i="46" l="1"/>
  <c r="F34" i="46" l="1"/>
  <c r="F35" i="46" l="1"/>
  <c r="F36" i="46" l="1"/>
  <c r="F37" i="46" l="1"/>
  <c r="F38" i="46" l="1"/>
  <c r="F39" i="46" l="1"/>
  <c r="F40" i="46" l="1"/>
  <c r="F41" i="46" l="1"/>
  <c r="F42" i="46" l="1"/>
  <c r="F43" i="46" l="1"/>
  <c r="F44" i="46" l="1"/>
  <c r="A39" i="44"/>
  <c r="F45" i="46" l="1"/>
  <c r="A40" i="44"/>
  <c r="F46" i="46" l="1"/>
  <c r="A41" i="44"/>
  <c r="F47" i="46" l="1"/>
  <c r="A42" i="44"/>
  <c r="C12" i="19"/>
  <c r="G14" i="46" l="1"/>
  <c r="H14" i="46" s="1"/>
  <c r="G13" i="46"/>
  <c r="H13" i="46" s="1"/>
  <c r="G15" i="46"/>
  <c r="H15" i="46" s="1"/>
  <c r="G16" i="46"/>
  <c r="H16" i="46" s="1"/>
  <c r="G17" i="46"/>
  <c r="H17" i="46" s="1"/>
  <c r="G18" i="46"/>
  <c r="H18" i="46" s="1"/>
  <c r="G19" i="46"/>
  <c r="H19" i="46" s="1"/>
  <c r="G20" i="46"/>
  <c r="H20" i="46" s="1"/>
  <c r="G21" i="46"/>
  <c r="H21" i="46" s="1"/>
  <c r="G22" i="46"/>
  <c r="H22" i="46" s="1"/>
  <c r="G23" i="46"/>
  <c r="H23" i="46" s="1"/>
  <c r="G24" i="46"/>
  <c r="H24" i="46" s="1"/>
  <c r="G25" i="46"/>
  <c r="H25" i="46" s="1"/>
  <c r="G26" i="46"/>
  <c r="H26" i="46" s="1"/>
  <c r="G27" i="46"/>
  <c r="H27" i="46" s="1"/>
  <c r="G28" i="46"/>
  <c r="H28" i="46" s="1"/>
  <c r="G29" i="46"/>
  <c r="H29" i="46" s="1"/>
  <c r="G30" i="46"/>
  <c r="H30" i="46" s="1"/>
  <c r="G31" i="46"/>
  <c r="H31" i="46" s="1"/>
  <c r="G32" i="46"/>
  <c r="H32" i="46" s="1"/>
  <c r="G33" i="46"/>
  <c r="H33" i="46" s="1"/>
  <c r="G34" i="46"/>
  <c r="H34" i="46" s="1"/>
  <c r="G35" i="46"/>
  <c r="H35" i="46" s="1"/>
  <c r="G36" i="46"/>
  <c r="H36" i="46" s="1"/>
  <c r="G37" i="46"/>
  <c r="H37" i="46" s="1"/>
  <c r="G38" i="46"/>
  <c r="H38" i="46" s="1"/>
  <c r="G39" i="46"/>
  <c r="H39" i="46" s="1"/>
  <c r="G40" i="46"/>
  <c r="H40" i="46" s="1"/>
  <c r="G41" i="46"/>
  <c r="H41" i="46" s="1"/>
  <c r="G42" i="46"/>
  <c r="H42" i="46" s="1"/>
  <c r="G43" i="46"/>
  <c r="H43" i="46" s="1"/>
  <c r="G44" i="46"/>
  <c r="H44" i="46" s="1"/>
  <c r="G45" i="46"/>
  <c r="H45" i="46" s="1"/>
  <c r="G46" i="46"/>
  <c r="H46" i="46" s="1"/>
  <c r="G47" i="46"/>
  <c r="H47" i="46" s="1"/>
  <c r="F48" i="46"/>
  <c r="G48" i="46"/>
  <c r="A43" i="44"/>
  <c r="H48" i="46" l="1"/>
  <c r="F49" i="46"/>
  <c r="G49" i="46"/>
  <c r="A44" i="44"/>
  <c r="H49" i="46" l="1"/>
  <c r="F50" i="46"/>
  <c r="G50" i="46"/>
  <c r="A45" i="44"/>
  <c r="H50" i="46" l="1"/>
  <c r="F51" i="46"/>
  <c r="G51" i="46"/>
  <c r="A46" i="44"/>
  <c r="H51" i="46" l="1"/>
  <c r="F52" i="46"/>
  <c r="G52" i="46"/>
  <c r="A47" i="44"/>
  <c r="H52" i="46" l="1"/>
  <c r="F53" i="46"/>
  <c r="G53" i="46"/>
  <c r="A48" i="44"/>
  <c r="H53" i="46" l="1"/>
  <c r="A49" i="44"/>
  <c r="F6" i="46" l="1"/>
  <c r="F7" i="46" s="1"/>
  <c r="F8" i="46" s="1"/>
  <c r="E6" i="46"/>
  <c r="E7" i="46" s="1"/>
  <c r="E8" i="46" s="1"/>
  <c r="H6" i="46"/>
  <c r="H7" i="46" s="1"/>
  <c r="H8" i="46" s="1"/>
  <c r="A50" i="44"/>
  <c r="G6" i="46" l="1"/>
  <c r="G7" i="46" s="1"/>
  <c r="G8" i="46" s="1"/>
  <c r="D6" i="46"/>
  <c r="A51" i="44"/>
  <c r="D7" i="46" l="1"/>
  <c r="D8" i="46" s="1"/>
  <c r="A52" i="44"/>
  <c r="A53" i="44" l="1"/>
  <c r="A54" i="44" l="1"/>
  <c r="F4" i="20"/>
  <c r="A55" i="44" l="1"/>
  <c r="C5" i="19"/>
  <c r="A56" i="44" l="1"/>
  <c r="C14" i="19"/>
  <c r="C6" i="19"/>
  <c r="C7" i="19"/>
  <c r="C13" i="19"/>
  <c r="A57" i="44" l="1"/>
  <c r="C8" i="19"/>
  <c r="C15" i="19"/>
  <c r="A58" i="44" l="1"/>
  <c r="A59" i="44" l="1"/>
  <c r="A60" i="44" l="1"/>
  <c r="A61" i="44" l="1"/>
  <c r="A62" i="44" l="1"/>
  <c r="A63" i="44" l="1"/>
  <c r="A64" i="44" l="1"/>
  <c r="A65" i="44" l="1"/>
  <c r="A66" i="44" l="1"/>
  <c r="A67" i="44" l="1"/>
  <c r="A68" i="44" l="1"/>
  <c r="A69" i="44" l="1"/>
  <c r="A70" i="44" l="1"/>
  <c r="A71" i="44" l="1"/>
  <c r="A72" i="44" l="1"/>
  <c r="A73" i="44" l="1"/>
  <c r="P1" i="46"/>
  <c r="B14" i="57" s="1"/>
  <c r="C14" i="57" s="1"/>
  <c r="P2" i="46"/>
  <c r="H14" i="57" l="1"/>
  <c r="J14" i="57" s="1"/>
  <c r="C6" i="46"/>
  <c r="C7" i="46" s="1"/>
  <c r="C8" i="46" s="1"/>
  <c r="H9" i="46" s="1"/>
  <c r="E13" i="44"/>
  <c r="F13" i="44" s="1"/>
  <c r="E73" i="44"/>
  <c r="F73" i="44" s="1"/>
  <c r="E14" i="44"/>
  <c r="F14" i="44" s="1"/>
  <c r="E15" i="44"/>
  <c r="F15" i="44" s="1"/>
  <c r="E16" i="44"/>
  <c r="F16" i="44" s="1"/>
  <c r="E17" i="44"/>
  <c r="F17" i="44" s="1"/>
  <c r="E18" i="44"/>
  <c r="F18" i="44" s="1"/>
  <c r="E19" i="44"/>
  <c r="F19" i="44" s="1"/>
  <c r="E20" i="44"/>
  <c r="F20" i="44" s="1"/>
  <c r="E21" i="44"/>
  <c r="F21" i="44" s="1"/>
  <c r="E22" i="44"/>
  <c r="F22" i="44" s="1"/>
  <c r="E23" i="44"/>
  <c r="F23" i="44" s="1"/>
  <c r="E24" i="44"/>
  <c r="F24" i="44" s="1"/>
  <c r="E25" i="44"/>
  <c r="F25" i="44" s="1"/>
  <c r="E26" i="44"/>
  <c r="F26" i="44" s="1"/>
  <c r="E27" i="44"/>
  <c r="F27" i="44" s="1"/>
  <c r="E28" i="44"/>
  <c r="F28" i="44" s="1"/>
  <c r="E29" i="44"/>
  <c r="F29" i="44" s="1"/>
  <c r="E30" i="44"/>
  <c r="F30" i="44" s="1"/>
  <c r="E31" i="44"/>
  <c r="F31" i="44" s="1"/>
  <c r="E32" i="44"/>
  <c r="F32" i="44" s="1"/>
  <c r="E33" i="44"/>
  <c r="F33" i="44" s="1"/>
  <c r="E34" i="44"/>
  <c r="F34" i="44" s="1"/>
  <c r="E35" i="44"/>
  <c r="F35" i="44" s="1"/>
  <c r="E36" i="44"/>
  <c r="F36" i="44" s="1"/>
  <c r="E37" i="44"/>
  <c r="F37" i="44" s="1"/>
  <c r="E38" i="44"/>
  <c r="F38" i="44" s="1"/>
  <c r="E39" i="44"/>
  <c r="F39" i="44" s="1"/>
  <c r="E40" i="44"/>
  <c r="F40" i="44" s="1"/>
  <c r="E41" i="44"/>
  <c r="F41" i="44" s="1"/>
  <c r="E42" i="44"/>
  <c r="F42" i="44" s="1"/>
  <c r="E43" i="44"/>
  <c r="F43" i="44" s="1"/>
  <c r="E44" i="44"/>
  <c r="F44" i="44" s="1"/>
  <c r="E45" i="44"/>
  <c r="F45" i="44" s="1"/>
  <c r="E46" i="44"/>
  <c r="F46" i="44" s="1"/>
  <c r="E47" i="44"/>
  <c r="F47" i="44" s="1"/>
  <c r="E48" i="44"/>
  <c r="F48" i="44" s="1"/>
  <c r="E49" i="44"/>
  <c r="F49" i="44" s="1"/>
  <c r="E50" i="44"/>
  <c r="F50" i="44" s="1"/>
  <c r="E51" i="44"/>
  <c r="F51" i="44" s="1"/>
  <c r="E52" i="44"/>
  <c r="F52" i="44" s="1"/>
  <c r="E53" i="44"/>
  <c r="F53" i="44" s="1"/>
  <c r="E54" i="44"/>
  <c r="F54" i="44" s="1"/>
  <c r="E55" i="44"/>
  <c r="F55" i="44" s="1"/>
  <c r="E56" i="44"/>
  <c r="F56" i="44" s="1"/>
  <c r="E57" i="44"/>
  <c r="F57" i="44" s="1"/>
  <c r="E58" i="44"/>
  <c r="F58" i="44" s="1"/>
  <c r="E59" i="44"/>
  <c r="F59" i="44" s="1"/>
  <c r="E60" i="44"/>
  <c r="F60" i="44" s="1"/>
  <c r="E61" i="44"/>
  <c r="F61" i="44" s="1"/>
  <c r="E62" i="44"/>
  <c r="F62" i="44" s="1"/>
  <c r="E63" i="44"/>
  <c r="F63" i="44" s="1"/>
  <c r="E64" i="44"/>
  <c r="F64" i="44" s="1"/>
  <c r="E65" i="44"/>
  <c r="F65" i="44" s="1"/>
  <c r="E66" i="44"/>
  <c r="F66" i="44" s="1"/>
  <c r="E67" i="44"/>
  <c r="F67" i="44" s="1"/>
  <c r="E68" i="44"/>
  <c r="F68" i="44" s="1"/>
  <c r="E69" i="44"/>
  <c r="F69" i="44" s="1"/>
  <c r="E70" i="44"/>
  <c r="F70" i="44" s="1"/>
  <c r="E71" i="44"/>
  <c r="F71" i="44" s="1"/>
  <c r="E72" i="44"/>
  <c r="F72" i="44" s="1"/>
  <c r="E7" i="49" l="1"/>
  <c r="B70" i="44"/>
  <c r="C70" i="44" s="1"/>
  <c r="D70" i="44" s="1"/>
  <c r="G70" i="44" s="1"/>
  <c r="B46" i="44"/>
  <c r="C46" i="44" s="1"/>
  <c r="D46" i="44" s="1"/>
  <c r="G46" i="44" s="1"/>
  <c r="B50" i="44"/>
  <c r="C50" i="44" s="1"/>
  <c r="D50" i="44" s="1"/>
  <c r="G50" i="44" s="1"/>
  <c r="H7" i="49" l="1"/>
  <c r="D5" i="44"/>
  <c r="D6" i="44" s="1"/>
  <c r="D7" i="44" s="1"/>
  <c r="B43" i="44"/>
  <c r="C43" i="44" s="1"/>
  <c r="D43" i="44" s="1"/>
  <c r="G43" i="44" s="1"/>
  <c r="B62" i="44"/>
  <c r="C62" i="44" s="1"/>
  <c r="D62" i="44" s="1"/>
  <c r="G62" i="44" s="1"/>
  <c r="B25" i="44"/>
  <c r="C25" i="44" s="1"/>
  <c r="D25" i="44" s="1"/>
  <c r="G25" i="44" s="1"/>
  <c r="B24" i="44"/>
  <c r="C24" i="44" s="1"/>
  <c r="D24" i="44" s="1"/>
  <c r="G24" i="44" s="1"/>
  <c r="B42" i="44"/>
  <c r="C42" i="44" s="1"/>
  <c r="D42" i="44" s="1"/>
  <c r="G42" i="44" s="1"/>
  <c r="B35" i="44"/>
  <c r="C35" i="44" s="1"/>
  <c r="D35" i="44" s="1"/>
  <c r="G35" i="44" s="1"/>
  <c r="B52" i="44"/>
  <c r="C52" i="44" s="1"/>
  <c r="D52" i="44" s="1"/>
  <c r="G52" i="44" s="1"/>
  <c r="B60" i="44"/>
  <c r="C60" i="44" s="1"/>
  <c r="D60" i="44" s="1"/>
  <c r="G60" i="44" s="1"/>
  <c r="B21" i="44"/>
  <c r="C21" i="44" s="1"/>
  <c r="D21" i="44" s="1"/>
  <c r="G21" i="44" s="1"/>
  <c r="B32" i="44"/>
  <c r="C32" i="44" s="1"/>
  <c r="D32" i="44" s="1"/>
  <c r="G32" i="44" s="1"/>
  <c r="B36" i="44"/>
  <c r="C36" i="44" s="1"/>
  <c r="D36" i="44" s="1"/>
  <c r="G36" i="44" s="1"/>
  <c r="B69" i="44"/>
  <c r="C69" i="44" s="1"/>
  <c r="D69" i="44" s="1"/>
  <c r="G69" i="44" s="1"/>
  <c r="B67" i="44"/>
  <c r="C67" i="44" s="1"/>
  <c r="D67" i="44" s="1"/>
  <c r="G67" i="44" s="1"/>
  <c r="B71" i="44"/>
  <c r="C71" i="44" s="1"/>
  <c r="D71" i="44" s="1"/>
  <c r="G71" i="44" s="1"/>
  <c r="B14" i="44"/>
  <c r="C14" i="44" s="1"/>
  <c r="D14" i="44" s="1"/>
  <c r="G14" i="44" s="1"/>
  <c r="B19" i="44"/>
  <c r="C19" i="44" s="1"/>
  <c r="D19" i="44" s="1"/>
  <c r="G19" i="44" s="1"/>
  <c r="B26" i="44"/>
  <c r="C26" i="44" s="1"/>
  <c r="D26" i="44" s="1"/>
  <c r="G26" i="44" s="1"/>
  <c r="B55" i="44"/>
  <c r="C55" i="44" s="1"/>
  <c r="D55" i="44" s="1"/>
  <c r="G55" i="44" s="1"/>
  <c r="B56" i="44"/>
  <c r="C56" i="44" s="1"/>
  <c r="D56" i="44" s="1"/>
  <c r="G56" i="44" s="1"/>
  <c r="B33" i="44"/>
  <c r="C33" i="44" s="1"/>
  <c r="D33" i="44" s="1"/>
  <c r="G33" i="44" s="1"/>
  <c r="B17" i="44"/>
  <c r="C17" i="44" s="1"/>
  <c r="D17" i="44" s="1"/>
  <c r="G17" i="44" s="1"/>
  <c r="B31" i="44"/>
  <c r="C31" i="44" s="1"/>
  <c r="D31" i="44" s="1"/>
  <c r="G31" i="44" s="1"/>
  <c r="B18" i="44"/>
  <c r="C18" i="44" s="1"/>
  <c r="D18" i="44" s="1"/>
  <c r="G18" i="44" s="1"/>
  <c r="B72" i="44"/>
  <c r="C72" i="44" s="1"/>
  <c r="D72" i="44" s="1"/>
  <c r="G72" i="44" s="1"/>
  <c r="B29" i="44"/>
  <c r="C29" i="44" s="1"/>
  <c r="D29" i="44" s="1"/>
  <c r="G29" i="44" s="1"/>
  <c r="B65" i="44"/>
  <c r="C65" i="44" s="1"/>
  <c r="D65" i="44" s="1"/>
  <c r="G65" i="44" s="1"/>
  <c r="B38" i="44"/>
  <c r="C38" i="44" s="1"/>
  <c r="D38" i="44" s="1"/>
  <c r="G38" i="44" s="1"/>
  <c r="B44" i="44"/>
  <c r="C44" i="44" s="1"/>
  <c r="D44" i="44" s="1"/>
  <c r="G44" i="44" s="1"/>
  <c r="B63" i="44"/>
  <c r="C63" i="44" s="1"/>
  <c r="D63" i="44" s="1"/>
  <c r="G63" i="44" s="1"/>
  <c r="B47" i="44"/>
  <c r="C47" i="44" s="1"/>
  <c r="D47" i="44" s="1"/>
  <c r="G47" i="44" s="1"/>
  <c r="B49" i="44"/>
  <c r="C49" i="44" s="1"/>
  <c r="D49" i="44" s="1"/>
  <c r="G49" i="44" s="1"/>
  <c r="B30" i="44"/>
  <c r="C30" i="44" s="1"/>
  <c r="D30" i="44" s="1"/>
  <c r="G30" i="44" s="1"/>
  <c r="B27" i="44"/>
  <c r="C27" i="44" s="1"/>
  <c r="D27" i="44" s="1"/>
  <c r="G27" i="44" s="1"/>
  <c r="B61" i="44"/>
  <c r="C61" i="44" s="1"/>
  <c r="D61" i="44" s="1"/>
  <c r="G61" i="44" s="1"/>
  <c r="B37" i="44"/>
  <c r="C37" i="44" s="1"/>
  <c r="D37" i="44" s="1"/>
  <c r="G37" i="44" s="1"/>
  <c r="B53" i="44"/>
  <c r="C53" i="44" s="1"/>
  <c r="D53" i="44" s="1"/>
  <c r="G53" i="44" s="1"/>
  <c r="B73" i="44"/>
  <c r="C73" i="44" s="1"/>
  <c r="D73" i="44" s="1"/>
  <c r="G73" i="44" s="1"/>
  <c r="B13" i="44"/>
  <c r="C13" i="44" s="1"/>
  <c r="D13" i="44" s="1"/>
  <c r="G13" i="44" s="1"/>
  <c r="B68" i="44"/>
  <c r="C68" i="44" s="1"/>
  <c r="D68" i="44" s="1"/>
  <c r="G68" i="44" s="1"/>
  <c r="B57" i="44"/>
  <c r="C57" i="44" s="1"/>
  <c r="D57" i="44" s="1"/>
  <c r="G57" i="44" s="1"/>
  <c r="B45" i="44"/>
  <c r="C45" i="44" s="1"/>
  <c r="D45" i="44" s="1"/>
  <c r="G45" i="44" s="1"/>
  <c r="B34" i="44"/>
  <c r="C34" i="44" s="1"/>
  <c r="D34" i="44" s="1"/>
  <c r="G34" i="44" s="1"/>
  <c r="B16" i="44"/>
  <c r="C16" i="44" s="1"/>
  <c r="D16" i="44" s="1"/>
  <c r="G16" i="44" s="1"/>
  <c r="B39" i="44"/>
  <c r="C39" i="44" s="1"/>
  <c r="D39" i="44" s="1"/>
  <c r="G39" i="44" s="1"/>
  <c r="B48" i="44"/>
  <c r="C48" i="44" s="1"/>
  <c r="D48" i="44" s="1"/>
  <c r="G48" i="44" s="1"/>
  <c r="B54" i="44"/>
  <c r="C54" i="44" s="1"/>
  <c r="D54" i="44" s="1"/>
  <c r="G54" i="44" s="1"/>
  <c r="B23" i="44"/>
  <c r="C23" i="44" s="1"/>
  <c r="D23" i="44" s="1"/>
  <c r="G23" i="44" s="1"/>
  <c r="B59" i="44"/>
  <c r="C59" i="44" s="1"/>
  <c r="D59" i="44" s="1"/>
  <c r="G59" i="44" s="1"/>
  <c r="E5" i="44" s="1"/>
  <c r="E6" i="44" s="1"/>
  <c r="E7" i="44" s="1"/>
  <c r="B66" i="44"/>
  <c r="C66" i="44" s="1"/>
  <c r="D66" i="44" s="1"/>
  <c r="G66" i="44" s="1"/>
  <c r="B40" i="44"/>
  <c r="C40" i="44" s="1"/>
  <c r="D40" i="44" s="1"/>
  <c r="G40" i="44" s="1"/>
  <c r="B41" i="44"/>
  <c r="C41" i="44" s="1"/>
  <c r="D41" i="44" s="1"/>
  <c r="G41" i="44" s="1"/>
  <c r="B22" i="44"/>
  <c r="C22" i="44" s="1"/>
  <c r="D22" i="44" s="1"/>
  <c r="G22" i="44" s="1"/>
  <c r="B15" i="44"/>
  <c r="C15" i="44" s="1"/>
  <c r="D15" i="44" s="1"/>
  <c r="G15" i="44" s="1"/>
  <c r="B58" i="44"/>
  <c r="C58" i="44" s="1"/>
  <c r="D58" i="44" s="1"/>
  <c r="G58" i="44" s="1"/>
  <c r="B28" i="44"/>
  <c r="C28" i="44" s="1"/>
  <c r="D28" i="44" s="1"/>
  <c r="G28" i="44" s="1"/>
  <c r="B64" i="44"/>
  <c r="C64" i="44" s="1"/>
  <c r="D64" i="44" s="1"/>
  <c r="G64" i="44" s="1"/>
  <c r="B20" i="44"/>
  <c r="C20" i="44" s="1"/>
  <c r="D20" i="44" s="1"/>
  <c r="G20" i="44" s="1"/>
  <c r="B51" i="44"/>
  <c r="C51" i="44" s="1"/>
  <c r="D51" i="44" s="1"/>
  <c r="G51" i="44" s="1"/>
  <c r="F5" i="44" l="1"/>
  <c r="F6" i="44" s="1"/>
  <c r="F7" i="44" s="1"/>
  <c r="B5" i="44"/>
  <c r="B6" i="44" s="1"/>
  <c r="B7" i="44" s="1"/>
  <c r="G5" i="44"/>
  <c r="C5" i="44"/>
  <c r="C6" i="44" s="1"/>
  <c r="C7" i="44" s="1"/>
  <c r="G6" i="44" l="1"/>
  <c r="G7" i="44" s="1"/>
  <c r="G8" i="44" l="1"/>
</calcChain>
</file>

<file path=xl/sharedStrings.xml><?xml version="1.0" encoding="utf-8"?>
<sst xmlns="http://schemas.openxmlformats.org/spreadsheetml/2006/main" count="288" uniqueCount="235">
  <si>
    <t>J</t>
  </si>
  <si>
    <t>eV</t>
  </si>
  <si>
    <t>k=</t>
  </si>
  <si>
    <t>b=</t>
  </si>
  <si>
    <t>c</t>
  </si>
  <si>
    <t>Q</t>
  </si>
  <si>
    <t>J - s</t>
  </si>
  <si>
    <t>eV - s</t>
  </si>
  <si>
    <t>C</t>
  </si>
  <si>
    <t>Wb</t>
  </si>
  <si>
    <t>g k</t>
  </si>
  <si>
    <r>
      <rPr>
        <b/>
        <sz val="10"/>
        <rFont val="Times New Roman"/>
        <family val="1"/>
        <charset val="204"/>
      </rPr>
      <t>Unit 1</t>
    </r>
  </si>
  <si>
    <r>
      <t>m - s</t>
    </r>
    <r>
      <rPr>
        <vertAlign val="superscript"/>
        <sz val="10"/>
        <rFont val="Times New Roman"/>
        <family val="1"/>
        <charset val="204"/>
      </rPr>
      <t>-1</t>
    </r>
  </si>
  <si>
    <r>
      <t>N - A</t>
    </r>
    <r>
      <rPr>
        <vertAlign val="superscript"/>
        <sz val="10"/>
        <rFont val="Times New Roman"/>
        <family val="1"/>
        <charset val="204"/>
      </rPr>
      <t>-2</t>
    </r>
  </si>
  <si>
    <r>
      <t>F - m</t>
    </r>
    <r>
      <rPr>
        <vertAlign val="superscript"/>
        <sz val="10"/>
        <rFont val="Times New Roman"/>
        <family val="1"/>
        <charset val="204"/>
      </rPr>
      <t>-1</t>
    </r>
  </si>
  <si>
    <r>
      <t>mol</t>
    </r>
    <r>
      <rPr>
        <vertAlign val="superscript"/>
        <sz val="10"/>
        <rFont val="Times New Roman"/>
        <family val="1"/>
        <charset val="204"/>
      </rPr>
      <t>-1</t>
    </r>
  </si>
  <si>
    <r>
      <t>C - mol</t>
    </r>
    <r>
      <rPr>
        <vertAlign val="superscript"/>
        <sz val="10"/>
        <rFont val="Times New Roman"/>
        <family val="1"/>
        <charset val="204"/>
      </rPr>
      <t>-1</t>
    </r>
  </si>
  <si>
    <r>
      <t>J - mol</t>
    </r>
    <r>
      <rPr>
        <vertAlign val="superscript"/>
        <sz val="10"/>
        <rFont val="Times New Roman"/>
        <family val="1"/>
        <charset val="204"/>
      </rPr>
      <t>-1</t>
    </r>
    <r>
      <rPr>
        <sz val="10"/>
        <rFont val="Times New Roman"/>
        <family val="1"/>
        <charset val="204"/>
      </rPr>
      <t xml:space="preserve"> - K</t>
    </r>
    <r>
      <rPr>
        <vertAlign val="superscript"/>
        <sz val="10"/>
        <rFont val="Times New Roman"/>
        <family val="1"/>
        <charset val="204"/>
      </rPr>
      <t>-1</t>
    </r>
  </si>
  <si>
    <r>
      <t>J - K</t>
    </r>
    <r>
      <rPr>
        <vertAlign val="superscript"/>
        <sz val="10"/>
        <rFont val="Times New Roman"/>
        <family val="1"/>
        <charset val="204"/>
      </rPr>
      <t>-1</t>
    </r>
  </si>
  <si>
    <r>
      <t>m</t>
    </r>
    <r>
      <rPr>
        <vertAlign val="superscript"/>
        <sz val="10"/>
        <rFont val="Times New Roman"/>
        <family val="1"/>
        <charset val="204"/>
      </rPr>
      <t>3</t>
    </r>
    <r>
      <rPr>
        <sz val="10"/>
        <rFont val="Times New Roman"/>
        <family val="1"/>
        <charset val="204"/>
      </rPr>
      <t xml:space="preserve"> - mol</t>
    </r>
    <r>
      <rPr>
        <vertAlign val="superscript"/>
        <sz val="10"/>
        <rFont val="Times New Roman"/>
        <family val="1"/>
        <charset val="204"/>
      </rPr>
      <t>-1</t>
    </r>
  </si>
  <si>
    <r>
      <t>W - m</t>
    </r>
    <r>
      <rPr>
        <vertAlign val="superscript"/>
        <sz val="10"/>
        <rFont val="Times New Roman"/>
        <family val="1"/>
        <charset val="204"/>
      </rPr>
      <t>-2</t>
    </r>
    <r>
      <rPr>
        <sz val="10"/>
        <rFont val="Times New Roman"/>
        <family val="1"/>
        <charset val="204"/>
      </rPr>
      <t xml:space="preserve"> - K</t>
    </r>
    <r>
      <rPr>
        <vertAlign val="superscript"/>
        <sz val="10"/>
        <rFont val="Times New Roman"/>
        <family val="1"/>
        <charset val="204"/>
      </rPr>
      <t>-4</t>
    </r>
  </si>
  <si>
    <t>speed of light in a vacuum</t>
  </si>
  <si>
    <t>299 792 458</t>
  </si>
  <si>
    <t>magnetic constant</t>
  </si>
  <si>
    <t>characteristic impedance of vacuum 7^ = [^c</t>
  </si>
  <si>
    <t>376.730 313 461...</t>
  </si>
  <si>
    <t>Planck constant</t>
  </si>
  <si>
    <t>h</t>
  </si>
  <si>
    <t>in eV - s</t>
  </si>
  <si>
    <t>h/2n</t>
  </si>
  <si>
    <t>elementary charge</t>
  </si>
  <si>
    <t>e</t>
  </si>
  <si>
    <t>magnetic flux quantum h/2e</t>
  </si>
  <si>
    <t>®0</t>
  </si>
  <si>
    <t>Avogadro constant</t>
  </si>
  <si>
    <t>m u</t>
  </si>
  <si>
    <t>F</t>
  </si>
  <si>
    <t>96 485.3383(83)</t>
  </si>
  <si>
    <t>molar gas constant</t>
  </si>
  <si>
    <t>R</t>
  </si>
  <si>
    <t>8.314 472(15)</t>
  </si>
  <si>
    <t>Boltzmann constant R/N,</t>
  </si>
  <si>
    <t>k</t>
  </si>
  <si>
    <t>molar volume of ideal gas RT / p</t>
  </si>
  <si>
    <t>T = 273.15 K, p = 101.325 kPa</t>
  </si>
  <si>
    <t>V m</t>
  </si>
  <si>
    <t>T = 273.15 K, p = 100 kPa</t>
  </si>
  <si>
    <t>O</t>
  </si>
  <si>
    <t>electron volt: (e/C) J</t>
  </si>
  <si>
    <r>
      <rPr>
        <b/>
        <sz val="10"/>
        <rFont val="Times New Roman"/>
        <family val="1"/>
        <charset val="204"/>
      </rPr>
      <t>Quantity</t>
    </r>
  </si>
  <si>
    <r>
      <rPr>
        <b/>
        <sz val="10"/>
        <rFont val="Times New Roman"/>
        <family val="1"/>
        <charset val="204"/>
      </rPr>
      <t>Symbol</t>
    </r>
  </si>
  <si>
    <r>
      <rPr>
        <b/>
        <sz val="10"/>
        <rFont val="Times New Roman"/>
        <family val="1"/>
        <charset val="204"/>
      </rPr>
      <t>Value*</t>
    </r>
  </si>
  <si>
    <r>
      <t>m</t>
    </r>
    <r>
      <rPr>
        <b/>
        <vertAlign val="subscript"/>
        <sz val="10"/>
        <rFont val="Times New Roman"/>
        <family val="1"/>
        <charset val="204"/>
      </rPr>
      <t>0</t>
    </r>
  </si>
  <si>
    <r>
      <t>electric constant 1/[</t>
    </r>
    <r>
      <rPr>
        <vertAlign val="subscript"/>
        <sz val="10"/>
        <rFont val="Times New Roman"/>
        <family val="1"/>
        <charset val="204"/>
      </rPr>
      <t>0</t>
    </r>
    <r>
      <rPr>
        <sz val="10"/>
        <rFont val="Times New Roman"/>
        <family val="1"/>
        <charset val="204"/>
      </rPr>
      <t>c</t>
    </r>
    <r>
      <rPr>
        <vertAlign val="superscript"/>
        <sz val="10"/>
        <rFont val="Times New Roman"/>
        <family val="1"/>
        <charset val="204"/>
      </rPr>
      <t>2</t>
    </r>
  </si>
  <si>
    <r>
      <rPr>
        <b/>
        <vertAlign val="superscript"/>
        <sz val="10"/>
        <rFont val="Times New Roman"/>
        <family val="1"/>
        <charset val="204"/>
      </rPr>
      <t>E</t>
    </r>
    <r>
      <rPr>
        <b/>
        <sz val="10"/>
        <rFont val="Times New Roman"/>
        <family val="1"/>
        <charset val="204"/>
      </rPr>
      <t>0</t>
    </r>
  </si>
  <si>
    <r>
      <t>8.854 187 817... x 10</t>
    </r>
    <r>
      <rPr>
        <vertAlign val="superscript"/>
        <sz val="10"/>
        <rFont val="Times New Roman"/>
        <family val="1"/>
        <charset val="204"/>
      </rPr>
      <t>-12</t>
    </r>
  </si>
  <si>
    <r>
      <rPr>
        <b/>
        <vertAlign val="superscript"/>
        <sz val="10"/>
        <rFont val="Times New Roman"/>
        <family val="1"/>
        <charset val="204"/>
      </rPr>
      <t>Z</t>
    </r>
    <r>
      <rPr>
        <b/>
        <sz val="10"/>
        <rFont val="Times New Roman"/>
        <family val="1"/>
        <charset val="204"/>
      </rPr>
      <t>0</t>
    </r>
  </si>
  <si>
    <r>
      <t>6.626 0693(11) x 10</t>
    </r>
    <r>
      <rPr>
        <vertAlign val="superscript"/>
        <sz val="10"/>
        <rFont val="Times New Roman"/>
        <family val="1"/>
        <charset val="204"/>
      </rPr>
      <t>-34</t>
    </r>
  </si>
  <si>
    <r>
      <t>4.135 667 43(35) x 10</t>
    </r>
    <r>
      <rPr>
        <vertAlign val="superscript"/>
        <sz val="10"/>
        <rFont val="Times New Roman"/>
        <family val="1"/>
        <charset val="204"/>
      </rPr>
      <t>-15</t>
    </r>
  </si>
  <si>
    <r>
      <t>1.054 571 68(18) x 10</t>
    </r>
    <r>
      <rPr>
        <vertAlign val="superscript"/>
        <sz val="10"/>
        <rFont val="Times New Roman"/>
        <family val="1"/>
        <charset val="204"/>
      </rPr>
      <t>-34</t>
    </r>
  </si>
  <si>
    <r>
      <t>6.582 119 15(56) x 10</t>
    </r>
    <r>
      <rPr>
        <vertAlign val="superscript"/>
        <sz val="10"/>
        <rFont val="Times New Roman"/>
        <family val="1"/>
        <charset val="204"/>
      </rPr>
      <t>-16</t>
    </r>
  </si>
  <si>
    <r>
      <t>1.602 176 53(14) x 10</t>
    </r>
    <r>
      <rPr>
        <vertAlign val="superscript"/>
        <sz val="10"/>
        <rFont val="Times New Roman"/>
        <family val="1"/>
        <charset val="204"/>
      </rPr>
      <t>-19</t>
    </r>
  </si>
  <si>
    <r>
      <t>2.067 833 72(18) x 10</t>
    </r>
    <r>
      <rPr>
        <vertAlign val="superscript"/>
        <sz val="10"/>
        <rFont val="Times New Roman"/>
        <family val="1"/>
        <charset val="204"/>
      </rPr>
      <t>-15</t>
    </r>
  </si>
  <si>
    <r>
      <t>6.022 1 415(10) x 10</t>
    </r>
    <r>
      <rPr>
        <vertAlign val="superscript"/>
        <sz val="10"/>
        <rFont val="Times New Roman"/>
        <family val="1"/>
        <charset val="204"/>
      </rPr>
      <t>23</t>
    </r>
  </si>
  <si>
    <r>
      <t>atomic mass constant m</t>
    </r>
    <r>
      <rPr>
        <vertAlign val="subscript"/>
        <sz val="10"/>
        <rFont val="Times New Roman"/>
        <family val="1"/>
        <charset val="204"/>
      </rPr>
      <t>u</t>
    </r>
    <r>
      <rPr>
        <sz val="10"/>
        <rFont val="Times New Roman"/>
        <family val="1"/>
        <charset val="204"/>
      </rPr>
      <t xml:space="preserve"> = Vi2m(</t>
    </r>
    <r>
      <rPr>
        <vertAlign val="superscript"/>
        <sz val="10"/>
        <rFont val="Times New Roman"/>
        <family val="1"/>
        <charset val="204"/>
      </rPr>
      <t>l2</t>
    </r>
    <r>
      <rPr>
        <sz val="10"/>
        <rFont val="Times New Roman"/>
        <family val="1"/>
        <charset val="204"/>
      </rPr>
      <t>C) = 1 u</t>
    </r>
  </si>
  <si>
    <r>
      <t>1.660 538 86(28) x 10</t>
    </r>
    <r>
      <rPr>
        <vertAlign val="superscript"/>
        <sz val="10"/>
        <rFont val="Times New Roman"/>
        <family val="1"/>
        <charset val="204"/>
      </rPr>
      <t>-27</t>
    </r>
  </si>
  <si>
    <r>
      <t>Faraday constant N</t>
    </r>
    <r>
      <rPr>
        <vertAlign val="subscript"/>
        <sz val="10"/>
        <rFont val="Times New Roman"/>
        <family val="1"/>
        <charset val="204"/>
      </rPr>
      <t>A</t>
    </r>
    <r>
      <rPr>
        <sz val="10"/>
        <rFont val="Times New Roman"/>
        <family val="1"/>
        <charset val="204"/>
      </rPr>
      <t xml:space="preserve"> e</t>
    </r>
  </si>
  <si>
    <r>
      <t>1.380 650 5(24) x 10</t>
    </r>
    <r>
      <rPr>
        <vertAlign val="superscript"/>
        <sz val="10"/>
        <rFont val="Times New Roman"/>
        <family val="1"/>
        <charset val="204"/>
      </rPr>
      <t>-23</t>
    </r>
  </si>
  <si>
    <r>
      <t>22.413 996(39) x 10</t>
    </r>
    <r>
      <rPr>
        <vertAlign val="superscript"/>
        <sz val="10"/>
        <rFont val="Times New Roman"/>
        <family val="1"/>
        <charset val="204"/>
      </rPr>
      <t>-3</t>
    </r>
  </si>
  <si>
    <r>
      <t>22.710 981(40) x 10</t>
    </r>
    <r>
      <rPr>
        <vertAlign val="superscript"/>
        <sz val="10"/>
        <rFont val="Times New Roman"/>
        <family val="1"/>
        <charset val="204"/>
      </rPr>
      <t>-3</t>
    </r>
  </si>
  <si>
    <r>
      <t>Stefan-Boltzmann constant (n</t>
    </r>
    <r>
      <rPr>
        <vertAlign val="superscript"/>
        <sz val="10"/>
        <rFont val="Times New Roman"/>
        <family val="1"/>
        <charset val="204"/>
      </rPr>
      <t>2</t>
    </r>
    <r>
      <rPr>
        <sz val="10"/>
        <rFont val="Times New Roman"/>
        <family val="1"/>
        <charset val="204"/>
      </rPr>
      <t>/60)k</t>
    </r>
    <r>
      <rPr>
        <vertAlign val="superscript"/>
        <sz val="10"/>
        <rFont val="Times New Roman"/>
        <family val="1"/>
        <charset val="204"/>
      </rPr>
      <t>4</t>
    </r>
    <r>
      <rPr>
        <sz val="10"/>
        <rFont val="Times New Roman"/>
        <family val="1"/>
        <charset val="204"/>
      </rPr>
      <t>/h</t>
    </r>
    <r>
      <rPr>
        <vertAlign val="superscript"/>
        <sz val="10"/>
        <rFont val="Times New Roman"/>
        <family val="1"/>
        <charset val="204"/>
      </rPr>
      <t>3</t>
    </r>
    <r>
      <rPr>
        <sz val="10"/>
        <rFont val="Times New Roman"/>
        <family val="1"/>
        <charset val="204"/>
      </rPr>
      <t>c</t>
    </r>
    <r>
      <rPr>
        <vertAlign val="superscript"/>
        <sz val="10"/>
        <rFont val="Times New Roman"/>
        <family val="1"/>
        <charset val="204"/>
      </rPr>
      <t>2</t>
    </r>
  </si>
  <si>
    <r>
      <t>5.670 400(40) x 10</t>
    </r>
    <r>
      <rPr>
        <vertAlign val="superscript"/>
        <sz val="10"/>
        <rFont val="Times New Roman"/>
        <family val="1"/>
        <charset val="204"/>
      </rPr>
      <t>-8</t>
    </r>
  </si>
  <si>
    <r>
      <t>Bohr magneton eh/2m</t>
    </r>
    <r>
      <rPr>
        <vertAlign val="subscript"/>
        <sz val="10"/>
        <rFont val="Times New Roman"/>
        <family val="1"/>
        <charset val="204"/>
      </rPr>
      <t>e</t>
    </r>
  </si>
  <si>
    <r>
      <t>927.400 949(80) x 10</t>
    </r>
    <r>
      <rPr>
        <vertAlign val="superscript"/>
        <sz val="10"/>
        <rFont val="Times New Roman"/>
        <family val="1"/>
        <charset val="204"/>
      </rPr>
      <t>-26</t>
    </r>
  </si>
  <si>
    <r>
      <t>5.788 381 804(39) x 10</t>
    </r>
    <r>
      <rPr>
        <vertAlign val="superscript"/>
        <sz val="10"/>
        <rFont val="Times New Roman"/>
        <family val="1"/>
        <charset val="204"/>
      </rPr>
      <t>-5</t>
    </r>
  </si>
  <si>
    <r>
      <rPr>
        <b/>
        <sz val="10"/>
        <rFont val="Symbol"/>
        <family val="1"/>
        <charset val="2"/>
      </rPr>
      <t>m</t>
    </r>
    <r>
      <rPr>
        <b/>
        <vertAlign val="subscript"/>
        <sz val="10"/>
        <rFont val="Times New Roman"/>
        <family val="1"/>
        <charset val="204"/>
      </rPr>
      <t>B</t>
    </r>
  </si>
  <si>
    <t>K</t>
  </si>
  <si>
    <r>
      <t>in eV - T</t>
    </r>
    <r>
      <rPr>
        <vertAlign val="superscript"/>
        <sz val="10"/>
        <rFont val="Times New Roman"/>
        <family val="1"/>
        <charset val="204"/>
      </rPr>
      <t>-1</t>
    </r>
    <r>
      <rPr>
        <sz val="10"/>
        <rFont val="Times New Roman"/>
        <family val="1"/>
        <charset val="204"/>
      </rPr>
      <t xml:space="preserve"> [[</t>
    </r>
    <r>
      <rPr>
        <vertAlign val="subscript"/>
        <sz val="10"/>
        <rFont val="Times New Roman"/>
        <family val="1"/>
        <charset val="204"/>
      </rPr>
      <t>B</t>
    </r>
    <r>
      <rPr>
        <sz val="10"/>
        <rFont val="Times New Roman"/>
        <family val="1"/>
        <charset val="204"/>
      </rPr>
      <t>/(J - T</t>
    </r>
    <r>
      <rPr>
        <vertAlign val="superscript"/>
        <sz val="10"/>
        <rFont val="Times New Roman"/>
        <family val="1"/>
        <charset val="204"/>
      </rPr>
      <t>-1</t>
    </r>
    <r>
      <rPr>
        <sz val="10"/>
        <rFont val="Times New Roman"/>
        <family val="1"/>
        <charset val="204"/>
      </rPr>
      <t>)](e/C)</t>
    </r>
  </si>
  <si>
    <t>J=</t>
  </si>
  <si>
    <t>S=</t>
  </si>
  <si>
    <t>L=</t>
  </si>
  <si>
    <r>
      <t>J * T</t>
    </r>
    <r>
      <rPr>
        <vertAlign val="superscript"/>
        <sz val="10"/>
        <rFont val="Times New Roman"/>
        <family val="1"/>
        <charset val="204"/>
      </rPr>
      <t>-1</t>
    </r>
  </si>
  <si>
    <r>
      <t>eV * T</t>
    </r>
    <r>
      <rPr>
        <vertAlign val="superscript"/>
        <sz val="10"/>
        <rFont val="Times New Roman"/>
        <family val="1"/>
        <charset val="204"/>
      </rPr>
      <t>-1</t>
    </r>
  </si>
  <si>
    <r>
      <t>4</t>
    </r>
    <r>
      <rPr>
        <sz val="10"/>
        <rFont val="Symbol"/>
        <family val="1"/>
        <charset val="2"/>
      </rPr>
      <t>p</t>
    </r>
    <r>
      <rPr>
        <sz val="10"/>
        <rFont val="Times New Roman"/>
        <family val="1"/>
        <charset val="204"/>
      </rPr>
      <t xml:space="preserve"> x 10</t>
    </r>
    <r>
      <rPr>
        <vertAlign val="superscript"/>
        <sz val="10"/>
        <rFont val="Times New Roman"/>
        <family val="1"/>
        <charset val="204"/>
      </rPr>
      <t>-7</t>
    </r>
    <r>
      <rPr>
        <sz val="10"/>
        <rFont val="Times New Roman"/>
        <family val="1"/>
        <charset val="204"/>
      </rPr>
      <t xml:space="preserve"> = 12.566 370 614... x 10</t>
    </r>
    <r>
      <rPr>
        <vertAlign val="superscript"/>
        <sz val="10"/>
        <rFont val="Times New Roman"/>
        <family val="1"/>
        <charset val="204"/>
      </rPr>
      <t>-7</t>
    </r>
  </si>
  <si>
    <r>
      <t>m</t>
    </r>
    <r>
      <rPr>
        <b/>
        <vertAlign val="subscript"/>
        <sz val="10"/>
        <rFont val="Times New Roman Cyr"/>
        <charset val="204"/>
      </rPr>
      <t>J</t>
    </r>
    <r>
      <rPr>
        <b/>
        <sz val="10"/>
        <rFont val="Times New Roman Cyr"/>
        <charset val="204"/>
      </rPr>
      <t>=</t>
    </r>
  </si>
  <si>
    <t>Fundamental physical constants</t>
  </si>
  <si>
    <r>
      <t>g</t>
    </r>
    <r>
      <rPr>
        <b/>
        <vertAlign val="subscript"/>
        <sz val="10"/>
        <rFont val="Times New Roman Cyr"/>
        <charset val="204"/>
      </rPr>
      <t>J</t>
    </r>
    <r>
      <rPr>
        <b/>
        <sz val="10"/>
        <rFont val="Times New Roman Cyr"/>
        <charset val="204"/>
      </rPr>
      <t>=</t>
    </r>
  </si>
  <si>
    <r>
      <t xml:space="preserve"> g</t>
    </r>
    <r>
      <rPr>
        <b/>
        <vertAlign val="subscript"/>
        <sz val="10"/>
        <rFont val="Times New Roman Cyr"/>
        <charset val="204"/>
      </rPr>
      <t>J</t>
    </r>
    <r>
      <rPr>
        <b/>
        <sz val="10"/>
        <rFont val="Times New Roman Cyr"/>
        <charset val="204"/>
      </rPr>
      <t>=</t>
    </r>
  </si>
  <si>
    <t>B, T</t>
  </si>
  <si>
    <t>-</t>
  </si>
  <si>
    <t>c=</t>
  </si>
  <si>
    <t>Å</t>
  </si>
  <si>
    <t>м</t>
  </si>
  <si>
    <r>
      <t>H/m</t>
    </r>
    <r>
      <rPr>
        <b/>
        <vertAlign val="superscript"/>
        <sz val="10"/>
        <color rgb="FFFF0000"/>
        <rFont val="Times New Roman"/>
        <family val="1"/>
        <charset val="204"/>
      </rPr>
      <t>2</t>
    </r>
  </si>
  <si>
    <t>a=</t>
  </si>
  <si>
    <t>E=</t>
  </si>
  <si>
    <t>GPa</t>
  </si>
  <si>
    <r>
      <t>Mn–O</t>
    </r>
    <r>
      <rPr>
        <b/>
        <vertAlign val="subscript"/>
        <sz val="10"/>
        <color theme="9" tint="-0.249977111117893"/>
        <rFont val="Times New Roman"/>
        <family val="1"/>
        <charset val="204"/>
      </rPr>
      <t>21</t>
    </r>
    <r>
      <rPr>
        <b/>
        <sz val="10"/>
        <color theme="9" tint="-0.249977111117893"/>
        <rFont val="Times New Roman"/>
        <family val="1"/>
        <charset val="204"/>
      </rPr>
      <t>=</t>
    </r>
  </si>
  <si>
    <r>
      <t>Mn–O</t>
    </r>
    <r>
      <rPr>
        <b/>
        <vertAlign val="subscript"/>
        <sz val="10"/>
        <color theme="9" tint="-0.249977111117893"/>
        <rFont val="Times New Roman"/>
        <family val="1"/>
        <charset val="204"/>
      </rPr>
      <t>22</t>
    </r>
    <r>
      <rPr>
        <b/>
        <sz val="10"/>
        <color theme="9" tint="-0.249977111117893"/>
        <rFont val="Times New Roman"/>
        <family val="1"/>
        <charset val="204"/>
      </rPr>
      <t>=</t>
    </r>
  </si>
  <si>
    <r>
      <t>Mn–O</t>
    </r>
    <r>
      <rPr>
        <b/>
        <vertAlign val="subscript"/>
        <sz val="10"/>
        <color theme="9" tint="-0.249977111117893"/>
        <rFont val="Times New Roman"/>
        <family val="1"/>
        <charset val="204"/>
      </rPr>
      <t>1</t>
    </r>
    <r>
      <rPr>
        <b/>
        <sz val="10"/>
        <color theme="9" tint="-0.249977111117893"/>
        <rFont val="Times New Roman"/>
        <family val="1"/>
        <charset val="204"/>
      </rPr>
      <t>=</t>
    </r>
  </si>
  <si>
    <r>
      <t>Å</t>
    </r>
    <r>
      <rPr>
        <b/>
        <vertAlign val="superscript"/>
        <sz val="10"/>
        <color theme="9" tint="-0.249977111117893"/>
        <rFont val="Times New Roman"/>
        <family val="1"/>
        <charset val="204"/>
      </rPr>
      <t>3</t>
    </r>
  </si>
  <si>
    <r>
      <t>м</t>
    </r>
    <r>
      <rPr>
        <b/>
        <vertAlign val="superscript"/>
        <sz val="10"/>
        <color theme="9" tint="-0.249977111117893"/>
        <rFont val="Times New Roman"/>
        <family val="1"/>
        <charset val="204"/>
      </rPr>
      <t>3</t>
    </r>
  </si>
  <si>
    <t>R=</t>
  </si>
  <si>
    <r>
      <t>H/</t>
    </r>
    <r>
      <rPr>
        <b/>
        <sz val="10"/>
        <color rgb="FFFF0000"/>
        <rFont val="Calibri"/>
        <family val="2"/>
        <charset val="204"/>
      </rPr>
      <t>Å</t>
    </r>
    <r>
      <rPr>
        <b/>
        <vertAlign val="superscript"/>
        <sz val="10"/>
        <color rgb="FFFF0000"/>
        <rFont val="Times New Roman"/>
        <family val="1"/>
        <charset val="204"/>
      </rPr>
      <t>2</t>
    </r>
  </si>
  <si>
    <t>B,T</t>
  </si>
  <si>
    <r>
      <t>V</t>
    </r>
    <r>
      <rPr>
        <b/>
        <vertAlign val="subscript"/>
        <sz val="10"/>
        <color theme="9" tint="-0.249977111117893"/>
        <rFont val="Times New Roman"/>
        <family val="1"/>
        <charset val="204"/>
      </rPr>
      <t>abc</t>
    </r>
    <r>
      <rPr>
        <b/>
        <sz val="10"/>
        <color theme="9" tint="-0.249977111117893"/>
        <rFont val="Times New Roman"/>
        <family val="1"/>
        <charset val="204"/>
      </rPr>
      <t>=</t>
    </r>
  </si>
  <si>
    <r>
      <t>Å</t>
    </r>
    <r>
      <rPr>
        <b/>
        <vertAlign val="superscript"/>
        <sz val="10"/>
        <color rgb="FF0070C0"/>
        <rFont val="Times New Roman"/>
        <family val="1"/>
        <charset val="204"/>
      </rPr>
      <t>3</t>
    </r>
  </si>
  <si>
    <t>P, kbar</t>
  </si>
  <si>
    <t>P, GPa</t>
  </si>
  <si>
    <r>
      <rPr>
        <b/>
        <vertAlign val="superscript"/>
        <sz val="10"/>
        <rFont val="Times New Roman"/>
        <family val="1"/>
        <charset val="204"/>
      </rPr>
      <t>N</t>
    </r>
    <r>
      <rPr>
        <b/>
        <sz val="10"/>
        <rFont val="Times New Roman"/>
        <family val="1"/>
        <charset val="204"/>
      </rPr>
      <t>A</t>
    </r>
  </si>
  <si>
    <t>diamond atomic spacing</t>
  </si>
  <si>
    <t>=</t>
  </si>
  <si>
    <t>E(P), GPa</t>
  </si>
  <si>
    <r>
      <t>h</t>
    </r>
    <r>
      <rPr>
        <b/>
        <vertAlign val="subscript"/>
        <sz val="10"/>
        <rFont val="Times New Roman"/>
        <family val="1"/>
        <charset val="204"/>
      </rPr>
      <t xml:space="preserve">A, </t>
    </r>
    <r>
      <rPr>
        <b/>
        <sz val="10"/>
        <rFont val="Times New Roman"/>
        <family val="1"/>
        <charset val="204"/>
      </rPr>
      <t>Å=</t>
    </r>
  </si>
  <si>
    <r>
      <rPr>
        <b/>
        <i/>
        <sz val="12"/>
        <color rgb="FF0070C0"/>
        <rFont val="Cambria"/>
        <family val="1"/>
        <charset val="204"/>
      </rPr>
      <t>T</t>
    </r>
    <r>
      <rPr>
        <b/>
        <vertAlign val="subscript"/>
        <sz val="12"/>
        <color rgb="FF0070C0"/>
        <rFont val="Cambria"/>
        <family val="1"/>
        <charset val="204"/>
      </rPr>
      <t>C</t>
    </r>
    <r>
      <rPr>
        <b/>
        <vertAlign val="superscript"/>
        <sz val="12"/>
        <color rgb="FF0070C0"/>
        <rFont val="Times New Roman Cyr"/>
        <charset val="204"/>
      </rPr>
      <t>A</t>
    </r>
    <r>
      <rPr>
        <b/>
        <sz val="12"/>
        <color rgb="FF0070C0"/>
        <rFont val="Times New Roman Cyr"/>
        <charset val="204"/>
      </rPr>
      <t>=</t>
    </r>
  </si>
  <si>
    <r>
      <rPr>
        <b/>
        <i/>
        <sz val="12"/>
        <color rgb="FFFF0000"/>
        <rFont val="Cambria"/>
        <family val="1"/>
        <charset val="204"/>
      </rPr>
      <t>T</t>
    </r>
    <r>
      <rPr>
        <b/>
        <vertAlign val="subscript"/>
        <sz val="12"/>
        <color rgb="FFFF0000"/>
        <rFont val="Cambria"/>
        <family val="1"/>
        <charset val="204"/>
      </rPr>
      <t>C</t>
    </r>
    <r>
      <rPr>
        <b/>
        <vertAlign val="superscript"/>
        <sz val="12"/>
        <color rgb="FFFF0000"/>
        <rFont val="Times New Roman Cyr"/>
        <charset val="204"/>
      </rPr>
      <t>B</t>
    </r>
    <r>
      <rPr>
        <b/>
        <sz val="12"/>
        <color rgb="FFFF0000"/>
        <rFont val="Times New Roman Cyr"/>
        <charset val="204"/>
      </rPr>
      <t>=</t>
    </r>
  </si>
  <si>
    <r>
      <t>Å</t>
    </r>
    <r>
      <rPr>
        <b/>
        <vertAlign val="superscript"/>
        <sz val="10"/>
        <color rgb="FFFF0000"/>
        <rFont val="Times New Roman"/>
        <family val="1"/>
        <charset val="204"/>
      </rPr>
      <t>3</t>
    </r>
  </si>
  <si>
    <r>
      <rPr>
        <b/>
        <i/>
        <sz val="12"/>
        <color rgb="FFFF0000"/>
        <rFont val="Times New Roman Cyr"/>
        <charset val="204"/>
      </rPr>
      <t>T</t>
    </r>
    <r>
      <rPr>
        <b/>
        <vertAlign val="subscript"/>
        <sz val="12"/>
        <color rgb="FFFF0000"/>
        <rFont val="Times New Roman Cyr"/>
        <charset val="204"/>
      </rPr>
      <t>C</t>
    </r>
  </si>
  <si>
    <r>
      <rPr>
        <b/>
        <i/>
        <sz val="12"/>
        <color rgb="FF00B050"/>
        <rFont val="Cambria"/>
        <family val="1"/>
        <charset val="204"/>
      </rPr>
      <t>T</t>
    </r>
    <r>
      <rPr>
        <b/>
        <vertAlign val="subscript"/>
        <sz val="12"/>
        <color rgb="FF00B050"/>
        <rFont val="Cambria"/>
        <family val="1"/>
        <charset val="204"/>
      </rPr>
      <t>C</t>
    </r>
    <r>
      <rPr>
        <b/>
        <sz val="12"/>
        <rFont val="Times New Roman Cyr"/>
        <charset val="204"/>
      </rPr>
      <t>(V)</t>
    </r>
  </si>
  <si>
    <r>
      <t>V(</t>
    </r>
    <r>
      <rPr>
        <b/>
        <i/>
        <sz val="12"/>
        <rFont val="Times New Roman Cyr"/>
        <charset val="204"/>
      </rPr>
      <t>h</t>
    </r>
    <r>
      <rPr>
        <b/>
        <sz val="12"/>
        <rFont val="Times New Roman Cyr"/>
        <charset val="204"/>
      </rPr>
      <t>)</t>
    </r>
  </si>
  <si>
    <r>
      <rPr>
        <b/>
        <sz val="10"/>
        <rFont val="Symbol"/>
        <family val="1"/>
        <charset val="2"/>
      </rPr>
      <t>D</t>
    </r>
    <r>
      <rPr>
        <b/>
        <i/>
        <sz val="10"/>
        <rFont val="Times New Roman Cyr"/>
        <charset val="204"/>
      </rPr>
      <t>T</t>
    </r>
    <r>
      <rPr>
        <b/>
        <vertAlign val="subscript"/>
        <sz val="10"/>
        <rFont val="Times New Roman Cyr"/>
        <charset val="204"/>
      </rPr>
      <t xml:space="preserve">C </t>
    </r>
    <r>
      <rPr>
        <b/>
        <sz val="10"/>
        <rFont val="Times New Roman Cyr"/>
        <charset val="204"/>
      </rPr>
      <t>=</t>
    </r>
  </si>
  <si>
    <r>
      <rPr>
        <b/>
        <sz val="10"/>
        <rFont val="Symbol"/>
        <family val="1"/>
        <charset val="2"/>
      </rPr>
      <t>D</t>
    </r>
    <r>
      <rPr>
        <b/>
        <i/>
        <sz val="10"/>
        <rFont val="Times New Roman Cyr"/>
        <charset val="204"/>
      </rPr>
      <t>T</t>
    </r>
    <r>
      <rPr>
        <b/>
        <vertAlign val="subscript"/>
        <sz val="10"/>
        <rFont val="Times New Roman Cyr"/>
        <charset val="204"/>
      </rPr>
      <t>C</t>
    </r>
    <r>
      <rPr>
        <b/>
        <vertAlign val="superscript"/>
        <sz val="10"/>
        <rFont val="Times New Roman Cyr"/>
        <charset val="204"/>
      </rPr>
      <t xml:space="preserve">2 </t>
    </r>
    <r>
      <rPr>
        <b/>
        <sz val="10"/>
        <rFont val="Times New Roman Cyr"/>
        <charset val="204"/>
      </rPr>
      <t>=</t>
    </r>
  </si>
  <si>
    <r>
      <rPr>
        <b/>
        <i/>
        <sz val="12"/>
        <color rgb="FFFF0000"/>
        <rFont val="Times New Roman Cyr"/>
        <charset val="204"/>
      </rPr>
      <t>V(h</t>
    </r>
    <r>
      <rPr>
        <b/>
        <vertAlign val="subscript"/>
        <sz val="12"/>
        <color rgb="FFFF0000"/>
        <rFont val="Times New Roman Cyr"/>
        <charset val="204"/>
      </rPr>
      <t>B</t>
    </r>
    <r>
      <rPr>
        <b/>
        <sz val="12"/>
        <color rgb="FFFF0000"/>
        <rFont val="Times New Roman Cyr"/>
        <charset val="204"/>
      </rPr>
      <t>) =</t>
    </r>
  </si>
  <si>
    <r>
      <rPr>
        <b/>
        <i/>
        <sz val="12"/>
        <color rgb="FF0070C0"/>
        <rFont val="Times New Roman Cyr"/>
        <charset val="204"/>
      </rPr>
      <t>V(h</t>
    </r>
    <r>
      <rPr>
        <b/>
        <vertAlign val="subscript"/>
        <sz val="12"/>
        <color rgb="FF0070C0"/>
        <rFont val="Times New Roman Cyr"/>
        <charset val="204"/>
      </rPr>
      <t>A</t>
    </r>
    <r>
      <rPr>
        <b/>
        <sz val="12"/>
        <color rgb="FF0070C0"/>
        <rFont val="Times New Roman Cyr"/>
        <charset val="204"/>
      </rPr>
      <t>) =</t>
    </r>
  </si>
  <si>
    <r>
      <rPr>
        <b/>
        <i/>
        <sz val="12"/>
        <color rgb="FF0070C0"/>
        <rFont val="Times New Roman Cyr"/>
        <charset val="204"/>
      </rPr>
      <t>h</t>
    </r>
    <r>
      <rPr>
        <b/>
        <vertAlign val="subscript"/>
        <sz val="12"/>
        <color rgb="FF0070C0"/>
        <rFont val="Times New Roman Cyr"/>
        <charset val="204"/>
      </rPr>
      <t xml:space="preserve">A </t>
    </r>
    <r>
      <rPr>
        <b/>
        <sz val="12"/>
        <color rgb="FF0070C0"/>
        <rFont val="Times New Roman Cyr"/>
        <charset val="204"/>
      </rPr>
      <t>=</t>
    </r>
  </si>
  <si>
    <r>
      <rPr>
        <b/>
        <i/>
        <sz val="12"/>
        <color rgb="FFFF0000"/>
        <rFont val="Times New Roman Cyr"/>
        <charset val="204"/>
      </rPr>
      <t>h</t>
    </r>
    <r>
      <rPr>
        <b/>
        <vertAlign val="subscript"/>
        <sz val="12"/>
        <color rgb="FFFF0000"/>
        <rFont val="Times New Roman Cyr"/>
        <charset val="204"/>
      </rPr>
      <t xml:space="preserve">B </t>
    </r>
    <r>
      <rPr>
        <b/>
        <sz val="12"/>
        <color rgb="FFFF0000"/>
        <rFont val="Times New Roman Cyr"/>
        <charset val="204"/>
      </rPr>
      <t>=</t>
    </r>
  </si>
  <si>
    <r>
      <t>V(</t>
    </r>
    <r>
      <rPr>
        <b/>
        <i/>
        <sz val="16"/>
        <color rgb="FFFF0000"/>
        <rFont val="Times New Roman Cyr"/>
        <charset val="204"/>
      </rPr>
      <t>h</t>
    </r>
    <r>
      <rPr>
        <b/>
        <sz val="16"/>
        <color rgb="FFFF0000"/>
        <rFont val="Times New Roman Cyr"/>
        <charset val="204"/>
      </rPr>
      <t>)=2</t>
    </r>
    <r>
      <rPr>
        <b/>
        <sz val="16"/>
        <color rgb="FFFF0000"/>
        <rFont val="Symbol"/>
        <family val="1"/>
        <charset val="2"/>
      </rPr>
      <t>p</t>
    </r>
    <r>
      <rPr>
        <b/>
        <i/>
        <sz val="16"/>
        <color rgb="FFFF0000"/>
        <rFont val="Times New Roman"/>
        <family val="1"/>
        <charset val="204"/>
      </rPr>
      <t>h</t>
    </r>
    <r>
      <rPr>
        <b/>
        <vertAlign val="superscript"/>
        <sz val="16"/>
        <color rgb="FFFF0000"/>
        <rFont val="Times New Roman"/>
        <family val="1"/>
        <charset val="204"/>
      </rPr>
      <t>2</t>
    </r>
    <r>
      <rPr>
        <b/>
        <sz val="16"/>
        <color rgb="FFFF0000"/>
        <rFont val="Times New Roman Cyr"/>
        <charset val="204"/>
      </rPr>
      <t>(R-</t>
    </r>
    <r>
      <rPr>
        <b/>
        <i/>
        <sz val="16"/>
        <color rgb="FFFF0000"/>
        <rFont val="Times New Roman Cyr"/>
        <charset val="204"/>
      </rPr>
      <t>h</t>
    </r>
    <r>
      <rPr>
        <b/>
        <sz val="16"/>
        <color rgb="FFFF0000"/>
        <rFont val="Times New Roman Cyr"/>
        <charset val="204"/>
      </rPr>
      <t>/3)</t>
    </r>
  </si>
  <si>
    <t>DIAMOND'S MELTING-POINT CALCULATION</t>
  </si>
  <si>
    <r>
      <rPr>
        <b/>
        <sz val="28"/>
        <color rgb="FFC00000"/>
        <rFont val="Times New Roman Cyr"/>
        <charset val="204"/>
      </rPr>
      <t>A</t>
    </r>
    <r>
      <rPr>
        <b/>
        <sz val="28"/>
        <color rgb="FFFF0000"/>
        <rFont val="Times New Roman Cyr"/>
        <charset val="204"/>
      </rPr>
      <t xml:space="preserve">C </t>
    </r>
    <r>
      <rPr>
        <b/>
        <sz val="28"/>
        <color rgb="FF00B050"/>
        <rFont val="Times New Roman Cyr"/>
        <charset val="204"/>
      </rPr>
      <t>F</t>
    </r>
    <r>
      <rPr>
        <b/>
        <sz val="28"/>
        <color rgb="FF0070C0"/>
        <rFont val="Times New Roman Cyr"/>
        <charset val="204"/>
      </rPr>
      <t>I</t>
    </r>
    <r>
      <rPr>
        <b/>
        <sz val="28"/>
        <color rgb="FF002060"/>
        <rFont val="Times New Roman Cyr"/>
        <charset val="204"/>
      </rPr>
      <t>T</t>
    </r>
    <r>
      <rPr>
        <b/>
        <sz val="28"/>
        <color rgb="FF7030A0"/>
        <rFont val="Times New Roman Cyr"/>
        <charset val="204"/>
      </rPr>
      <t>:</t>
    </r>
  </si>
  <si>
    <r>
      <rPr>
        <b/>
        <sz val="11"/>
        <color rgb="FF00B050"/>
        <rFont val="Symbol"/>
        <family val="1"/>
        <charset val="2"/>
      </rPr>
      <t>D</t>
    </r>
    <r>
      <rPr>
        <b/>
        <i/>
        <sz val="11"/>
        <color rgb="FF00B050"/>
        <rFont val="Cambria"/>
        <family val="1"/>
        <charset val="204"/>
      </rPr>
      <t>T</t>
    </r>
    <r>
      <rPr>
        <b/>
        <vertAlign val="subscript"/>
        <sz val="11"/>
        <color rgb="FF00B050"/>
        <rFont val="Cambria"/>
        <family val="1"/>
        <charset val="204"/>
      </rPr>
      <t>C</t>
    </r>
  </si>
  <si>
    <r>
      <rPr>
        <b/>
        <sz val="20"/>
        <color rgb="FF7030A0"/>
        <rFont val="Times New Roman Cyr"/>
        <charset val="204"/>
      </rPr>
      <t>B</t>
    </r>
    <r>
      <rPr>
        <b/>
        <sz val="20"/>
        <color rgb="FF002060"/>
        <rFont val="Times New Roman Cyr"/>
        <charset val="204"/>
      </rPr>
      <t>C</t>
    </r>
    <r>
      <rPr>
        <b/>
        <sz val="20"/>
        <color rgb="FFFF0000"/>
        <rFont val="Times New Roman Cyr"/>
        <charset val="204"/>
      </rPr>
      <t xml:space="preserve"> </t>
    </r>
    <r>
      <rPr>
        <b/>
        <sz val="20"/>
        <color theme="6" tint="-0.249977111117893"/>
        <rFont val="Times New Roman Cyr"/>
        <charset val="204"/>
      </rPr>
      <t>F</t>
    </r>
    <r>
      <rPr>
        <b/>
        <sz val="20"/>
        <color theme="9" tint="-0.249977111117893"/>
        <rFont val="Times New Roman Cyr"/>
        <charset val="204"/>
      </rPr>
      <t>I</t>
    </r>
    <r>
      <rPr>
        <b/>
        <sz val="20"/>
        <color rgb="FFFF0000"/>
        <rFont val="Times New Roman Cyr"/>
        <charset val="204"/>
      </rPr>
      <t>T</t>
    </r>
    <r>
      <rPr>
        <b/>
        <sz val="20"/>
        <color rgb="FFC00000"/>
        <rFont val="Times New Roman Cyr"/>
        <charset val="204"/>
      </rPr>
      <t>:</t>
    </r>
  </si>
  <si>
    <r>
      <t>V(</t>
    </r>
    <r>
      <rPr>
        <b/>
        <i/>
        <sz val="16"/>
        <rFont val="Times New Roman Cyr"/>
        <charset val="204"/>
      </rPr>
      <t>h</t>
    </r>
    <r>
      <rPr>
        <b/>
        <sz val="16"/>
        <rFont val="Times New Roman Cyr"/>
        <charset val="204"/>
      </rPr>
      <t>)=2</t>
    </r>
    <r>
      <rPr>
        <b/>
        <sz val="16"/>
        <rFont val="Symbol"/>
        <family val="1"/>
        <charset val="2"/>
      </rPr>
      <t>p</t>
    </r>
    <r>
      <rPr>
        <b/>
        <i/>
        <sz val="16"/>
        <rFont val="Times New Roman"/>
        <family val="1"/>
        <charset val="204"/>
      </rPr>
      <t>h</t>
    </r>
    <r>
      <rPr>
        <b/>
        <vertAlign val="superscript"/>
        <sz val="16"/>
        <rFont val="Times New Roman"/>
        <family val="1"/>
        <charset val="204"/>
      </rPr>
      <t>2</t>
    </r>
    <r>
      <rPr>
        <b/>
        <sz val="16"/>
        <rFont val="Times New Roman Cyr"/>
        <charset val="204"/>
      </rPr>
      <t>(R-</t>
    </r>
    <r>
      <rPr>
        <b/>
        <i/>
        <sz val="16"/>
        <rFont val="Times New Roman Cyr"/>
        <charset val="204"/>
      </rPr>
      <t>h</t>
    </r>
    <r>
      <rPr>
        <b/>
        <sz val="16"/>
        <rFont val="Times New Roman Cyr"/>
        <charset val="204"/>
      </rPr>
      <t xml:space="preserve">/3), </t>
    </r>
    <r>
      <rPr>
        <b/>
        <sz val="16"/>
        <rFont val="Calibri"/>
        <family val="2"/>
        <charset val="204"/>
      </rPr>
      <t>Å</t>
    </r>
    <r>
      <rPr>
        <b/>
        <vertAlign val="superscript"/>
        <sz val="16"/>
        <rFont val="Times New Roman Cyr"/>
        <charset val="204"/>
      </rPr>
      <t>3</t>
    </r>
  </si>
  <si>
    <r>
      <rPr>
        <b/>
        <i/>
        <sz val="12"/>
        <color rgb="FFFF0000"/>
        <rFont val="Times New Roman Cyr"/>
        <charset val="204"/>
      </rPr>
      <t>T</t>
    </r>
    <r>
      <rPr>
        <b/>
        <vertAlign val="subscript"/>
        <sz val="12"/>
        <color rgb="FFFF0000"/>
        <rFont val="Times New Roman Cyr"/>
        <charset val="204"/>
      </rPr>
      <t>C</t>
    </r>
    <r>
      <rPr>
        <b/>
        <sz val="12"/>
        <color rgb="FFFF0000"/>
        <rFont val="Times New Roman Cyr"/>
        <charset val="204"/>
      </rPr>
      <t>, K</t>
    </r>
    <r>
      <rPr>
        <b/>
        <sz val="12"/>
        <rFont val="Times New Roman Cyr"/>
        <charset val="204"/>
      </rPr>
      <t xml:space="preserve"> </t>
    </r>
  </si>
  <si>
    <r>
      <rPr>
        <b/>
        <sz val="12"/>
        <color rgb="FF0070C0"/>
        <rFont val="Symbol"/>
        <family val="1"/>
        <charset val="2"/>
      </rPr>
      <t>D</t>
    </r>
    <r>
      <rPr>
        <b/>
        <i/>
        <sz val="12"/>
        <color rgb="FF0070C0"/>
        <rFont val="Cambria"/>
        <family val="1"/>
        <charset val="204"/>
      </rPr>
      <t>T</t>
    </r>
    <r>
      <rPr>
        <b/>
        <vertAlign val="subscript"/>
        <sz val="12"/>
        <color rgb="FF0070C0"/>
        <rFont val="Cambria"/>
        <family val="1"/>
        <charset val="204"/>
      </rPr>
      <t>C</t>
    </r>
  </si>
  <si>
    <r>
      <rPr>
        <b/>
        <i/>
        <sz val="14"/>
        <color rgb="FF00B050"/>
        <rFont val="Times New Roman Cyr"/>
        <charset val="204"/>
      </rPr>
      <t>T</t>
    </r>
    <r>
      <rPr>
        <b/>
        <vertAlign val="subscript"/>
        <sz val="14"/>
        <color rgb="FF00B050"/>
        <rFont val="Times New Roman Cyr"/>
        <charset val="204"/>
      </rPr>
      <t>C</t>
    </r>
    <r>
      <rPr>
        <b/>
        <sz val="14"/>
        <color rgb="FF00B050"/>
        <rFont val="Times New Roman Cyr"/>
        <charset val="204"/>
      </rPr>
      <t xml:space="preserve">, K </t>
    </r>
  </si>
  <si>
    <t>TEMPERATURE PRESSIRE CHART FIT:</t>
  </si>
  <si>
    <r>
      <t>V(h)=2</t>
    </r>
    <r>
      <rPr>
        <b/>
        <sz val="20"/>
        <color theme="0"/>
        <rFont val="Symbol"/>
        <family val="1"/>
        <charset val="2"/>
      </rPr>
      <t>p</t>
    </r>
    <r>
      <rPr>
        <b/>
        <sz val="20"/>
        <color theme="0"/>
        <rFont val="Times New Roman"/>
        <family val="1"/>
        <charset val="204"/>
      </rPr>
      <t>h</t>
    </r>
    <r>
      <rPr>
        <b/>
        <vertAlign val="superscript"/>
        <sz val="20"/>
        <color theme="0"/>
        <rFont val="Times New Roman"/>
        <family val="1"/>
        <charset val="204"/>
      </rPr>
      <t>2</t>
    </r>
    <r>
      <rPr>
        <b/>
        <sz val="20"/>
        <color theme="0"/>
        <rFont val="Times New Roman Cyr"/>
        <charset val="204"/>
      </rPr>
      <t xml:space="preserve">(R-h/3), </t>
    </r>
    <r>
      <rPr>
        <b/>
        <sz val="20"/>
        <color theme="0"/>
        <rFont val="Calibri"/>
        <family val="2"/>
        <charset val="204"/>
      </rPr>
      <t>Å</t>
    </r>
    <r>
      <rPr>
        <b/>
        <vertAlign val="superscript"/>
        <sz val="20"/>
        <color theme="0"/>
        <rFont val="Times New Roman Cyr"/>
        <charset val="204"/>
      </rPr>
      <t>3</t>
    </r>
  </si>
  <si>
    <r>
      <rPr>
        <b/>
        <i/>
        <sz val="12"/>
        <rFont val="Times New Roman Cyr"/>
        <charset val="204"/>
      </rPr>
      <t>h</t>
    </r>
    <r>
      <rPr>
        <b/>
        <vertAlign val="subscript"/>
        <sz val="12"/>
        <rFont val="Times New Roman"/>
        <family val="1"/>
        <charset val="204"/>
      </rPr>
      <t>,</t>
    </r>
    <r>
      <rPr>
        <b/>
        <sz val="12"/>
        <rFont val="Times New Roman"/>
        <family val="1"/>
        <charset val="204"/>
      </rPr>
      <t xml:space="preserve"> </t>
    </r>
    <r>
      <rPr>
        <b/>
        <sz val="12"/>
        <rFont val="Calibri"/>
        <family val="2"/>
        <charset val="204"/>
      </rPr>
      <t>Å</t>
    </r>
  </si>
  <si>
    <r>
      <t>V(</t>
    </r>
    <r>
      <rPr>
        <b/>
        <i/>
        <sz val="12"/>
        <rFont val="Times New Roman Cyr"/>
        <charset val="204"/>
      </rPr>
      <t>h</t>
    </r>
    <r>
      <rPr>
        <b/>
        <sz val="12"/>
        <rFont val="Times New Roman Cyr"/>
        <charset val="204"/>
      </rPr>
      <t xml:space="preserve">), </t>
    </r>
    <r>
      <rPr>
        <b/>
        <sz val="12"/>
        <rFont val="Calibri"/>
        <family val="2"/>
        <charset val="204"/>
      </rPr>
      <t>Å</t>
    </r>
    <r>
      <rPr>
        <b/>
        <vertAlign val="superscript"/>
        <sz val="12"/>
        <rFont val="Times New Roman Cyr"/>
        <charset val="204"/>
      </rPr>
      <t>3</t>
    </r>
  </si>
  <si>
    <r>
      <rPr>
        <b/>
        <i/>
        <sz val="14"/>
        <color rgb="FFFF0000"/>
        <rFont val="Times New Roman Cyr"/>
        <charset val="204"/>
      </rPr>
      <t>T</t>
    </r>
    <r>
      <rPr>
        <b/>
        <vertAlign val="subscript"/>
        <sz val="14"/>
        <color rgb="FFFF0000"/>
        <rFont val="Times New Roman Cyr"/>
        <charset val="204"/>
      </rPr>
      <t>C</t>
    </r>
    <r>
      <rPr>
        <b/>
        <sz val="14"/>
        <color rgb="FFFF0000"/>
        <rFont val="Times New Roman Cyr"/>
        <charset val="204"/>
      </rPr>
      <t>, K</t>
    </r>
    <r>
      <rPr>
        <b/>
        <sz val="14"/>
        <rFont val="Times New Roman Cyr"/>
        <charset val="204"/>
      </rPr>
      <t xml:space="preserve"> </t>
    </r>
  </si>
  <si>
    <r>
      <t>E(P)=k*P</t>
    </r>
    <r>
      <rPr>
        <b/>
        <vertAlign val="superscript"/>
        <sz val="16"/>
        <color theme="0"/>
        <rFont val="Symbol"/>
        <family val="1"/>
        <charset val="2"/>
      </rPr>
      <t>a</t>
    </r>
    <r>
      <rPr>
        <b/>
        <sz val="16"/>
        <color theme="0"/>
        <rFont val="Times New Roman Cyr"/>
        <charset val="204"/>
      </rPr>
      <t>+E</t>
    </r>
    <r>
      <rPr>
        <b/>
        <vertAlign val="subscript"/>
        <sz val="16"/>
        <color theme="0"/>
        <rFont val="Times New Roman Cyr"/>
        <charset val="204"/>
      </rPr>
      <t>0</t>
    </r>
    <r>
      <rPr>
        <b/>
        <sz val="16"/>
        <color theme="0"/>
        <rFont val="Times New Roman Cyr"/>
        <charset val="204"/>
      </rPr>
      <t>, GPa</t>
    </r>
  </si>
  <si>
    <r>
      <rPr>
        <b/>
        <sz val="16"/>
        <color theme="0"/>
        <rFont val="Symbol"/>
        <family val="1"/>
        <charset val="2"/>
      </rPr>
      <t>a</t>
    </r>
    <r>
      <rPr>
        <b/>
        <sz val="16"/>
        <color theme="0"/>
        <rFont val="Times New Roman Cyr"/>
        <charset val="204"/>
      </rPr>
      <t>=</t>
    </r>
  </si>
  <si>
    <r>
      <t>E</t>
    </r>
    <r>
      <rPr>
        <b/>
        <vertAlign val="subscript"/>
        <sz val="16"/>
        <color theme="0"/>
        <rFont val="Times New Roman Cyr"/>
        <charset val="204"/>
      </rPr>
      <t xml:space="preserve">0 </t>
    </r>
    <r>
      <rPr>
        <b/>
        <sz val="16"/>
        <color theme="0"/>
        <rFont val="Times New Roman Cyr"/>
        <charset val="204"/>
      </rPr>
      <t>=</t>
    </r>
  </si>
  <si>
    <r>
      <t>h=h</t>
    </r>
    <r>
      <rPr>
        <b/>
        <vertAlign val="subscript"/>
        <sz val="22"/>
        <color theme="0"/>
        <rFont val="Times New Roman Cyr"/>
        <charset val="204"/>
      </rPr>
      <t>B</t>
    </r>
    <r>
      <rPr>
        <b/>
        <sz val="22"/>
        <color theme="0"/>
        <rFont val="Times New Roman Cyr"/>
        <charset val="204"/>
      </rPr>
      <t>+rP</t>
    </r>
    <r>
      <rPr>
        <b/>
        <sz val="22"/>
        <color theme="0"/>
        <rFont val="Symbol"/>
        <family val="1"/>
        <charset val="2"/>
      </rPr>
      <t>/</t>
    </r>
    <r>
      <rPr>
        <b/>
        <sz val="22"/>
        <color theme="0"/>
        <rFont val="Times New Roman"/>
        <family val="1"/>
        <charset val="204"/>
      </rPr>
      <t>E(P)</t>
    </r>
    <r>
      <rPr>
        <b/>
        <vertAlign val="subscript"/>
        <sz val="22"/>
        <color theme="0"/>
        <rFont val="Times New Roman"/>
        <family val="1"/>
        <charset val="204"/>
      </rPr>
      <t>,</t>
    </r>
    <r>
      <rPr>
        <b/>
        <sz val="22"/>
        <color theme="0"/>
        <rFont val="Times New Roman"/>
        <family val="1"/>
        <charset val="204"/>
      </rPr>
      <t xml:space="preserve"> </t>
    </r>
    <r>
      <rPr>
        <b/>
        <sz val="22"/>
        <color theme="0"/>
        <rFont val="Calibri"/>
        <family val="2"/>
        <charset val="204"/>
      </rPr>
      <t>Å</t>
    </r>
  </si>
  <si>
    <r>
      <t>K/m</t>
    </r>
    <r>
      <rPr>
        <b/>
        <vertAlign val="superscript"/>
        <sz val="10"/>
        <color theme="0"/>
        <rFont val="Times New Roman Cyr"/>
        <charset val="204"/>
      </rPr>
      <t>3</t>
    </r>
  </si>
  <si>
    <r>
      <t>eV/</t>
    </r>
    <r>
      <rPr>
        <b/>
        <sz val="10"/>
        <color theme="0"/>
        <rFont val="Calibri"/>
        <family val="2"/>
        <charset val="204"/>
      </rPr>
      <t>Å</t>
    </r>
    <r>
      <rPr>
        <b/>
        <vertAlign val="superscript"/>
        <sz val="10"/>
        <color theme="0"/>
        <rFont val="Times New Roman Cyr"/>
        <charset val="204"/>
      </rPr>
      <t>3</t>
    </r>
  </si>
  <si>
    <r>
      <rPr>
        <b/>
        <sz val="10"/>
        <color theme="0"/>
        <rFont val="Calibri"/>
        <family val="2"/>
        <charset val="204"/>
      </rPr>
      <t>m</t>
    </r>
    <r>
      <rPr>
        <b/>
        <vertAlign val="superscript"/>
        <sz val="10"/>
        <color theme="0"/>
        <rFont val="Times New Roman Cyr"/>
        <charset val="204"/>
      </rPr>
      <t>3</t>
    </r>
    <r>
      <rPr>
        <b/>
        <sz val="10"/>
        <color theme="0"/>
        <rFont val="Times New Roman Cyr"/>
        <charset val="204"/>
      </rPr>
      <t>/K</t>
    </r>
  </si>
  <si>
    <r>
      <rPr>
        <b/>
        <sz val="10"/>
        <color theme="0"/>
        <rFont val="Calibri"/>
        <family val="2"/>
        <charset val="204"/>
      </rPr>
      <t>Å</t>
    </r>
    <r>
      <rPr>
        <b/>
        <vertAlign val="superscript"/>
        <sz val="10"/>
        <color theme="0"/>
        <rFont val="Times New Roman Cyr"/>
        <charset val="204"/>
      </rPr>
      <t>3</t>
    </r>
    <r>
      <rPr>
        <b/>
        <sz val="10"/>
        <color theme="0"/>
        <rFont val="Times New Roman Cyr"/>
        <charset val="204"/>
      </rPr>
      <t>/eV</t>
    </r>
  </si>
  <si>
    <r>
      <t>K/</t>
    </r>
    <r>
      <rPr>
        <b/>
        <sz val="10"/>
        <rFont val="Calibri"/>
        <family val="2"/>
        <charset val="204"/>
      </rPr>
      <t>Å</t>
    </r>
    <r>
      <rPr>
        <b/>
        <vertAlign val="superscript"/>
        <sz val="10"/>
        <rFont val="Times New Roman Cyr"/>
        <charset val="204"/>
      </rPr>
      <t>3</t>
    </r>
  </si>
  <si>
    <r>
      <rPr>
        <b/>
        <sz val="10"/>
        <rFont val="Calibri"/>
        <family val="2"/>
        <charset val="204"/>
      </rPr>
      <t>Å</t>
    </r>
    <r>
      <rPr>
        <b/>
        <vertAlign val="superscript"/>
        <sz val="10"/>
        <rFont val="Times New Roman Cyr"/>
        <charset val="204"/>
      </rPr>
      <t>3</t>
    </r>
    <r>
      <rPr>
        <b/>
        <sz val="10"/>
        <rFont val="Times New Roman Cyr"/>
        <charset val="204"/>
      </rPr>
      <t>/K</t>
    </r>
  </si>
  <si>
    <r>
      <t>J/</t>
    </r>
    <r>
      <rPr>
        <b/>
        <sz val="10"/>
        <rFont val="Calibri"/>
        <family val="2"/>
        <charset val="204"/>
      </rPr>
      <t>Å</t>
    </r>
    <r>
      <rPr>
        <b/>
        <vertAlign val="superscript"/>
        <sz val="10"/>
        <rFont val="Times New Roman Cyr"/>
        <charset val="204"/>
      </rPr>
      <t>3</t>
    </r>
  </si>
  <si>
    <r>
      <rPr>
        <b/>
        <sz val="10"/>
        <rFont val="Calibri"/>
        <family val="2"/>
        <charset val="204"/>
      </rPr>
      <t>Å</t>
    </r>
    <r>
      <rPr>
        <b/>
        <vertAlign val="superscript"/>
        <sz val="10"/>
        <rFont val="Times New Roman Cyr"/>
        <charset val="204"/>
      </rPr>
      <t>3</t>
    </r>
    <r>
      <rPr>
        <b/>
        <sz val="10"/>
        <rFont val="Times New Roman Cyr"/>
        <charset val="204"/>
      </rPr>
      <t>/J</t>
    </r>
  </si>
  <si>
    <r>
      <t xml:space="preserve">P, </t>
    </r>
    <r>
      <rPr>
        <b/>
        <sz val="10"/>
        <rFont val="Times New Roman"/>
        <family val="1"/>
        <charset val="204"/>
      </rPr>
      <t>Pa</t>
    </r>
  </si>
  <si>
    <r>
      <t>1 A</t>
    </r>
    <r>
      <rPr>
        <b/>
        <vertAlign val="superscript"/>
        <sz val="14"/>
        <color theme="0"/>
        <rFont val="Times New Roman"/>
        <family val="1"/>
        <charset val="204"/>
      </rPr>
      <t>0</t>
    </r>
  </si>
  <si>
    <t>p-orbirals overlapping in diamond</t>
  </si>
  <si>
    <t>EXPERIMENT</t>
  </si>
  <si>
    <t xml:space="preserve">methane's spacing </t>
  </si>
  <si>
    <t xml:space="preserve">Overlapping in Hydrogen's molecule </t>
  </si>
  <si>
    <t>DIFFERENCE</t>
  </si>
  <si>
    <r>
      <rPr>
        <b/>
        <vertAlign val="superscript"/>
        <sz val="10"/>
        <rFont val="Times New Roman Cyr"/>
        <charset val="204"/>
      </rPr>
      <t>0</t>
    </r>
    <r>
      <rPr>
        <b/>
        <sz val="10"/>
        <rFont val="Times New Roman Cyr"/>
        <charset val="204"/>
      </rPr>
      <t>C</t>
    </r>
  </si>
  <si>
    <r>
      <t xml:space="preserve"> </t>
    </r>
    <r>
      <rPr>
        <b/>
        <i/>
        <sz val="11"/>
        <rFont val="Times New Roman Cyr"/>
        <charset val="204"/>
      </rPr>
      <t>R</t>
    </r>
    <r>
      <rPr>
        <b/>
        <sz val="11"/>
        <rFont val="Times New Roman Cyr"/>
        <charset val="204"/>
      </rPr>
      <t xml:space="preserve"> = </t>
    </r>
    <r>
      <rPr>
        <b/>
        <i/>
        <sz val="11"/>
        <rFont val="Times New Roman Cyr"/>
        <charset val="204"/>
      </rPr>
      <t>r</t>
    </r>
    <r>
      <rPr>
        <b/>
        <i/>
        <vertAlign val="subscript"/>
        <sz val="10"/>
        <rFont val="Times New Roman Cyr"/>
        <charset val="204"/>
      </rPr>
      <t>p</t>
    </r>
    <r>
      <rPr>
        <b/>
        <sz val="11"/>
        <rFont val="Times New Roman Cyr"/>
        <charset val="204"/>
      </rPr>
      <t>/4 =</t>
    </r>
  </si>
  <si>
    <r>
      <rPr>
        <b/>
        <i/>
        <sz val="12"/>
        <rFont val="Times New Roman Cyr"/>
        <charset val="204"/>
      </rPr>
      <t>r</t>
    </r>
    <r>
      <rPr>
        <b/>
        <i/>
        <vertAlign val="subscript"/>
        <sz val="10"/>
        <rFont val="Times New Roman Cyr"/>
        <charset val="204"/>
      </rPr>
      <t>p</t>
    </r>
    <r>
      <rPr>
        <b/>
        <vertAlign val="subscript"/>
        <sz val="14"/>
        <rFont val="Times New Roman Cyr"/>
        <charset val="204"/>
      </rPr>
      <t xml:space="preserve"> </t>
    </r>
    <r>
      <rPr>
        <b/>
        <sz val="14"/>
        <rFont val="Times New Roman Cyr"/>
        <charset val="204"/>
      </rPr>
      <t>=</t>
    </r>
    <r>
      <rPr>
        <b/>
        <i/>
        <sz val="12"/>
        <rFont val="Times New Roman Cyr"/>
        <charset val="204"/>
      </rPr>
      <t>r</t>
    </r>
    <r>
      <rPr>
        <b/>
        <vertAlign val="subscript"/>
        <sz val="10"/>
        <rFont val="Times New Roman Cyr"/>
        <charset val="204"/>
      </rPr>
      <t>C-H</t>
    </r>
    <r>
      <rPr>
        <b/>
        <sz val="14"/>
        <rFont val="Times New Roman Cyr"/>
        <charset val="204"/>
      </rPr>
      <t>-</t>
    </r>
    <r>
      <rPr>
        <b/>
        <i/>
        <sz val="12"/>
        <rFont val="Times New Roman Cyr"/>
        <charset val="204"/>
      </rPr>
      <t>r</t>
    </r>
    <r>
      <rPr>
        <b/>
        <vertAlign val="subscript"/>
        <sz val="10"/>
        <rFont val="Times New Roman Cyr"/>
        <charset val="204"/>
      </rPr>
      <t xml:space="preserve">H </t>
    </r>
    <r>
      <rPr>
        <b/>
        <i/>
        <vertAlign val="subscript"/>
        <sz val="10"/>
        <rFont val="Times New Roman Cyr"/>
        <charset val="204"/>
      </rPr>
      <t>cov</t>
    </r>
    <r>
      <rPr>
        <b/>
        <sz val="12"/>
        <rFont val="Times New Roman Cyr"/>
        <charset val="204"/>
      </rPr>
      <t>+2*</t>
    </r>
    <r>
      <rPr>
        <b/>
        <i/>
        <sz val="12"/>
        <rFont val="Times New Roman Cyr"/>
        <charset val="204"/>
      </rPr>
      <t>h</t>
    </r>
    <r>
      <rPr>
        <b/>
        <vertAlign val="subscript"/>
        <sz val="10"/>
        <rFont val="Times New Roman Cyr"/>
        <charset val="204"/>
      </rPr>
      <t>H2</t>
    </r>
    <r>
      <rPr>
        <b/>
        <sz val="12"/>
        <rFont val="Times New Roman Cyr"/>
        <charset val="204"/>
      </rPr>
      <t>=</t>
    </r>
  </si>
  <si>
    <r>
      <t>h</t>
    </r>
    <r>
      <rPr>
        <b/>
        <vertAlign val="subscript"/>
        <sz val="10"/>
        <rFont val="Times New Roman Cyr"/>
        <charset val="204"/>
      </rPr>
      <t>H</t>
    </r>
    <r>
      <rPr>
        <b/>
        <i/>
        <vertAlign val="subscript"/>
        <sz val="10"/>
        <rFont val="Times New Roman Cyr"/>
        <charset val="204"/>
      </rPr>
      <t>2</t>
    </r>
    <r>
      <rPr>
        <b/>
        <i/>
        <sz val="12"/>
        <rFont val="Times New Roman Cyr"/>
        <charset val="204"/>
      </rPr>
      <t>= r</t>
    </r>
    <r>
      <rPr>
        <b/>
        <vertAlign val="subscript"/>
        <sz val="10"/>
        <rFont val="Times New Roman Cyr"/>
        <charset val="204"/>
      </rPr>
      <t>H</t>
    </r>
    <r>
      <rPr>
        <b/>
        <i/>
        <vertAlign val="subscript"/>
        <sz val="10"/>
        <rFont val="Times New Roman Cyr"/>
        <charset val="204"/>
      </rPr>
      <t xml:space="preserve"> cov</t>
    </r>
    <r>
      <rPr>
        <b/>
        <i/>
        <sz val="12"/>
        <rFont val="Times New Roman Cyr"/>
        <charset val="204"/>
      </rPr>
      <t xml:space="preserve"> - r</t>
    </r>
    <r>
      <rPr>
        <b/>
        <vertAlign val="subscript"/>
        <sz val="10"/>
        <rFont val="Times New Roman Cyr"/>
        <charset val="204"/>
      </rPr>
      <t>H-H</t>
    </r>
    <r>
      <rPr>
        <b/>
        <i/>
        <sz val="12"/>
        <rFont val="Times New Roman Cyr"/>
        <charset val="204"/>
      </rPr>
      <t xml:space="preserve"> /2 =</t>
    </r>
  </si>
  <si>
    <t>Hydrogen's covalent radius</t>
  </si>
  <si>
    <r>
      <t xml:space="preserve">Carbon's </t>
    </r>
    <r>
      <rPr>
        <b/>
        <i/>
        <sz val="9"/>
        <rFont val="Times New Roman Cyr"/>
        <charset val="204"/>
      </rPr>
      <t>p</t>
    </r>
    <r>
      <rPr>
        <b/>
        <sz val="9"/>
        <rFont val="Times New Roman Cyr"/>
        <charset val="204"/>
      </rPr>
      <t>-orbital radius</t>
    </r>
  </si>
  <si>
    <t>Carbon's covalent radius in diamond</t>
  </si>
  <si>
    <r>
      <rPr>
        <b/>
        <i/>
        <sz val="14"/>
        <rFont val="Times New Roman Cyr"/>
        <charset val="204"/>
      </rPr>
      <t>r</t>
    </r>
    <r>
      <rPr>
        <b/>
        <vertAlign val="subscript"/>
        <sz val="10"/>
        <rFont val="Times New Roman Cyr"/>
        <charset val="204"/>
      </rPr>
      <t>C-C</t>
    </r>
    <r>
      <rPr>
        <b/>
        <i/>
        <vertAlign val="subscript"/>
        <sz val="10"/>
        <rFont val="Times New Roman Cyr"/>
        <charset val="204"/>
      </rPr>
      <t>cov</t>
    </r>
    <r>
      <rPr>
        <b/>
        <i/>
        <sz val="14"/>
        <rFont val="Times New Roman Cyr"/>
        <charset val="204"/>
      </rPr>
      <t>=r</t>
    </r>
    <r>
      <rPr>
        <b/>
        <vertAlign val="subscript"/>
        <sz val="10"/>
        <rFont val="Times New Roman Cyr"/>
        <charset val="204"/>
      </rPr>
      <t>C-C</t>
    </r>
    <r>
      <rPr>
        <b/>
        <sz val="14"/>
        <rFont val="Times New Roman Cyr"/>
        <charset val="204"/>
      </rPr>
      <t>/2 =</t>
    </r>
  </si>
  <si>
    <r>
      <t>V(</t>
    </r>
    <r>
      <rPr>
        <b/>
        <i/>
        <sz val="11"/>
        <rFont val="Times New Roman Cyr"/>
        <charset val="204"/>
      </rPr>
      <t>h</t>
    </r>
    <r>
      <rPr>
        <b/>
        <sz val="11"/>
        <rFont val="Times New Roman Cyr"/>
        <charset val="204"/>
      </rPr>
      <t>)</t>
    </r>
  </si>
  <si>
    <t>INITIAL DATA:</t>
  </si>
  <si>
    <t>CALCULATION:</t>
  </si>
  <si>
    <r>
      <rPr>
        <b/>
        <i/>
        <sz val="12"/>
        <rFont val="Cambria"/>
        <family val="1"/>
        <charset val="204"/>
      </rPr>
      <t>E</t>
    </r>
    <r>
      <rPr>
        <b/>
        <vertAlign val="subscript"/>
        <sz val="10"/>
        <rFont val="Cambria"/>
        <family val="1"/>
        <charset val="204"/>
      </rPr>
      <t>on a bond</t>
    </r>
    <r>
      <rPr>
        <b/>
        <sz val="12"/>
        <rFont val="Times New Roman Cyr"/>
        <charset val="204"/>
      </rPr>
      <t>, eV</t>
    </r>
  </si>
  <si>
    <r>
      <t xml:space="preserve">Carbon's </t>
    </r>
    <r>
      <rPr>
        <b/>
        <i/>
        <sz val="10"/>
        <rFont val="Times New Roman Cyr"/>
        <charset val="204"/>
      </rPr>
      <t>p</t>
    </r>
    <r>
      <rPr>
        <b/>
        <sz val="10"/>
        <rFont val="Times New Roman Cyr"/>
        <charset val="204"/>
      </rPr>
      <t>-orbital radius</t>
    </r>
  </si>
  <si>
    <r>
      <t>V(h)=2</t>
    </r>
    <r>
      <rPr>
        <b/>
        <sz val="14"/>
        <color rgb="FFFF0000"/>
        <rFont val="Symbol"/>
        <family val="1"/>
        <charset val="2"/>
      </rPr>
      <t>p</t>
    </r>
    <r>
      <rPr>
        <b/>
        <sz val="14"/>
        <color rgb="FFFF0000"/>
        <rFont val="Times New Roman"/>
        <family val="1"/>
        <charset val="204"/>
      </rPr>
      <t>h</t>
    </r>
    <r>
      <rPr>
        <b/>
        <vertAlign val="superscript"/>
        <sz val="14"/>
        <color rgb="FFFF0000"/>
        <rFont val="Times New Roman"/>
        <family val="1"/>
        <charset val="204"/>
      </rPr>
      <t>2</t>
    </r>
    <r>
      <rPr>
        <b/>
        <sz val="14"/>
        <color rgb="FFFF0000"/>
        <rFont val="Times New Roman Cyr"/>
        <charset val="204"/>
      </rPr>
      <t>(R-h/3)</t>
    </r>
  </si>
  <si>
    <r>
      <rPr>
        <b/>
        <i/>
        <sz val="12"/>
        <rFont val="Cambria"/>
        <family val="1"/>
        <charset val="204"/>
      </rPr>
      <t>T</t>
    </r>
    <r>
      <rPr>
        <b/>
        <vertAlign val="subscript"/>
        <sz val="12"/>
        <rFont val="Cambria"/>
        <family val="1"/>
        <charset val="204"/>
      </rPr>
      <t>melt</t>
    </r>
    <r>
      <rPr>
        <b/>
        <sz val="12"/>
        <rFont val="Times New Roman Cyr"/>
        <charset val="204"/>
      </rPr>
      <t xml:space="preserve">, </t>
    </r>
    <r>
      <rPr>
        <b/>
        <vertAlign val="superscript"/>
        <sz val="12"/>
        <rFont val="Times New Roman Cyr"/>
        <charset val="204"/>
      </rPr>
      <t>0</t>
    </r>
    <r>
      <rPr>
        <b/>
        <sz val="12"/>
        <rFont val="Times New Roman Cyr"/>
        <charset val="204"/>
      </rPr>
      <t>C</t>
    </r>
  </si>
  <si>
    <r>
      <rPr>
        <b/>
        <vertAlign val="superscript"/>
        <sz val="10"/>
        <rFont val="Times New Roman Cyr"/>
        <charset val="204"/>
      </rPr>
      <t>0</t>
    </r>
    <r>
      <rPr>
        <b/>
        <sz val="10"/>
        <rFont val="Times New Roman Cyr"/>
        <charset val="204"/>
      </rPr>
      <t>C  or</t>
    </r>
  </si>
  <si>
    <r>
      <rPr>
        <b/>
        <i/>
        <sz val="14"/>
        <rFont val="Times New Roman Cyr"/>
        <charset val="204"/>
      </rPr>
      <t>r</t>
    </r>
    <r>
      <rPr>
        <b/>
        <vertAlign val="subscript"/>
        <sz val="10"/>
        <rFont val="Times New Roman Cyr"/>
        <charset val="204"/>
      </rPr>
      <t xml:space="preserve">C-C </t>
    </r>
    <r>
      <rPr>
        <b/>
        <sz val="14"/>
        <rFont val="Times New Roman Cyr"/>
        <charset val="204"/>
      </rPr>
      <t>=</t>
    </r>
  </si>
  <si>
    <r>
      <rPr>
        <b/>
        <i/>
        <sz val="14"/>
        <rFont val="Times New Roman Cyr"/>
        <charset val="204"/>
      </rPr>
      <t>r</t>
    </r>
    <r>
      <rPr>
        <b/>
        <vertAlign val="subscript"/>
        <sz val="10"/>
        <rFont val="Times New Roman Cyr"/>
        <charset val="204"/>
      </rPr>
      <t>H</t>
    </r>
    <r>
      <rPr>
        <b/>
        <i/>
        <vertAlign val="subscript"/>
        <sz val="10"/>
        <rFont val="Times New Roman Cyr"/>
        <charset val="204"/>
      </rPr>
      <t>cov</t>
    </r>
    <r>
      <rPr>
        <b/>
        <i/>
        <vertAlign val="subscript"/>
        <sz val="14"/>
        <rFont val="Times New Roman Cyr"/>
        <charset val="204"/>
      </rPr>
      <t xml:space="preserve"> </t>
    </r>
    <r>
      <rPr>
        <b/>
        <sz val="14"/>
        <rFont val="Times New Roman Cyr"/>
        <charset val="204"/>
      </rPr>
      <t>=</t>
    </r>
  </si>
  <si>
    <r>
      <rPr>
        <b/>
        <i/>
        <sz val="14"/>
        <rFont val="Times New Roman Cyr"/>
        <charset val="204"/>
      </rPr>
      <t>r</t>
    </r>
    <r>
      <rPr>
        <b/>
        <vertAlign val="subscript"/>
        <sz val="10"/>
        <rFont val="Times New Roman Cyr"/>
        <charset val="204"/>
      </rPr>
      <t xml:space="preserve">CH4 </t>
    </r>
    <r>
      <rPr>
        <b/>
        <sz val="14"/>
        <rFont val="Times New Roman Cyr"/>
        <charset val="204"/>
      </rPr>
      <t>=</t>
    </r>
  </si>
  <si>
    <t>Bohr radius</t>
  </si>
  <si>
    <r>
      <t>h=r</t>
    </r>
    <r>
      <rPr>
        <b/>
        <i/>
        <vertAlign val="subscript"/>
        <sz val="12"/>
        <rFont val="Times New Roman Cyr"/>
        <charset val="204"/>
      </rPr>
      <t>p</t>
    </r>
    <r>
      <rPr>
        <b/>
        <i/>
        <sz val="12"/>
        <rFont val="Times New Roman Cyr"/>
        <charset val="204"/>
      </rPr>
      <t xml:space="preserve"> - r</t>
    </r>
    <r>
      <rPr>
        <b/>
        <i/>
        <vertAlign val="subscript"/>
        <sz val="12"/>
        <rFont val="Times New Roman Cyr"/>
        <charset val="204"/>
      </rPr>
      <t>C-Ccov</t>
    </r>
    <r>
      <rPr>
        <b/>
        <i/>
        <sz val="12"/>
        <rFont val="Times New Roman Cyr"/>
        <charset val="204"/>
      </rPr>
      <t>=</t>
    </r>
  </si>
  <si>
    <r>
      <rPr>
        <b/>
        <sz val="12"/>
        <rFont val="Times New Roman"/>
        <family val="1"/>
        <charset val="204"/>
      </rPr>
      <t>cos</t>
    </r>
    <r>
      <rPr>
        <b/>
        <i/>
        <sz val="12"/>
        <rFont val="Symbol"/>
        <family val="1"/>
        <charset val="2"/>
      </rPr>
      <t>q</t>
    </r>
    <r>
      <rPr>
        <b/>
        <sz val="12"/>
        <rFont val="Symbol"/>
        <family val="1"/>
        <charset val="2"/>
      </rPr>
      <t>(B)</t>
    </r>
  </si>
  <si>
    <r>
      <t>cos</t>
    </r>
    <r>
      <rPr>
        <b/>
        <sz val="10"/>
        <color rgb="FFFF0000"/>
        <rFont val="Symbol"/>
        <family val="1"/>
        <charset val="2"/>
      </rPr>
      <t>q</t>
    </r>
    <r>
      <rPr>
        <b/>
        <vertAlign val="subscript"/>
        <sz val="10"/>
        <color rgb="FFFF0000"/>
        <rFont val="Symbol"/>
        <family val="1"/>
        <charset val="2"/>
      </rPr>
      <t xml:space="preserve">B </t>
    </r>
    <r>
      <rPr>
        <b/>
        <sz val="10"/>
        <color rgb="FFFF0000"/>
        <rFont val="Times New Roman Cyr"/>
        <charset val="204"/>
      </rPr>
      <t>=</t>
    </r>
  </si>
  <si>
    <r>
      <rPr>
        <b/>
        <sz val="10"/>
        <color rgb="FFFF0000"/>
        <rFont val="Symbol"/>
        <family val="1"/>
        <charset val="2"/>
      </rPr>
      <t>q</t>
    </r>
    <r>
      <rPr>
        <b/>
        <vertAlign val="subscript"/>
        <sz val="10"/>
        <color rgb="FFFF0000"/>
        <rFont val="Symbol"/>
        <family val="1"/>
        <charset val="2"/>
      </rPr>
      <t>B</t>
    </r>
    <r>
      <rPr>
        <b/>
        <vertAlign val="superscript"/>
        <sz val="10"/>
        <color rgb="FFFF0000"/>
        <rFont val="Times New Roman Cyr"/>
        <charset val="204"/>
      </rPr>
      <t>0</t>
    </r>
    <r>
      <rPr>
        <b/>
        <sz val="10"/>
        <color rgb="FFFF0000"/>
        <rFont val="Times New Roman Cyr"/>
        <charset val="204"/>
      </rPr>
      <t>=</t>
    </r>
  </si>
  <si>
    <r>
      <rPr>
        <b/>
        <i/>
        <sz val="16"/>
        <rFont val="Times New Roman Cyr"/>
        <charset val="204"/>
      </rPr>
      <t>h</t>
    </r>
    <r>
      <rPr>
        <b/>
        <sz val="16"/>
        <rFont val="Times New Roman Cyr"/>
        <charset val="204"/>
      </rPr>
      <t xml:space="preserve">= </t>
    </r>
    <r>
      <rPr>
        <b/>
        <i/>
        <sz val="16"/>
        <rFont val="Times New Roman Cyr"/>
        <charset val="204"/>
      </rPr>
      <t>a</t>
    </r>
    <r>
      <rPr>
        <b/>
        <vertAlign val="subscript"/>
        <sz val="16"/>
        <rFont val="Times New Roman Cyr"/>
        <charset val="204"/>
      </rPr>
      <t>B</t>
    </r>
    <r>
      <rPr>
        <b/>
        <sz val="16"/>
        <rFont val="Times New Roman Cyr"/>
        <charset val="204"/>
      </rPr>
      <t>[cos</t>
    </r>
    <r>
      <rPr>
        <b/>
        <sz val="16"/>
        <rFont val="Symbol"/>
        <family val="1"/>
        <charset val="2"/>
      </rPr>
      <t>q(B)</t>
    </r>
    <r>
      <rPr>
        <b/>
        <sz val="16"/>
        <rFont val="Times New Roman Cyr"/>
        <charset val="204"/>
      </rPr>
      <t>/cos</t>
    </r>
    <r>
      <rPr>
        <b/>
        <sz val="16"/>
        <rFont val="Symbol"/>
        <family val="1"/>
        <charset val="2"/>
      </rPr>
      <t>q</t>
    </r>
    <r>
      <rPr>
        <b/>
        <vertAlign val="subscript"/>
        <sz val="16"/>
        <rFont val="Times New Roman Cyr"/>
        <charset val="204"/>
      </rPr>
      <t xml:space="preserve">B </t>
    </r>
    <r>
      <rPr>
        <b/>
        <sz val="16"/>
        <rFont val="Times New Roman Cyr"/>
        <charset val="204"/>
      </rPr>
      <t xml:space="preserve">- 1 ]+ </t>
    </r>
    <r>
      <rPr>
        <b/>
        <i/>
        <sz val="16"/>
        <rFont val="Times New Roman Cyr"/>
        <charset val="204"/>
      </rPr>
      <t>h</t>
    </r>
    <r>
      <rPr>
        <b/>
        <vertAlign val="subscript"/>
        <sz val="16"/>
        <rFont val="Times New Roman Cyr"/>
        <charset val="204"/>
      </rPr>
      <t>B</t>
    </r>
    <r>
      <rPr>
        <b/>
        <sz val="16"/>
        <rFont val="Times New Roman Cyr"/>
        <charset val="204"/>
      </rPr>
      <t xml:space="preserve">, </t>
    </r>
    <r>
      <rPr>
        <b/>
        <sz val="16"/>
        <rFont val="Calibri"/>
        <family val="2"/>
        <charset val="204"/>
      </rPr>
      <t>Å</t>
    </r>
  </si>
  <si>
    <r>
      <rPr>
        <b/>
        <sz val="10"/>
        <color rgb="FF7030A0"/>
        <rFont val="Symbol"/>
        <family val="1"/>
        <charset val="2"/>
      </rPr>
      <t>q</t>
    </r>
    <r>
      <rPr>
        <b/>
        <vertAlign val="subscript"/>
        <sz val="10"/>
        <color rgb="FF7030A0"/>
        <rFont val="Times New Roman"/>
        <family val="1"/>
        <charset val="204"/>
      </rPr>
      <t>C</t>
    </r>
    <r>
      <rPr>
        <b/>
        <vertAlign val="superscript"/>
        <sz val="10"/>
        <color rgb="FF7030A0"/>
        <rFont val="Times New Roman Cyr"/>
        <charset val="204"/>
      </rPr>
      <t>0</t>
    </r>
    <r>
      <rPr>
        <b/>
        <sz val="10"/>
        <color rgb="FF7030A0"/>
        <rFont val="Times New Roman Cyr"/>
        <charset val="204"/>
      </rPr>
      <t xml:space="preserve"> =</t>
    </r>
  </si>
  <si>
    <r>
      <t>cos</t>
    </r>
    <r>
      <rPr>
        <b/>
        <sz val="10"/>
        <color rgb="FF7030A0"/>
        <rFont val="Symbol"/>
        <family val="1"/>
        <charset val="2"/>
      </rPr>
      <t>q</t>
    </r>
    <r>
      <rPr>
        <b/>
        <vertAlign val="subscript"/>
        <sz val="10"/>
        <color rgb="FF7030A0"/>
        <rFont val="Times New Roman"/>
        <family val="1"/>
        <charset val="204"/>
      </rPr>
      <t>C</t>
    </r>
    <r>
      <rPr>
        <b/>
        <vertAlign val="subscript"/>
        <sz val="10"/>
        <color rgb="FF7030A0"/>
        <rFont val="Symbol"/>
        <family val="1"/>
        <charset val="2"/>
      </rPr>
      <t xml:space="preserve"> </t>
    </r>
    <r>
      <rPr>
        <b/>
        <sz val="10"/>
        <color rgb="FF7030A0"/>
        <rFont val="Times New Roman Cyr"/>
        <charset val="204"/>
      </rPr>
      <t>=</t>
    </r>
  </si>
  <si>
    <t>From: http://physics.nist.gov/constants</t>
  </si>
  <si>
    <r>
      <rPr>
        <b/>
        <i/>
        <sz val="14"/>
        <rFont val="Times New Roman Cyr"/>
        <charset val="204"/>
      </rPr>
      <t>r</t>
    </r>
    <r>
      <rPr>
        <b/>
        <vertAlign val="subscript"/>
        <sz val="14"/>
        <rFont val="Times New Roman Cyr"/>
        <charset val="204"/>
      </rPr>
      <t>B</t>
    </r>
    <r>
      <rPr>
        <b/>
        <vertAlign val="subscript"/>
        <sz val="10"/>
        <rFont val="Times New Roman Cyr"/>
        <charset val="204"/>
      </rPr>
      <t xml:space="preserve">  </t>
    </r>
    <r>
      <rPr>
        <b/>
        <sz val="14"/>
        <rFont val="Times New Roman Cyr"/>
        <charset val="204"/>
      </rPr>
      <t>=</t>
    </r>
  </si>
  <si>
    <r>
      <rPr>
        <b/>
        <i/>
        <sz val="12"/>
        <rFont val="Times New Roman Cyr"/>
        <charset val="204"/>
      </rPr>
      <t>r</t>
    </r>
    <r>
      <rPr>
        <b/>
        <i/>
        <vertAlign val="subscript"/>
        <sz val="10"/>
        <rFont val="Times New Roman Cyr"/>
        <charset val="204"/>
      </rPr>
      <t>p</t>
    </r>
    <r>
      <rPr>
        <b/>
        <vertAlign val="subscript"/>
        <sz val="14"/>
        <rFont val="Times New Roman Cyr"/>
        <charset val="204"/>
      </rPr>
      <t xml:space="preserve"> </t>
    </r>
    <r>
      <rPr>
        <b/>
        <sz val="14"/>
        <rFont val="Times New Roman Cyr"/>
        <charset val="204"/>
      </rPr>
      <t xml:space="preserve">= </t>
    </r>
    <r>
      <rPr>
        <b/>
        <i/>
        <sz val="12"/>
        <rFont val="Times New Roman Cyr"/>
        <charset val="204"/>
      </rPr>
      <t>r</t>
    </r>
    <r>
      <rPr>
        <b/>
        <vertAlign val="subscript"/>
        <sz val="10"/>
        <rFont val="Times New Roman Cyr"/>
        <charset val="204"/>
      </rPr>
      <t xml:space="preserve">CH4 </t>
    </r>
    <r>
      <rPr>
        <b/>
        <sz val="12"/>
        <rFont val="Times New Roman Cyr"/>
        <charset val="204"/>
      </rPr>
      <t xml:space="preserve">+ </t>
    </r>
    <r>
      <rPr>
        <b/>
        <i/>
        <sz val="12"/>
        <rFont val="Times New Roman Cyr"/>
        <charset val="204"/>
      </rPr>
      <t>r</t>
    </r>
    <r>
      <rPr>
        <b/>
        <vertAlign val="subscript"/>
        <sz val="10"/>
        <rFont val="Times New Roman Cyr"/>
        <charset val="204"/>
      </rPr>
      <t>H</t>
    </r>
    <r>
      <rPr>
        <b/>
        <i/>
        <vertAlign val="subscript"/>
        <sz val="10"/>
        <rFont val="Times New Roman Cyr"/>
        <charset val="204"/>
      </rPr>
      <t>cov</t>
    </r>
    <r>
      <rPr>
        <b/>
        <i/>
        <sz val="10"/>
        <rFont val="Times New Roman Cyr"/>
        <charset val="204"/>
      </rPr>
      <t>-</t>
    </r>
    <r>
      <rPr>
        <b/>
        <i/>
        <sz val="12"/>
        <rFont val="Times New Roman Cyr"/>
        <charset val="204"/>
      </rPr>
      <t>r</t>
    </r>
    <r>
      <rPr>
        <b/>
        <vertAlign val="subscript"/>
        <sz val="10"/>
        <rFont val="Times New Roman Cyr"/>
        <charset val="204"/>
      </rPr>
      <t xml:space="preserve">B </t>
    </r>
    <r>
      <rPr>
        <b/>
        <sz val="12"/>
        <rFont val="Times New Roman Cyr"/>
        <charset val="204"/>
      </rPr>
      <t>=</t>
    </r>
  </si>
  <si>
    <r>
      <t>Root-mean-square error RMSE=(1/n)[</t>
    </r>
    <r>
      <rPr>
        <b/>
        <sz val="11"/>
        <color theme="0"/>
        <rFont val="Symbol"/>
        <family val="1"/>
        <charset val="2"/>
      </rPr>
      <t>S(</t>
    </r>
    <r>
      <rPr>
        <b/>
        <sz val="11"/>
        <color theme="0"/>
        <rFont val="Times New Roman"/>
        <family val="1"/>
        <charset val="204"/>
      </rPr>
      <t>Y</t>
    </r>
    <r>
      <rPr>
        <b/>
        <vertAlign val="subscript"/>
        <sz val="11"/>
        <color theme="0"/>
        <rFont val="Times New Roman"/>
        <family val="1"/>
        <charset val="204"/>
      </rPr>
      <t>predicted</t>
    </r>
    <r>
      <rPr>
        <b/>
        <sz val="11"/>
        <color theme="0"/>
        <rFont val="Times New Roman"/>
        <family val="1"/>
        <charset val="204"/>
      </rPr>
      <t>-Y</t>
    </r>
    <r>
      <rPr>
        <b/>
        <vertAlign val="subscript"/>
        <sz val="11"/>
        <color theme="0"/>
        <rFont val="Times New Roman"/>
        <family val="1"/>
        <charset val="204"/>
      </rPr>
      <t>real</t>
    </r>
    <r>
      <rPr>
        <b/>
        <sz val="11"/>
        <color theme="0"/>
        <rFont val="Times New Roman"/>
        <family val="1"/>
        <charset val="204"/>
      </rPr>
      <t>)</t>
    </r>
    <r>
      <rPr>
        <b/>
        <vertAlign val="superscript"/>
        <sz val="11"/>
        <color theme="0"/>
        <rFont val="Times New Roman"/>
        <family val="1"/>
        <charset val="204"/>
      </rPr>
      <t>2</t>
    </r>
    <r>
      <rPr>
        <b/>
        <sz val="11"/>
        <color theme="0"/>
        <rFont val="Times New Roman"/>
        <family val="1"/>
        <charset val="204"/>
      </rPr>
      <t>]</t>
    </r>
    <r>
      <rPr>
        <b/>
        <vertAlign val="superscript"/>
        <sz val="11"/>
        <color theme="0"/>
        <rFont val="Times New Roman"/>
        <family val="1"/>
        <charset val="204"/>
      </rPr>
      <t>1/2</t>
    </r>
    <r>
      <rPr>
        <b/>
        <sz val="11"/>
        <color theme="0"/>
        <rFont val="Times New Roman"/>
        <family val="1"/>
        <charset val="204"/>
      </rPr>
      <t>=</t>
    </r>
  </si>
  <si>
    <r>
      <rPr>
        <b/>
        <sz val="10"/>
        <color rgb="FF0070C0"/>
        <rFont val="Symbol"/>
        <family val="1"/>
        <charset val="2"/>
      </rPr>
      <t>q</t>
    </r>
    <r>
      <rPr>
        <b/>
        <vertAlign val="subscript"/>
        <sz val="10"/>
        <color rgb="FF0070C0"/>
        <rFont val="Symbol"/>
        <family val="1"/>
        <charset val="2"/>
      </rPr>
      <t>A</t>
    </r>
    <r>
      <rPr>
        <b/>
        <vertAlign val="superscript"/>
        <sz val="10"/>
        <color rgb="FF0070C0"/>
        <rFont val="Times New Roman Cyr"/>
        <charset val="204"/>
      </rPr>
      <t>0</t>
    </r>
    <r>
      <rPr>
        <b/>
        <sz val="10"/>
        <color rgb="FF0070C0"/>
        <rFont val="Times New Roman Cyr"/>
        <charset val="204"/>
      </rPr>
      <t xml:space="preserve"> =</t>
    </r>
  </si>
  <si>
    <r>
      <t>cos(</t>
    </r>
    <r>
      <rPr>
        <b/>
        <sz val="10"/>
        <color rgb="FF0070C0"/>
        <rFont val="Symbol"/>
        <family val="1"/>
        <charset val="2"/>
      </rPr>
      <t>q</t>
    </r>
    <r>
      <rPr>
        <b/>
        <vertAlign val="subscript"/>
        <sz val="10"/>
        <color rgb="FF0070C0"/>
        <rFont val="Symbol"/>
        <family val="1"/>
        <charset val="2"/>
      </rPr>
      <t>A</t>
    </r>
    <r>
      <rPr>
        <b/>
        <sz val="10"/>
        <color rgb="FF0070C0"/>
        <rFont val="Times New Roman Cyr"/>
        <charset val="204"/>
      </rPr>
      <t>)=</t>
    </r>
  </si>
  <si>
    <r>
      <rPr>
        <b/>
        <sz val="10"/>
        <color rgb="FFFF0000"/>
        <rFont val="Symbol"/>
        <family val="1"/>
        <charset val="2"/>
      </rPr>
      <t>q</t>
    </r>
    <r>
      <rPr>
        <b/>
        <vertAlign val="subscript"/>
        <sz val="10"/>
        <color rgb="FFFF0000"/>
        <rFont val="Times New Roman Cyr"/>
        <charset val="204"/>
      </rPr>
      <t>B</t>
    </r>
    <r>
      <rPr>
        <b/>
        <vertAlign val="superscript"/>
        <sz val="10"/>
        <color rgb="FFFF0000"/>
        <rFont val="Times New Roman Cyr"/>
        <charset val="204"/>
      </rPr>
      <t>0</t>
    </r>
    <r>
      <rPr>
        <b/>
        <sz val="10"/>
        <color rgb="FFFF0000"/>
        <rFont val="Times New Roman Cyr"/>
        <charset val="204"/>
      </rPr>
      <t xml:space="preserve"> =</t>
    </r>
  </si>
  <si>
    <r>
      <t>cos(</t>
    </r>
    <r>
      <rPr>
        <b/>
        <sz val="10"/>
        <color rgb="FFFF0000"/>
        <rFont val="Symbol"/>
        <family val="1"/>
        <charset val="2"/>
      </rPr>
      <t>q</t>
    </r>
    <r>
      <rPr>
        <b/>
        <vertAlign val="subscript"/>
        <sz val="10"/>
        <color rgb="FFFF0000"/>
        <rFont val="Symbol"/>
        <family val="1"/>
        <charset val="2"/>
      </rPr>
      <t>B</t>
    </r>
    <r>
      <rPr>
        <b/>
        <sz val="10"/>
        <color rgb="FFFF0000"/>
        <rFont val="Times New Roman Cyr"/>
        <charset val="204"/>
      </rPr>
      <t>)=</t>
    </r>
  </si>
  <si>
    <r>
      <rPr>
        <b/>
        <i/>
        <sz val="11"/>
        <color rgb="FF0070C0"/>
        <rFont val="Times New Roman Cyr"/>
        <charset val="204"/>
      </rPr>
      <t>T</t>
    </r>
    <r>
      <rPr>
        <b/>
        <vertAlign val="subscript"/>
        <sz val="11"/>
        <color rgb="FF0070C0"/>
        <rFont val="Times New Roman Cyr"/>
        <charset val="204"/>
      </rPr>
      <t>C</t>
    </r>
    <r>
      <rPr>
        <b/>
        <i/>
        <vertAlign val="superscript"/>
        <sz val="11"/>
        <color rgb="FF0070C0"/>
        <rFont val="Times New Roman Cyr"/>
        <charset val="204"/>
      </rPr>
      <t>CALC</t>
    </r>
    <r>
      <rPr>
        <b/>
        <sz val="11"/>
        <color rgb="FF0070C0"/>
        <rFont val="Times New Roman Cyr"/>
        <charset val="204"/>
      </rPr>
      <t>, K =</t>
    </r>
  </si>
  <si>
    <r>
      <rPr>
        <b/>
        <i/>
        <sz val="10"/>
        <color rgb="FFFF0000"/>
        <rFont val="Times New Roman Cyr"/>
        <charset val="204"/>
      </rPr>
      <t>a</t>
    </r>
    <r>
      <rPr>
        <b/>
        <vertAlign val="subscript"/>
        <sz val="10"/>
        <color rgb="FFFF0000"/>
        <rFont val="Times New Roman Cyr"/>
        <charset val="204"/>
      </rPr>
      <t>B</t>
    </r>
    <r>
      <rPr>
        <b/>
        <sz val="10"/>
        <color rgb="FFFF0000"/>
        <rFont val="Times New Roman Cyr"/>
        <charset val="204"/>
      </rPr>
      <t>=</t>
    </r>
  </si>
  <si>
    <r>
      <rPr>
        <b/>
        <i/>
        <sz val="10"/>
        <color rgb="FF0070C0"/>
        <rFont val="Times New Roman Cyr"/>
        <charset val="204"/>
      </rPr>
      <t>a</t>
    </r>
    <r>
      <rPr>
        <b/>
        <sz val="10"/>
        <color rgb="FF0070C0"/>
        <rFont val="Times New Roman Cyr"/>
        <charset val="204"/>
      </rPr>
      <t>=</t>
    </r>
  </si>
  <si>
    <r>
      <rPr>
        <b/>
        <i/>
        <sz val="16"/>
        <color rgb="FFFF0000"/>
        <rFont val="Times New Roman Cyr"/>
        <charset val="204"/>
      </rPr>
      <t>h</t>
    </r>
    <r>
      <rPr>
        <b/>
        <vertAlign val="subscript"/>
        <sz val="16"/>
        <color rgb="FFFF0000"/>
        <rFont val="Times New Roman Cyr"/>
        <charset val="204"/>
      </rPr>
      <t>B</t>
    </r>
    <r>
      <rPr>
        <b/>
        <sz val="16"/>
        <rFont val="Times New Roman Cyr"/>
        <charset val="204"/>
      </rPr>
      <t xml:space="preserve"> =(</t>
    </r>
    <r>
      <rPr>
        <b/>
        <i/>
        <sz val="16"/>
        <color rgb="FF0070C0"/>
        <rFont val="Times New Roman Cyr"/>
        <charset val="204"/>
      </rPr>
      <t>a-</t>
    </r>
    <r>
      <rPr>
        <b/>
        <i/>
        <sz val="16"/>
        <rFont val="Times New Roman Cyr"/>
        <charset val="204"/>
      </rPr>
      <t>R</t>
    </r>
    <r>
      <rPr>
        <b/>
        <vertAlign val="subscript"/>
        <sz val="16"/>
        <color rgb="FF0070C0"/>
        <rFont val="Times New Roman Cyr"/>
        <charset val="204"/>
      </rPr>
      <t xml:space="preserve"> </t>
    </r>
    <r>
      <rPr>
        <b/>
        <sz val="16"/>
        <rFont val="Times New Roman Cyr"/>
        <charset val="204"/>
      </rPr>
      <t>+</t>
    </r>
    <r>
      <rPr>
        <b/>
        <i/>
        <sz val="16"/>
        <color theme="4"/>
        <rFont val="Times New Roman Cyr"/>
        <charset val="204"/>
      </rPr>
      <t>h</t>
    </r>
    <r>
      <rPr>
        <b/>
        <vertAlign val="subscript"/>
        <sz val="16"/>
        <color theme="4"/>
        <rFont val="Times New Roman Cyr"/>
        <charset val="204"/>
      </rPr>
      <t>A</t>
    </r>
    <r>
      <rPr>
        <b/>
        <sz val="16"/>
        <color theme="4"/>
        <rFont val="Times New Roman Cyr"/>
        <charset val="204"/>
      </rPr>
      <t>)</t>
    </r>
    <r>
      <rPr>
        <b/>
        <sz val="16"/>
        <color rgb="FFFF0000"/>
        <rFont val="Times New Roman Cyr"/>
        <charset val="204"/>
      </rPr>
      <t>cos</t>
    </r>
    <r>
      <rPr>
        <b/>
        <sz val="16"/>
        <color rgb="FFFF0000"/>
        <rFont val="Symbol"/>
        <family val="1"/>
        <charset val="2"/>
      </rPr>
      <t>q</t>
    </r>
    <r>
      <rPr>
        <b/>
        <vertAlign val="subscript"/>
        <sz val="16"/>
        <color rgb="FFFF0000"/>
        <rFont val="Symbol"/>
        <family val="1"/>
        <charset val="2"/>
      </rPr>
      <t>B</t>
    </r>
    <r>
      <rPr>
        <b/>
        <sz val="16"/>
        <rFont val="Times New Roman Cyr"/>
        <charset val="204"/>
      </rPr>
      <t>/</t>
    </r>
    <r>
      <rPr>
        <b/>
        <sz val="16"/>
        <color rgb="FF0070C0"/>
        <rFont val="Times New Roman Cyr"/>
        <charset val="204"/>
      </rPr>
      <t>cos</t>
    </r>
    <r>
      <rPr>
        <b/>
        <sz val="16"/>
        <color rgb="FF0070C0"/>
        <rFont val="Symbol"/>
        <family val="1"/>
        <charset val="2"/>
      </rPr>
      <t>q</t>
    </r>
    <r>
      <rPr>
        <b/>
        <vertAlign val="subscript"/>
        <sz val="16"/>
        <color rgb="FF0070C0"/>
        <rFont val="Symbol"/>
        <family val="1"/>
        <charset val="2"/>
      </rPr>
      <t>A</t>
    </r>
    <r>
      <rPr>
        <b/>
        <vertAlign val="subscript"/>
        <sz val="16"/>
        <color rgb="FF0070C0"/>
        <rFont val="Times New Roman Cyr"/>
        <charset val="204"/>
      </rPr>
      <t xml:space="preserve"> </t>
    </r>
    <r>
      <rPr>
        <b/>
        <sz val="16"/>
        <color rgb="FF0070C0"/>
        <rFont val="Times New Roman Cyr"/>
        <charset val="204"/>
      </rPr>
      <t>-</t>
    </r>
    <r>
      <rPr>
        <b/>
        <sz val="16"/>
        <rFont val="Times New Roman Cyr"/>
        <charset val="204"/>
      </rPr>
      <t xml:space="preserve"> </t>
    </r>
    <r>
      <rPr>
        <b/>
        <i/>
        <sz val="16"/>
        <color rgb="FFFF0000"/>
        <rFont val="Times New Roman Cyr"/>
        <charset val="204"/>
      </rPr>
      <t>a</t>
    </r>
    <r>
      <rPr>
        <b/>
        <vertAlign val="subscript"/>
        <sz val="16"/>
        <color rgb="FFFF0000"/>
        <rFont val="Times New Roman Cyr"/>
        <charset val="204"/>
      </rPr>
      <t>B</t>
    </r>
    <r>
      <rPr>
        <b/>
        <sz val="16"/>
        <rFont val="Times New Roman Cyr"/>
        <charset val="204"/>
      </rPr>
      <t>+</t>
    </r>
    <r>
      <rPr>
        <b/>
        <i/>
        <sz val="16"/>
        <rFont val="Times New Roman Cyr"/>
        <charset val="204"/>
      </rPr>
      <t>R</t>
    </r>
  </si>
  <si>
    <r>
      <t xml:space="preserve"> </t>
    </r>
    <r>
      <rPr>
        <b/>
        <i/>
        <sz val="10"/>
        <rFont val="Times New Roman Cyr"/>
        <charset val="204"/>
      </rPr>
      <t>R</t>
    </r>
    <r>
      <rPr>
        <b/>
        <sz val="10"/>
        <rFont val="Times New Roman Cyr"/>
        <charset val="204"/>
      </rPr>
      <t>=</t>
    </r>
    <r>
      <rPr>
        <b/>
        <i/>
        <sz val="10"/>
        <color theme="4"/>
        <rFont val="Times New Roman Cyr"/>
        <charset val="204"/>
      </rPr>
      <t>a</t>
    </r>
    <r>
      <rPr>
        <b/>
        <sz val="10"/>
        <rFont val="Times New Roman Cyr"/>
        <charset val="204"/>
      </rPr>
      <t>/4 =</t>
    </r>
  </si>
  <si>
    <r>
      <rPr>
        <b/>
        <i/>
        <sz val="16"/>
        <rFont val="Times New Roman Cyr"/>
        <charset val="204"/>
      </rPr>
      <t>r</t>
    </r>
    <r>
      <rPr>
        <b/>
        <sz val="16"/>
        <rFont val="Times New Roman Cyr"/>
        <charset val="204"/>
      </rPr>
      <t xml:space="preserve"> =(</t>
    </r>
    <r>
      <rPr>
        <b/>
        <i/>
        <sz val="16"/>
        <color rgb="FF0070C0"/>
        <rFont val="Times New Roman Cyr"/>
        <charset val="204"/>
      </rPr>
      <t>a-</t>
    </r>
    <r>
      <rPr>
        <b/>
        <i/>
        <sz val="16"/>
        <rFont val="Times New Roman Cyr"/>
        <charset val="204"/>
      </rPr>
      <t>R</t>
    </r>
    <r>
      <rPr>
        <b/>
        <vertAlign val="subscript"/>
        <sz val="16"/>
        <color rgb="FF0070C0"/>
        <rFont val="Times New Roman Cyr"/>
        <charset val="204"/>
      </rPr>
      <t xml:space="preserve"> </t>
    </r>
    <r>
      <rPr>
        <b/>
        <sz val="16"/>
        <rFont val="Times New Roman Cyr"/>
        <charset val="204"/>
      </rPr>
      <t>+</t>
    </r>
    <r>
      <rPr>
        <b/>
        <i/>
        <sz val="16"/>
        <color theme="4"/>
        <rFont val="Times New Roman Cyr"/>
        <charset val="204"/>
      </rPr>
      <t>h</t>
    </r>
    <r>
      <rPr>
        <b/>
        <vertAlign val="subscript"/>
        <sz val="16"/>
        <color theme="4"/>
        <rFont val="Times New Roman Cyr"/>
        <charset val="204"/>
      </rPr>
      <t>A</t>
    </r>
    <r>
      <rPr>
        <b/>
        <sz val="16"/>
        <color theme="4"/>
        <rFont val="Times New Roman Cyr"/>
        <charset val="204"/>
      </rPr>
      <t>)</t>
    </r>
    <r>
      <rPr>
        <b/>
        <sz val="16"/>
        <rFont val="Times New Roman Cyr"/>
        <charset val="204"/>
      </rPr>
      <t>/</t>
    </r>
    <r>
      <rPr>
        <b/>
        <sz val="16"/>
        <color rgb="FF0070C0"/>
        <rFont val="Times New Roman Cyr"/>
        <charset val="204"/>
      </rPr>
      <t>cos</t>
    </r>
    <r>
      <rPr>
        <b/>
        <sz val="16"/>
        <color rgb="FF0070C0"/>
        <rFont val="Symbol"/>
        <family val="1"/>
        <charset val="2"/>
      </rPr>
      <t>q</t>
    </r>
    <r>
      <rPr>
        <b/>
        <vertAlign val="subscript"/>
        <sz val="16"/>
        <color rgb="FF0070C0"/>
        <rFont val="Symbol"/>
        <family val="1"/>
        <charset val="2"/>
      </rPr>
      <t>A</t>
    </r>
  </si>
  <si>
    <r>
      <rPr>
        <b/>
        <i/>
        <sz val="12"/>
        <color rgb="FF7030A0"/>
        <rFont val="Times New Roman Cyr"/>
        <charset val="204"/>
      </rPr>
      <t>h</t>
    </r>
    <r>
      <rPr>
        <b/>
        <sz val="12"/>
        <color rgb="FF7030A0"/>
        <rFont val="Times New Roman Cyr"/>
        <charset val="204"/>
      </rPr>
      <t>=</t>
    </r>
    <r>
      <rPr>
        <b/>
        <i/>
        <sz val="12"/>
        <color rgb="FF7030A0"/>
        <rFont val="Times New Roman Cyr"/>
        <charset val="204"/>
      </rPr>
      <t>h</t>
    </r>
    <r>
      <rPr>
        <b/>
        <vertAlign val="subscript"/>
        <sz val="12"/>
        <color rgb="FF7030A0"/>
        <rFont val="Times New Roman Cyr"/>
        <charset val="204"/>
      </rPr>
      <t>A</t>
    </r>
    <r>
      <rPr>
        <b/>
        <sz val="12"/>
        <color rgb="FF7030A0"/>
        <rFont val="Times New Roman Cyr"/>
        <charset val="204"/>
      </rPr>
      <t>+</t>
    </r>
    <r>
      <rPr>
        <b/>
        <i/>
        <sz val="12"/>
        <color rgb="FF7030A0"/>
        <rFont val="Times New Roman Cyr"/>
        <charset val="204"/>
      </rPr>
      <t>a</t>
    </r>
    <r>
      <rPr>
        <b/>
        <sz val="12"/>
        <color rgb="FF7030A0"/>
        <rFont val="Times New Roman Cyr"/>
        <charset val="204"/>
      </rPr>
      <t>(g</t>
    </r>
    <r>
      <rPr>
        <b/>
        <vertAlign val="subscript"/>
        <sz val="12"/>
        <color rgb="FF7030A0"/>
        <rFont val="Times New Roman Cyr"/>
        <charset val="204"/>
      </rPr>
      <t>J</t>
    </r>
    <r>
      <rPr>
        <b/>
        <sz val="12"/>
        <color rgb="FF7030A0"/>
        <rFont val="Times New Roman Cyr"/>
        <charset val="204"/>
      </rPr>
      <t>m</t>
    </r>
    <r>
      <rPr>
        <b/>
        <vertAlign val="subscript"/>
        <sz val="12"/>
        <color rgb="FF7030A0"/>
        <rFont val="Times New Roman Cyr"/>
        <charset val="204"/>
      </rPr>
      <t>J</t>
    </r>
    <r>
      <rPr>
        <b/>
        <sz val="12"/>
        <color rgb="FF7030A0"/>
        <rFont val="Symbol"/>
        <family val="1"/>
        <charset val="2"/>
      </rPr>
      <t>m</t>
    </r>
    <r>
      <rPr>
        <b/>
        <vertAlign val="subscript"/>
        <sz val="12"/>
        <color rgb="FF7030A0"/>
        <rFont val="Symbol"/>
        <family val="1"/>
        <charset val="2"/>
      </rPr>
      <t>B</t>
    </r>
    <r>
      <rPr>
        <b/>
        <i/>
        <sz val="12"/>
        <color rgb="FF7030A0"/>
        <rFont val="Symbol"/>
        <family val="1"/>
        <charset val="2"/>
      </rPr>
      <t>B</t>
    </r>
    <r>
      <rPr>
        <b/>
        <sz val="12"/>
        <color rgb="FF7030A0"/>
        <rFont val="Symbol"/>
        <family val="1"/>
        <charset val="2"/>
      </rPr>
      <t>/(2</t>
    </r>
    <r>
      <rPr>
        <b/>
        <sz val="12"/>
        <color rgb="FF7030A0"/>
        <rFont val="Times New Roman"/>
        <family val="1"/>
        <charset val="204"/>
      </rPr>
      <t>V</t>
    </r>
    <r>
      <rPr>
        <b/>
        <vertAlign val="subscript"/>
        <sz val="12"/>
        <color rgb="FF7030A0"/>
        <rFont val="Times New Roman"/>
        <family val="1"/>
        <charset val="204"/>
      </rPr>
      <t>abc</t>
    </r>
    <r>
      <rPr>
        <b/>
        <sz val="12"/>
        <color rgb="FF7030A0"/>
        <rFont val="Symbol"/>
        <family val="1"/>
        <charset val="2"/>
      </rPr>
      <t>E))</t>
    </r>
    <r>
      <rPr>
        <b/>
        <vertAlign val="superscript"/>
        <sz val="12"/>
        <color rgb="FF7030A0"/>
        <rFont val="Symbol"/>
        <family val="1"/>
        <charset val="2"/>
      </rPr>
      <t>1/2</t>
    </r>
    <r>
      <rPr>
        <b/>
        <vertAlign val="subscript"/>
        <sz val="12"/>
        <color rgb="FF7030A0"/>
        <rFont val="Times New Roman"/>
        <family val="1"/>
        <charset val="204"/>
      </rPr>
      <t>,</t>
    </r>
    <r>
      <rPr>
        <b/>
        <sz val="12"/>
        <color rgb="FF7030A0"/>
        <rFont val="Times New Roman"/>
        <family val="1"/>
        <charset val="204"/>
      </rPr>
      <t xml:space="preserve"> </t>
    </r>
    <r>
      <rPr>
        <b/>
        <sz val="12"/>
        <color rgb="FF7030A0"/>
        <rFont val="Calibri"/>
        <family val="2"/>
        <charset val="204"/>
      </rPr>
      <t>Å</t>
    </r>
  </si>
  <si>
    <r>
      <t>V(</t>
    </r>
    <r>
      <rPr>
        <b/>
        <i/>
        <sz val="12"/>
        <color rgb="FF7030A0"/>
        <rFont val="Times New Roman Cyr"/>
        <charset val="204"/>
      </rPr>
      <t>h</t>
    </r>
    <r>
      <rPr>
        <b/>
        <sz val="12"/>
        <color rgb="FF7030A0"/>
        <rFont val="Times New Roman Cyr"/>
        <charset val="204"/>
      </rPr>
      <t>)=2</t>
    </r>
    <r>
      <rPr>
        <b/>
        <sz val="12"/>
        <color rgb="FF7030A0"/>
        <rFont val="Symbol"/>
        <family val="1"/>
        <charset val="2"/>
      </rPr>
      <t>p</t>
    </r>
    <r>
      <rPr>
        <b/>
        <i/>
        <sz val="12"/>
        <color rgb="FF7030A0"/>
        <rFont val="Times New Roman"/>
        <family val="1"/>
        <charset val="204"/>
      </rPr>
      <t>h</t>
    </r>
    <r>
      <rPr>
        <b/>
        <vertAlign val="superscript"/>
        <sz val="12"/>
        <color rgb="FF7030A0"/>
        <rFont val="Times New Roman"/>
        <family val="1"/>
        <charset val="204"/>
      </rPr>
      <t>2</t>
    </r>
    <r>
      <rPr>
        <b/>
        <sz val="12"/>
        <color rgb="FF7030A0"/>
        <rFont val="Times New Roman Cyr"/>
        <charset val="204"/>
      </rPr>
      <t>(R-</t>
    </r>
    <r>
      <rPr>
        <b/>
        <i/>
        <sz val="12"/>
        <color rgb="FF7030A0"/>
        <rFont val="Times New Roman Cyr"/>
        <charset val="204"/>
      </rPr>
      <t>h</t>
    </r>
    <r>
      <rPr>
        <b/>
        <sz val="12"/>
        <color rgb="FF7030A0"/>
        <rFont val="Times New Roman Cyr"/>
        <charset val="204"/>
      </rPr>
      <t xml:space="preserve">/3), </t>
    </r>
    <r>
      <rPr>
        <b/>
        <sz val="12"/>
        <color rgb="FF7030A0"/>
        <rFont val="Calibri"/>
        <family val="2"/>
        <charset val="204"/>
      </rPr>
      <t>Å</t>
    </r>
    <r>
      <rPr>
        <b/>
        <vertAlign val="superscript"/>
        <sz val="12"/>
        <color rgb="FF7030A0"/>
        <rFont val="Times New Roman Cyr"/>
        <charset val="204"/>
      </rPr>
      <t>3</t>
    </r>
  </si>
  <si>
    <r>
      <t>T</t>
    </r>
    <r>
      <rPr>
        <b/>
        <vertAlign val="subscript"/>
        <sz val="11"/>
        <rFont val="Times New Roman Cyr"/>
        <charset val="204"/>
      </rPr>
      <t>C</t>
    </r>
    <r>
      <rPr>
        <b/>
        <vertAlign val="superscript"/>
        <sz val="11"/>
        <rFont val="Times New Roman Cyr"/>
        <charset val="204"/>
      </rPr>
      <t>EXP</t>
    </r>
    <r>
      <rPr>
        <b/>
        <sz val="11"/>
        <rFont val="Times New Roman Cyr"/>
        <charset val="204"/>
      </rPr>
      <t>, K=</t>
    </r>
  </si>
  <si>
    <r>
      <rPr>
        <b/>
        <i/>
        <sz val="12"/>
        <rFont val="Times New Roman Cyr"/>
        <charset val="204"/>
      </rPr>
      <t>B</t>
    </r>
    <r>
      <rPr>
        <b/>
        <sz val="12"/>
        <rFont val="Times New Roman Cyr"/>
        <charset val="204"/>
      </rPr>
      <t>, T =</t>
    </r>
  </si>
  <si>
    <r>
      <rPr>
        <b/>
        <i/>
        <sz val="12"/>
        <rFont val="Times New Roman Cyr"/>
        <charset val="204"/>
      </rPr>
      <t>B</t>
    </r>
    <r>
      <rPr>
        <b/>
        <sz val="12"/>
        <rFont val="Times New Roman Cyr"/>
        <charset val="204"/>
      </rPr>
      <t>, T=</t>
    </r>
  </si>
  <si>
    <r>
      <rPr>
        <b/>
        <i/>
        <sz val="11"/>
        <color rgb="FF0070C0"/>
        <rFont val="Times New Roman Cyr"/>
        <charset val="204"/>
      </rPr>
      <t>T</t>
    </r>
    <r>
      <rPr>
        <b/>
        <vertAlign val="subscript"/>
        <sz val="11"/>
        <color rgb="FF0070C0"/>
        <rFont val="Times New Roman Cyr"/>
        <charset val="204"/>
      </rPr>
      <t>C</t>
    </r>
    <r>
      <rPr>
        <b/>
        <vertAlign val="superscript"/>
        <sz val="11"/>
        <color rgb="FF0070C0"/>
        <rFont val="Times New Roman Cyr"/>
        <charset val="204"/>
      </rPr>
      <t>CALC</t>
    </r>
    <r>
      <rPr>
        <b/>
        <sz val="11"/>
        <color rgb="FF0070C0"/>
        <rFont val="Times New Roman Cyr"/>
        <charset val="204"/>
      </rPr>
      <t>, K=</t>
    </r>
  </si>
  <si>
    <r>
      <rPr>
        <b/>
        <sz val="10"/>
        <rFont val="Symbol"/>
        <family val="1"/>
        <charset val="2"/>
      </rPr>
      <t>D</t>
    </r>
    <r>
      <rPr>
        <b/>
        <i/>
        <sz val="10"/>
        <rFont val="Times New Roman Cyr"/>
        <charset val="204"/>
      </rPr>
      <t>T</t>
    </r>
    <r>
      <rPr>
        <b/>
        <vertAlign val="subscript"/>
        <sz val="10"/>
        <rFont val="Times New Roman Cyr"/>
        <charset val="204"/>
      </rPr>
      <t>C</t>
    </r>
    <r>
      <rPr>
        <b/>
        <sz val="10"/>
        <rFont val="Times New Roman Cyr"/>
        <charset val="204"/>
      </rPr>
      <t>=</t>
    </r>
  </si>
  <si>
    <r>
      <rPr>
        <b/>
        <sz val="10"/>
        <rFont val="Symbol"/>
        <family val="1"/>
        <charset val="2"/>
      </rPr>
      <t>D</t>
    </r>
    <r>
      <rPr>
        <b/>
        <i/>
        <sz val="10"/>
        <rFont val="Times New Roman Cyr"/>
        <charset val="204"/>
      </rPr>
      <t>T</t>
    </r>
    <r>
      <rPr>
        <b/>
        <vertAlign val="subscript"/>
        <sz val="10"/>
        <rFont val="Times New Roman Cyr"/>
        <charset val="204"/>
      </rPr>
      <t>C</t>
    </r>
    <r>
      <rPr>
        <b/>
        <vertAlign val="superscript"/>
        <sz val="10"/>
        <rFont val="Times New Roman Cyr"/>
        <charset val="204"/>
      </rPr>
      <t>2</t>
    </r>
    <r>
      <rPr>
        <b/>
        <sz val="10"/>
        <rFont val="Times New Roman Cyr"/>
        <charset val="204"/>
      </rPr>
      <t>=</t>
    </r>
  </si>
  <si>
    <r>
      <rPr>
        <b/>
        <sz val="12"/>
        <color rgb="FF0070C0"/>
        <rFont val="Symbol"/>
        <family val="1"/>
        <charset val="2"/>
      </rPr>
      <t>q</t>
    </r>
    <r>
      <rPr>
        <b/>
        <vertAlign val="subscript"/>
        <sz val="12"/>
        <color rgb="FF0070C0"/>
        <rFont val="Times New Roman Cyr"/>
        <charset val="204"/>
      </rPr>
      <t>A</t>
    </r>
    <r>
      <rPr>
        <b/>
        <sz val="12"/>
        <color rgb="FF0070C0"/>
        <rFont val="Times New Roman Cyr"/>
        <charset val="204"/>
      </rPr>
      <t xml:space="preserve"> =</t>
    </r>
  </si>
  <si>
    <r>
      <t>cos</t>
    </r>
    <r>
      <rPr>
        <b/>
        <sz val="12"/>
        <color rgb="FF0070C0"/>
        <rFont val="Symbol"/>
        <family val="1"/>
        <charset val="2"/>
      </rPr>
      <t>q</t>
    </r>
    <r>
      <rPr>
        <b/>
        <vertAlign val="subscript"/>
        <sz val="12"/>
        <color rgb="FF0070C0"/>
        <rFont val="Symbol"/>
        <family val="1"/>
        <charset val="2"/>
      </rPr>
      <t xml:space="preserve">A </t>
    </r>
    <r>
      <rPr>
        <b/>
        <sz val="12"/>
        <color rgb="FF0070C0"/>
        <rFont val="Times New Roman Cyr"/>
        <charset val="204"/>
      </rPr>
      <t>=</t>
    </r>
  </si>
  <si>
    <r>
      <rPr>
        <b/>
        <sz val="12"/>
        <color rgb="FFFF0000"/>
        <rFont val="Symbol"/>
        <family val="1"/>
        <charset val="2"/>
      </rPr>
      <t>q</t>
    </r>
    <r>
      <rPr>
        <b/>
        <vertAlign val="subscript"/>
        <sz val="12"/>
        <color rgb="FFFF0000"/>
        <rFont val="Times New Roman Cyr"/>
        <charset val="204"/>
      </rPr>
      <t>B</t>
    </r>
    <r>
      <rPr>
        <b/>
        <sz val="12"/>
        <color rgb="FFFF0000"/>
        <rFont val="Times New Roman Cyr"/>
        <charset val="204"/>
      </rPr>
      <t xml:space="preserve"> =</t>
    </r>
  </si>
  <si>
    <r>
      <t>cos</t>
    </r>
    <r>
      <rPr>
        <b/>
        <sz val="12"/>
        <color rgb="FFFF0000"/>
        <rFont val="Symbol"/>
        <family val="1"/>
        <charset val="2"/>
      </rPr>
      <t>q</t>
    </r>
    <r>
      <rPr>
        <b/>
        <vertAlign val="subscript"/>
        <sz val="12"/>
        <color rgb="FFFF0000"/>
        <rFont val="Symbol"/>
        <family val="1"/>
        <charset val="2"/>
      </rPr>
      <t xml:space="preserve">B </t>
    </r>
    <r>
      <rPr>
        <b/>
        <sz val="12"/>
        <color rgb="FFFF0000"/>
        <rFont val="Times New Roman Cyr"/>
        <charset val="204"/>
      </rPr>
      <t>=</t>
    </r>
  </si>
  <si>
    <r>
      <rPr>
        <b/>
        <sz val="10"/>
        <color rgb="FF7030A0"/>
        <rFont val="Symbol"/>
        <family val="1"/>
        <charset val="2"/>
      </rPr>
      <t>D</t>
    </r>
    <r>
      <rPr>
        <b/>
        <sz val="10"/>
        <color rgb="FF7030A0"/>
        <rFont val="Cambria"/>
        <family val="1"/>
        <charset val="204"/>
      </rPr>
      <t>T</t>
    </r>
    <r>
      <rPr>
        <b/>
        <vertAlign val="subscript"/>
        <sz val="10"/>
        <color rgb="FF7030A0"/>
        <rFont val="Cambria"/>
        <family val="1"/>
        <charset val="204"/>
      </rPr>
      <t>C</t>
    </r>
    <r>
      <rPr>
        <b/>
        <sz val="10"/>
        <color rgb="FF7030A0"/>
        <rFont val="Times New Roman Cyr"/>
        <charset val="204"/>
      </rPr>
      <t>=g</t>
    </r>
    <r>
      <rPr>
        <b/>
        <vertAlign val="subscript"/>
        <sz val="10"/>
        <color rgb="FF7030A0"/>
        <rFont val="Times New Roman Cyr"/>
        <charset val="204"/>
      </rPr>
      <t>J</t>
    </r>
    <r>
      <rPr>
        <b/>
        <sz val="10"/>
        <color rgb="FF7030A0"/>
        <rFont val="Times New Roman Cyr"/>
        <charset val="204"/>
      </rPr>
      <t>m</t>
    </r>
    <r>
      <rPr>
        <b/>
        <vertAlign val="subscript"/>
        <sz val="10"/>
        <color rgb="FF7030A0"/>
        <rFont val="Times New Roman Cyr"/>
        <charset val="204"/>
      </rPr>
      <t>J</t>
    </r>
    <r>
      <rPr>
        <b/>
        <sz val="10"/>
        <color rgb="FF7030A0"/>
        <rFont val="Symbol"/>
        <family val="1"/>
        <charset val="2"/>
      </rPr>
      <t>m</t>
    </r>
    <r>
      <rPr>
        <b/>
        <vertAlign val="subscript"/>
        <sz val="10"/>
        <color rgb="FF7030A0"/>
        <rFont val="Symbol"/>
        <family val="1"/>
        <charset val="2"/>
      </rPr>
      <t>B</t>
    </r>
    <r>
      <rPr>
        <b/>
        <i/>
        <sz val="10"/>
        <color rgb="FF7030A0"/>
        <rFont val="Times New Roman"/>
        <family val="1"/>
        <charset val="204"/>
      </rPr>
      <t>B</t>
    </r>
    <r>
      <rPr>
        <b/>
        <sz val="10"/>
        <color rgb="FF7030A0"/>
        <rFont val="Times New Roman"/>
        <family val="1"/>
        <charset val="204"/>
      </rPr>
      <t>cos</t>
    </r>
    <r>
      <rPr>
        <b/>
        <sz val="10"/>
        <color rgb="FF7030A0"/>
        <rFont val="Symbol"/>
        <family val="1"/>
        <charset val="2"/>
      </rPr>
      <t>q</t>
    </r>
    <r>
      <rPr>
        <b/>
        <sz val="10"/>
        <color rgb="FF7030A0"/>
        <rFont val="Times New Roman"/>
        <family val="1"/>
        <charset val="204"/>
      </rPr>
      <t>/</t>
    </r>
    <r>
      <rPr>
        <b/>
        <i/>
        <sz val="10"/>
        <color rgb="FF7030A0"/>
        <rFont val="Times New Roman"/>
        <family val="1"/>
        <charset val="204"/>
      </rPr>
      <t>k</t>
    </r>
    <r>
      <rPr>
        <b/>
        <vertAlign val="subscript"/>
        <sz val="10"/>
        <color rgb="FF7030A0"/>
        <rFont val="Times New Roman"/>
        <family val="1"/>
        <charset val="204"/>
      </rPr>
      <t>B</t>
    </r>
  </si>
  <si>
    <r>
      <rPr>
        <b/>
        <sz val="9"/>
        <rFont val="Symbol"/>
        <family val="1"/>
        <charset val="2"/>
      </rPr>
      <t>D</t>
    </r>
    <r>
      <rPr>
        <b/>
        <i/>
        <sz val="9"/>
        <rFont val="Cambria"/>
        <family val="1"/>
        <charset val="204"/>
      </rPr>
      <t>T</t>
    </r>
    <r>
      <rPr>
        <b/>
        <vertAlign val="subscript"/>
        <sz val="9"/>
        <rFont val="Cambria"/>
        <family val="1"/>
        <charset val="204"/>
      </rPr>
      <t>C</t>
    </r>
    <r>
      <rPr>
        <b/>
        <sz val="9"/>
        <rFont val="Times New Roman Cyr"/>
        <charset val="204"/>
      </rPr>
      <t>=g</t>
    </r>
    <r>
      <rPr>
        <b/>
        <vertAlign val="subscript"/>
        <sz val="9"/>
        <rFont val="Times New Roman Cyr"/>
        <charset val="204"/>
      </rPr>
      <t>J</t>
    </r>
    <r>
      <rPr>
        <b/>
        <sz val="9"/>
        <rFont val="Times New Roman Cyr"/>
        <charset val="204"/>
      </rPr>
      <t>m</t>
    </r>
    <r>
      <rPr>
        <b/>
        <vertAlign val="subscript"/>
        <sz val="9"/>
        <rFont val="Times New Roman Cyr"/>
        <charset val="204"/>
      </rPr>
      <t>J</t>
    </r>
    <r>
      <rPr>
        <b/>
        <sz val="9"/>
        <rFont val="Symbol"/>
        <family val="1"/>
        <charset val="2"/>
      </rPr>
      <t>m</t>
    </r>
    <r>
      <rPr>
        <b/>
        <vertAlign val="subscript"/>
        <sz val="9"/>
        <rFont val="Symbol"/>
        <family val="1"/>
        <charset val="2"/>
      </rPr>
      <t>B</t>
    </r>
    <r>
      <rPr>
        <b/>
        <sz val="9"/>
        <rFont val="Times New Roman"/>
        <family val="1"/>
        <charset val="204"/>
      </rPr>
      <t>Bcos</t>
    </r>
    <r>
      <rPr>
        <b/>
        <sz val="9"/>
        <rFont val="Symbol"/>
        <family val="1"/>
        <charset val="2"/>
      </rPr>
      <t>q</t>
    </r>
    <r>
      <rPr>
        <b/>
        <sz val="9"/>
        <rFont val="Times New Roman"/>
        <family val="1"/>
        <charset val="204"/>
      </rPr>
      <t>/k</t>
    </r>
    <r>
      <rPr>
        <b/>
        <vertAlign val="subscript"/>
        <sz val="9"/>
        <rFont val="Times New Roman"/>
        <family val="1"/>
        <charset val="204"/>
      </rPr>
      <t>B</t>
    </r>
  </si>
  <si>
    <r>
      <rPr>
        <b/>
        <sz val="14"/>
        <color theme="4"/>
        <rFont val="Times New Roman"/>
        <family val="1"/>
        <charset val="204"/>
      </rPr>
      <t>cos</t>
    </r>
    <r>
      <rPr>
        <b/>
        <sz val="14"/>
        <color theme="4"/>
        <rFont val="Symbol"/>
        <family val="1"/>
        <charset val="2"/>
      </rPr>
      <t>q</t>
    </r>
  </si>
  <si>
    <r>
      <rPr>
        <b/>
        <sz val="12"/>
        <color rgb="FFC00000"/>
        <rFont val="Calibri"/>
        <family val="2"/>
        <charset val="204"/>
      </rPr>
      <t>µ</t>
    </r>
    <r>
      <rPr>
        <b/>
        <sz val="12"/>
        <color rgb="FFC00000"/>
        <rFont val="Times New Roman Cyr"/>
        <charset val="204"/>
      </rPr>
      <t>(Mn</t>
    </r>
    <r>
      <rPr>
        <b/>
        <vertAlign val="superscript"/>
        <sz val="12"/>
        <color rgb="FFC00000"/>
        <rFont val="Times New Roman Cyr"/>
        <charset val="204"/>
      </rPr>
      <t>3+</t>
    </r>
    <r>
      <rPr>
        <b/>
        <sz val="12"/>
        <color rgb="FFC00000"/>
        <rFont val="Times New Roman Cyr"/>
        <charset val="204"/>
      </rPr>
      <t xml:space="preserve"> )= </t>
    </r>
  </si>
  <si>
    <r>
      <t>(</t>
    </r>
    <r>
      <rPr>
        <b/>
        <sz val="10"/>
        <color rgb="FFC00000"/>
        <rFont val="Symbol"/>
        <family val="1"/>
        <charset val="2"/>
      </rPr>
      <t>m</t>
    </r>
    <r>
      <rPr>
        <b/>
        <vertAlign val="subscript"/>
        <sz val="10"/>
        <color rgb="FFC00000"/>
        <rFont val="Times New Roman Cyr"/>
        <charset val="204"/>
      </rPr>
      <t>B</t>
    </r>
    <r>
      <rPr>
        <b/>
        <sz val="10"/>
        <color rgb="FFC00000"/>
        <rFont val="Times New Roman Cyr"/>
        <charset val="204"/>
      </rPr>
      <t>)</t>
    </r>
  </si>
  <si>
    <r>
      <rPr>
        <b/>
        <sz val="12"/>
        <color rgb="FFFF0000"/>
        <rFont val="Calibri"/>
        <family val="2"/>
        <charset val="204"/>
      </rPr>
      <t>µ</t>
    </r>
    <r>
      <rPr>
        <b/>
        <sz val="12"/>
        <color rgb="FFFF0000"/>
        <rFont val="Times New Roman Cyr"/>
        <charset val="204"/>
      </rPr>
      <t>(Mn</t>
    </r>
    <r>
      <rPr>
        <b/>
        <vertAlign val="superscript"/>
        <sz val="12"/>
        <color rgb="FFFF0000"/>
        <rFont val="Times New Roman Cyr"/>
        <charset val="204"/>
      </rPr>
      <t>4+</t>
    </r>
    <r>
      <rPr>
        <b/>
        <sz val="12"/>
        <color rgb="FFFF0000"/>
        <rFont val="Times New Roman"/>
        <family val="1"/>
        <charset val="204"/>
      </rPr>
      <t>)</t>
    </r>
    <r>
      <rPr>
        <b/>
        <sz val="12"/>
        <color rgb="FFFF0000"/>
        <rFont val="Times New Roman Cyr"/>
        <charset val="204"/>
      </rPr>
      <t xml:space="preserve">= </t>
    </r>
  </si>
  <si>
    <r>
      <t>(</t>
    </r>
    <r>
      <rPr>
        <b/>
        <sz val="10"/>
        <color rgb="FFFF0000"/>
        <rFont val="Symbol"/>
        <family val="1"/>
        <charset val="2"/>
      </rPr>
      <t>m</t>
    </r>
    <r>
      <rPr>
        <b/>
        <vertAlign val="subscript"/>
        <sz val="10"/>
        <color rgb="FFFF0000"/>
        <rFont val="Times New Roman Cyr"/>
        <charset val="204"/>
      </rPr>
      <t>B</t>
    </r>
    <r>
      <rPr>
        <b/>
        <sz val="10"/>
        <color rgb="FFFF0000"/>
        <rFont val="Times New Roman Cyr"/>
        <charset val="204"/>
      </rPr>
      <t>)</t>
    </r>
  </si>
  <si>
    <r>
      <t>Mn</t>
    </r>
    <r>
      <rPr>
        <b/>
        <vertAlign val="superscript"/>
        <sz val="36"/>
        <color rgb="FFC00000"/>
        <rFont val="Times New Roman Cyr"/>
        <charset val="204"/>
      </rPr>
      <t>3+</t>
    </r>
  </si>
  <si>
    <r>
      <t>Mn</t>
    </r>
    <r>
      <rPr>
        <b/>
        <vertAlign val="superscript"/>
        <sz val="36"/>
        <color rgb="FFFF0000"/>
        <rFont val="Times New Roman Cyr"/>
        <charset val="204"/>
      </rPr>
      <t>4+</t>
    </r>
  </si>
  <si>
    <r>
      <t>(</t>
    </r>
    <r>
      <rPr>
        <b/>
        <sz val="24"/>
        <rFont val="Symbol"/>
        <family val="1"/>
        <charset val="2"/>
      </rPr>
      <t>m</t>
    </r>
    <r>
      <rPr>
        <b/>
        <vertAlign val="subscript"/>
        <sz val="24"/>
        <rFont val="Times New Roman Cyr"/>
        <charset val="204"/>
      </rPr>
      <t>B</t>
    </r>
    <r>
      <rPr>
        <b/>
        <sz val="24"/>
        <rFont val="Times New Roman Cyr"/>
        <charset val="204"/>
      </rPr>
      <t>)</t>
    </r>
  </si>
  <si>
    <r>
      <rPr>
        <b/>
        <sz val="36"/>
        <rFont val="Calibri"/>
        <family val="2"/>
        <charset val="204"/>
      </rPr>
      <t>µ</t>
    </r>
    <r>
      <rPr>
        <b/>
        <sz val="22"/>
        <rFont val="Times New Roman Cyr"/>
        <charset val="204"/>
      </rPr>
      <t>(</t>
    </r>
    <r>
      <rPr>
        <b/>
        <sz val="22"/>
        <color rgb="FFC00000"/>
        <rFont val="Times New Roman Cyr"/>
        <charset val="204"/>
      </rPr>
      <t>Mn</t>
    </r>
    <r>
      <rPr>
        <b/>
        <vertAlign val="superscript"/>
        <sz val="22"/>
        <color rgb="FFC00000"/>
        <rFont val="Times New Roman Cyr"/>
        <charset val="204"/>
      </rPr>
      <t>4+</t>
    </r>
    <r>
      <rPr>
        <b/>
        <vertAlign val="superscript"/>
        <sz val="22"/>
        <rFont val="Times New Roman Cyr"/>
        <charset val="204"/>
      </rPr>
      <t xml:space="preserve"> </t>
    </r>
    <r>
      <rPr>
        <b/>
        <sz val="22"/>
        <rFont val="Times New Roman Cyr"/>
        <charset val="204"/>
      </rPr>
      <t xml:space="preserve">or </t>
    </r>
    <r>
      <rPr>
        <b/>
        <sz val="22"/>
        <color rgb="FFFF0000"/>
        <rFont val="Times New Roman Cyr"/>
        <charset val="204"/>
      </rPr>
      <t>Mn</t>
    </r>
    <r>
      <rPr>
        <b/>
        <vertAlign val="superscript"/>
        <sz val="22"/>
        <color rgb="FFFF0000"/>
        <rFont val="Times New Roman Cyr"/>
        <charset val="204"/>
      </rPr>
      <t>3+</t>
    </r>
    <r>
      <rPr>
        <b/>
        <sz val="22"/>
        <rFont val="Times New Roman Cyr"/>
        <charset val="204"/>
      </rPr>
      <t xml:space="preserve">)= </t>
    </r>
  </si>
  <si>
    <t>© Sh.B. Abdulvagidov (2021)</t>
  </si>
  <si>
    <r>
      <t>Landé factor g</t>
    </r>
    <r>
      <rPr>
        <b/>
        <vertAlign val="subscript"/>
        <sz val="12"/>
        <color theme="0"/>
        <rFont val="Times New Roman Cyr"/>
        <charset val="204"/>
      </rPr>
      <t>J</t>
    </r>
    <r>
      <rPr>
        <b/>
        <sz val="12"/>
        <color theme="0"/>
        <rFont val="Times New Roman Cyr"/>
        <charset val="204"/>
      </rPr>
      <t>=1+(J(J+1)+S(S+1)-L(L+1))/(2J(J+1))</t>
    </r>
  </si>
  <si>
    <r>
      <t xml:space="preserve">Magnetic moment </t>
    </r>
    <r>
      <rPr>
        <b/>
        <sz val="12"/>
        <color theme="0"/>
        <rFont val="Calibri"/>
        <family val="2"/>
        <charset val="204"/>
      </rPr>
      <t>µ</t>
    </r>
    <r>
      <rPr>
        <b/>
        <sz val="12"/>
        <color theme="0"/>
        <rFont val="Times New Roman Cyr"/>
        <charset val="204"/>
      </rPr>
      <t>=g</t>
    </r>
    <r>
      <rPr>
        <b/>
        <vertAlign val="subscript"/>
        <sz val="12"/>
        <color theme="0"/>
        <rFont val="Times New Roman Cyr"/>
        <charset val="204"/>
      </rPr>
      <t>J</t>
    </r>
    <r>
      <rPr>
        <b/>
        <sz val="12"/>
        <color theme="0"/>
        <rFont val="Times New Roman Cyr"/>
        <charset val="204"/>
      </rPr>
      <t>*m</t>
    </r>
    <r>
      <rPr>
        <b/>
        <vertAlign val="subscript"/>
        <sz val="12"/>
        <color theme="0"/>
        <rFont val="Times New Roman Cyr"/>
        <charset val="204"/>
      </rPr>
      <t>J</t>
    </r>
  </si>
  <si>
    <r>
      <t>(</t>
    </r>
    <r>
      <rPr>
        <b/>
        <sz val="10"/>
        <color theme="0"/>
        <rFont val="Symbol"/>
        <family val="1"/>
        <charset val="2"/>
      </rPr>
      <t>m</t>
    </r>
    <r>
      <rPr>
        <b/>
        <vertAlign val="subscript"/>
        <sz val="10"/>
        <color theme="0"/>
        <rFont val="Times New Roman Cyr"/>
        <charset val="204"/>
      </rPr>
      <t>B</t>
    </r>
    <r>
      <rPr>
        <b/>
        <sz val="10"/>
        <color theme="0"/>
        <rFont val="Times New Roman Cyr"/>
        <charset val="204"/>
      </rPr>
      <t>)</t>
    </r>
  </si>
  <si>
    <r>
      <rPr>
        <sz val="26"/>
        <color rgb="FF7030A0"/>
        <rFont val="Times New Roman Cyr"/>
        <charset val="204"/>
      </rPr>
      <t>A</t>
    </r>
    <r>
      <rPr>
        <sz val="26"/>
        <color rgb="FF002060"/>
        <rFont val="Times New Roman Cyr"/>
        <charset val="204"/>
      </rPr>
      <t>B</t>
    </r>
    <r>
      <rPr>
        <sz val="26"/>
        <rFont val="Times New Roman Cyr"/>
        <charset val="204"/>
      </rPr>
      <t xml:space="preserve"> Hysteresis:</t>
    </r>
  </si>
  <si>
    <r>
      <rPr>
        <b/>
        <sz val="16"/>
        <rFont val="Symbol"/>
        <family val="1"/>
        <charset val="2"/>
      </rPr>
      <t>D</t>
    </r>
    <r>
      <rPr>
        <b/>
        <i/>
        <sz val="16"/>
        <rFont val="Cambria"/>
        <family val="1"/>
        <charset val="204"/>
      </rPr>
      <t>T</t>
    </r>
    <r>
      <rPr>
        <b/>
        <vertAlign val="subscript"/>
        <sz val="16"/>
        <rFont val="Cambria"/>
        <family val="1"/>
        <charset val="204"/>
      </rPr>
      <t xml:space="preserve">C  </t>
    </r>
    <r>
      <rPr>
        <b/>
        <sz val="16"/>
        <rFont val="Cambria"/>
        <family val="1"/>
        <charset val="204"/>
      </rPr>
      <t>=</t>
    </r>
  </si>
  <si>
    <r>
      <rPr>
        <b/>
        <i/>
        <sz val="16"/>
        <color rgb="FFFF0000"/>
        <rFont val="Cambria"/>
        <family val="1"/>
        <charset val="204"/>
      </rPr>
      <t>T</t>
    </r>
    <r>
      <rPr>
        <b/>
        <vertAlign val="subscript"/>
        <sz val="16"/>
        <color rgb="FFFF0000"/>
        <rFont val="Cambria"/>
        <family val="1"/>
        <charset val="204"/>
      </rPr>
      <t>C</t>
    </r>
    <r>
      <rPr>
        <b/>
        <vertAlign val="superscript"/>
        <sz val="16"/>
        <color rgb="FFFF0000"/>
        <rFont val="Times New Roman Cyr"/>
        <charset val="204"/>
      </rPr>
      <t>B</t>
    </r>
    <r>
      <rPr>
        <b/>
        <sz val="16"/>
        <rFont val="Times New Roman Cyr"/>
        <charset val="204"/>
      </rPr>
      <t>-</t>
    </r>
  </si>
  <si>
    <r>
      <rPr>
        <b/>
        <i/>
        <sz val="16"/>
        <color rgb="FF0070C0"/>
        <rFont val="Cambria"/>
        <family val="1"/>
        <charset val="204"/>
      </rPr>
      <t>T</t>
    </r>
    <r>
      <rPr>
        <b/>
        <vertAlign val="subscript"/>
        <sz val="16"/>
        <color rgb="FF0070C0"/>
        <rFont val="Cambria"/>
        <family val="1"/>
        <charset val="204"/>
      </rPr>
      <t>C</t>
    </r>
    <r>
      <rPr>
        <b/>
        <vertAlign val="superscript"/>
        <sz val="16"/>
        <color rgb="FF0070C0"/>
        <rFont val="Times New Roman Cyr"/>
        <charset val="204"/>
      </rPr>
      <t xml:space="preserve">A  </t>
    </r>
    <r>
      <rPr>
        <b/>
        <sz val="16"/>
        <rFont val="Times New Roman Cyr"/>
        <charset val="204"/>
      </rPr>
      <t>=</t>
    </r>
  </si>
  <si>
    <t>r =</t>
  </si>
  <si>
    <r>
      <rPr>
        <b/>
        <i/>
        <sz val="12"/>
        <rFont val="Times New Roman Cyr"/>
        <charset val="204"/>
      </rPr>
      <t>T</t>
    </r>
    <r>
      <rPr>
        <b/>
        <vertAlign val="subscript"/>
        <sz val="12"/>
        <rFont val="Times New Roman Cyr"/>
        <charset val="204"/>
      </rPr>
      <t>C</t>
    </r>
    <r>
      <rPr>
        <b/>
        <i/>
        <vertAlign val="superscript"/>
        <sz val="12"/>
        <rFont val="Times New Roman Cyr"/>
        <charset val="204"/>
      </rPr>
      <t>EXP</t>
    </r>
    <r>
      <rPr>
        <b/>
        <sz val="12"/>
        <rFont val="Times New Roman Cyr"/>
        <charset val="204"/>
      </rPr>
      <t>, K =</t>
    </r>
  </si>
  <si>
    <t>The hysteresis width:</t>
  </si>
  <si>
    <r>
      <t xml:space="preserve">This "Supplementary TableS1.xlsx" demonsrates drawing the phase boundaries on Figs. 1 and 3 and the calculation of the diamond’s melting point. The sheets “AC Curve” and “BC Line” plot from the initial and fitted quantities the lines </t>
    </r>
    <r>
      <rPr>
        <b/>
        <i/>
        <sz val="12"/>
        <rFont val="Times New Roman"/>
        <family val="1"/>
        <charset val="204"/>
      </rPr>
      <t>AC</t>
    </r>
    <r>
      <rPr>
        <b/>
        <sz val="12"/>
        <rFont val="Times New Roman"/>
        <family val="1"/>
        <charset val="204"/>
      </rPr>
      <t xml:space="preserve"> and </t>
    </r>
    <r>
      <rPr>
        <b/>
        <i/>
        <sz val="12"/>
        <rFont val="Times New Roman"/>
        <family val="1"/>
        <charset val="204"/>
      </rPr>
      <t>BC</t>
    </r>
    <r>
      <rPr>
        <b/>
        <sz val="12"/>
        <rFont val="Times New Roman"/>
        <family val="1"/>
        <charset val="204"/>
      </rPr>
      <t xml:space="preserve"> on the Fig. 1. The sheet “AB Hysteresis” presents the explanation of the zero-field hysteresis. The sheet “Tc(P)” fits the </t>
    </r>
    <r>
      <rPr>
        <b/>
        <i/>
        <sz val="12"/>
        <rFont val="Times New Roman"/>
        <family val="1"/>
        <charset val="204"/>
      </rPr>
      <t>T</t>
    </r>
    <r>
      <rPr>
        <b/>
        <i/>
        <vertAlign val="subscript"/>
        <sz val="12"/>
        <rFont val="Times New Roman"/>
        <family val="1"/>
        <charset val="204"/>
      </rPr>
      <t>C</t>
    </r>
    <r>
      <rPr>
        <b/>
        <sz val="12"/>
        <rFont val="Times New Roman"/>
        <family val="1"/>
        <charset val="204"/>
      </rPr>
      <t>(</t>
    </r>
    <r>
      <rPr>
        <b/>
        <i/>
        <sz val="12"/>
        <rFont val="Times New Roman"/>
        <family val="1"/>
        <charset val="204"/>
      </rPr>
      <t>P</t>
    </r>
    <r>
      <rPr>
        <b/>
        <sz val="12"/>
        <rFont val="Times New Roman"/>
        <family val="1"/>
        <charset val="204"/>
      </rPr>
      <t xml:space="preserve">) diagram on the Fig. 3 only with fitting the prefactor and power in the pressure-depended Young’s modulus </t>
    </r>
    <r>
      <rPr>
        <b/>
        <i/>
        <sz val="12"/>
        <rFont val="Times New Roman"/>
        <family val="1"/>
        <charset val="204"/>
      </rPr>
      <t>E</t>
    </r>
    <r>
      <rPr>
        <b/>
        <sz val="12"/>
        <rFont val="Times New Roman"/>
        <family val="1"/>
        <charset val="204"/>
      </rPr>
      <t>(</t>
    </r>
    <r>
      <rPr>
        <b/>
        <i/>
        <sz val="12"/>
        <rFont val="Times New Roman"/>
        <family val="1"/>
        <charset val="204"/>
      </rPr>
      <t>P</t>
    </r>
    <r>
      <rPr>
        <b/>
        <sz val="12"/>
        <rFont val="Times New Roman"/>
        <family val="1"/>
        <charset val="204"/>
      </rPr>
      <t>) = 325</t>
    </r>
    <r>
      <rPr>
        <b/>
        <i/>
        <sz val="12"/>
        <rFont val="Times New Roman"/>
        <family val="1"/>
        <charset val="204"/>
      </rPr>
      <t>P</t>
    </r>
    <r>
      <rPr>
        <b/>
        <vertAlign val="superscript"/>
        <sz val="12"/>
        <rFont val="Times New Roman"/>
        <family val="1"/>
        <charset val="204"/>
      </rPr>
      <t>1/3 </t>
    </r>
    <r>
      <rPr>
        <b/>
        <sz val="12"/>
        <rFont val="Times New Roman"/>
        <family val="1"/>
        <charset val="204"/>
      </rPr>
      <t>+ </t>
    </r>
    <r>
      <rPr>
        <b/>
        <i/>
        <sz val="12"/>
        <rFont val="Times New Roman"/>
        <family val="1"/>
        <charset val="204"/>
      </rPr>
      <t>E</t>
    </r>
    <r>
      <rPr>
        <b/>
        <vertAlign val="subscript"/>
        <sz val="12"/>
        <rFont val="Times New Roman"/>
        <family val="1"/>
        <charset val="204"/>
      </rPr>
      <t>0</t>
    </r>
    <r>
      <rPr>
        <b/>
        <sz val="12"/>
        <rFont val="Times New Roman"/>
        <family val="1"/>
        <charset val="204"/>
      </rPr>
      <t>. The sheet “Diamond’s Melting Point” calculates the melting point of diamond. The sheet “Magnetic moments” calculates the magnetic moments of the cations Mn</t>
    </r>
    <r>
      <rPr>
        <b/>
        <vertAlign val="superscript"/>
        <sz val="12"/>
        <rFont val="Times New Roman"/>
        <family val="1"/>
        <charset val="204"/>
      </rPr>
      <t>3+</t>
    </r>
    <r>
      <rPr>
        <b/>
        <sz val="12"/>
        <rFont val="Times New Roman"/>
        <family val="1"/>
        <charset val="204"/>
      </rPr>
      <t xml:space="preserve"> and Mn</t>
    </r>
    <r>
      <rPr>
        <b/>
        <vertAlign val="superscript"/>
        <sz val="12"/>
        <rFont val="Times New Roman"/>
        <family val="1"/>
        <charset val="204"/>
      </rPr>
      <t>4+</t>
    </r>
    <r>
      <rPr>
        <b/>
        <sz val="12"/>
        <rFont val="Times New Roman"/>
        <family val="1"/>
        <charset val="204"/>
      </rPr>
      <t xml:space="preserve">. The sheet “Fundamental constants” provides the rest sheets with the values of the necessary fundamental constants. </t>
    </r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</si>
</sst>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mc:Ignorable="x14ac x16r2">
  <numFmts count="20">
    <numFmt numFmtId="164" formatCode="0.000000E+00"/>
    <numFmt numFmtId="165" formatCode="0.0000000E+00"/>
    <numFmt numFmtId="166" formatCode="0.000000"/>
    <numFmt numFmtId="167" formatCode="0.000"/>
    <numFmt numFmtId="168" formatCode="0.00000"/>
    <numFmt numFmtId="169" formatCode="0.0000000000E+00"/>
    <numFmt numFmtId="170" formatCode="0.00000E+00"/>
    <numFmt numFmtId="171" formatCode="0.0000"/>
    <numFmt numFmtId="172" formatCode="0.000E+00"/>
    <numFmt numFmtId="173" formatCode="0.E+00"/>
    <numFmt numFmtId="174" formatCode="0.0"/>
    <numFmt numFmtId="175" formatCode="0.0000000"/>
    <numFmt numFmtId="176" formatCode="0.000000000"/>
    <numFmt numFmtId="177" formatCode="0.0000E+00"/>
    <numFmt numFmtId="178" formatCode="#,##0.0"/>
    <numFmt numFmtId="179" formatCode="0.0E+00"/>
    <numFmt numFmtId="180" formatCode="#,##0.0000"/>
    <numFmt numFmtId="181" formatCode="0.0%"/>
    <numFmt numFmtId="182" formatCode="0.00000000000000000"/>
    <numFmt numFmtId="183" formatCode="0.000000000000"/>
  </numFmts>
  <fonts count="269" x14ac:knownFonts="1">
    <font>
      <sz val="10"/>
      <name val="Times New Roman Cyr"/>
      <charset val="204"/>
    </font>
    <font>
      <sz val="11"/>
      <color theme="1"/>
      <name val="Calibri"/>
      <family val="2"/>
      <charset val="204"/>
      <scheme val="minor"/>
    </font>
    <font>
      <sz val="9"/>
      <name val="Times New Roman Cyr"/>
      <charset val="204"/>
    </font>
    <font>
      <sz val="10"/>
      <name val="Times New Roman"/>
      <family val="1"/>
      <charset val="204"/>
    </font>
    <font>
      <vertAlign val="superscript"/>
      <sz val="10"/>
      <name val="Times New Roman"/>
      <family val="1"/>
      <charset val="204"/>
    </font>
    <font>
      <sz val="10"/>
      <name val="Symbol"/>
      <family val="1"/>
      <charset val="2"/>
    </font>
    <font>
      <vertAlign val="subscript"/>
      <sz val="10"/>
      <name val="Times New Roman"/>
      <family val="1"/>
      <charset val="204"/>
    </font>
    <font>
      <sz val="8"/>
      <name val="Times New Roman Cyr"/>
      <charset val="204"/>
    </font>
    <font>
      <b/>
      <sz val="10"/>
      <color rgb="FF00B050"/>
      <name val="Times New Roman"/>
      <family val="1"/>
      <charset val="204"/>
    </font>
    <font>
      <b/>
      <sz val="10"/>
      <name val="Times New Roman"/>
      <family val="1"/>
      <charset val="204"/>
    </font>
    <font>
      <b/>
      <sz val="10"/>
      <name val="Symbol"/>
      <family val="1"/>
      <charset val="2"/>
    </font>
    <font>
      <b/>
      <vertAlign val="subscript"/>
      <sz val="10"/>
      <name val="Times New Roman"/>
      <family val="1"/>
      <charset val="204"/>
    </font>
    <font>
      <b/>
      <vertAlign val="superscript"/>
      <sz val="10"/>
      <name val="Times New Roman"/>
      <family val="1"/>
      <charset val="204"/>
    </font>
    <font>
      <b/>
      <sz val="10"/>
      <name val="Times New Roman Cyr"/>
      <charset val="204"/>
    </font>
    <font>
      <b/>
      <vertAlign val="subscript"/>
      <sz val="10"/>
      <name val="Times New Roman Cyr"/>
      <charset val="204"/>
    </font>
    <font>
      <b/>
      <vertAlign val="superscript"/>
      <sz val="10"/>
      <name val="Times New Roman Cyr"/>
      <charset val="204"/>
    </font>
    <font>
      <b/>
      <sz val="14"/>
      <color rgb="FF00B050"/>
      <name val="Times New Roman Cyr"/>
      <charset val="204"/>
    </font>
    <font>
      <b/>
      <vertAlign val="subscript"/>
      <sz val="14"/>
      <color rgb="FF00B050"/>
      <name val="Times New Roman Cyr"/>
      <charset val="204"/>
    </font>
    <font>
      <b/>
      <sz val="12"/>
      <name val="Times New Roman"/>
      <family val="1"/>
      <charset val="204"/>
    </font>
    <font>
      <b/>
      <i/>
      <sz val="12"/>
      <name val="Times New Roman Cyr"/>
      <charset val="204"/>
    </font>
    <font>
      <b/>
      <i/>
      <sz val="12"/>
      <name val="Symbol"/>
      <family val="1"/>
      <charset val="2"/>
    </font>
    <font>
      <b/>
      <vertAlign val="subscript"/>
      <sz val="12"/>
      <name val="Times New Roman"/>
      <family val="1"/>
      <charset val="204"/>
    </font>
    <font>
      <b/>
      <sz val="12"/>
      <name val="Times New Roman Cyr"/>
      <charset val="204"/>
    </font>
    <font>
      <b/>
      <sz val="12"/>
      <name val="Symbol"/>
      <family val="1"/>
      <charset val="2"/>
    </font>
    <font>
      <b/>
      <i/>
      <sz val="14"/>
      <name val="Times New Roman Cyr"/>
      <charset val="204"/>
    </font>
    <font>
      <b/>
      <sz val="14"/>
      <name val="Times New Roman Cyr"/>
      <charset val="204"/>
    </font>
    <font>
      <b/>
      <vertAlign val="subscript"/>
      <sz val="9"/>
      <name val="Times New Roman"/>
      <family val="1"/>
      <charset val="204"/>
    </font>
    <font>
      <b/>
      <sz val="9"/>
      <name val="Times New Roman"/>
      <family val="1"/>
      <charset val="204"/>
    </font>
    <font>
      <b/>
      <sz val="16"/>
      <name val="Times New Roman Cyr"/>
      <charset val="204"/>
    </font>
    <font>
      <b/>
      <sz val="16"/>
      <name val="Symbol"/>
      <family val="1"/>
      <charset val="2"/>
    </font>
    <font>
      <b/>
      <vertAlign val="superscript"/>
      <sz val="16"/>
      <name val="Times New Roman Cyr"/>
      <charset val="204"/>
    </font>
    <font>
      <b/>
      <vertAlign val="superscript"/>
      <sz val="16"/>
      <name val="Times New Roman"/>
      <family val="1"/>
      <charset val="204"/>
    </font>
    <font>
      <b/>
      <vertAlign val="subscript"/>
      <sz val="16"/>
      <name val="Times New Roman Cyr"/>
      <charset val="204"/>
    </font>
    <font>
      <b/>
      <sz val="16"/>
      <name val="Calibri"/>
      <family val="2"/>
      <charset val="204"/>
    </font>
    <font>
      <b/>
      <vertAlign val="subscript"/>
      <sz val="16"/>
      <color rgb="FFFF0000"/>
      <name val="Times New Roman Cyr"/>
      <charset val="204"/>
    </font>
    <font>
      <b/>
      <sz val="10"/>
      <color rgb="FFFF0000"/>
      <name val="Times New Roman Cyr"/>
      <charset val="204"/>
    </font>
    <font>
      <b/>
      <sz val="10"/>
      <color rgb="FFFF0000"/>
      <name val="Times New Roman"/>
      <family val="1"/>
      <charset val="204"/>
    </font>
    <font>
      <b/>
      <vertAlign val="subscript"/>
      <sz val="10"/>
      <color rgb="FFFF0000"/>
      <name val="Times New Roman Cyr"/>
      <charset val="204"/>
    </font>
    <font>
      <b/>
      <vertAlign val="superscript"/>
      <sz val="10"/>
      <color rgb="FFFF0000"/>
      <name val="Times New Roman Cyr"/>
      <charset val="204"/>
    </font>
    <font>
      <b/>
      <sz val="10"/>
      <color rgb="FF0070C0"/>
      <name val="Times New Roman Cyr"/>
      <charset val="204"/>
    </font>
    <font>
      <b/>
      <sz val="12"/>
      <color rgb="FFFF0000"/>
      <name val="Times New Roman"/>
      <family val="1"/>
      <charset val="204"/>
    </font>
    <font>
      <b/>
      <vertAlign val="superscript"/>
      <sz val="10"/>
      <color rgb="FFFF0000"/>
      <name val="Times New Roman"/>
      <family val="1"/>
      <charset val="204"/>
    </font>
    <font>
      <sz val="11"/>
      <color theme="1"/>
      <name val="Calibri"/>
      <family val="2"/>
      <scheme val="minor"/>
    </font>
    <font>
      <b/>
      <sz val="16"/>
      <color theme="0"/>
      <name val="Times New Roman"/>
      <family val="1"/>
      <charset val="204"/>
    </font>
    <font>
      <b/>
      <sz val="10"/>
      <color rgb="FF7030A0"/>
      <name val="Times New Roman"/>
      <family val="1"/>
      <charset val="204"/>
    </font>
    <font>
      <sz val="10"/>
      <color rgb="FF7030A0"/>
      <name val="Times New Roman Cyr"/>
      <charset val="204"/>
    </font>
    <font>
      <b/>
      <sz val="10"/>
      <color theme="9" tint="-0.249977111117893"/>
      <name val="Times New Roman"/>
      <family val="1"/>
      <charset val="204"/>
    </font>
    <font>
      <b/>
      <vertAlign val="subscript"/>
      <sz val="10"/>
      <color theme="9" tint="-0.249977111117893"/>
      <name val="Times New Roman"/>
      <family val="1"/>
      <charset val="204"/>
    </font>
    <font>
      <sz val="10"/>
      <color theme="9" tint="-0.249977111117893"/>
      <name val="Times New Roman Cyr"/>
      <charset val="204"/>
    </font>
    <font>
      <b/>
      <vertAlign val="superscript"/>
      <sz val="10"/>
      <color theme="9" tint="-0.249977111117893"/>
      <name val="Times New Roman"/>
      <family val="1"/>
      <charset val="204"/>
    </font>
    <font>
      <sz val="10"/>
      <color rgb="FF00B050"/>
      <name val="Times New Roman Cyr"/>
      <charset val="204"/>
    </font>
    <font>
      <b/>
      <sz val="12"/>
      <color theme="0"/>
      <name val="Times New Roman Cyr"/>
      <charset val="204"/>
    </font>
    <font>
      <b/>
      <vertAlign val="subscript"/>
      <sz val="12"/>
      <color theme="0"/>
      <name val="Times New Roman Cyr"/>
      <charset val="204"/>
    </font>
    <font>
      <b/>
      <vertAlign val="superscript"/>
      <sz val="12"/>
      <name val="Times New Roman Cyr"/>
      <charset val="204"/>
    </font>
    <font>
      <b/>
      <sz val="16"/>
      <color rgb="FFFF0000"/>
      <name val="Times New Roman Cyr"/>
      <charset val="204"/>
    </font>
    <font>
      <b/>
      <sz val="9"/>
      <name val="Times New Roman Cyr"/>
      <charset val="204"/>
    </font>
    <font>
      <b/>
      <sz val="9"/>
      <name val="Symbol"/>
      <family val="1"/>
      <charset val="2"/>
    </font>
    <font>
      <b/>
      <sz val="9"/>
      <color rgb="FF00B050"/>
      <name val="Times New Roman Cyr"/>
      <charset val="204"/>
    </font>
    <font>
      <b/>
      <sz val="16"/>
      <color theme="0"/>
      <name val="Times New Roman Cyr"/>
      <charset val="204"/>
    </font>
    <font>
      <b/>
      <sz val="16"/>
      <color theme="0"/>
      <name val="Symbol"/>
      <family val="1"/>
      <charset val="2"/>
    </font>
    <font>
      <b/>
      <vertAlign val="subscript"/>
      <sz val="16"/>
      <color theme="0"/>
      <name val="Times New Roman Cyr"/>
      <charset val="204"/>
    </font>
    <font>
      <b/>
      <i/>
      <sz val="10"/>
      <color rgb="FFFF0000"/>
      <name val="Times New Roman Cyr"/>
      <charset val="204"/>
    </font>
    <font>
      <b/>
      <sz val="11"/>
      <color theme="0"/>
      <name val="Times New Roman Cyr"/>
      <charset val="204"/>
    </font>
    <font>
      <b/>
      <sz val="10"/>
      <color theme="0"/>
      <name val="Times New Roman Cyr"/>
      <charset val="204"/>
    </font>
    <font>
      <b/>
      <sz val="8"/>
      <name val="Times New Roman Cyr"/>
      <charset val="204"/>
    </font>
    <font>
      <b/>
      <sz val="12"/>
      <color rgb="FFFF0000"/>
      <name val="Times New Roman Cyr"/>
      <charset val="204"/>
    </font>
    <font>
      <b/>
      <vertAlign val="superscript"/>
      <sz val="12"/>
      <color rgb="FFFF0000"/>
      <name val="Times New Roman Cyr"/>
      <charset val="204"/>
    </font>
    <font>
      <b/>
      <sz val="10"/>
      <color rgb="FFFF0000"/>
      <name val="Calibri"/>
      <family val="2"/>
      <charset val="204"/>
    </font>
    <font>
      <b/>
      <sz val="11"/>
      <color rgb="FF0070C0"/>
      <name val="Times New Roman Cyr"/>
      <charset val="204"/>
    </font>
    <font>
      <b/>
      <sz val="12"/>
      <color rgb="FF0070C0"/>
      <name val="Times New Roman Cyr"/>
      <charset val="204"/>
    </font>
    <font>
      <b/>
      <vertAlign val="subscript"/>
      <sz val="12"/>
      <color rgb="FF00B050"/>
      <name val="Cambria"/>
      <family val="1"/>
      <charset val="204"/>
    </font>
    <font>
      <b/>
      <vertAlign val="subscript"/>
      <sz val="12"/>
      <color rgb="FFFF0000"/>
      <name val="Times New Roman Cyr"/>
      <charset val="204"/>
    </font>
    <font>
      <b/>
      <vertAlign val="subscript"/>
      <sz val="12"/>
      <color rgb="FF0070C0"/>
      <name val="Cambria"/>
      <family val="1"/>
      <charset val="204"/>
    </font>
    <font>
      <b/>
      <vertAlign val="subscript"/>
      <sz val="12"/>
      <color rgb="FF0070C0"/>
      <name val="Times New Roman Cyr"/>
      <charset val="204"/>
    </font>
    <font>
      <b/>
      <sz val="14"/>
      <color theme="4"/>
      <name val="Times New Roman Cyr"/>
      <charset val="204"/>
    </font>
    <font>
      <b/>
      <sz val="14"/>
      <color theme="4"/>
      <name val="Times New Roman"/>
      <family val="1"/>
      <charset val="204"/>
    </font>
    <font>
      <b/>
      <sz val="14"/>
      <color theme="4"/>
      <name val="Symbol"/>
      <family val="1"/>
      <charset val="2"/>
    </font>
    <font>
      <b/>
      <sz val="12"/>
      <color rgb="FF7030A0"/>
      <name val="Times New Roman Cyr"/>
      <charset val="204"/>
    </font>
    <font>
      <b/>
      <sz val="14"/>
      <color rgb="FFFF0000"/>
      <name val="Times New Roman Cyr"/>
      <charset val="204"/>
    </font>
    <font>
      <b/>
      <sz val="14"/>
      <color rgb="FFFF0000"/>
      <name val="Times New Roman"/>
      <family val="1"/>
      <charset val="204"/>
    </font>
    <font>
      <sz val="14"/>
      <name val="Times New Roman Cyr"/>
      <charset val="204"/>
    </font>
    <font>
      <b/>
      <sz val="14"/>
      <color rgb="FF7030A0"/>
      <name val="Times New Roman Cyr"/>
      <charset val="204"/>
    </font>
    <font>
      <b/>
      <sz val="11"/>
      <name val="Times New Roman Cyr"/>
      <charset val="204"/>
    </font>
    <font>
      <b/>
      <sz val="10"/>
      <color rgb="FF0070C0"/>
      <name val="Times New Roman"/>
      <family val="1"/>
      <charset val="204"/>
    </font>
    <font>
      <b/>
      <vertAlign val="superscript"/>
      <sz val="10"/>
      <color rgb="FF0070C0"/>
      <name val="Times New Roman"/>
      <family val="1"/>
      <charset val="204"/>
    </font>
    <font>
      <b/>
      <sz val="10"/>
      <color rgb="FF0070C0"/>
      <name val="Symbol"/>
      <family val="1"/>
      <charset val="2"/>
    </font>
    <font>
      <b/>
      <sz val="12"/>
      <name val="Calibri"/>
      <family val="2"/>
      <charset val="204"/>
    </font>
    <font>
      <b/>
      <sz val="20"/>
      <color rgb="FFFF0000"/>
      <name val="Times New Roman Cyr"/>
      <charset val="204"/>
    </font>
    <font>
      <b/>
      <vertAlign val="subscript"/>
      <sz val="12"/>
      <color rgb="FFFF0000"/>
      <name val="Cambria"/>
      <family val="1"/>
      <charset val="204"/>
    </font>
    <font>
      <b/>
      <vertAlign val="subscript"/>
      <sz val="12"/>
      <name val="Cambria"/>
      <family val="1"/>
      <charset val="204"/>
    </font>
    <font>
      <b/>
      <sz val="22"/>
      <color theme="0"/>
      <name val="Times New Roman Cyr"/>
      <charset val="204"/>
    </font>
    <font>
      <b/>
      <vertAlign val="subscript"/>
      <sz val="22"/>
      <color theme="0"/>
      <name val="Times New Roman Cyr"/>
      <charset val="204"/>
    </font>
    <font>
      <b/>
      <i/>
      <sz val="10"/>
      <name val="Times New Roman Cyr"/>
      <charset val="204"/>
    </font>
    <font>
      <b/>
      <vertAlign val="superscript"/>
      <sz val="10"/>
      <color theme="0"/>
      <name val="Times New Roman Cyr"/>
      <charset val="204"/>
    </font>
    <font>
      <b/>
      <sz val="11"/>
      <color theme="0"/>
      <name val="Symbol"/>
      <family val="1"/>
      <charset val="2"/>
    </font>
    <font>
      <b/>
      <sz val="8"/>
      <color rgb="FF7030A0"/>
      <name val="Times New Roman"/>
      <family val="1"/>
      <charset val="204"/>
    </font>
    <font>
      <sz val="8"/>
      <color rgb="FF7030A0"/>
      <name val="Times New Roman Cyr"/>
      <charset val="204"/>
    </font>
    <font>
      <b/>
      <sz val="8"/>
      <color rgb="FFFF0000"/>
      <name val="Times New Roman Cyr"/>
      <charset val="204"/>
    </font>
    <font>
      <b/>
      <sz val="8"/>
      <color rgb="FF7030A0"/>
      <name val="Times New Roman Cyr"/>
      <charset val="204"/>
    </font>
    <font>
      <b/>
      <sz val="8"/>
      <color theme="9" tint="-0.249977111117893"/>
      <name val="Times New Roman"/>
      <family val="1"/>
      <charset val="204"/>
    </font>
    <font>
      <sz val="8"/>
      <color theme="9" tint="-0.249977111117893"/>
      <name val="Times New Roman Cyr"/>
      <charset val="204"/>
    </font>
    <font>
      <b/>
      <sz val="8"/>
      <color rgb="FF00B050"/>
      <name val="Times New Roman"/>
      <family val="1"/>
      <charset val="204"/>
    </font>
    <font>
      <sz val="8"/>
      <color rgb="FF00B050"/>
      <name val="Times New Roman Cyr"/>
      <charset val="204"/>
    </font>
    <font>
      <b/>
      <i/>
      <sz val="10"/>
      <color rgb="FF0070C0"/>
      <name val="Times New Roman Cyr"/>
      <charset val="204"/>
    </font>
    <font>
      <b/>
      <vertAlign val="subscript"/>
      <sz val="9"/>
      <name val="Times New Roman Cyr"/>
      <charset val="204"/>
    </font>
    <font>
      <b/>
      <i/>
      <sz val="9"/>
      <name val="Times New Roman Cyr"/>
      <charset val="204"/>
    </font>
    <font>
      <b/>
      <sz val="10"/>
      <color rgb="FFC00000"/>
      <name val="Times New Roman Cyr"/>
      <charset val="204"/>
    </font>
    <font>
      <b/>
      <sz val="10"/>
      <color rgb="FFFF0000"/>
      <name val="Symbol"/>
      <family val="1"/>
      <charset val="2"/>
    </font>
    <font>
      <b/>
      <vertAlign val="subscript"/>
      <sz val="10"/>
      <color rgb="FFFF0000"/>
      <name val="Symbol"/>
      <family val="1"/>
      <charset val="2"/>
    </font>
    <font>
      <b/>
      <vertAlign val="subscript"/>
      <sz val="10"/>
      <color rgb="FF0070C0"/>
      <name val="Symbol"/>
      <family val="1"/>
      <charset val="2"/>
    </font>
    <font>
      <b/>
      <i/>
      <sz val="12"/>
      <color rgb="FF0070C0"/>
      <name val="Times New Roman Cyr"/>
      <charset val="204"/>
    </font>
    <font>
      <b/>
      <i/>
      <sz val="12"/>
      <color rgb="FFFF0000"/>
      <name val="Times New Roman Cyr"/>
      <charset val="204"/>
    </font>
    <font>
      <b/>
      <i/>
      <sz val="12"/>
      <color rgb="FF0070C0"/>
      <name val="Cambria"/>
      <family val="1"/>
      <charset val="204"/>
    </font>
    <font>
      <b/>
      <vertAlign val="superscript"/>
      <sz val="12"/>
      <color rgb="FF0070C0"/>
      <name val="Times New Roman Cyr"/>
      <charset val="204"/>
    </font>
    <font>
      <b/>
      <i/>
      <sz val="12"/>
      <color rgb="FFFF0000"/>
      <name val="Cambria"/>
      <family val="1"/>
      <charset val="204"/>
    </font>
    <font>
      <b/>
      <vertAlign val="superscript"/>
      <sz val="10"/>
      <color rgb="FF0070C0"/>
      <name val="Times New Roman Cyr"/>
      <charset val="204"/>
    </font>
    <font>
      <b/>
      <vertAlign val="subscript"/>
      <sz val="14"/>
      <color rgb="FFFF0000"/>
      <name val="Times New Roman Cyr"/>
      <charset val="204"/>
    </font>
    <font>
      <b/>
      <i/>
      <sz val="12"/>
      <color rgb="FF00B050"/>
      <name val="Cambria"/>
      <family val="1"/>
      <charset val="204"/>
    </font>
    <font>
      <b/>
      <sz val="10"/>
      <color rgb="FF7030A0"/>
      <name val="Times New Roman Cyr"/>
      <charset val="204"/>
    </font>
    <font>
      <b/>
      <sz val="12"/>
      <color rgb="FF7030A0"/>
      <name val="Symbol"/>
      <family val="1"/>
      <charset val="2"/>
    </font>
    <font>
      <b/>
      <vertAlign val="subscript"/>
      <sz val="12"/>
      <color rgb="FF7030A0"/>
      <name val="Times New Roman Cyr"/>
      <charset val="204"/>
    </font>
    <font>
      <b/>
      <vertAlign val="subscript"/>
      <sz val="12"/>
      <color rgb="FF7030A0"/>
      <name val="Symbol"/>
      <family val="1"/>
      <charset val="2"/>
    </font>
    <font>
      <b/>
      <i/>
      <sz val="16"/>
      <color rgb="FFFF0000"/>
      <name val="Times New Roman Cyr"/>
      <charset val="204"/>
    </font>
    <font>
      <b/>
      <i/>
      <sz val="16"/>
      <color rgb="FF0070C0"/>
      <name val="Times New Roman Cyr"/>
      <charset val="204"/>
    </font>
    <font>
      <b/>
      <vertAlign val="subscript"/>
      <sz val="16"/>
      <color rgb="FF0070C0"/>
      <name val="Times New Roman Cyr"/>
      <charset val="204"/>
    </font>
    <font>
      <b/>
      <sz val="16"/>
      <color rgb="FFFF0000"/>
      <name val="Symbol"/>
      <family val="1"/>
      <charset val="2"/>
    </font>
    <font>
      <b/>
      <sz val="16"/>
      <color rgb="FF0070C0"/>
      <name val="Times New Roman Cyr"/>
      <charset val="204"/>
    </font>
    <font>
      <b/>
      <sz val="16"/>
      <color rgb="FF0070C0"/>
      <name val="Symbol"/>
      <family val="1"/>
      <charset val="2"/>
    </font>
    <font>
      <b/>
      <i/>
      <sz val="16"/>
      <color rgb="FFFF0000"/>
      <name val="Times New Roman"/>
      <family val="1"/>
      <charset val="204"/>
    </font>
    <font>
      <b/>
      <vertAlign val="superscript"/>
      <sz val="16"/>
      <color rgb="FFFF0000"/>
      <name val="Times New Roman"/>
      <family val="1"/>
      <charset val="204"/>
    </font>
    <font>
      <b/>
      <sz val="11"/>
      <color rgb="FF00B050"/>
      <name val="Times New Roman Cyr"/>
      <charset val="204"/>
    </font>
    <font>
      <b/>
      <sz val="14"/>
      <color theme="0"/>
      <name val="Times New Roman"/>
      <family val="1"/>
      <charset val="204"/>
    </font>
    <font>
      <b/>
      <vertAlign val="superscript"/>
      <sz val="14"/>
      <color theme="0"/>
      <name val="Times New Roman"/>
      <family val="1"/>
      <charset val="204"/>
    </font>
    <font>
      <b/>
      <sz val="28"/>
      <color rgb="FFFF0000"/>
      <name val="Times New Roman Cyr"/>
      <charset val="204"/>
    </font>
    <font>
      <b/>
      <sz val="28"/>
      <color rgb="FFC00000"/>
      <name val="Times New Roman Cyr"/>
      <charset val="204"/>
    </font>
    <font>
      <b/>
      <sz val="28"/>
      <color rgb="FF00B050"/>
      <name val="Times New Roman Cyr"/>
      <charset val="204"/>
    </font>
    <font>
      <b/>
      <sz val="28"/>
      <color rgb="FF0070C0"/>
      <name val="Times New Roman Cyr"/>
      <charset val="204"/>
    </font>
    <font>
      <b/>
      <sz val="28"/>
      <color rgb="FF002060"/>
      <name val="Times New Roman Cyr"/>
      <charset val="204"/>
    </font>
    <font>
      <b/>
      <sz val="28"/>
      <color rgb="FF7030A0"/>
      <name val="Times New Roman Cyr"/>
      <charset val="204"/>
    </font>
    <font>
      <b/>
      <sz val="12"/>
      <color rgb="FF7030A0"/>
      <name val="Times New Roman"/>
      <family val="1"/>
      <charset val="204"/>
    </font>
    <font>
      <b/>
      <vertAlign val="subscript"/>
      <sz val="12"/>
      <color rgb="FF7030A0"/>
      <name val="Times New Roman"/>
      <family val="1"/>
      <charset val="204"/>
    </font>
    <font>
      <b/>
      <sz val="10"/>
      <color rgb="FF7030A0"/>
      <name val="Symbol"/>
      <family val="1"/>
      <charset val="2"/>
    </font>
    <font>
      <b/>
      <vertAlign val="subscript"/>
      <sz val="10"/>
      <color rgb="FF7030A0"/>
      <name val="Times New Roman Cyr"/>
      <charset val="204"/>
    </font>
    <font>
      <b/>
      <vertAlign val="subscript"/>
      <sz val="10"/>
      <color rgb="FF7030A0"/>
      <name val="Symbol"/>
      <family val="1"/>
      <charset val="2"/>
    </font>
    <font>
      <b/>
      <i/>
      <sz val="16"/>
      <name val="Times New Roman Cyr"/>
      <charset val="204"/>
    </font>
    <font>
      <b/>
      <i/>
      <sz val="16"/>
      <name val="Times New Roman"/>
      <family val="1"/>
      <charset val="204"/>
    </font>
    <font>
      <b/>
      <vertAlign val="subscript"/>
      <sz val="9"/>
      <name val="Symbol"/>
      <family val="1"/>
      <charset val="2"/>
    </font>
    <font>
      <b/>
      <sz val="11"/>
      <color rgb="FF00B050"/>
      <name val="Symbol"/>
      <family val="1"/>
      <charset val="2"/>
    </font>
    <font>
      <b/>
      <vertAlign val="subscript"/>
      <sz val="11"/>
      <color rgb="FF00B050"/>
      <name val="Cambria"/>
      <family val="1"/>
      <charset val="204"/>
    </font>
    <font>
      <b/>
      <i/>
      <sz val="11"/>
      <color rgb="FF00B050"/>
      <name val="Cambria"/>
      <family val="1"/>
      <charset val="204"/>
    </font>
    <font>
      <b/>
      <sz val="20"/>
      <color rgb="FFC00000"/>
      <name val="Times New Roman Cyr"/>
      <charset val="204"/>
    </font>
    <font>
      <b/>
      <sz val="20"/>
      <color rgb="FF002060"/>
      <name val="Times New Roman Cyr"/>
      <charset val="204"/>
    </font>
    <font>
      <b/>
      <sz val="20"/>
      <color rgb="FF7030A0"/>
      <name val="Times New Roman Cyr"/>
      <charset val="204"/>
    </font>
    <font>
      <b/>
      <sz val="20"/>
      <color theme="6" tint="-0.249977111117893"/>
      <name val="Times New Roman Cyr"/>
      <charset val="204"/>
    </font>
    <font>
      <b/>
      <sz val="20"/>
      <color theme="9" tint="-0.249977111117893"/>
      <name val="Times New Roman Cyr"/>
      <charset val="204"/>
    </font>
    <font>
      <b/>
      <sz val="20"/>
      <color theme="0"/>
      <name val="Times New Roman Cyr"/>
      <charset val="204"/>
    </font>
    <font>
      <b/>
      <sz val="12"/>
      <color rgb="FF0070C0"/>
      <name val="Symbol"/>
      <family val="1"/>
      <charset val="2"/>
    </font>
    <font>
      <b/>
      <i/>
      <sz val="14"/>
      <color rgb="FF00B050"/>
      <name val="Times New Roman Cyr"/>
      <charset val="204"/>
    </font>
    <font>
      <b/>
      <vertAlign val="superscript"/>
      <sz val="10"/>
      <color rgb="FF7030A0"/>
      <name val="Times New Roman Cyr"/>
      <charset val="204"/>
    </font>
    <font>
      <b/>
      <vertAlign val="superscript"/>
      <sz val="12"/>
      <color rgb="FF7030A0"/>
      <name val="Times New Roman"/>
      <family val="1"/>
      <charset val="204"/>
    </font>
    <font>
      <b/>
      <sz val="12"/>
      <color rgb="FF7030A0"/>
      <name val="Calibri"/>
      <family val="2"/>
      <charset val="204"/>
    </font>
    <font>
      <b/>
      <vertAlign val="superscript"/>
      <sz val="12"/>
      <color rgb="FF7030A0"/>
      <name val="Times New Roman Cyr"/>
      <charset val="204"/>
    </font>
    <font>
      <b/>
      <vertAlign val="superscript"/>
      <sz val="12"/>
      <color rgb="FF7030A0"/>
      <name val="Symbol"/>
      <family val="1"/>
      <charset val="2"/>
    </font>
    <font>
      <b/>
      <sz val="22"/>
      <color theme="0"/>
      <name val="Symbol"/>
      <family val="1"/>
      <charset val="2"/>
    </font>
    <font>
      <b/>
      <sz val="22"/>
      <color theme="0"/>
      <name val="Times New Roman"/>
      <family val="1"/>
      <charset val="204"/>
    </font>
    <font>
      <b/>
      <vertAlign val="subscript"/>
      <sz val="22"/>
      <color theme="0"/>
      <name val="Times New Roman"/>
      <family val="1"/>
      <charset val="204"/>
    </font>
    <font>
      <b/>
      <sz val="22"/>
      <color theme="0"/>
      <name val="Calibri"/>
      <family val="2"/>
      <charset val="204"/>
    </font>
    <font>
      <b/>
      <sz val="20"/>
      <color theme="0"/>
      <name val="Symbol"/>
      <family val="1"/>
      <charset val="2"/>
    </font>
    <font>
      <b/>
      <sz val="20"/>
      <color theme="0"/>
      <name val="Times New Roman"/>
      <family val="1"/>
      <charset val="204"/>
    </font>
    <font>
      <b/>
      <vertAlign val="superscript"/>
      <sz val="20"/>
      <color theme="0"/>
      <name val="Times New Roman"/>
      <family val="1"/>
      <charset val="204"/>
    </font>
    <font>
      <b/>
      <sz val="20"/>
      <color theme="0"/>
      <name val="Calibri"/>
      <family val="2"/>
      <charset val="204"/>
    </font>
    <font>
      <b/>
      <vertAlign val="superscript"/>
      <sz val="20"/>
      <color theme="0"/>
      <name val="Times New Roman Cyr"/>
      <charset val="204"/>
    </font>
    <font>
      <b/>
      <i/>
      <sz val="14"/>
      <color rgb="FFFF0000"/>
      <name val="Times New Roman Cyr"/>
      <charset val="204"/>
    </font>
    <font>
      <b/>
      <vertAlign val="superscript"/>
      <sz val="16"/>
      <color theme="0"/>
      <name val="Symbol"/>
      <family val="1"/>
      <charset val="2"/>
    </font>
    <font>
      <sz val="16"/>
      <color theme="0"/>
      <name val="Times New Roman Cyr"/>
      <charset val="204"/>
    </font>
    <font>
      <sz val="12"/>
      <color rgb="FF7030A0"/>
      <name val="Times New Roman Cyr"/>
      <charset val="204"/>
    </font>
    <font>
      <b/>
      <sz val="12"/>
      <color theme="9" tint="-0.249977111117893"/>
      <name val="Times New Roman"/>
      <family val="1"/>
      <charset val="204"/>
    </font>
    <font>
      <sz val="12"/>
      <color theme="9" tint="-0.249977111117893"/>
      <name val="Times New Roman Cyr"/>
      <charset val="204"/>
    </font>
    <font>
      <b/>
      <i/>
      <sz val="9"/>
      <name val="Cambria"/>
      <family val="1"/>
      <charset val="204"/>
    </font>
    <font>
      <b/>
      <vertAlign val="subscript"/>
      <sz val="9"/>
      <name val="Cambria"/>
      <family val="1"/>
      <charset val="204"/>
    </font>
    <font>
      <b/>
      <sz val="10"/>
      <color theme="0"/>
      <name val="Calibri"/>
      <family val="2"/>
      <charset val="204"/>
    </font>
    <font>
      <b/>
      <sz val="10"/>
      <name val="Calibri"/>
      <family val="2"/>
      <charset val="204"/>
    </font>
    <font>
      <b/>
      <sz val="10"/>
      <color rgb="FF7030A0"/>
      <name val="Cambria"/>
      <family val="1"/>
      <charset val="204"/>
    </font>
    <font>
      <b/>
      <vertAlign val="subscript"/>
      <sz val="10"/>
      <color rgb="FF7030A0"/>
      <name val="Cambria"/>
      <family val="1"/>
      <charset val="204"/>
    </font>
    <font>
      <b/>
      <vertAlign val="subscript"/>
      <sz val="10"/>
      <color rgb="FF7030A0"/>
      <name val="Times New Roman"/>
      <family val="1"/>
      <charset val="204"/>
    </font>
    <font>
      <b/>
      <sz val="11"/>
      <name val="Times New Roman"/>
      <family val="1"/>
      <charset val="204"/>
    </font>
    <font>
      <b/>
      <vertAlign val="subscript"/>
      <sz val="11"/>
      <name val="Times New Roman Cyr"/>
      <charset val="204"/>
    </font>
    <font>
      <b/>
      <i/>
      <sz val="11"/>
      <color rgb="FF0070C0"/>
      <name val="Times New Roman Cyr"/>
      <charset val="204"/>
    </font>
    <font>
      <b/>
      <vertAlign val="subscript"/>
      <sz val="11"/>
      <color rgb="FF0070C0"/>
      <name val="Times New Roman Cyr"/>
      <charset val="204"/>
    </font>
    <font>
      <b/>
      <i/>
      <vertAlign val="superscript"/>
      <sz val="11"/>
      <color rgb="FF0070C0"/>
      <name val="Times New Roman Cyr"/>
      <charset val="204"/>
    </font>
    <font>
      <b/>
      <vertAlign val="subscript"/>
      <sz val="14"/>
      <name val="Times New Roman Cyr"/>
      <charset val="204"/>
    </font>
    <font>
      <b/>
      <sz val="18"/>
      <color theme="0"/>
      <name val="Times New Roman Cyr"/>
      <charset val="204"/>
    </font>
    <font>
      <b/>
      <i/>
      <sz val="11"/>
      <name val="Times New Roman Cyr"/>
      <charset val="204"/>
    </font>
    <font>
      <b/>
      <vertAlign val="subscript"/>
      <sz val="10"/>
      <name val="Cambria"/>
      <family val="1"/>
      <charset val="204"/>
    </font>
    <font>
      <b/>
      <i/>
      <vertAlign val="subscript"/>
      <sz val="10"/>
      <name val="Times New Roman Cyr"/>
      <charset val="204"/>
    </font>
    <font>
      <b/>
      <i/>
      <sz val="12"/>
      <name val="Cambria"/>
      <family val="1"/>
      <charset val="204"/>
    </font>
    <font>
      <b/>
      <sz val="14"/>
      <color rgb="FFFF0000"/>
      <name val="Symbol"/>
      <family val="1"/>
      <charset val="2"/>
    </font>
    <font>
      <b/>
      <vertAlign val="superscript"/>
      <sz val="14"/>
      <color rgb="FFFF0000"/>
      <name val="Times New Roman"/>
      <family val="1"/>
      <charset val="204"/>
    </font>
    <font>
      <b/>
      <i/>
      <vertAlign val="subscript"/>
      <sz val="14"/>
      <name val="Times New Roman Cyr"/>
      <charset val="204"/>
    </font>
    <font>
      <b/>
      <sz val="14"/>
      <color rgb="FFFFFF00"/>
      <name val="Times New Roman Cyr"/>
      <charset val="204"/>
    </font>
    <font>
      <b/>
      <sz val="14"/>
      <color rgb="FFC00000"/>
      <name val="Times New Roman Cyr"/>
      <charset val="204"/>
    </font>
    <font>
      <b/>
      <i/>
      <vertAlign val="subscript"/>
      <sz val="12"/>
      <name val="Times New Roman Cyr"/>
      <charset val="204"/>
    </font>
    <font>
      <b/>
      <vertAlign val="subscript"/>
      <sz val="16"/>
      <color rgb="FFFF0000"/>
      <name val="Symbol"/>
      <family val="1"/>
      <charset val="2"/>
    </font>
    <font>
      <b/>
      <vertAlign val="subscript"/>
      <sz val="16"/>
      <color rgb="FF0070C0"/>
      <name val="Symbol"/>
      <family val="1"/>
      <charset val="2"/>
    </font>
    <font>
      <b/>
      <sz val="12"/>
      <color rgb="FFC00000"/>
      <name val="Times New Roman Cyr"/>
      <charset val="204"/>
    </font>
    <font>
      <b/>
      <sz val="14"/>
      <name val="Times New Roman"/>
      <family val="1"/>
      <charset val="204"/>
    </font>
    <font>
      <b/>
      <vertAlign val="superscript"/>
      <sz val="11"/>
      <name val="Times New Roman Cyr"/>
      <charset val="204"/>
    </font>
    <font>
      <b/>
      <sz val="11"/>
      <color theme="0"/>
      <name val="Times New Roman"/>
      <family val="1"/>
      <charset val="204"/>
    </font>
    <font>
      <b/>
      <vertAlign val="subscript"/>
      <sz val="11"/>
      <color theme="0"/>
      <name val="Times New Roman"/>
      <family val="1"/>
      <charset val="204"/>
    </font>
    <font>
      <b/>
      <vertAlign val="superscript"/>
      <sz val="11"/>
      <color theme="0"/>
      <name val="Times New Roman"/>
      <family val="1"/>
      <charset val="204"/>
    </font>
    <font>
      <sz val="14"/>
      <name val="Times New Roman"/>
      <family val="1"/>
      <charset val="204"/>
    </font>
    <font>
      <b/>
      <vertAlign val="superscript"/>
      <sz val="11"/>
      <color rgb="FF0070C0"/>
      <name val="Times New Roman Cyr"/>
      <charset val="204"/>
    </font>
    <font>
      <b/>
      <i/>
      <sz val="16"/>
      <color theme="4"/>
      <name val="Times New Roman Cyr"/>
      <charset val="204"/>
    </font>
    <font>
      <b/>
      <vertAlign val="subscript"/>
      <sz val="16"/>
      <color theme="4"/>
      <name val="Times New Roman Cyr"/>
      <charset val="204"/>
    </font>
    <font>
      <b/>
      <sz val="16"/>
      <color theme="4"/>
      <name val="Times New Roman Cyr"/>
      <charset val="204"/>
    </font>
    <font>
      <sz val="28"/>
      <name val="Times New Roman Cyr"/>
      <charset val="204"/>
    </font>
    <font>
      <b/>
      <i/>
      <sz val="10"/>
      <color theme="4"/>
      <name val="Times New Roman Cyr"/>
      <charset val="204"/>
    </font>
    <font>
      <b/>
      <i/>
      <sz val="10"/>
      <color rgb="FF7030A0"/>
      <name val="Times New Roman"/>
      <family val="1"/>
      <charset val="204"/>
    </font>
    <font>
      <b/>
      <i/>
      <sz val="12"/>
      <color rgb="FF7030A0"/>
      <name val="Symbol"/>
      <family val="1"/>
      <charset val="2"/>
    </font>
    <font>
      <b/>
      <i/>
      <sz val="12"/>
      <color rgb="FF7030A0"/>
      <name val="Times New Roman Cyr"/>
      <charset val="204"/>
    </font>
    <font>
      <b/>
      <i/>
      <sz val="12"/>
      <color rgb="FF7030A0"/>
      <name val="Times New Roman"/>
      <family val="1"/>
      <charset val="204"/>
    </font>
    <font>
      <sz val="10"/>
      <color rgb="FF0070C0"/>
      <name val="Times New Roman Cyr"/>
      <charset val="204"/>
    </font>
    <font>
      <b/>
      <vertAlign val="subscript"/>
      <sz val="12"/>
      <color rgb="FF0070C0"/>
      <name val="Symbol"/>
      <family val="1"/>
      <charset val="2"/>
    </font>
    <font>
      <b/>
      <sz val="12"/>
      <color rgb="FFFF0000"/>
      <name val="Symbol"/>
      <family val="1"/>
      <charset val="2"/>
    </font>
    <font>
      <sz val="10"/>
      <color rgb="FFFF0000"/>
      <name val="Times New Roman Cyr"/>
      <charset val="204"/>
    </font>
    <font>
      <b/>
      <vertAlign val="subscript"/>
      <sz val="12"/>
      <color rgb="FFFF0000"/>
      <name val="Symbol"/>
      <family val="1"/>
      <charset val="2"/>
    </font>
    <font>
      <b/>
      <sz val="12"/>
      <color rgb="FFC00000"/>
      <name val="Calibri"/>
      <family val="2"/>
      <charset val="204"/>
    </font>
    <font>
      <b/>
      <vertAlign val="superscript"/>
      <sz val="12"/>
      <color rgb="FFC00000"/>
      <name val="Times New Roman Cyr"/>
      <charset val="204"/>
    </font>
    <font>
      <b/>
      <sz val="10"/>
      <color rgb="FFC00000"/>
      <name val="Symbol"/>
      <family val="1"/>
      <charset val="2"/>
    </font>
    <font>
      <b/>
      <vertAlign val="subscript"/>
      <sz val="10"/>
      <color rgb="FFC00000"/>
      <name val="Times New Roman Cyr"/>
      <charset val="204"/>
    </font>
    <font>
      <b/>
      <sz val="12"/>
      <color rgb="FFFF0000"/>
      <name val="Calibri"/>
      <family val="2"/>
      <charset val="204"/>
    </font>
    <font>
      <b/>
      <sz val="22"/>
      <color rgb="FFC00000"/>
      <name val="Times New Roman Cyr"/>
      <charset val="204"/>
    </font>
    <font>
      <b/>
      <vertAlign val="superscript"/>
      <sz val="22"/>
      <color rgb="FFC00000"/>
      <name val="Times New Roman Cyr"/>
      <charset val="204"/>
    </font>
    <font>
      <b/>
      <sz val="36"/>
      <color rgb="FFC00000"/>
      <name val="Times New Roman Cyr"/>
      <charset val="204"/>
    </font>
    <font>
      <b/>
      <vertAlign val="superscript"/>
      <sz val="36"/>
      <color rgb="FFC00000"/>
      <name val="Times New Roman Cyr"/>
      <charset val="204"/>
    </font>
    <font>
      <b/>
      <sz val="22"/>
      <color rgb="FFFF0000"/>
      <name val="Times New Roman Cyr"/>
      <charset val="204"/>
    </font>
    <font>
      <b/>
      <vertAlign val="superscript"/>
      <sz val="22"/>
      <color rgb="FFFF0000"/>
      <name val="Times New Roman Cyr"/>
      <charset val="204"/>
    </font>
    <font>
      <b/>
      <sz val="36"/>
      <color rgb="FFFF0000"/>
      <name val="Times New Roman Cyr"/>
      <charset val="204"/>
    </font>
    <font>
      <b/>
      <vertAlign val="superscript"/>
      <sz val="36"/>
      <color rgb="FFFF0000"/>
      <name val="Times New Roman Cyr"/>
      <charset val="204"/>
    </font>
    <font>
      <b/>
      <sz val="22"/>
      <name val="Times New Roman Cyr"/>
      <charset val="204"/>
    </font>
    <font>
      <b/>
      <vertAlign val="superscript"/>
      <sz val="22"/>
      <name val="Times New Roman Cyr"/>
      <charset val="204"/>
    </font>
    <font>
      <b/>
      <sz val="24"/>
      <name val="Times New Roman Cyr"/>
      <charset val="204"/>
    </font>
    <font>
      <b/>
      <sz val="36"/>
      <name val="Calibri"/>
      <family val="2"/>
      <charset val="204"/>
    </font>
    <font>
      <b/>
      <sz val="24"/>
      <name val="Symbol"/>
      <family val="1"/>
      <charset val="2"/>
    </font>
    <font>
      <b/>
      <vertAlign val="subscript"/>
      <sz val="24"/>
      <name val="Times New Roman Cyr"/>
      <charset val="204"/>
    </font>
    <font>
      <b/>
      <sz val="8"/>
      <color theme="0"/>
      <name val="Times New Roman Cyr"/>
      <charset val="204"/>
    </font>
    <font>
      <b/>
      <sz val="12"/>
      <color theme="0"/>
      <name val="Calibri"/>
      <family val="2"/>
      <charset val="204"/>
    </font>
    <font>
      <b/>
      <sz val="10"/>
      <color theme="0"/>
      <name val="Symbol"/>
      <family val="1"/>
      <charset val="2"/>
    </font>
    <font>
      <b/>
      <vertAlign val="subscript"/>
      <sz val="10"/>
      <color theme="0"/>
      <name val="Times New Roman Cyr"/>
      <charset val="204"/>
    </font>
    <font>
      <sz val="26"/>
      <name val="Times New Roman Cyr"/>
      <charset val="204"/>
    </font>
    <font>
      <sz val="26"/>
      <color rgb="FF7030A0"/>
      <name val="Times New Roman Cyr"/>
      <charset val="204"/>
    </font>
    <font>
      <sz val="26"/>
      <color rgb="FF002060"/>
      <name val="Times New Roman Cyr"/>
      <charset val="204"/>
    </font>
    <font>
      <b/>
      <sz val="16"/>
      <name val="Cambria"/>
      <family val="1"/>
      <charset val="204"/>
    </font>
    <font>
      <b/>
      <i/>
      <sz val="16"/>
      <name val="Cambria"/>
      <family val="1"/>
      <charset val="204"/>
    </font>
    <font>
      <b/>
      <vertAlign val="subscript"/>
      <sz val="16"/>
      <name val="Cambria"/>
      <family val="1"/>
      <charset val="204"/>
    </font>
    <font>
      <b/>
      <i/>
      <sz val="16"/>
      <color rgb="FFFF0000"/>
      <name val="Cambria"/>
      <family val="1"/>
      <charset val="204"/>
    </font>
    <font>
      <b/>
      <vertAlign val="subscript"/>
      <sz val="16"/>
      <color rgb="FFFF0000"/>
      <name val="Cambria"/>
      <family val="1"/>
      <charset val="204"/>
    </font>
    <font>
      <b/>
      <vertAlign val="superscript"/>
      <sz val="16"/>
      <color rgb="FFFF0000"/>
      <name val="Times New Roman Cyr"/>
      <charset val="204"/>
    </font>
    <font>
      <b/>
      <i/>
      <sz val="16"/>
      <color rgb="FF0070C0"/>
      <name val="Cambria"/>
      <family val="1"/>
      <charset val="204"/>
    </font>
    <font>
      <b/>
      <vertAlign val="subscript"/>
      <sz val="16"/>
      <color rgb="FF0070C0"/>
      <name val="Cambria"/>
      <family val="1"/>
      <charset val="204"/>
    </font>
    <font>
      <b/>
      <vertAlign val="superscript"/>
      <sz val="16"/>
      <color rgb="FF0070C0"/>
      <name val="Times New Roman Cyr"/>
      <charset val="204"/>
    </font>
    <font>
      <b/>
      <i/>
      <sz val="18"/>
      <name val="Times New Roman"/>
      <family val="1"/>
      <charset val="204"/>
    </font>
    <font>
      <b/>
      <sz val="16"/>
      <name val="Times New Roman"/>
      <family val="1"/>
      <charset val="204"/>
    </font>
    <font>
      <b/>
      <sz val="18"/>
      <name val="Times New Roman"/>
      <family val="1"/>
      <charset val="204"/>
    </font>
    <font>
      <b/>
      <vertAlign val="subscript"/>
      <sz val="12"/>
      <name val="Times New Roman Cyr"/>
      <charset val="204"/>
    </font>
    <font>
      <b/>
      <i/>
      <vertAlign val="superscript"/>
      <sz val="12"/>
      <name val="Times New Roman Cyr"/>
      <charset val="204"/>
    </font>
    <font>
      <b/>
      <i/>
      <sz val="12"/>
      <name val="Times New Roman"/>
      <family val="1"/>
      <charset val="204"/>
    </font>
    <font>
      <b/>
      <i/>
      <vertAlign val="subscript"/>
      <sz val="12"/>
      <name val="Times New Roman"/>
      <family val="1"/>
      <charset val="204"/>
    </font>
    <font>
      <b/>
      <vertAlign val="superscript"/>
      <sz val="12"/>
      <name val="Times New Roman"/>
      <family val="1"/>
      <charset val="204"/>
    </font>
  </fonts>
  <fills count="16">
    <fill>
      <patternFill patternType="none"/>
    </fill>
    <fill>
      <patternFill patternType="gray125"/>
    </fill>
    <fill>
      <patternFill patternType="solid">
        <fgColor rgb="FFFFFF00"/>
        <bgColor indexed="64"/>
      </patternFill>
    </fill>
    <fill>
      <patternFill patternType="solid">
        <fgColor theme="9" tint="0.79998168889431442"/>
        <bgColor indexed="64"/>
      </patternFill>
    </fill>
    <fill>
      <patternFill patternType="solid">
        <fgColor rgb="FF92D050"/>
        <bgColor indexed="64"/>
      </patternFill>
    </fill>
    <fill>
      <patternFill patternType="solid">
        <fgColor rgb="FFFF0000"/>
        <bgColor indexed="64"/>
      </patternFill>
    </fill>
    <fill>
      <patternFill patternType="solid">
        <fgColor theme="0"/>
        <bgColor indexed="64"/>
      </patternFill>
    </fill>
    <fill>
      <patternFill patternType="solid">
        <fgColor rgb="FF00B050"/>
        <bgColor indexed="64"/>
      </patternFill>
    </fill>
    <fill>
      <patternFill patternType="solid">
        <fgColor theme="8" tint="0.79998168889431442"/>
        <bgColor indexed="64"/>
      </patternFill>
    </fill>
    <fill>
      <patternFill patternType="solid">
        <fgColor rgb="FF7030A0"/>
        <bgColor indexed="64"/>
      </patternFill>
    </fill>
    <fill>
      <patternFill patternType="solid">
        <fgColor rgb="FFC00000"/>
        <bgColor indexed="64"/>
      </patternFill>
    </fill>
    <fill>
      <patternFill patternType="solid">
        <fgColor theme="9" tint="-0.249977111117893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6" tint="-0.499984740745262"/>
        <bgColor indexed="64"/>
      </patternFill>
    </fill>
    <fill>
      <patternFill patternType="solid">
        <fgColor theme="1"/>
        <bgColor indexed="64"/>
      </patternFill>
    </fill>
    <fill>
      <patternFill patternType="solid">
        <fgColor theme="6" tint="-0.249977111117893"/>
        <bgColor indexed="64"/>
      </patternFill>
    </fill>
  </fills>
  <borders count="23">
    <border>
      <left/>
      <right/>
      <top/>
      <bottom/>
      <diagonal/>
    </border>
    <border>
      <left/>
      <right/>
      <top style="medium">
        <color indexed="64"/>
      </top>
      <bottom/>
      <diagonal/>
    </border>
    <border>
      <left/>
      <right/>
      <top/>
      <bottom style="medium">
        <color indexed="64"/>
      </bottom>
      <diagonal/>
    </border>
    <border>
      <left/>
      <right/>
      <top style="medium">
        <color auto="1"/>
      </top>
      <bottom style="medium">
        <color auto="1"/>
      </bottom>
      <diagonal/>
    </border>
    <border>
      <left/>
      <right/>
      <top style="thin">
        <color indexed="64"/>
      </top>
      <bottom/>
      <diagonal/>
    </border>
    <border>
      <left/>
      <right/>
      <top/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/>
      <diagonal/>
    </border>
    <border>
      <left/>
      <right style="thin">
        <color indexed="64"/>
      </right>
      <top/>
      <bottom/>
      <diagonal/>
    </border>
    <border>
      <left style="thin">
        <color indexed="64"/>
      </left>
      <right/>
      <top/>
      <bottom/>
      <diagonal/>
    </border>
    <border>
      <left style="thin">
        <color indexed="64"/>
      </left>
      <right/>
      <top style="thin">
        <color indexed="64"/>
      </top>
      <bottom/>
      <diagonal/>
    </border>
    <border>
      <left/>
      <right style="thin">
        <color indexed="64"/>
      </right>
      <top/>
      <bottom style="thin">
        <color indexed="64"/>
      </bottom>
      <diagonal/>
    </border>
    <border>
      <left style="medium">
        <color rgb="FFFF0000"/>
      </left>
      <right/>
      <top style="medium">
        <color rgb="FFFF0000"/>
      </top>
      <bottom style="medium">
        <color rgb="FFFF0000"/>
      </bottom>
      <diagonal/>
    </border>
    <border>
      <left/>
      <right/>
      <top style="medium">
        <color rgb="FFFF0000"/>
      </top>
      <bottom style="medium">
        <color rgb="FFFF0000"/>
      </bottom>
      <diagonal/>
    </border>
    <border>
      <left/>
      <right style="medium">
        <color rgb="FFFF0000"/>
      </right>
      <top style="medium">
        <color rgb="FFFF0000"/>
      </top>
      <bottom style="medium">
        <color rgb="FFFF0000"/>
      </bottom>
      <diagonal/>
    </border>
    <border>
      <left/>
      <right/>
      <top style="medium">
        <color rgb="FFFF0000"/>
      </top>
      <bottom/>
      <diagonal/>
    </border>
    <border>
      <left style="thin">
        <color indexed="64"/>
      </left>
      <right/>
      <top/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thin">
        <color indexed="64"/>
      </right>
      <top/>
      <bottom/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</borders>
  <cellStyleXfs count="3">
    <xf numFmtId="0" fontId="0" fillId="0" borderId="0"/>
    <xf numFmtId="0" fontId="1" fillId="0" borderId="0"/>
    <xf numFmtId="0" fontId="42" fillId="0" borderId="0"/>
  </cellStyleXfs>
  <cellXfs count="384">
    <xf numFmtId="0" fontId="0" fillId="0" borderId="0" xfId="0"/>
    <xf numFmtId="0" fontId="0" fillId="0" borderId="0" xfId="0" applyAlignment="1">
      <alignment horizontal="left"/>
    </xf>
    <xf numFmtId="0" fontId="0" fillId="0" borderId="0" xfId="0" applyFont="1"/>
    <xf numFmtId="0" fontId="3" fillId="0" borderId="0" xfId="0" applyFont="1" applyBorder="1" applyAlignment="1">
      <alignment horizontal="left" vertical="top" indent="1"/>
    </xf>
    <xf numFmtId="0" fontId="3" fillId="0" borderId="2" xfId="0" applyFont="1" applyBorder="1" applyAlignment="1">
      <alignment horizontal="left" vertical="top" indent="1"/>
    </xf>
    <xf numFmtId="0" fontId="3" fillId="0" borderId="3" xfId="0" applyFont="1" applyBorder="1" applyAlignment="1">
      <alignment horizontal="left" vertical="top" indent="1"/>
    </xf>
    <xf numFmtId="0" fontId="3" fillId="0" borderId="1" xfId="0" applyFont="1" applyBorder="1" applyAlignment="1">
      <alignment horizontal="left" vertical="top" indent="1"/>
    </xf>
    <xf numFmtId="0" fontId="3" fillId="0" borderId="0" xfId="0" applyFont="1"/>
    <xf numFmtId="0" fontId="3" fillId="0" borderId="0" xfId="0" applyFont="1" applyBorder="1" applyAlignment="1">
      <alignment horizontal="left" vertical="top"/>
    </xf>
    <xf numFmtId="0" fontId="9" fillId="0" borderId="2" xfId="0" applyFont="1" applyBorder="1" applyAlignment="1">
      <alignment horizontal="left" vertical="top"/>
    </xf>
    <xf numFmtId="2" fontId="3" fillId="0" borderId="2" xfId="0" applyNumberFormat="1" applyFont="1" applyBorder="1" applyAlignment="1">
      <alignment horizontal="left" vertical="top" indent="1"/>
    </xf>
    <xf numFmtId="0" fontId="9" fillId="0" borderId="3" xfId="0" applyFont="1" applyBorder="1" applyAlignment="1">
      <alignment horizontal="left" vertical="top"/>
    </xf>
    <xf numFmtId="0" fontId="9" fillId="0" borderId="1" xfId="0" applyFont="1" applyBorder="1" applyAlignment="1">
      <alignment horizontal="left" vertical="top"/>
    </xf>
    <xf numFmtId="0" fontId="9" fillId="0" borderId="0" xfId="0" applyFont="1" applyBorder="1" applyAlignment="1">
      <alignment horizontal="left" vertical="top"/>
    </xf>
    <xf numFmtId="0" fontId="9" fillId="0" borderId="3" xfId="0" applyFont="1" applyBorder="1" applyAlignment="1">
      <alignment horizontal="left" vertical="top" wrapText="1"/>
    </xf>
    <xf numFmtId="0" fontId="9" fillId="0" borderId="0" xfId="0" applyFont="1" applyBorder="1" applyAlignment="1">
      <alignment horizontal="left" vertical="top" wrapText="1"/>
    </xf>
    <xf numFmtId="0" fontId="9" fillId="0" borderId="2" xfId="0" applyFont="1" applyBorder="1" applyAlignment="1">
      <alignment horizontal="left" vertical="top" wrapText="1"/>
    </xf>
    <xf numFmtId="0" fontId="0" fillId="0" borderId="0" xfId="0" applyBorder="1"/>
    <xf numFmtId="0" fontId="13" fillId="0" borderId="6" xfId="0" applyFont="1" applyBorder="1" applyAlignment="1">
      <alignment horizontal="right"/>
    </xf>
    <xf numFmtId="0" fontId="0" fillId="7" borderId="6" xfId="0" applyFill="1" applyBorder="1"/>
    <xf numFmtId="0" fontId="9" fillId="7" borderId="6" xfId="0" applyFont="1" applyFill="1" applyBorder="1" applyAlignment="1">
      <alignment horizontal="right" vertical="top"/>
    </xf>
    <xf numFmtId="12" fontId="0" fillId="0" borderId="6" xfId="0" applyNumberFormat="1" applyBorder="1" applyAlignment="1">
      <alignment horizontal="left"/>
    </xf>
    <xf numFmtId="0" fontId="0" fillId="4" borderId="6" xfId="0" applyFill="1" applyBorder="1"/>
    <xf numFmtId="2" fontId="0" fillId="0" borderId="0" xfId="0" applyNumberFormat="1" applyBorder="1"/>
    <xf numFmtId="0" fontId="22" fillId="0" borderId="0" xfId="0" applyFont="1" applyAlignment="1">
      <alignment horizontal="center"/>
    </xf>
    <xf numFmtId="0" fontId="13" fillId="0" borderId="0" xfId="0" applyFont="1"/>
    <xf numFmtId="0" fontId="13" fillId="0" borderId="0" xfId="0" applyFont="1" applyAlignment="1">
      <alignment horizontal="right"/>
    </xf>
    <xf numFmtId="0" fontId="0" fillId="0" borderId="0" xfId="0" applyAlignment="1">
      <alignment horizontal="center" vertical="center"/>
    </xf>
    <xf numFmtId="2" fontId="0" fillId="0" borderId="0" xfId="0" applyNumberFormat="1" applyAlignment="1">
      <alignment horizontal="center" vertical="center"/>
    </xf>
    <xf numFmtId="0" fontId="9" fillId="0" borderId="0" xfId="0" applyFont="1" applyFill="1" applyBorder="1" applyAlignment="1">
      <alignment horizontal="right" vertical="center" wrapText="1"/>
    </xf>
    <xf numFmtId="0" fontId="0" fillId="0" borderId="0" xfId="0" applyBorder="1" applyAlignment="1">
      <alignment vertical="center"/>
    </xf>
    <xf numFmtId="170" fontId="36" fillId="0" borderId="0" xfId="0" applyNumberFormat="1" applyFont="1" applyBorder="1" applyAlignment="1">
      <alignment horizontal="left" vertical="center"/>
    </xf>
    <xf numFmtId="172" fontId="36" fillId="0" borderId="0" xfId="0" applyNumberFormat="1" applyFont="1" applyBorder="1" applyAlignment="1">
      <alignment horizontal="center" vertical="center"/>
    </xf>
    <xf numFmtId="0" fontId="44" fillId="0" borderId="0" xfId="0" applyFont="1" applyFill="1" applyBorder="1" applyAlignment="1">
      <alignment horizontal="right" wrapText="1"/>
    </xf>
    <xf numFmtId="0" fontId="44" fillId="0" borderId="0" xfId="0" applyFont="1" applyAlignment="1">
      <alignment horizontal="left"/>
    </xf>
    <xf numFmtId="0" fontId="44" fillId="0" borderId="0" xfId="0" applyFont="1" applyAlignment="1">
      <alignment vertical="center"/>
    </xf>
    <xf numFmtId="172" fontId="45" fillId="0" borderId="0" xfId="0" applyNumberFormat="1" applyFont="1" applyAlignment="1">
      <alignment horizontal="center" vertical="center"/>
    </xf>
    <xf numFmtId="0" fontId="44" fillId="0" borderId="0" xfId="0" applyFont="1" applyAlignment="1">
      <alignment horizontal="left" vertical="center" wrapText="1"/>
    </xf>
    <xf numFmtId="0" fontId="44" fillId="0" borderId="0" xfId="0" applyFont="1" applyBorder="1" applyAlignment="1">
      <alignment horizontal="left"/>
    </xf>
    <xf numFmtId="0" fontId="46" fillId="0" borderId="0" xfId="0" applyFont="1" applyAlignment="1">
      <alignment horizontal="left" vertical="center"/>
    </xf>
    <xf numFmtId="0" fontId="46" fillId="0" borderId="0" xfId="0" applyFont="1" applyAlignment="1">
      <alignment vertical="center"/>
    </xf>
    <xf numFmtId="172" fontId="48" fillId="0" borderId="0" xfId="0" applyNumberFormat="1" applyFont="1" applyAlignment="1">
      <alignment horizontal="center" vertical="center"/>
    </xf>
    <xf numFmtId="0" fontId="46" fillId="0" borderId="0" xfId="0" applyFont="1" applyAlignment="1">
      <alignment horizontal="left" vertical="center" wrapText="1"/>
    </xf>
    <xf numFmtId="0" fontId="46" fillId="0" borderId="0" xfId="0" applyFont="1" applyBorder="1" applyAlignment="1">
      <alignment horizontal="left" vertical="center"/>
    </xf>
    <xf numFmtId="167" fontId="46" fillId="0" borderId="0" xfId="0" applyNumberFormat="1" applyFont="1" applyAlignment="1">
      <alignment horizontal="left" vertical="center"/>
    </xf>
    <xf numFmtId="0" fontId="8" fillId="0" borderId="0" xfId="0" applyFont="1" applyAlignment="1">
      <alignment horizontal="right" vertical="center"/>
    </xf>
    <xf numFmtId="0" fontId="8" fillId="0" borderId="0" xfId="0" applyFont="1" applyAlignment="1">
      <alignment vertical="center"/>
    </xf>
    <xf numFmtId="172" fontId="50" fillId="0" borderId="0" xfId="0" applyNumberFormat="1" applyFont="1" applyAlignment="1">
      <alignment horizontal="center" vertical="center"/>
    </xf>
    <xf numFmtId="0" fontId="8" fillId="0" borderId="0" xfId="0" applyFont="1" applyAlignment="1">
      <alignment horizontal="left" vertical="center" wrapText="1"/>
    </xf>
    <xf numFmtId="2" fontId="0" fillId="0" borderId="0" xfId="0" applyNumberFormat="1"/>
    <xf numFmtId="170" fontId="0" fillId="0" borderId="0" xfId="0" applyNumberFormat="1"/>
    <xf numFmtId="2" fontId="0" fillId="0" borderId="0" xfId="0" applyNumberFormat="1" applyAlignment="1">
      <alignment horizontal="left" vertical="center"/>
    </xf>
    <xf numFmtId="11" fontId="0" fillId="0" borderId="0" xfId="0" applyNumberFormat="1"/>
    <xf numFmtId="11" fontId="0" fillId="0" borderId="0" xfId="0" applyNumberFormat="1" applyAlignment="1">
      <alignment horizontal="center" vertical="center"/>
    </xf>
    <xf numFmtId="0" fontId="0" fillId="0" borderId="0" xfId="0" applyBorder="1" applyAlignment="1">
      <alignment horizontal="center" vertical="center"/>
    </xf>
    <xf numFmtId="0" fontId="9" fillId="0" borderId="0" xfId="0" applyFont="1" applyAlignment="1">
      <alignment horizontal="right" vertical="center"/>
    </xf>
    <xf numFmtId="170" fontId="22" fillId="0" borderId="0" xfId="0" applyNumberFormat="1" applyFont="1" applyAlignment="1">
      <alignment horizontal="right" vertical="center"/>
    </xf>
    <xf numFmtId="2" fontId="22" fillId="0" borderId="0" xfId="0" applyNumberFormat="1" applyFont="1" applyAlignment="1">
      <alignment horizontal="left" vertical="center"/>
    </xf>
    <xf numFmtId="172" fontId="57" fillId="0" borderId="0" xfId="0" applyNumberFormat="1" applyFont="1" applyAlignment="1">
      <alignment horizontal="center" vertical="center"/>
    </xf>
    <xf numFmtId="2" fontId="0" fillId="0" borderId="0" xfId="0" applyNumberFormat="1" applyAlignment="1">
      <alignment horizontal="left"/>
    </xf>
    <xf numFmtId="168" fontId="0" fillId="0" borderId="0" xfId="0" applyNumberFormat="1" applyAlignment="1">
      <alignment horizontal="left"/>
    </xf>
    <xf numFmtId="172" fontId="36" fillId="0" borderId="0" xfId="0" applyNumberFormat="1" applyFont="1" applyBorder="1" applyAlignment="1">
      <alignment horizontal="left" vertical="center"/>
    </xf>
    <xf numFmtId="0" fontId="22" fillId="0" borderId="0" xfId="0" applyFont="1" applyAlignment="1">
      <alignment horizontal="left" vertical="center"/>
    </xf>
    <xf numFmtId="166" fontId="0" fillId="0" borderId="0" xfId="0" applyNumberFormat="1" applyAlignment="1">
      <alignment horizontal="left" vertical="center"/>
    </xf>
    <xf numFmtId="0" fontId="8" fillId="0" borderId="0" xfId="0" applyFont="1" applyAlignment="1" applyProtection="1">
      <alignment horizontal="left" vertical="center"/>
    </xf>
    <xf numFmtId="0" fontId="22" fillId="0" borderId="0" xfId="0" applyFont="1" applyAlignment="1">
      <alignment horizontal="right" vertical="center"/>
    </xf>
    <xf numFmtId="0" fontId="74" fillId="0" borderId="0" xfId="0" applyFont="1" applyAlignment="1">
      <alignment horizontal="center" vertical="center"/>
    </xf>
    <xf numFmtId="168" fontId="0" fillId="0" borderId="0" xfId="0" applyNumberFormat="1" applyAlignment="1">
      <alignment horizontal="left" vertical="center"/>
    </xf>
    <xf numFmtId="167" fontId="0" fillId="0" borderId="0" xfId="0" applyNumberFormat="1"/>
    <xf numFmtId="167" fontId="0" fillId="0" borderId="0" xfId="0" applyNumberFormat="1" applyAlignment="1">
      <alignment horizontal="center"/>
    </xf>
    <xf numFmtId="0" fontId="0" fillId="12" borderId="0" xfId="0" applyFill="1"/>
    <xf numFmtId="0" fontId="0" fillId="12" borderId="0" xfId="0" applyFill="1" applyBorder="1"/>
    <xf numFmtId="168" fontId="0" fillId="12" borderId="0" xfId="0" applyNumberFormat="1" applyFill="1" applyBorder="1" applyAlignment="1">
      <alignment horizontal="left"/>
    </xf>
    <xf numFmtId="0" fontId="0" fillId="12" borderId="0" xfId="0" applyFont="1" applyFill="1"/>
    <xf numFmtId="0" fontId="0" fillId="12" borderId="0" xfId="0" applyFill="1" applyAlignment="1">
      <alignment horizontal="center" vertical="center"/>
    </xf>
    <xf numFmtId="0" fontId="0" fillId="12" borderId="0" xfId="0" applyFill="1" applyAlignment="1">
      <alignment horizontal="left"/>
    </xf>
    <xf numFmtId="166" fontId="0" fillId="8" borderId="0" xfId="0" applyNumberFormat="1" applyFill="1" applyAlignment="1">
      <alignment horizontal="left" vertical="center"/>
    </xf>
    <xf numFmtId="0" fontId="54" fillId="0" borderId="0" xfId="0" applyFont="1" applyBorder="1" applyAlignment="1">
      <alignment horizontal="center" vertical="center"/>
    </xf>
    <xf numFmtId="0" fontId="54" fillId="0" borderId="0" xfId="0" applyFont="1" applyBorder="1"/>
    <xf numFmtId="0" fontId="46" fillId="0" borderId="0" xfId="0" applyFont="1" applyFill="1" applyBorder="1" applyAlignment="1">
      <alignment horizontal="right" vertical="center" wrapText="1"/>
    </xf>
    <xf numFmtId="0" fontId="83" fillId="0" borderId="0" xfId="0" applyFont="1" applyAlignment="1">
      <alignment vertical="center"/>
    </xf>
    <xf numFmtId="171" fontId="0" fillId="8" borderId="0" xfId="0" applyNumberFormat="1" applyFill="1" applyAlignment="1">
      <alignment horizontal="left" vertical="center"/>
    </xf>
    <xf numFmtId="4" fontId="13" fillId="8" borderId="0" xfId="0" applyNumberFormat="1" applyFont="1" applyFill="1" applyAlignment="1">
      <alignment horizontal="left" vertical="center"/>
    </xf>
    <xf numFmtId="174" fontId="22" fillId="0" borderId="6" xfId="0" applyNumberFormat="1" applyFont="1" applyBorder="1" applyAlignment="1">
      <alignment horizontal="left" vertical="center"/>
    </xf>
    <xf numFmtId="1" fontId="22" fillId="0" borderId="6" xfId="0" applyNumberFormat="1" applyFont="1" applyBorder="1" applyAlignment="1">
      <alignment horizontal="left" vertical="center"/>
    </xf>
    <xf numFmtId="1" fontId="22" fillId="0" borderId="7" xfId="0" applyNumberFormat="1" applyFont="1" applyBorder="1" applyAlignment="1">
      <alignment horizontal="left" vertical="center"/>
    </xf>
    <xf numFmtId="4" fontId="22" fillId="0" borderId="6" xfId="0" applyNumberFormat="1" applyFont="1" applyBorder="1" applyAlignment="1">
      <alignment horizontal="left" vertical="center"/>
    </xf>
    <xf numFmtId="178" fontId="22" fillId="0" borderId="6" xfId="0" applyNumberFormat="1" applyFont="1" applyBorder="1" applyAlignment="1">
      <alignment horizontal="left" vertical="center"/>
    </xf>
    <xf numFmtId="3" fontId="22" fillId="0" borderId="6" xfId="0" applyNumberFormat="1" applyFont="1" applyBorder="1" applyAlignment="1">
      <alignment horizontal="left" vertical="center"/>
    </xf>
    <xf numFmtId="0" fontId="0" fillId="0" borderId="0" xfId="0" applyAlignment="1">
      <alignment vertical="center"/>
    </xf>
    <xf numFmtId="0" fontId="22" fillId="0" borderId="0" xfId="0" applyFont="1" applyAlignment="1">
      <alignment horizontal="center" vertical="center"/>
    </xf>
    <xf numFmtId="0" fontId="0" fillId="0" borderId="0" xfId="0" applyFill="1"/>
    <xf numFmtId="0" fontId="7" fillId="0" borderId="0" xfId="0" applyFont="1" applyBorder="1"/>
    <xf numFmtId="0" fontId="7" fillId="12" borderId="0" xfId="0" applyFont="1" applyFill="1" applyBorder="1"/>
    <xf numFmtId="0" fontId="95" fillId="0" borderId="0" xfId="0" applyFont="1" applyAlignment="1">
      <alignment horizontal="left"/>
    </xf>
    <xf numFmtId="0" fontId="95" fillId="0" borderId="0" xfId="0" applyFont="1" applyAlignment="1">
      <alignment vertical="center"/>
    </xf>
    <xf numFmtId="172" fontId="96" fillId="0" borderId="0" xfId="0" applyNumberFormat="1" applyFont="1" applyAlignment="1">
      <alignment horizontal="center" vertical="center"/>
    </xf>
    <xf numFmtId="0" fontId="95" fillId="0" borderId="0" xfId="0" applyFont="1" applyAlignment="1">
      <alignment horizontal="left" vertical="center" wrapText="1"/>
    </xf>
    <xf numFmtId="170" fontId="64" fillId="0" borderId="0" xfId="0" applyNumberFormat="1" applyFont="1" applyAlignment="1">
      <alignment horizontal="right" vertical="center"/>
    </xf>
    <xf numFmtId="2" fontId="64" fillId="0" borderId="0" xfId="0" applyNumberFormat="1" applyFont="1" applyAlignment="1">
      <alignment horizontal="left" vertical="center"/>
    </xf>
    <xf numFmtId="11" fontId="7" fillId="0" borderId="0" xfId="0" applyNumberFormat="1" applyFont="1" applyBorder="1"/>
    <xf numFmtId="0" fontId="7" fillId="0" borderId="0" xfId="0" applyFont="1" applyBorder="1" applyAlignment="1">
      <alignment horizontal="center" vertical="center"/>
    </xf>
    <xf numFmtId="167" fontId="99" fillId="0" borderId="0" xfId="0" applyNumberFormat="1" applyFont="1" applyAlignment="1">
      <alignment horizontal="left" vertical="center"/>
    </xf>
    <xf numFmtId="0" fontId="99" fillId="0" borderId="0" xfId="0" applyFont="1" applyAlignment="1">
      <alignment vertical="center"/>
    </xf>
    <xf numFmtId="172" fontId="100" fillId="0" borderId="0" xfId="0" applyNumberFormat="1" applyFont="1" applyAlignment="1">
      <alignment horizontal="center" vertical="center"/>
    </xf>
    <xf numFmtId="0" fontId="99" fillId="0" borderId="0" xfId="0" applyFont="1" applyAlignment="1">
      <alignment horizontal="left" vertical="center" wrapText="1"/>
    </xf>
    <xf numFmtId="168" fontId="98" fillId="0" borderId="0" xfId="0" applyNumberFormat="1" applyFont="1" applyBorder="1" applyAlignment="1">
      <alignment horizontal="left"/>
    </xf>
    <xf numFmtId="0" fontId="99" fillId="0" borderId="0" xfId="0" applyFont="1" applyAlignment="1">
      <alignment horizontal="left" vertical="center"/>
    </xf>
    <xf numFmtId="168" fontId="7" fillId="12" borderId="0" xfId="0" applyNumberFormat="1" applyFont="1" applyFill="1" applyBorder="1" applyAlignment="1">
      <alignment horizontal="left"/>
    </xf>
    <xf numFmtId="2" fontId="7" fillId="0" borderId="0" xfId="0" applyNumberFormat="1" applyFont="1" applyBorder="1"/>
    <xf numFmtId="0" fontId="101" fillId="0" borderId="0" xfId="0" applyFont="1" applyAlignment="1" applyProtection="1">
      <alignment horizontal="left" vertical="center"/>
    </xf>
    <xf numFmtId="0" fontId="101" fillId="0" borderId="0" xfId="0" applyFont="1" applyAlignment="1">
      <alignment vertical="center"/>
    </xf>
    <xf numFmtId="172" fontId="102" fillId="0" borderId="0" xfId="0" applyNumberFormat="1" applyFont="1" applyAlignment="1">
      <alignment horizontal="center" vertical="center"/>
    </xf>
    <xf numFmtId="0" fontId="101" fillId="0" borderId="0" xfId="0" applyFont="1" applyAlignment="1">
      <alignment horizontal="left" vertical="center" wrapText="1"/>
    </xf>
    <xf numFmtId="0" fontId="7" fillId="11" borderId="0" xfId="0" applyFont="1" applyFill="1" applyBorder="1"/>
    <xf numFmtId="2" fontId="97" fillId="11" borderId="0" xfId="0" applyNumberFormat="1" applyFont="1" applyFill="1" applyBorder="1" applyAlignment="1">
      <alignment horizontal="right"/>
    </xf>
    <xf numFmtId="2" fontId="7" fillId="11" borderId="0" xfId="0" applyNumberFormat="1" applyFont="1" applyFill="1" applyBorder="1" applyAlignment="1">
      <alignment horizontal="left"/>
    </xf>
    <xf numFmtId="164" fontId="0" fillId="0" borderId="0" xfId="0" applyNumberFormat="1"/>
    <xf numFmtId="0" fontId="69" fillId="0" borderId="0" xfId="0" applyFont="1" applyAlignment="1">
      <alignment horizontal="right" vertical="center"/>
    </xf>
    <xf numFmtId="0" fontId="69" fillId="0" borderId="0" xfId="0" applyFont="1" applyAlignment="1">
      <alignment horizontal="left" vertical="center"/>
    </xf>
    <xf numFmtId="0" fontId="65" fillId="0" borderId="0" xfId="0" applyFont="1" applyAlignment="1">
      <alignment horizontal="left" vertical="center"/>
    </xf>
    <xf numFmtId="0" fontId="35" fillId="0" borderId="0" xfId="0" applyFont="1" applyAlignment="1">
      <alignment horizontal="right" vertical="center"/>
    </xf>
    <xf numFmtId="0" fontId="35" fillId="0" borderId="0" xfId="0" applyFont="1" applyAlignment="1">
      <alignment horizontal="left" vertical="center"/>
    </xf>
    <xf numFmtId="0" fontId="39" fillId="0" borderId="0" xfId="0" applyFont="1" applyAlignment="1">
      <alignment horizontal="right" vertical="center"/>
    </xf>
    <xf numFmtId="166" fontId="39" fillId="0" borderId="0" xfId="0" applyNumberFormat="1" applyFont="1" applyAlignment="1">
      <alignment horizontal="left" vertical="center"/>
    </xf>
    <xf numFmtId="2" fontId="69" fillId="0" borderId="0" xfId="0" applyNumberFormat="1" applyFont="1" applyAlignment="1">
      <alignment horizontal="left" vertical="center"/>
    </xf>
    <xf numFmtId="0" fontId="65" fillId="0" borderId="0" xfId="0" applyFont="1" applyAlignment="1">
      <alignment horizontal="right" vertical="center"/>
    </xf>
    <xf numFmtId="2" fontId="65" fillId="0" borderId="0" xfId="0" applyNumberFormat="1" applyFont="1" applyAlignment="1">
      <alignment horizontal="left" vertical="center"/>
    </xf>
    <xf numFmtId="0" fontId="36" fillId="0" borderId="0" xfId="0" applyFont="1" applyAlignment="1">
      <alignment vertical="center"/>
    </xf>
    <xf numFmtId="171" fontId="39" fillId="0" borderId="0" xfId="0" applyNumberFormat="1" applyFont="1" applyAlignment="1">
      <alignment horizontal="left" vertical="center"/>
    </xf>
    <xf numFmtId="0" fontId="13" fillId="0" borderId="0" xfId="0" applyFont="1" applyAlignment="1">
      <alignment horizontal="right" vertical="center"/>
    </xf>
    <xf numFmtId="0" fontId="0" fillId="9" borderId="0" xfId="0" applyFill="1" applyAlignment="1">
      <alignment vertical="center"/>
    </xf>
    <xf numFmtId="174" fontId="2" fillId="0" borderId="0" xfId="0" applyNumberFormat="1" applyFont="1" applyAlignment="1">
      <alignment horizontal="center" vertical="center"/>
    </xf>
    <xf numFmtId="0" fontId="19" fillId="0" borderId="0" xfId="0" applyFont="1" applyAlignment="1">
      <alignment horizontal="center"/>
    </xf>
    <xf numFmtId="0" fontId="65" fillId="0" borderId="6" xfId="0" applyFont="1" applyFill="1" applyBorder="1" applyAlignment="1">
      <alignment horizontal="center" vertical="center" wrapText="1"/>
    </xf>
    <xf numFmtId="166" fontId="2" fillId="0" borderId="0" xfId="0" applyNumberFormat="1" applyFont="1" applyAlignment="1">
      <alignment horizontal="center" vertical="center"/>
    </xf>
    <xf numFmtId="0" fontId="22" fillId="0" borderId="0" xfId="0" applyFont="1" applyFill="1" applyBorder="1" applyAlignment="1">
      <alignment horizontal="center"/>
    </xf>
    <xf numFmtId="0" fontId="22" fillId="0" borderId="0" xfId="0" applyFont="1" applyFill="1" applyBorder="1" applyAlignment="1">
      <alignment horizontal="right" vertical="center"/>
    </xf>
    <xf numFmtId="179" fontId="13" fillId="0" borderId="6" xfId="0" applyNumberFormat="1" applyFont="1" applyBorder="1" applyAlignment="1">
      <alignment horizontal="left" vertical="center"/>
    </xf>
    <xf numFmtId="0" fontId="20" fillId="0" borderId="0" xfId="0" applyFont="1" applyAlignment="1">
      <alignment horizontal="center"/>
    </xf>
    <xf numFmtId="0" fontId="131" fillId="5" borderId="0" xfId="0" applyFont="1" applyFill="1" applyAlignment="1">
      <alignment horizontal="right" vertical="center" wrapText="1"/>
    </xf>
    <xf numFmtId="173" fontId="131" fillId="5" borderId="0" xfId="0" applyNumberFormat="1" applyFont="1" applyFill="1" applyAlignment="1">
      <alignment horizontal="center" vertical="center" wrapText="1"/>
    </xf>
    <xf numFmtId="0" fontId="131" fillId="5" borderId="0" xfId="0" applyFont="1" applyFill="1" applyAlignment="1">
      <alignment horizontal="left" vertical="center" wrapText="1"/>
    </xf>
    <xf numFmtId="0" fontId="130" fillId="0" borderId="18" xfId="0" applyFont="1" applyBorder="1" applyAlignment="1">
      <alignment horizontal="center" vertical="center" wrapText="1"/>
    </xf>
    <xf numFmtId="0" fontId="25" fillId="3" borderId="0" xfId="0" applyFont="1" applyFill="1" applyAlignment="1">
      <alignment vertical="center"/>
    </xf>
    <xf numFmtId="0" fontId="81" fillId="8" borderId="0" xfId="0" applyFont="1" applyFill="1" applyAlignment="1">
      <alignment vertical="center"/>
    </xf>
    <xf numFmtId="0" fontId="0" fillId="8" borderId="0" xfId="0" applyFill="1"/>
    <xf numFmtId="0" fontId="0" fillId="3" borderId="0" xfId="0" applyFill="1"/>
    <xf numFmtId="0" fontId="80" fillId="3" borderId="0" xfId="0" applyFont="1" applyFill="1"/>
    <xf numFmtId="0" fontId="28" fillId="3" borderId="0" xfId="0" applyFont="1" applyFill="1" applyAlignment="1">
      <alignment vertical="center"/>
    </xf>
    <xf numFmtId="0" fontId="54" fillId="3" borderId="0" xfId="0" applyFont="1" applyFill="1" applyAlignment="1">
      <alignment vertical="center"/>
    </xf>
    <xf numFmtId="0" fontId="69" fillId="0" borderId="0" xfId="0" applyFont="1" applyAlignment="1">
      <alignment horizontal="center" vertical="center" wrapText="1"/>
    </xf>
    <xf numFmtId="0" fontId="19" fillId="0" borderId="0" xfId="0" applyFont="1" applyAlignment="1">
      <alignment horizontal="center" vertical="center" wrapText="1"/>
    </xf>
    <xf numFmtId="0" fontId="35" fillId="0" borderId="15" xfId="0" applyFont="1" applyBorder="1" applyAlignment="1">
      <alignment horizontal="right" vertical="center"/>
    </xf>
    <xf numFmtId="0" fontId="35" fillId="0" borderId="16" xfId="0" applyFont="1" applyBorder="1" applyAlignment="1">
      <alignment horizontal="right" vertical="center"/>
    </xf>
    <xf numFmtId="0" fontId="118" fillId="0" borderId="15" xfId="0" applyFont="1" applyBorder="1" applyAlignment="1">
      <alignment horizontal="right" vertical="center"/>
    </xf>
    <xf numFmtId="168" fontId="118" fillId="0" borderId="16" xfId="0" applyNumberFormat="1" applyFont="1" applyBorder="1" applyAlignment="1">
      <alignment horizontal="left" vertical="center"/>
    </xf>
    <xf numFmtId="0" fontId="118" fillId="0" borderId="16" xfId="0" applyFont="1" applyBorder="1" applyAlignment="1">
      <alignment horizontal="right" vertical="center"/>
    </xf>
    <xf numFmtId="168" fontId="2" fillId="0" borderId="0" xfId="0" applyNumberFormat="1" applyFont="1" applyFill="1" applyAlignment="1">
      <alignment horizontal="center" vertical="center"/>
    </xf>
    <xf numFmtId="167" fontId="2" fillId="0" borderId="0" xfId="0" applyNumberFormat="1" applyFont="1" applyFill="1" applyAlignment="1">
      <alignment horizontal="center" vertical="center"/>
    </xf>
    <xf numFmtId="180" fontId="2" fillId="0" borderId="0" xfId="0" applyNumberFormat="1" applyFont="1" applyFill="1" applyAlignment="1">
      <alignment horizontal="center" vertical="center"/>
    </xf>
    <xf numFmtId="167" fontId="13" fillId="4" borderId="6" xfId="0" applyNumberFormat="1" applyFont="1" applyFill="1" applyBorder="1" applyAlignment="1">
      <alignment horizontal="left" vertical="center"/>
    </xf>
    <xf numFmtId="168" fontId="13" fillId="4" borderId="0" xfId="0" applyNumberFormat="1" applyFont="1" applyFill="1" applyBorder="1" applyAlignment="1">
      <alignment horizontal="left" vertical="center"/>
    </xf>
    <xf numFmtId="0" fontId="77" fillId="8" borderId="0" xfId="0" applyFont="1" applyFill="1" applyAlignment="1">
      <alignment horizontal="left" vertical="center"/>
    </xf>
    <xf numFmtId="0" fontId="25" fillId="0" borderId="0" xfId="0" applyFont="1" applyFill="1" applyBorder="1" applyAlignment="1">
      <alignment horizontal="left" vertical="center"/>
    </xf>
    <xf numFmtId="0" fontId="22" fillId="0" borderId="0" xfId="0" applyFont="1" applyBorder="1" applyAlignment="1">
      <alignment horizontal="center" wrapText="1"/>
    </xf>
    <xf numFmtId="0" fontId="58" fillId="9" borderId="0" xfId="0" applyFont="1" applyFill="1" applyBorder="1" applyAlignment="1">
      <alignment horizontal="right" vertical="center"/>
    </xf>
    <xf numFmtId="0" fontId="58" fillId="9" borderId="0" xfId="0" applyFont="1" applyFill="1" applyAlignment="1">
      <alignment horizontal="right" vertical="center" wrapText="1"/>
    </xf>
    <xf numFmtId="176" fontId="58" fillId="9" borderId="0" xfId="0" applyNumberFormat="1" applyFont="1" applyFill="1" applyAlignment="1">
      <alignment vertical="center"/>
    </xf>
    <xf numFmtId="0" fontId="174" fillId="9" borderId="0" xfId="0" applyFont="1" applyFill="1" applyBorder="1"/>
    <xf numFmtId="0" fontId="174" fillId="9" borderId="0" xfId="0" applyFont="1" applyFill="1" applyAlignment="1">
      <alignment horizontal="left"/>
    </xf>
    <xf numFmtId="2" fontId="58" fillId="9" borderId="0" xfId="0" applyNumberFormat="1" applyFont="1" applyFill="1" applyAlignment="1">
      <alignment horizontal="left" vertical="center"/>
    </xf>
    <xf numFmtId="0" fontId="139" fillId="0" borderId="0" xfId="0" applyFont="1" applyFill="1" applyBorder="1" applyAlignment="1">
      <alignment horizontal="right" vertical="center" wrapText="1"/>
    </xf>
    <xf numFmtId="0" fontId="139" fillId="0" borderId="0" xfId="0" applyFont="1" applyAlignment="1">
      <alignment horizontal="left" vertical="center"/>
    </xf>
    <xf numFmtId="0" fontId="139" fillId="0" borderId="0" xfId="0" applyFont="1" applyAlignment="1">
      <alignment vertical="center"/>
    </xf>
    <xf numFmtId="172" fontId="175" fillId="0" borderId="0" xfId="0" applyNumberFormat="1" applyFont="1" applyAlignment="1">
      <alignment horizontal="center" vertical="center"/>
    </xf>
    <xf numFmtId="0" fontId="139" fillId="0" borderId="0" xfId="0" applyFont="1" applyAlignment="1">
      <alignment horizontal="left" vertical="center" wrapText="1"/>
    </xf>
    <xf numFmtId="0" fontId="139" fillId="0" borderId="0" xfId="0" applyFont="1" applyBorder="1" applyAlignment="1">
      <alignment horizontal="left" vertical="center"/>
    </xf>
    <xf numFmtId="0" fontId="176" fillId="0" borderId="0" xfId="0" applyFont="1" applyFill="1" applyBorder="1" applyAlignment="1">
      <alignment horizontal="right" vertical="center" wrapText="1"/>
    </xf>
    <xf numFmtId="167" fontId="176" fillId="0" borderId="0" xfId="0" applyNumberFormat="1" applyFont="1" applyAlignment="1">
      <alignment horizontal="left" vertical="center"/>
    </xf>
    <xf numFmtId="0" fontId="176" fillId="0" borderId="0" xfId="0" applyFont="1" applyAlignment="1">
      <alignment vertical="center"/>
    </xf>
    <xf numFmtId="172" fontId="177" fillId="0" borderId="0" xfId="0" applyNumberFormat="1" applyFont="1" applyAlignment="1">
      <alignment horizontal="center" vertical="center"/>
    </xf>
    <xf numFmtId="0" fontId="176" fillId="0" borderId="0" xfId="0" applyFont="1" applyAlignment="1">
      <alignment horizontal="left" vertical="center" wrapText="1"/>
    </xf>
    <xf numFmtId="0" fontId="176" fillId="0" borderId="0" xfId="0" applyFont="1" applyAlignment="1">
      <alignment horizontal="left" vertical="center"/>
    </xf>
    <xf numFmtId="0" fontId="176" fillId="0" borderId="0" xfId="0" applyFont="1" applyBorder="1" applyAlignment="1">
      <alignment horizontal="left" vertical="center"/>
    </xf>
    <xf numFmtId="2" fontId="0" fillId="0" borderId="0" xfId="0" applyNumberFormat="1" applyFill="1" applyAlignment="1">
      <alignment horizontal="left" vertical="center"/>
    </xf>
    <xf numFmtId="0" fontId="40" fillId="0" borderId="0" xfId="0" applyFont="1" applyFill="1" applyBorder="1" applyAlignment="1">
      <alignment horizontal="right" vertical="center" wrapText="1"/>
    </xf>
    <xf numFmtId="170" fontId="40" fillId="0" borderId="0" xfId="0" applyNumberFormat="1" applyFont="1" applyBorder="1" applyAlignment="1">
      <alignment horizontal="left" vertical="center"/>
    </xf>
    <xf numFmtId="2" fontId="40" fillId="0" borderId="0" xfId="0" applyNumberFormat="1" applyFont="1" applyBorder="1" applyAlignment="1">
      <alignment horizontal="center" vertical="center"/>
    </xf>
    <xf numFmtId="0" fontId="13" fillId="0" borderId="0" xfId="0" applyFont="1" applyFill="1" applyAlignment="1">
      <alignment horizontal="right" vertical="center"/>
    </xf>
    <xf numFmtId="0" fontId="13" fillId="0" borderId="0" xfId="0" applyFont="1" applyFill="1" applyBorder="1" applyAlignment="1">
      <alignment horizontal="left" vertical="center"/>
    </xf>
    <xf numFmtId="165" fontId="13" fillId="0" borderId="0" xfId="0" applyNumberFormat="1" applyFont="1" applyFill="1" applyBorder="1" applyAlignment="1">
      <alignment horizontal="right" vertical="center"/>
    </xf>
    <xf numFmtId="170" fontId="63" fillId="14" borderId="0" xfId="0" applyNumberFormat="1" applyFont="1" applyFill="1" applyBorder="1" applyAlignment="1">
      <alignment horizontal="right" vertical="center"/>
    </xf>
    <xf numFmtId="0" fontId="63" fillId="14" borderId="0" xfId="0" applyFont="1" applyFill="1" applyBorder="1" applyAlignment="1">
      <alignment horizontal="left" vertical="center"/>
    </xf>
    <xf numFmtId="177" fontId="13" fillId="6" borderId="0" xfId="0" applyNumberFormat="1" applyFont="1" applyFill="1" applyBorder="1" applyAlignment="1">
      <alignment horizontal="right" vertical="center"/>
    </xf>
    <xf numFmtId="0" fontId="13" fillId="6" borderId="0" xfId="0" applyFont="1" applyFill="1" applyBorder="1" applyAlignment="1">
      <alignment horizontal="left" vertical="center"/>
    </xf>
    <xf numFmtId="167" fontId="63" fillId="14" borderId="0" xfId="0" applyNumberFormat="1" applyFont="1" applyFill="1" applyBorder="1" applyAlignment="1">
      <alignment horizontal="right" vertical="center"/>
    </xf>
    <xf numFmtId="0" fontId="13" fillId="0" borderId="6" xfId="0" applyFont="1" applyFill="1" applyBorder="1" applyAlignment="1">
      <alignment horizontal="right" vertical="center"/>
    </xf>
    <xf numFmtId="4" fontId="13" fillId="0" borderId="0" xfId="0" applyNumberFormat="1" applyFont="1" applyFill="1" applyAlignment="1">
      <alignment horizontal="left" vertical="center"/>
    </xf>
    <xf numFmtId="171" fontId="0" fillId="0" borderId="0" xfId="0" applyNumberFormat="1" applyFill="1" applyAlignment="1">
      <alignment horizontal="left" vertical="center"/>
    </xf>
    <xf numFmtId="166" fontId="0" fillId="0" borderId="0" xfId="0" applyNumberFormat="1" applyFill="1" applyAlignment="1">
      <alignment horizontal="left" vertical="center"/>
    </xf>
    <xf numFmtId="0" fontId="43" fillId="5" borderId="0" xfId="0" applyFont="1" applyFill="1" applyAlignment="1">
      <alignment horizontal="center" vertical="center" wrapText="1"/>
    </xf>
    <xf numFmtId="0" fontId="0" fillId="0" borderId="0" xfId="0" applyFill="1" applyAlignment="1">
      <alignment horizontal="left" vertical="center"/>
    </xf>
    <xf numFmtId="168" fontId="0" fillId="0" borderId="0" xfId="0" applyNumberFormat="1" applyFill="1" applyAlignment="1">
      <alignment horizontal="left" vertical="center"/>
    </xf>
    <xf numFmtId="167" fontId="82" fillId="0" borderId="0" xfId="0" applyNumberFormat="1" applyFont="1" applyBorder="1" applyAlignment="1">
      <alignment horizontal="left" vertical="center"/>
    </xf>
    <xf numFmtId="0" fontId="185" fillId="0" borderId="0" xfId="0" applyFont="1" applyBorder="1" applyAlignment="1">
      <alignment vertical="center"/>
    </xf>
    <xf numFmtId="174" fontId="35" fillId="0" borderId="0" xfId="0" applyNumberFormat="1" applyFont="1" applyAlignment="1">
      <alignment horizontal="left" vertical="center"/>
    </xf>
    <xf numFmtId="174" fontId="22" fillId="0" borderId="6" xfId="0" applyNumberFormat="1" applyFont="1" applyBorder="1" applyAlignment="1">
      <alignment horizontal="center" vertical="center"/>
    </xf>
    <xf numFmtId="174" fontId="22" fillId="0" borderId="7" xfId="0" applyNumberFormat="1" applyFont="1" applyBorder="1" applyAlignment="1">
      <alignment horizontal="center" vertical="center"/>
    </xf>
    <xf numFmtId="174" fontId="35" fillId="0" borderId="16" xfId="0" applyNumberFormat="1" applyFont="1" applyBorder="1" applyAlignment="1">
      <alignment horizontal="left" vertical="center"/>
    </xf>
    <xf numFmtId="0" fontId="25" fillId="0" borderId="0" xfId="0" applyFont="1" applyFill="1" applyAlignment="1">
      <alignment horizontal="right" vertical="center"/>
    </xf>
    <xf numFmtId="167" fontId="22" fillId="0" borderId="0" xfId="0" applyNumberFormat="1" applyFont="1" applyFill="1" applyAlignment="1">
      <alignment horizontal="left" vertical="center"/>
    </xf>
    <xf numFmtId="0" fontId="58" fillId="0" borderId="0" xfId="0" applyFont="1" applyFill="1" applyAlignment="1">
      <alignment horizontal="center" vertical="center"/>
    </xf>
    <xf numFmtId="0" fontId="19" fillId="0" borderId="0" xfId="0" applyFont="1" applyFill="1" applyAlignment="1">
      <alignment horizontal="right" vertical="center"/>
    </xf>
    <xf numFmtId="0" fontId="0" fillId="0" borderId="0" xfId="0" applyFill="1" applyAlignment="1">
      <alignment vertical="center"/>
    </xf>
    <xf numFmtId="0" fontId="82" fillId="0" borderId="0" xfId="0" applyFont="1" applyFill="1" applyAlignment="1">
      <alignment horizontal="right" vertical="center"/>
    </xf>
    <xf numFmtId="0" fontId="25" fillId="0" borderId="0" xfId="0" applyFont="1" applyFill="1" applyBorder="1" applyAlignment="1">
      <alignment horizontal="right" vertical="center"/>
    </xf>
    <xf numFmtId="0" fontId="55" fillId="0" borderId="0" xfId="0" applyFont="1" applyFill="1" applyAlignment="1">
      <alignment horizontal="left" vertical="center" wrapText="1"/>
    </xf>
    <xf numFmtId="0" fontId="22" fillId="0" borderId="0" xfId="0" applyFont="1" applyFill="1" applyBorder="1" applyAlignment="1">
      <alignment horizontal="center" vertical="center"/>
    </xf>
    <xf numFmtId="0" fontId="16" fillId="0" borderId="0" xfId="0" applyFont="1" applyFill="1" applyBorder="1" applyAlignment="1">
      <alignment horizontal="center" vertical="center"/>
    </xf>
    <xf numFmtId="0" fontId="55" fillId="0" borderId="0" xfId="0" applyFont="1" applyFill="1" applyBorder="1" applyAlignment="1">
      <alignment horizontal="left" vertical="center" wrapText="1"/>
    </xf>
    <xf numFmtId="1" fontId="13" fillId="0" borderId="5" xfId="0" applyNumberFormat="1" applyFont="1" applyBorder="1" applyAlignment="1">
      <alignment horizontal="left" vertical="center"/>
    </xf>
    <xf numFmtId="1" fontId="13" fillId="0" borderId="19" xfId="0" applyNumberFormat="1" applyFont="1" applyBorder="1" applyAlignment="1">
      <alignment horizontal="right" vertical="center"/>
    </xf>
    <xf numFmtId="0" fontId="13" fillId="0" borderId="5" xfId="0" applyFont="1" applyBorder="1" applyAlignment="1">
      <alignment horizontal="center" vertical="center"/>
    </xf>
    <xf numFmtId="0" fontId="13" fillId="0" borderId="14" xfId="0" applyFont="1" applyBorder="1" applyAlignment="1">
      <alignment vertical="center"/>
    </xf>
    <xf numFmtId="0" fontId="13" fillId="0" borderId="5" xfId="0" applyFont="1" applyBorder="1" applyAlignment="1">
      <alignment vertical="center"/>
    </xf>
    <xf numFmtId="166" fontId="13" fillId="0" borderId="0" xfId="0" applyNumberFormat="1" applyFont="1" applyFill="1" applyAlignment="1">
      <alignment horizontal="left" vertical="center"/>
    </xf>
    <xf numFmtId="2" fontId="13" fillId="0" borderId="0" xfId="0" applyNumberFormat="1" applyFont="1" applyFill="1" applyBorder="1" applyAlignment="1">
      <alignment horizontal="left" vertical="center"/>
    </xf>
    <xf numFmtId="171" fontId="13" fillId="0" borderId="0" xfId="0" applyNumberFormat="1" applyFont="1" applyFill="1" applyBorder="1" applyAlignment="1">
      <alignment horizontal="left" vertical="center"/>
    </xf>
    <xf numFmtId="0" fontId="92" fillId="0" borderId="0" xfId="0" applyFont="1" applyAlignment="1">
      <alignment horizontal="center" vertical="center"/>
    </xf>
    <xf numFmtId="0" fontId="13" fillId="0" borderId="0" xfId="0" applyFont="1" applyFill="1" applyAlignment="1">
      <alignment horizontal="left" vertical="center" wrapText="1"/>
    </xf>
    <xf numFmtId="0" fontId="86" fillId="0" borderId="0" xfId="0" applyFont="1" applyFill="1" applyBorder="1" applyAlignment="1">
      <alignment vertical="center"/>
    </xf>
    <xf numFmtId="0" fontId="55" fillId="7" borderId="0" xfId="0" applyFont="1" applyFill="1" applyBorder="1" applyAlignment="1">
      <alignment horizontal="left" vertical="center" wrapText="1"/>
    </xf>
    <xf numFmtId="0" fontId="25" fillId="7" borderId="0" xfId="0" applyFont="1" applyFill="1" applyBorder="1" applyAlignment="1">
      <alignment horizontal="right" vertical="center"/>
    </xf>
    <xf numFmtId="2" fontId="13" fillId="7" borderId="0" xfId="0" applyNumberFormat="1" applyFont="1" applyFill="1" applyBorder="1" applyAlignment="1">
      <alignment horizontal="left" vertical="center"/>
    </xf>
    <xf numFmtId="0" fontId="86" fillId="7" borderId="0" xfId="0" applyFont="1" applyFill="1" applyBorder="1" applyAlignment="1">
      <alignment vertical="center"/>
    </xf>
    <xf numFmtId="0" fontId="191" fillId="0" borderId="0" xfId="0" applyFont="1" applyFill="1" applyAlignment="1">
      <alignment horizontal="center" vertical="center"/>
    </xf>
    <xf numFmtId="0" fontId="25" fillId="0" borderId="0" xfId="0" applyFont="1" applyFill="1" applyAlignment="1">
      <alignment horizontal="right" vertical="center"/>
    </xf>
    <xf numFmtId="1" fontId="13" fillId="0" borderId="19" xfId="0" applyNumberFormat="1" applyFont="1" applyBorder="1" applyAlignment="1">
      <alignment horizontal="center" vertical="center"/>
    </xf>
    <xf numFmtId="0" fontId="82" fillId="0" borderId="8" xfId="0" applyFont="1" applyFill="1" applyBorder="1" applyAlignment="1">
      <alignment horizontal="center"/>
    </xf>
    <xf numFmtId="0" fontId="22" fillId="0" borderId="8" xfId="0" applyFont="1" applyFill="1" applyBorder="1" applyAlignment="1">
      <alignment horizontal="center"/>
    </xf>
    <xf numFmtId="0" fontId="22" fillId="0" borderId="9" xfId="0" applyFont="1" applyFill="1" applyBorder="1" applyAlignment="1">
      <alignment horizontal="center"/>
    </xf>
    <xf numFmtId="166" fontId="13" fillId="0" borderId="5" xfId="0" applyNumberFormat="1" applyFont="1" applyBorder="1" applyAlignment="1">
      <alignment horizontal="center"/>
    </xf>
    <xf numFmtId="168" fontId="22" fillId="0" borderId="5" xfId="0" applyNumberFormat="1" applyFont="1" applyBorder="1" applyAlignment="1">
      <alignment horizontal="center"/>
    </xf>
    <xf numFmtId="1" fontId="65" fillId="0" borderId="14" xfId="0" applyNumberFormat="1" applyFont="1" applyBorder="1" applyAlignment="1">
      <alignment horizontal="center"/>
    </xf>
    <xf numFmtId="0" fontId="82" fillId="0" borderId="7" xfId="0" applyFont="1" applyBorder="1" applyAlignment="1">
      <alignment vertical="center"/>
    </xf>
    <xf numFmtId="0" fontId="82" fillId="0" borderId="8" xfId="0" applyFont="1" applyBorder="1" applyAlignment="1">
      <alignment vertical="center"/>
    </xf>
    <xf numFmtId="0" fontId="82" fillId="0" borderId="9" xfId="0" applyFont="1" applyBorder="1" applyAlignment="1">
      <alignment vertical="center"/>
    </xf>
    <xf numFmtId="181" fontId="13" fillId="0" borderId="14" xfId="0" applyNumberFormat="1" applyFont="1" applyBorder="1" applyAlignment="1">
      <alignment vertical="center"/>
    </xf>
    <xf numFmtId="167" fontId="13" fillId="0" borderId="0" xfId="0" applyNumberFormat="1" applyFont="1" applyFill="1" applyBorder="1" applyAlignment="1">
      <alignment horizontal="left" vertical="center"/>
    </xf>
    <xf numFmtId="166" fontId="13" fillId="0" borderId="0" xfId="0" applyNumberFormat="1" applyFont="1" applyAlignment="1">
      <alignment horizontal="left" vertical="center"/>
    </xf>
    <xf numFmtId="0" fontId="33" fillId="0" borderId="0" xfId="0" applyFont="1" applyFill="1" applyBorder="1" applyAlignment="1">
      <alignment vertical="center"/>
    </xf>
    <xf numFmtId="2" fontId="58" fillId="9" borderId="0" xfId="0" applyNumberFormat="1" applyFont="1" applyFill="1" applyBorder="1" applyAlignment="1">
      <alignment horizontal="left" vertical="center"/>
    </xf>
    <xf numFmtId="12" fontId="58" fillId="9" borderId="0" xfId="0" applyNumberFormat="1" applyFont="1" applyFill="1" applyAlignment="1">
      <alignment horizontal="left" vertical="center"/>
    </xf>
    <xf numFmtId="168" fontId="69" fillId="0" borderId="0" xfId="0" applyNumberFormat="1" applyFont="1" applyAlignment="1">
      <alignment horizontal="left" vertical="center"/>
    </xf>
    <xf numFmtId="168" fontId="204" fillId="0" borderId="0" xfId="0" applyNumberFormat="1" applyFont="1" applyAlignment="1">
      <alignment horizontal="left" vertical="center"/>
    </xf>
    <xf numFmtId="0" fontId="205" fillId="0" borderId="0" xfId="0" applyFont="1" applyFill="1" applyBorder="1" applyAlignment="1">
      <alignment vertical="center" wrapText="1"/>
    </xf>
    <xf numFmtId="0" fontId="22" fillId="0" borderId="0" xfId="0" applyFont="1" applyFill="1" applyAlignment="1">
      <alignment horizontal="center" vertical="center" wrapText="1"/>
    </xf>
    <xf numFmtId="168" fontId="35" fillId="0" borderId="0" xfId="0" applyNumberFormat="1" applyFont="1" applyAlignment="1">
      <alignment horizontal="left" vertical="center"/>
    </xf>
    <xf numFmtId="176" fontId="106" fillId="0" borderId="0" xfId="0" applyNumberFormat="1" applyFont="1" applyAlignment="1">
      <alignment horizontal="left" vertical="center"/>
    </xf>
    <xf numFmtId="2" fontId="39" fillId="0" borderId="0" xfId="0" applyNumberFormat="1" applyFont="1" applyAlignment="1">
      <alignment horizontal="left" vertical="center"/>
    </xf>
    <xf numFmtId="175" fontId="35" fillId="0" borderId="17" xfId="0" applyNumberFormat="1" applyFont="1" applyBorder="1" applyAlignment="1">
      <alignment horizontal="left" vertical="center"/>
    </xf>
    <xf numFmtId="175" fontId="118" fillId="0" borderId="17" xfId="0" applyNumberFormat="1" applyFont="1" applyBorder="1" applyAlignment="1">
      <alignment horizontal="left" vertical="center"/>
    </xf>
    <xf numFmtId="0" fontId="210" fillId="0" borderId="0" xfId="0" applyFont="1"/>
    <xf numFmtId="0" fontId="205" fillId="0" borderId="0" xfId="0" applyFont="1" applyBorder="1" applyAlignment="1">
      <alignment vertical="top"/>
    </xf>
    <xf numFmtId="0" fontId="210" fillId="0" borderId="0" xfId="0" applyFont="1" applyBorder="1" applyAlignment="1">
      <alignment vertical="top"/>
    </xf>
    <xf numFmtId="0" fontId="210" fillId="0" borderId="0" xfId="0" applyFont="1" applyBorder="1" applyAlignment="1">
      <alignment vertical="center"/>
    </xf>
    <xf numFmtId="2" fontId="3" fillId="0" borderId="2" xfId="0" applyNumberFormat="1" applyFont="1" applyFill="1" applyBorder="1" applyAlignment="1">
      <alignment horizontal="left" vertical="top" indent="1"/>
    </xf>
    <xf numFmtId="0" fontId="3" fillId="0" borderId="2" xfId="0" applyFont="1" applyFill="1" applyBorder="1" applyAlignment="1">
      <alignment horizontal="left" vertical="top" indent="1"/>
    </xf>
    <xf numFmtId="0" fontId="0" fillId="0" borderId="0" xfId="0" applyFont="1" applyFill="1"/>
    <xf numFmtId="169" fontId="3" fillId="0" borderId="3" xfId="0" applyNumberFormat="1" applyFont="1" applyFill="1" applyBorder="1" applyAlignment="1">
      <alignment horizontal="left" vertical="top" indent="1"/>
    </xf>
    <xf numFmtId="0" fontId="3" fillId="0" borderId="3" xfId="0" applyFont="1" applyFill="1" applyBorder="1" applyAlignment="1">
      <alignment horizontal="left" vertical="top" indent="1"/>
    </xf>
    <xf numFmtId="169" fontId="3" fillId="0" borderId="1" xfId="0" applyNumberFormat="1" applyFont="1" applyFill="1" applyBorder="1" applyAlignment="1">
      <alignment horizontal="left" vertical="top" indent="1"/>
    </xf>
    <xf numFmtId="0" fontId="3" fillId="0" borderId="1" xfId="0" applyFont="1" applyFill="1" applyBorder="1" applyAlignment="1">
      <alignment horizontal="left" vertical="top" indent="1"/>
    </xf>
    <xf numFmtId="0" fontId="3" fillId="0" borderId="0" xfId="0" applyFont="1" applyFill="1" applyBorder="1" applyAlignment="1">
      <alignment horizontal="left" vertical="top" indent="1"/>
    </xf>
    <xf numFmtId="0" fontId="3" fillId="0" borderId="3" xfId="0" applyFont="1" applyFill="1" applyBorder="1" applyAlignment="1">
      <alignment horizontal="left" vertical="top" wrapText="1" indent="1"/>
    </xf>
    <xf numFmtId="169" fontId="3" fillId="0" borderId="4" xfId="0" applyNumberFormat="1" applyFont="1" applyFill="1" applyBorder="1" applyAlignment="1">
      <alignment horizontal="left" vertical="top" indent="1"/>
    </xf>
    <xf numFmtId="169" fontId="3" fillId="0" borderId="5" xfId="0" applyNumberFormat="1" applyFont="1" applyFill="1" applyBorder="1" applyAlignment="1">
      <alignment horizontal="left" vertical="top" indent="1"/>
    </xf>
    <xf numFmtId="165" fontId="3" fillId="0" borderId="1" xfId="0" applyNumberFormat="1" applyFont="1" applyFill="1" applyBorder="1" applyAlignment="1">
      <alignment horizontal="left" vertical="top" indent="1"/>
    </xf>
    <xf numFmtId="0" fontId="215" fillId="3" borderId="0" xfId="0" applyFont="1" applyFill="1" applyAlignment="1">
      <alignment horizontal="left" vertical="center"/>
    </xf>
    <xf numFmtId="168" fontId="62" fillId="13" borderId="0" xfId="0" applyNumberFormat="1" applyFont="1" applyFill="1" applyBorder="1" applyAlignment="1">
      <alignment horizontal="left" vertical="center"/>
    </xf>
    <xf numFmtId="0" fontId="22" fillId="0" borderId="6" xfId="0" applyFont="1" applyFill="1" applyBorder="1" applyAlignment="1">
      <alignment horizontal="right" vertical="center"/>
    </xf>
    <xf numFmtId="0" fontId="82" fillId="2" borderId="6" xfId="0" applyFont="1" applyFill="1" applyBorder="1" applyAlignment="1">
      <alignment horizontal="right" vertical="center"/>
    </xf>
    <xf numFmtId="0" fontId="68" fillId="8" borderId="6" xfId="0" applyFont="1" applyFill="1" applyBorder="1" applyAlignment="1">
      <alignment horizontal="right" vertical="center"/>
    </xf>
    <xf numFmtId="0" fontId="13" fillId="4" borderId="6" xfId="0" applyFont="1" applyFill="1" applyBorder="1" applyAlignment="1">
      <alignment horizontal="right" vertical="center"/>
    </xf>
    <xf numFmtId="167" fontId="13" fillId="4" borderId="0" xfId="0" applyNumberFormat="1" applyFont="1" applyFill="1" applyBorder="1" applyAlignment="1">
      <alignment horizontal="left" vertical="center"/>
    </xf>
    <xf numFmtId="2" fontId="69" fillId="0" borderId="0" xfId="0" applyNumberFormat="1" applyFont="1" applyAlignment="1">
      <alignment horizontal="left" vertical="center" wrapText="1"/>
    </xf>
    <xf numFmtId="0" fontId="221" fillId="0" borderId="0" xfId="0" applyFont="1"/>
    <xf numFmtId="0" fontId="224" fillId="0" borderId="0" xfId="0" applyFont="1"/>
    <xf numFmtId="167" fontId="22" fillId="0" borderId="0" xfId="0" applyNumberFormat="1" applyFont="1" applyFill="1" applyBorder="1" applyAlignment="1">
      <alignment horizontal="left" vertical="center"/>
    </xf>
    <xf numFmtId="0" fontId="13" fillId="0" borderId="0" xfId="0" applyFont="1" applyFill="1" applyBorder="1" applyAlignment="1">
      <alignment horizontal="right" vertical="center"/>
    </xf>
    <xf numFmtId="2" fontId="22" fillId="0" borderId="0" xfId="0" applyNumberFormat="1" applyFont="1" applyFill="1" applyBorder="1" applyAlignment="1">
      <alignment horizontal="left" vertical="center"/>
    </xf>
    <xf numFmtId="12" fontId="204" fillId="0" borderId="6" xfId="0" applyNumberFormat="1" applyFont="1" applyBorder="1" applyAlignment="1">
      <alignment horizontal="left"/>
    </xf>
    <xf numFmtId="0" fontId="106" fillId="0" borderId="6" xfId="0" applyFont="1" applyBorder="1" applyAlignment="1">
      <alignment horizontal="left" vertical="center"/>
    </xf>
    <xf numFmtId="0" fontId="65" fillId="0" borderId="6" xfId="0" applyFont="1" applyBorder="1" applyAlignment="1">
      <alignment horizontal="right"/>
    </xf>
    <xf numFmtId="12" fontId="65" fillId="0" borderId="6" xfId="0" applyNumberFormat="1" applyFont="1" applyBorder="1" applyAlignment="1">
      <alignment horizontal="left"/>
    </xf>
    <xf numFmtId="0" fontId="35" fillId="0" borderId="6" xfId="0" applyFont="1" applyBorder="1" applyAlignment="1">
      <alignment horizontal="left" vertical="center"/>
    </xf>
    <xf numFmtId="0" fontId="204" fillId="0" borderId="7" xfId="0" applyFont="1" applyBorder="1" applyAlignment="1">
      <alignment horizontal="right"/>
    </xf>
    <xf numFmtId="12" fontId="0" fillId="0" borderId="6" xfId="0" applyNumberFormat="1" applyBorder="1" applyAlignment="1">
      <alignment horizontal="center"/>
    </xf>
    <xf numFmtId="0" fontId="0" fillId="4" borderId="6" xfId="0" applyFill="1" applyBorder="1" applyAlignment="1">
      <alignment horizontal="center"/>
    </xf>
    <xf numFmtId="0" fontId="9" fillId="7" borderId="6" xfId="0" applyFont="1" applyFill="1" applyBorder="1" applyAlignment="1">
      <alignment horizontal="center" vertical="top"/>
    </xf>
    <xf numFmtId="0" fontId="241" fillId="0" borderId="0" xfId="0" applyFont="1" applyBorder="1" applyAlignment="1">
      <alignment horizontal="center" vertical="center"/>
    </xf>
    <xf numFmtId="0" fontId="241" fillId="0" borderId="6" xfId="0" applyFont="1" applyBorder="1" applyAlignment="1">
      <alignment horizontal="left" vertical="center"/>
    </xf>
    <xf numFmtId="170" fontId="245" fillId="15" borderId="0" xfId="0" applyNumberFormat="1" applyFont="1" applyFill="1" applyAlignment="1">
      <alignment horizontal="center"/>
    </xf>
    <xf numFmtId="0" fontId="63" fillId="9" borderId="6" xfId="0" applyFont="1" applyFill="1" applyBorder="1" applyAlignment="1">
      <alignment horizontal="left" vertical="center"/>
    </xf>
    <xf numFmtId="0" fontId="252" fillId="0" borderId="0" xfId="0" applyFont="1" applyAlignment="1">
      <alignment horizontal="right" vertical="center"/>
    </xf>
    <xf numFmtId="0" fontId="54" fillId="0" borderId="0" xfId="0" applyFont="1" applyAlignment="1">
      <alignment horizontal="center" vertical="center"/>
    </xf>
    <xf numFmtId="0" fontId="126" fillId="0" borderId="0" xfId="0" applyFont="1" applyAlignment="1">
      <alignment horizontal="left" vertical="center"/>
    </xf>
    <xf numFmtId="2" fontId="28" fillId="0" borderId="0" xfId="0" applyNumberFormat="1" applyFont="1" applyAlignment="1">
      <alignment horizontal="left" vertical="center"/>
    </xf>
    <xf numFmtId="0" fontId="261" fillId="0" borderId="0" xfId="0" applyFont="1" applyFill="1" applyBorder="1" applyAlignment="1">
      <alignment horizontal="right" vertical="center" wrapText="1"/>
    </xf>
    <xf numFmtId="0" fontId="9" fillId="0" borderId="0" xfId="0" applyFont="1" applyAlignment="1">
      <alignment horizontal="left" vertical="center"/>
    </xf>
    <xf numFmtId="0" fontId="262" fillId="0" borderId="0" xfId="0" applyFont="1" applyAlignment="1">
      <alignment horizontal="left" vertical="center"/>
    </xf>
    <xf numFmtId="2" fontId="13" fillId="2" borderId="6" xfId="0" applyNumberFormat="1" applyFont="1" applyFill="1" applyBorder="1" applyAlignment="1">
      <alignment horizontal="center" vertical="center"/>
    </xf>
    <xf numFmtId="2" fontId="13" fillId="8" borderId="6" xfId="0" applyNumberFormat="1" applyFont="1" applyFill="1" applyBorder="1" applyAlignment="1">
      <alignment horizontal="center" vertical="center"/>
    </xf>
    <xf numFmtId="2" fontId="13" fillId="8" borderId="7" xfId="0" applyNumberFormat="1" applyFont="1" applyFill="1" applyBorder="1" applyAlignment="1">
      <alignment horizontal="center" vertical="center"/>
    </xf>
    <xf numFmtId="2" fontId="22" fillId="0" borderId="6" xfId="0" applyNumberFormat="1" applyFont="1" applyFill="1" applyBorder="1" applyAlignment="1">
      <alignment horizontal="center" vertical="center"/>
    </xf>
    <xf numFmtId="2" fontId="22" fillId="0" borderId="7" xfId="0" applyNumberFormat="1" applyFont="1" applyFill="1" applyBorder="1" applyAlignment="1">
      <alignment horizontal="center" vertical="center"/>
    </xf>
    <xf numFmtId="2" fontId="22" fillId="8" borderId="6" xfId="0" applyNumberFormat="1" applyFont="1" applyFill="1" applyBorder="1" applyAlignment="1">
      <alignment horizontal="center" vertical="center"/>
    </xf>
    <xf numFmtId="2" fontId="22" fillId="8" borderId="7" xfId="0" applyNumberFormat="1" applyFont="1" applyFill="1" applyBorder="1" applyAlignment="1">
      <alignment horizontal="center" vertical="center"/>
    </xf>
    <xf numFmtId="170" fontId="245" fillId="15" borderId="0" xfId="0" applyNumberFormat="1" applyFont="1" applyFill="1" applyAlignment="1">
      <alignment horizontal="center"/>
    </xf>
    <xf numFmtId="2" fontId="133" fillId="8" borderId="0" xfId="0" applyNumberFormat="1" applyFont="1" applyFill="1" applyBorder="1" applyAlignment="1">
      <alignment horizontal="center" vertical="center"/>
    </xf>
    <xf numFmtId="0" fontId="77" fillId="8" borderId="0" xfId="0" applyFont="1" applyFill="1" applyAlignment="1">
      <alignment horizontal="left" vertical="center" wrapText="1"/>
    </xf>
    <xf numFmtId="0" fontId="118" fillId="8" borderId="5" xfId="0" applyFont="1" applyFill="1" applyBorder="1" applyAlignment="1">
      <alignment horizontal="center" vertical="center" wrapText="1"/>
    </xf>
    <xf numFmtId="175" fontId="65" fillId="0" borderId="0" xfId="0" applyNumberFormat="1" applyFont="1" applyAlignment="1">
      <alignment horizontal="left" vertical="center"/>
    </xf>
    <xf numFmtId="166" fontId="69" fillId="0" borderId="0" xfId="0" applyNumberFormat="1" applyFont="1" applyAlignment="1">
      <alignment horizontal="left" vertical="center" wrapText="1"/>
    </xf>
    <xf numFmtId="168" fontId="51" fillId="13" borderId="0" xfId="0" applyNumberFormat="1" applyFont="1" applyFill="1" applyBorder="1" applyAlignment="1">
      <alignment horizontal="center" vertical="center"/>
    </xf>
    <xf numFmtId="2" fontId="62" fillId="13" borderId="0" xfId="0" applyNumberFormat="1" applyFont="1" applyFill="1" applyBorder="1" applyAlignment="1">
      <alignment horizontal="center" vertical="center" wrapText="1"/>
    </xf>
    <xf numFmtId="0" fontId="28" fillId="3" borderId="0" xfId="0" applyFont="1" applyFill="1" applyAlignment="1">
      <alignment horizontal="right" vertical="center"/>
    </xf>
    <xf numFmtId="0" fontId="249" fillId="3" borderId="0" xfId="0" applyFont="1" applyFill="1" applyAlignment="1">
      <alignment horizontal="center" vertical="center"/>
    </xf>
    <xf numFmtId="0" fontId="90" fillId="15" borderId="0" xfId="0" applyFont="1" applyFill="1" applyAlignment="1">
      <alignment horizontal="right" vertical="center"/>
    </xf>
    <xf numFmtId="0" fontId="263" fillId="0" borderId="0" xfId="0" applyFont="1" applyFill="1" applyBorder="1" applyAlignment="1">
      <alignment horizontal="center" vertical="center" wrapText="1"/>
    </xf>
    <xf numFmtId="0" fontId="28" fillId="3" borderId="0" xfId="0" applyFont="1" applyFill="1" applyAlignment="1">
      <alignment horizontal="left" vertical="center"/>
    </xf>
    <xf numFmtId="170" fontId="0" fillId="0" borderId="0" xfId="0" applyNumberFormat="1" applyAlignment="1">
      <alignment horizontal="center"/>
    </xf>
    <xf numFmtId="168" fontId="0" fillId="0" borderId="0" xfId="0" applyNumberFormat="1" applyAlignment="1">
      <alignment horizontal="left"/>
    </xf>
    <xf numFmtId="0" fontId="22" fillId="0" borderId="13" xfId="0" applyFont="1" applyFill="1" applyBorder="1" applyAlignment="1">
      <alignment horizontal="right" vertical="center"/>
    </xf>
    <xf numFmtId="0" fontId="22" fillId="0" borderId="10" xfId="0" applyFont="1" applyFill="1" applyBorder="1" applyAlignment="1">
      <alignment horizontal="right" vertical="center"/>
    </xf>
    <xf numFmtId="0" fontId="68" fillId="8" borderId="12" xfId="0" applyFont="1" applyFill="1" applyBorder="1" applyAlignment="1">
      <alignment horizontal="right" vertical="center"/>
    </xf>
    <xf numFmtId="0" fontId="68" fillId="8" borderId="11" xfId="0" applyFont="1" applyFill="1" applyBorder="1" applyAlignment="1">
      <alignment horizontal="right" vertical="center"/>
    </xf>
    <xf numFmtId="0" fontId="13" fillId="4" borderId="12" xfId="0" applyFont="1" applyFill="1" applyBorder="1" applyAlignment="1">
      <alignment horizontal="right" vertical="center"/>
    </xf>
    <xf numFmtId="0" fontId="13" fillId="4" borderId="11" xfId="0" applyFont="1" applyFill="1" applyBorder="1" applyAlignment="1">
      <alignment horizontal="right" vertical="center"/>
    </xf>
    <xf numFmtId="0" fontId="13" fillId="4" borderId="0" xfId="0" applyFont="1" applyFill="1" applyBorder="1" applyAlignment="1">
      <alignment horizontal="right" vertical="center"/>
    </xf>
    <xf numFmtId="0" fontId="22" fillId="0" borderId="19" xfId="0" applyFont="1" applyFill="1" applyBorder="1" applyAlignment="1">
      <alignment horizontal="right" vertical="center"/>
    </xf>
    <xf numFmtId="0" fontId="22" fillId="0" borderId="14" xfId="0" applyFont="1" applyFill="1" applyBorder="1" applyAlignment="1">
      <alignment horizontal="right" vertical="center"/>
    </xf>
    <xf numFmtId="0" fontId="55" fillId="3" borderId="0" xfId="0" applyFont="1" applyFill="1" applyBorder="1" applyAlignment="1">
      <alignment horizontal="center" vertical="center" wrapText="1"/>
    </xf>
    <xf numFmtId="2" fontId="87" fillId="3" borderId="0" xfId="0" applyNumberFormat="1" applyFont="1" applyFill="1" applyBorder="1" applyAlignment="1">
      <alignment horizontal="center" vertical="center" wrapText="1"/>
    </xf>
    <xf numFmtId="2" fontId="62" fillId="13" borderId="0" xfId="0" applyNumberFormat="1" applyFont="1" applyFill="1" applyBorder="1" applyAlignment="1">
      <alignment horizontal="center" vertical="center"/>
    </xf>
    <xf numFmtId="2" fontId="155" fillId="9" borderId="0" xfId="0" applyNumberFormat="1" applyFont="1" applyFill="1" applyBorder="1" applyAlignment="1">
      <alignment horizontal="right" vertical="center" wrapText="1"/>
    </xf>
    <xf numFmtId="2" fontId="155" fillId="9" borderId="5" xfId="0" applyNumberFormat="1" applyFont="1" applyFill="1" applyBorder="1" applyAlignment="1">
      <alignment horizontal="right" vertical="center" wrapText="1"/>
    </xf>
    <xf numFmtId="0" fontId="90" fillId="9" borderId="0" xfId="0" applyFont="1" applyFill="1" applyBorder="1" applyAlignment="1">
      <alignment horizontal="left" wrapText="1"/>
    </xf>
    <xf numFmtId="0" fontId="155" fillId="9" borderId="5" xfId="0" applyFont="1" applyFill="1" applyBorder="1" applyAlignment="1">
      <alignment horizontal="left" wrapText="1"/>
    </xf>
    <xf numFmtId="182" fontId="0" fillId="0" borderId="0" xfId="0" applyNumberFormat="1" applyAlignment="1">
      <alignment horizontal="center"/>
    </xf>
    <xf numFmtId="183" fontId="28" fillId="0" borderId="0" xfId="0" applyNumberFormat="1" applyFont="1" applyFill="1" applyBorder="1" applyAlignment="1">
      <alignment horizontal="left" vertical="center"/>
    </xf>
    <xf numFmtId="0" fontId="55" fillId="0" borderId="0" xfId="0" applyFont="1" applyFill="1" applyAlignment="1">
      <alignment horizontal="left" vertical="center" wrapText="1"/>
    </xf>
    <xf numFmtId="0" fontId="25" fillId="0" borderId="0" xfId="0" applyFont="1" applyFill="1" applyAlignment="1">
      <alignment horizontal="right" vertical="center"/>
    </xf>
    <xf numFmtId="0" fontId="82" fillId="0" borderId="0" xfId="0" applyFont="1" applyFill="1" applyAlignment="1">
      <alignment horizontal="left" vertical="center" wrapText="1"/>
    </xf>
    <xf numFmtId="0" fontId="199" fillId="10" borderId="0" xfId="0" applyFont="1" applyFill="1" applyAlignment="1">
      <alignment horizontal="center" vertical="center"/>
    </xf>
    <xf numFmtId="0" fontId="200" fillId="4" borderId="0" xfId="0" applyFont="1" applyFill="1" applyAlignment="1">
      <alignment horizontal="center" vertical="center"/>
    </xf>
    <xf numFmtId="0" fontId="191" fillId="9" borderId="0" xfId="0" applyFont="1" applyFill="1" applyAlignment="1">
      <alignment horizontal="center" vertical="center"/>
    </xf>
    <xf numFmtId="0" fontId="13" fillId="0" borderId="0" xfId="0" applyFont="1" applyFill="1" applyAlignment="1">
      <alignment horizontal="left" vertical="center" wrapText="1"/>
    </xf>
    <xf numFmtId="0" fontId="22" fillId="0" borderId="0" xfId="0" applyFont="1" applyFill="1" applyAlignment="1">
      <alignment horizontal="right" vertical="center" wrapText="1"/>
    </xf>
    <xf numFmtId="0" fontId="22" fillId="0" borderId="0" xfId="0" applyFont="1" applyFill="1" applyBorder="1" applyAlignment="1">
      <alignment horizontal="right" vertical="center" wrapText="1"/>
    </xf>
    <xf numFmtId="0" fontId="78" fillId="7" borderId="0" xfId="0" applyFont="1" applyFill="1" applyAlignment="1">
      <alignment horizontal="center" vertical="center"/>
    </xf>
    <xf numFmtId="0" fontId="82" fillId="0" borderId="7" xfId="0" applyFont="1" applyBorder="1" applyAlignment="1">
      <alignment horizontal="center" vertical="center"/>
    </xf>
    <xf numFmtId="0" fontId="82" fillId="0" borderId="8" xfId="0" applyFont="1" applyBorder="1" applyAlignment="1">
      <alignment horizontal="center" vertical="center"/>
    </xf>
    <xf numFmtId="0" fontId="82" fillId="0" borderId="9" xfId="0" applyFont="1" applyBorder="1" applyAlignment="1">
      <alignment horizontal="center" vertical="center"/>
    </xf>
    <xf numFmtId="0" fontId="239" fillId="0" borderId="13" xfId="0" applyFont="1" applyBorder="1" applyAlignment="1">
      <alignment horizontal="right" vertical="center" wrapText="1"/>
    </xf>
    <xf numFmtId="0" fontId="239" fillId="0" borderId="4" xfId="0" applyFont="1" applyBorder="1" applyAlignment="1">
      <alignment horizontal="right" vertical="center" wrapText="1"/>
    </xf>
    <xf numFmtId="0" fontId="51" fillId="9" borderId="19" xfId="0" applyFont="1" applyFill="1" applyBorder="1" applyAlignment="1">
      <alignment horizontal="center" vertical="center"/>
    </xf>
    <xf numFmtId="0" fontId="51" fillId="9" borderId="5" xfId="0" applyFont="1" applyFill="1" applyBorder="1" applyAlignment="1">
      <alignment horizontal="center" vertical="center"/>
    </xf>
    <xf numFmtId="0" fontId="51" fillId="9" borderId="7" xfId="0" applyFont="1" applyFill="1" applyBorder="1" applyAlignment="1">
      <alignment horizontal="right" vertical="center"/>
    </xf>
    <xf numFmtId="0" fontId="51" fillId="9" borderId="8" xfId="0" applyFont="1" applyFill="1" applyBorder="1" applyAlignment="1">
      <alignment horizontal="right" vertical="center"/>
    </xf>
    <xf numFmtId="0" fontId="233" fillId="0" borderId="10" xfId="0" applyFont="1" applyBorder="1" applyAlignment="1">
      <alignment horizontal="center" vertical="center"/>
    </xf>
    <xf numFmtId="0" fontId="233" fillId="0" borderId="11" xfId="0" applyFont="1" applyBorder="1" applyAlignment="1">
      <alignment horizontal="center" vertical="center"/>
    </xf>
    <xf numFmtId="0" fontId="233" fillId="0" borderId="14" xfId="0" applyFont="1" applyBorder="1" applyAlignment="1">
      <alignment horizontal="center" vertical="center"/>
    </xf>
    <xf numFmtId="0" fontId="237" fillId="0" borderId="20" xfId="0" applyFont="1" applyBorder="1" applyAlignment="1">
      <alignment horizontal="center" vertical="center"/>
    </xf>
    <xf numFmtId="0" fontId="237" fillId="0" borderId="21" xfId="0" applyFont="1" applyBorder="1" applyAlignment="1">
      <alignment horizontal="center" vertical="center"/>
    </xf>
    <xf numFmtId="0" fontId="237" fillId="0" borderId="22" xfId="0" applyFont="1" applyBorder="1" applyAlignment="1">
      <alignment horizontal="center" vertical="center"/>
    </xf>
    <xf numFmtId="0" fontId="3" fillId="0" borderId="0" xfId="0" applyFont="1" applyBorder="1" applyAlignment="1">
      <alignment horizontal="left" vertical="top"/>
    </xf>
    <xf numFmtId="0" fontId="3" fillId="0" borderId="0" xfId="0" applyFont="1" applyBorder="1" applyAlignment="1">
      <alignment horizontal="left" vertical="top" wrapText="1"/>
    </xf>
    <xf numFmtId="0" fontId="3" fillId="0" borderId="0" xfId="0" applyFont="1" applyBorder="1" applyAlignment="1">
      <alignment horizontal="left" vertical="top" indent="2"/>
    </xf>
    <xf numFmtId="0" fontId="3" fillId="0" borderId="0" xfId="0" applyFont="1" applyBorder="1" applyAlignment="1">
      <alignment vertical="top"/>
    </xf>
    <xf numFmtId="0" fontId="205" fillId="0" borderId="0" xfId="0" applyFont="1" applyAlignment="1">
      <alignment horizontal="right" vertical="center"/>
    </xf>
    <xf numFmtId="0" fontId="3" fillId="0" borderId="0" xfId="0" applyFont="1"/>
    <xf numFmtId="0" fontId="18" fillId="0" borderId="0" xfId="0" applyFont="1" applyAlignment="1">
      <alignment wrapText="1"/>
    </xf>
  </cellXfs>
  <cellStyles count="3">
    <cellStyle name="Обычный" xfId="0" builtinId="0"/>
    <cellStyle name="Обычный 2" xfId="1"/>
    <cellStyle name="Обычный 3" xfId="2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8" Type="http://schemas.openxmlformats.org/officeDocument/2006/relationships/worksheet" Target="worksheets/sheet8.xml"/><Relationship Id="rId3" Type="http://schemas.openxmlformats.org/officeDocument/2006/relationships/worksheet" Target="worksheets/sheet3.xml"/><Relationship Id="rId7" Type="http://schemas.openxmlformats.org/officeDocument/2006/relationships/worksheet" Target="worksheets/sheet7.xml"/><Relationship Id="rId12" Type="http://schemas.openxmlformats.org/officeDocument/2006/relationships/calcChain" Target="calcChain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6" Type="http://schemas.openxmlformats.org/officeDocument/2006/relationships/worksheet" Target="worksheets/sheet6.xml"/><Relationship Id="rId11" Type="http://schemas.openxmlformats.org/officeDocument/2006/relationships/sharedStrings" Target="sharedStrings.xml"/><Relationship Id="rId5" Type="http://schemas.openxmlformats.org/officeDocument/2006/relationships/worksheet" Target="worksheets/sheet5.xml"/><Relationship Id="rId10" Type="http://schemas.openxmlformats.org/officeDocument/2006/relationships/styles" Target="styles.xml"/><Relationship Id="rId4" Type="http://schemas.openxmlformats.org/officeDocument/2006/relationships/worksheet" Target="worksheets/sheet4.xml"/><Relationship Id="rId9" Type="http://schemas.openxmlformats.org/officeDocument/2006/relationships/theme" Target="theme/theme1.xml"/></Relationships>
</file>

<file path=xl/charts/_rels/chart1.xml.rels><?xml version="1.0" encoding="UTF-8" standalone="yes"?>
<Relationships xmlns="http://schemas.openxmlformats.org/package/2006/relationships"><Relationship Id="rId2" Type="http://schemas.microsoft.com/office/2011/relationships/chartColorStyle" Target="colors1.xml"/><Relationship Id="rId1" Type="http://schemas.microsoft.com/office/2011/relationships/chartStyle" Target="style1.xml"/></Relationships>
</file>

<file path=xl/charts/_rels/chart2.xml.rels><?xml version="1.0" encoding="UTF-8" standalone="yes"?>
<Relationships xmlns="http://schemas.openxmlformats.org/package/2006/relationships"><Relationship Id="rId2" Type="http://schemas.microsoft.com/office/2011/relationships/chartColorStyle" Target="colors2.xml"/><Relationship Id="rId1" Type="http://schemas.microsoft.com/office/2011/relationships/chartStyle" Target="style2.xml"/></Relationships>
</file>

<file path=xl/charts/_rels/chart3.xml.rels><?xml version="1.0" encoding="UTF-8" standalone="yes"?>
<Relationships xmlns="http://schemas.openxmlformats.org/package/2006/relationships"><Relationship Id="rId2" Type="http://schemas.microsoft.com/office/2011/relationships/chartColorStyle" Target="colors3.xml"/><Relationship Id="rId1" Type="http://schemas.microsoft.com/office/2011/relationships/chartStyle" Target="style3.xml"/></Relationships>
</file>

<file path=xl/charts/chart1.xml><?xml version="1.0" encoding="utf-8"?>
<c:chartSpace xmlns:c="http://schemas.openxmlformats.org/drawingml/2006/chart" xmlns:a="http://schemas.openxmlformats.org/drawingml/2006/main" xmlns:r="http://schemas.openxmlformats.org/officeDocument/2006/relationships" xmlns:c16r2="http://schemas.microsoft.com/office/drawing/2015/06/chart">
  <c:date1904 val="0"/>
  <c:lang val="ru-RU"/>
  <c:roundedCorners val="0"/>
  <mc:AlternateContent xmlns:mc="http://schemas.openxmlformats.org/markup-compatibility/2006">
    <mc:Choice xmlns:c14="http://schemas.microsoft.com/office/drawing/2007/8/2/chart" Requires="c14">
      <c14:style val="102"/>
    </mc:Choice>
    <mc:Fallback>
      <c:style val="2"/>
    </mc:Fallback>
  </mc:AlternateContent>
  <c:chart>
    <c:autoTitleDeleted val="0"/>
    <c:plotArea>
      <c:layout>
        <c:manualLayout>
          <c:layoutTarget val="inner"/>
          <c:xMode val="edge"/>
          <c:yMode val="edge"/>
          <c:x val="0.14388693853318782"/>
          <c:y val="7.0933053792853695E-2"/>
          <c:w val="0.80965807282914948"/>
          <c:h val="0.79774230746904462"/>
        </c:manualLayout>
      </c:layout>
      <c:scatterChart>
        <c:scatterStyle val="smoothMarker"/>
        <c:varyColors val="0"/>
        <c:ser>
          <c:idx val="0"/>
          <c:order val="0"/>
          <c:spPr>
            <a:ln w="19050" cap="rnd">
              <a:solidFill>
                <a:schemeClr val="accent1"/>
              </a:solidFill>
              <a:round/>
            </a:ln>
            <a:effectLst/>
          </c:spPr>
          <c:marker>
            <c:symbol val="none"/>
          </c:marker>
          <c:xVal>
            <c:numRef>
              <c:f>'AC Curve'!$A$13:$A$73</c:f>
              <c:numCache>
                <c:formatCode>General</c:formatCode>
                <c:ptCount val="61"/>
                <c:pt idx="0">
                  <c:v>0</c:v>
                </c:pt>
                <c:pt idx="1">
                  <c:v>0.02</c:v>
                </c:pt>
                <c:pt idx="2">
                  <c:v>0.04</c:v>
                </c:pt>
                <c:pt idx="3">
                  <c:v>0.06</c:v>
                </c:pt>
                <c:pt idx="4">
                  <c:v>0.08</c:v>
                </c:pt>
                <c:pt idx="5">
                  <c:v>0.1</c:v>
                </c:pt>
                <c:pt idx="6">
                  <c:v>0.12000000000000001</c:v>
                </c:pt>
                <c:pt idx="7">
                  <c:v>0.14000000000000001</c:v>
                </c:pt>
                <c:pt idx="8">
                  <c:v>0.16</c:v>
                </c:pt>
                <c:pt idx="9">
                  <c:v>0.18</c:v>
                </c:pt>
                <c:pt idx="10">
                  <c:v>0.19999999999999998</c:v>
                </c:pt>
                <c:pt idx="11">
                  <c:v>0.21999999999999997</c:v>
                </c:pt>
                <c:pt idx="12">
                  <c:v>0.23999999999999996</c:v>
                </c:pt>
                <c:pt idx="13">
                  <c:v>0.25999999999999995</c:v>
                </c:pt>
                <c:pt idx="14">
                  <c:v>0.27999999999999997</c:v>
                </c:pt>
                <c:pt idx="15">
                  <c:v>0.3</c:v>
                </c:pt>
                <c:pt idx="16">
                  <c:v>0.32</c:v>
                </c:pt>
                <c:pt idx="17">
                  <c:v>0.34</c:v>
                </c:pt>
                <c:pt idx="18">
                  <c:v>0.36000000000000004</c:v>
                </c:pt>
                <c:pt idx="19">
                  <c:v>0.38000000000000006</c:v>
                </c:pt>
                <c:pt idx="20">
                  <c:v>0.40000000000000008</c:v>
                </c:pt>
                <c:pt idx="21">
                  <c:v>0.4200000000000001</c:v>
                </c:pt>
                <c:pt idx="22">
                  <c:v>0.44000000000000011</c:v>
                </c:pt>
                <c:pt idx="23">
                  <c:v>0.46000000000000013</c:v>
                </c:pt>
                <c:pt idx="24">
                  <c:v>0.48000000000000015</c:v>
                </c:pt>
                <c:pt idx="25">
                  <c:v>0.50000000000000011</c:v>
                </c:pt>
                <c:pt idx="26">
                  <c:v>0.60000000000000009</c:v>
                </c:pt>
                <c:pt idx="27">
                  <c:v>0.70000000000000007</c:v>
                </c:pt>
                <c:pt idx="28">
                  <c:v>0.8</c:v>
                </c:pt>
                <c:pt idx="29">
                  <c:v>0.9</c:v>
                </c:pt>
                <c:pt idx="30">
                  <c:v>1</c:v>
                </c:pt>
                <c:pt idx="31">
                  <c:v>1.1000000000000001</c:v>
                </c:pt>
                <c:pt idx="32">
                  <c:v>1.2000000000000002</c:v>
                </c:pt>
                <c:pt idx="33">
                  <c:v>1.3000000000000003</c:v>
                </c:pt>
                <c:pt idx="34">
                  <c:v>1.4000000000000004</c:v>
                </c:pt>
                <c:pt idx="35">
                  <c:v>1.5000000000000004</c:v>
                </c:pt>
                <c:pt idx="36">
                  <c:v>1.6000000000000005</c:v>
                </c:pt>
                <c:pt idx="37">
                  <c:v>1.7000000000000006</c:v>
                </c:pt>
                <c:pt idx="38">
                  <c:v>1.8000000000000007</c:v>
                </c:pt>
                <c:pt idx="39">
                  <c:v>1.9000000000000008</c:v>
                </c:pt>
                <c:pt idx="40">
                  <c:v>2.0000000000000009</c:v>
                </c:pt>
                <c:pt idx="41">
                  <c:v>2.100000000000001</c:v>
                </c:pt>
                <c:pt idx="42">
                  <c:v>2.2000000000000011</c:v>
                </c:pt>
                <c:pt idx="43">
                  <c:v>2.3000000000000012</c:v>
                </c:pt>
                <c:pt idx="44">
                  <c:v>2.4000000000000012</c:v>
                </c:pt>
                <c:pt idx="45">
                  <c:v>2.5000000000000013</c:v>
                </c:pt>
                <c:pt idx="46">
                  <c:v>2.6000000000000014</c:v>
                </c:pt>
                <c:pt idx="47">
                  <c:v>2.7000000000000015</c:v>
                </c:pt>
                <c:pt idx="48">
                  <c:v>2.8000000000000016</c:v>
                </c:pt>
                <c:pt idx="49">
                  <c:v>2.9000000000000017</c:v>
                </c:pt>
                <c:pt idx="50">
                  <c:v>3.0000000000000018</c:v>
                </c:pt>
                <c:pt idx="51">
                  <c:v>3.1000000000000019</c:v>
                </c:pt>
                <c:pt idx="52">
                  <c:v>3.200000000000002</c:v>
                </c:pt>
                <c:pt idx="53">
                  <c:v>3.300000000000002</c:v>
                </c:pt>
                <c:pt idx="54">
                  <c:v>3.4000000000000021</c:v>
                </c:pt>
                <c:pt idx="55">
                  <c:v>3.5000000000000022</c:v>
                </c:pt>
                <c:pt idx="56">
                  <c:v>3.6000000000000023</c:v>
                </c:pt>
                <c:pt idx="57">
                  <c:v>3.7000000000000024</c:v>
                </c:pt>
                <c:pt idx="58">
                  <c:v>3.8000000000000025</c:v>
                </c:pt>
                <c:pt idx="59">
                  <c:v>3.9000000000000026</c:v>
                </c:pt>
                <c:pt idx="60">
                  <c:v>4.0000000000000027</c:v>
                </c:pt>
              </c:numCache>
            </c:numRef>
          </c:xVal>
          <c:yVal>
            <c:numRef>
              <c:f>'AC Curve'!$G$13:$G$73</c:f>
              <c:numCache>
                <c:formatCode>0.00</c:formatCode>
                <c:ptCount val="61"/>
                <c:pt idx="0">
                  <c:v>113.06416715912366</c:v>
                </c:pt>
                <c:pt idx="1">
                  <c:v>115.64580249372121</c:v>
                </c:pt>
                <c:pt idx="2">
                  <c:v>116.76936855718516</c:v>
                </c:pt>
                <c:pt idx="3">
                  <c:v>117.65304631599723</c:v>
                </c:pt>
                <c:pt idx="4">
                  <c:v>118.41254924694249</c:v>
                </c:pt>
                <c:pt idx="5">
                  <c:v>119.09269811192333</c:v>
                </c:pt>
                <c:pt idx="6">
                  <c:v>119.716479785696</c:v>
                </c:pt>
                <c:pt idx="7">
                  <c:v>120.29754956089302</c:v>
                </c:pt>
                <c:pt idx="8">
                  <c:v>120.84480463845826</c:v>
                </c:pt>
                <c:pt idx="9">
                  <c:v>121.36442505073674</c:v>
                </c:pt>
                <c:pt idx="10">
                  <c:v>121.86091045288467</c:v>
                </c:pt>
                <c:pt idx="11">
                  <c:v>122.33765772953792</c:v>
                </c:pt>
                <c:pt idx="12">
                  <c:v>122.79730592871839</c:v>
                </c:pt>
                <c:pt idx="13">
                  <c:v>123.24195375198833</c:v>
                </c:pt>
                <c:pt idx="14">
                  <c:v>123.6733028227267</c:v>
                </c:pt>
                <c:pt idx="15">
                  <c:v>124.09275552605344</c:v>
                </c:pt>
                <c:pt idx="16">
                  <c:v>124.50148387606598</c:v>
                </c:pt>
                <c:pt idx="17">
                  <c:v>124.90047925365538</c:v>
                </c:pt>
                <c:pt idx="18">
                  <c:v>125.29058913432897</c:v>
                </c:pt>
                <c:pt idx="19">
                  <c:v>125.67254473830633</c:v>
                </c:pt>
                <c:pt idx="20">
                  <c:v>126.04698220325466</c:v>
                </c:pt>
                <c:pt idx="21">
                  <c:v>126.41445904302989</c:v>
                </c:pt>
                <c:pt idx="22">
                  <c:v>126.77546711506533</c:v>
                </c:pt>
                <c:pt idx="23">
                  <c:v>127.13044296107047</c:v>
                </c:pt>
                <c:pt idx="24">
                  <c:v>127.47977614347496</c:v>
                </c:pt>
                <c:pt idx="25">
                  <c:v>127.82381603290463</c:v>
                </c:pt>
                <c:pt idx="26">
                  <c:v>129.47465944128533</c:v>
                </c:pt>
                <c:pt idx="27">
                  <c:v>131.030048214668</c:v>
                </c:pt>
                <c:pt idx="28">
                  <c:v>132.50987835721759</c:v>
                </c:pt>
                <c:pt idx="29">
                  <c:v>133.92796985350699</c:v>
                </c:pt>
                <c:pt idx="30">
                  <c:v>135.29438507565666</c:v>
                </c:pt>
                <c:pt idx="31">
                  <c:v>136.61672039634388</c:v>
                </c:pt>
                <c:pt idx="32">
                  <c:v>137.90087751482477</c:v>
                </c:pt>
                <c:pt idx="33">
                  <c:v>139.15154980094479</c:v>
                </c:pt>
                <c:pt idx="34">
                  <c:v>140.37254266811397</c:v>
                </c:pt>
                <c:pt idx="35">
                  <c:v>141.5669923614648</c:v>
                </c:pt>
                <c:pt idx="36">
                  <c:v>142.73751995838165</c:v>
                </c:pt>
                <c:pt idx="37">
                  <c:v>143.88634259240419</c:v>
                </c:pt>
                <c:pt idx="38">
                  <c:v>145.01535558448134</c:v>
                </c:pt>
                <c:pt idx="39">
                  <c:v>146.1261942747538</c:v>
                </c:pt>
                <c:pt idx="40">
                  <c:v>147.22028136971448</c:v>
                </c:pt>
                <c:pt idx="41">
                  <c:v>148.29886374793918</c:v>
                </c:pt>
                <c:pt idx="42">
                  <c:v>149.36304145843022</c:v>
                </c:pt>
                <c:pt idx="43">
                  <c:v>150.41379084511962</c:v>
                </c:pt>
                <c:pt idx="44">
                  <c:v>151.4519831894138</c:v>
                </c:pt>
                <c:pt idx="45">
                  <c:v>152.47839988889163</c:v>
                </c:pt>
                <c:pt idx="46">
                  <c:v>153.49374492773268</c:v>
                </c:pt>
                <c:pt idx="47">
                  <c:v>154.49865520706754</c:v>
                </c:pt>
                <c:pt idx="48">
                  <c:v>155.49370916771426</c:v>
                </c:pt>
                <c:pt idx="49">
                  <c:v>156.4794340381282</c:v>
                </c:pt>
                <c:pt idx="50">
                  <c:v>157.45631196634102</c:v>
                </c:pt>
                <c:pt idx="51">
                  <c:v>158.42478523899405</c:v>
                </c:pt>
                <c:pt idx="52">
                  <c:v>159.3852607482826</c:v>
                </c:pt>
                <c:pt idx="53">
                  <c:v>160.33811383518201</c:v>
                </c:pt>
                <c:pt idx="54">
                  <c:v>161.28369161220661</c:v>
                </c:pt>
                <c:pt idx="55">
                  <c:v>162.2223158493432</c:v>
                </c:pt>
                <c:pt idx="56">
                  <c:v>163.15428549136206</c:v>
                </c:pt>
                <c:pt idx="57">
                  <c:v>164.07987886247125</c:v>
                </c:pt>
                <c:pt idx="58">
                  <c:v>164.99935560450615</c:v>
                </c:pt>
                <c:pt idx="59">
                  <c:v>165.91295838699159</c:v>
                </c:pt>
                <c:pt idx="60">
                  <c:v>166.82091442106156</c:v>
                </c:pt>
              </c:numCache>
            </c:numRef>
          </c:yVal>
          <c:smooth val="1"/>
          <c:extLst>
            <c:ext xmlns:c16="http://schemas.microsoft.com/office/drawing/2014/chart" uri="{C3380CC4-5D6E-409C-BE32-E72D297353CC}">
              <c16:uniqueId val="{00000000-6F00-4DFB-8D46-41ACDBD6FC08}"/>
            </c:ext>
          </c:extLst>
        </c:ser>
        <c:dLbls>
          <c:showLegendKey val="0"/>
          <c:showVal val="0"/>
          <c:showCatName val="0"/>
          <c:showSerName val="0"/>
          <c:showPercent val="0"/>
          <c:showBubbleSize val="0"/>
        </c:dLbls>
        <c:axId val="146857096"/>
        <c:axId val="148769856"/>
      </c:scatterChart>
      <c:valAx>
        <c:axId val="146857096"/>
        <c:scaling>
          <c:orientation val="minMax"/>
          <c:max val="4"/>
        </c:scaling>
        <c:delete val="0"/>
        <c:axPos val="b"/>
        <c:majorGridlines>
          <c:spPr>
            <a:ln w="9525" cap="flat" cmpd="sng" algn="ctr">
              <a:solidFill>
                <a:schemeClr val="tx1">
                  <a:lumMod val="15000"/>
                  <a:lumOff val="85000"/>
                </a:schemeClr>
              </a:solidFill>
              <a:round/>
            </a:ln>
            <a:effectLst/>
          </c:spPr>
        </c:majorGridlines>
        <c:minorGridlines>
          <c:spPr>
            <a:ln w="9525" cap="flat" cmpd="sng" algn="ctr">
              <a:solidFill>
                <a:schemeClr val="tx1">
                  <a:lumMod val="5000"/>
                  <a:lumOff val="95000"/>
                </a:schemeClr>
              </a:solidFill>
              <a:round/>
            </a:ln>
            <a:effectLst/>
          </c:spPr>
        </c:minorGridlines>
        <c:title>
          <c:tx>
            <c:rich>
              <a:bodyPr rot="0" spcFirstLastPara="1" vertOverflow="ellipsis" vert="horz" wrap="square" anchor="ctr" anchorCtr="1"/>
              <a:lstStyle/>
              <a:p>
                <a:pPr>
                  <a:defRPr sz="1000" b="0" i="0" u="none" strike="noStrike" kern="1200" baseline="0">
                    <a:solidFill>
                      <a:schemeClr val="tx1">
                        <a:lumMod val="65000"/>
                        <a:lumOff val="35000"/>
                      </a:schemeClr>
                    </a:solidFill>
                    <a:latin typeface="+mn-lt"/>
                    <a:ea typeface="+mn-ea"/>
                    <a:cs typeface="+mn-cs"/>
                  </a:defRPr>
                </a:pPr>
                <a:r>
                  <a:rPr lang="en-US">
                    <a:solidFill>
                      <a:schemeClr val="tx2"/>
                    </a:solidFill>
                  </a:rPr>
                  <a:t>Magnetic field (T)</a:t>
                </a:r>
                <a:endParaRPr lang="ru-RU">
                  <a:solidFill>
                    <a:schemeClr val="tx2"/>
                  </a:solidFill>
                </a:endParaRPr>
              </a:p>
            </c:rich>
          </c:tx>
          <c:layout/>
          <c:overlay val="0"/>
          <c:spPr>
            <a:noFill/>
            <a:ln>
              <a:noFill/>
            </a:ln>
            <a:effectLst/>
          </c:spPr>
          <c:txPr>
            <a:bodyPr rot="0" spcFirstLastPara="1" vertOverflow="ellipsis" vert="horz" wrap="square" anchor="ctr" anchorCtr="1"/>
            <a:lstStyle/>
            <a:p>
              <a:pPr>
                <a:defRPr sz="1000" b="0" i="0" u="none" strike="noStrike" kern="1200" baseline="0">
                  <a:solidFill>
                    <a:schemeClr val="tx1">
                      <a:lumMod val="65000"/>
                      <a:lumOff val="35000"/>
                    </a:schemeClr>
                  </a:solidFill>
                  <a:latin typeface="+mn-lt"/>
                  <a:ea typeface="+mn-ea"/>
                  <a:cs typeface="+mn-cs"/>
                </a:defRPr>
              </a:pPr>
              <a:endParaRPr lang="en-US"/>
            </a:p>
          </c:txPr>
        </c:title>
        <c:numFmt formatCode="General" sourceLinked="1"/>
        <c:majorTickMark val="in"/>
        <c:minorTickMark val="in"/>
        <c:tickLblPos val="nextTo"/>
        <c:spPr>
          <a:noFill/>
          <a:ln w="9525" cap="flat" cmpd="sng" algn="ctr">
            <a:solidFill>
              <a:schemeClr val="tx2"/>
            </a:solidFill>
            <a:round/>
          </a:ln>
          <a:effectLst/>
        </c:spPr>
        <c:txPr>
          <a:bodyPr rot="-60000000" spcFirstLastPara="1" vertOverflow="ellipsis" vert="horz" wrap="square" anchor="ctr" anchorCtr="1"/>
          <a:lstStyle/>
          <a:p>
            <a:pPr>
              <a:defRPr sz="900" b="0" i="0" u="none" strike="noStrike" kern="1200" baseline="0">
                <a:solidFill>
                  <a:schemeClr val="tx1">
                    <a:lumMod val="65000"/>
                    <a:lumOff val="35000"/>
                  </a:schemeClr>
                </a:solidFill>
                <a:latin typeface="+mn-lt"/>
                <a:ea typeface="+mn-ea"/>
                <a:cs typeface="+mn-cs"/>
              </a:defRPr>
            </a:pPr>
            <a:endParaRPr lang="en-US"/>
          </a:p>
        </c:txPr>
        <c:crossAx val="148769856"/>
        <c:crosses val="autoZero"/>
        <c:crossBetween val="midCat"/>
      </c:valAx>
      <c:valAx>
        <c:axId val="148769856"/>
        <c:scaling>
          <c:orientation val="minMax"/>
          <c:max val="167"/>
          <c:min val="110"/>
        </c:scaling>
        <c:delete val="0"/>
        <c:axPos val="l"/>
        <c:majorGridlines>
          <c:spPr>
            <a:ln w="9525" cap="flat" cmpd="sng" algn="ctr">
              <a:solidFill>
                <a:schemeClr val="tx1">
                  <a:lumMod val="15000"/>
                  <a:lumOff val="85000"/>
                </a:schemeClr>
              </a:solidFill>
              <a:round/>
            </a:ln>
            <a:effectLst/>
          </c:spPr>
        </c:majorGridlines>
        <c:minorGridlines>
          <c:spPr>
            <a:ln w="9525" cap="flat" cmpd="sng" algn="ctr">
              <a:solidFill>
                <a:schemeClr val="tx1">
                  <a:lumMod val="5000"/>
                  <a:lumOff val="95000"/>
                </a:schemeClr>
              </a:solidFill>
              <a:round/>
            </a:ln>
            <a:effectLst/>
          </c:spPr>
        </c:minorGridlines>
        <c:title>
          <c:tx>
            <c:rich>
              <a:bodyPr rot="-5400000" spcFirstLastPara="1" vertOverflow="ellipsis" vert="horz" wrap="square" anchor="ctr" anchorCtr="1"/>
              <a:lstStyle/>
              <a:p>
                <a:pPr>
                  <a:defRPr sz="1000" b="0" i="0" u="none" strike="noStrike" kern="1200" baseline="0">
                    <a:solidFill>
                      <a:schemeClr val="tx1">
                        <a:lumMod val="65000"/>
                        <a:lumOff val="35000"/>
                      </a:schemeClr>
                    </a:solidFill>
                    <a:latin typeface="+mn-lt"/>
                    <a:ea typeface="+mn-ea"/>
                    <a:cs typeface="+mn-cs"/>
                  </a:defRPr>
                </a:pPr>
                <a:r>
                  <a:rPr lang="en-US"/>
                  <a:t>Curie</a:t>
                </a:r>
                <a:r>
                  <a:rPr lang="en-US" baseline="0"/>
                  <a:t> point (T)</a:t>
                </a:r>
                <a:endParaRPr lang="ru-RU"/>
              </a:p>
            </c:rich>
          </c:tx>
          <c:layout/>
          <c:overlay val="0"/>
          <c:spPr>
            <a:noFill/>
            <a:ln>
              <a:noFill/>
            </a:ln>
            <a:effectLst/>
          </c:spPr>
          <c:txPr>
            <a:bodyPr rot="-5400000" spcFirstLastPara="1" vertOverflow="ellipsis" vert="horz" wrap="square" anchor="ctr" anchorCtr="1"/>
            <a:lstStyle/>
            <a:p>
              <a:pPr>
                <a:defRPr sz="1000" b="0" i="0" u="none" strike="noStrike" kern="1200" baseline="0">
                  <a:solidFill>
                    <a:schemeClr val="tx1">
                      <a:lumMod val="65000"/>
                      <a:lumOff val="35000"/>
                    </a:schemeClr>
                  </a:solidFill>
                  <a:latin typeface="+mn-lt"/>
                  <a:ea typeface="+mn-ea"/>
                  <a:cs typeface="+mn-cs"/>
                </a:defRPr>
              </a:pPr>
              <a:endParaRPr lang="en-US"/>
            </a:p>
          </c:txPr>
        </c:title>
        <c:numFmt formatCode="0" sourceLinked="0"/>
        <c:majorTickMark val="in"/>
        <c:minorTickMark val="in"/>
        <c:tickLblPos val="nextTo"/>
        <c:spPr>
          <a:noFill/>
          <a:ln w="9525" cap="flat" cmpd="sng" algn="ctr">
            <a:solidFill>
              <a:srgbClr val="0070C0"/>
            </a:solidFill>
            <a:round/>
          </a:ln>
          <a:effectLst/>
        </c:spPr>
        <c:txPr>
          <a:bodyPr rot="-60000000" spcFirstLastPara="1" vertOverflow="ellipsis" vert="horz" wrap="square" anchor="ctr" anchorCtr="1"/>
          <a:lstStyle/>
          <a:p>
            <a:pPr>
              <a:defRPr sz="900" b="0" i="0" u="none" strike="noStrike" kern="1200" baseline="0">
                <a:solidFill>
                  <a:schemeClr val="tx1">
                    <a:lumMod val="65000"/>
                    <a:lumOff val="35000"/>
                  </a:schemeClr>
                </a:solidFill>
                <a:latin typeface="+mn-lt"/>
                <a:ea typeface="+mn-ea"/>
                <a:cs typeface="+mn-cs"/>
              </a:defRPr>
            </a:pPr>
            <a:endParaRPr lang="en-US"/>
          </a:p>
        </c:txPr>
        <c:crossAx val="146857096"/>
        <c:crosses val="autoZero"/>
        <c:crossBetween val="midCat"/>
      </c:valAx>
      <c:spPr>
        <a:noFill/>
        <a:ln>
          <a:noFill/>
        </a:ln>
        <a:effectLst/>
      </c:spPr>
    </c:plotArea>
    <c:plotVisOnly val="1"/>
    <c:dispBlanksAs val="gap"/>
    <c:showDLblsOverMax val="0"/>
  </c:chart>
  <c:spPr>
    <a:solidFill>
      <a:schemeClr val="bg1"/>
    </a:solidFill>
    <a:ln w="9525" cap="flat" cmpd="sng" algn="ctr">
      <a:solidFill>
        <a:schemeClr val="tx1">
          <a:lumMod val="15000"/>
          <a:lumOff val="85000"/>
        </a:schemeClr>
      </a:solidFill>
      <a:round/>
    </a:ln>
    <a:effectLst/>
  </c:spPr>
  <c:txPr>
    <a:bodyPr/>
    <a:lstStyle/>
    <a:p>
      <a:pPr>
        <a:defRPr/>
      </a:pPr>
      <a:endParaRPr lang="en-US"/>
    </a:p>
  </c:txPr>
  <c:printSettings>
    <c:headerFooter/>
    <c:pageMargins b="0.75" l="0.7" r="0.7" t="0.75" header="0.3" footer="0.3"/>
    <c:pageSetup/>
  </c:printSettings>
</c:chartSpace>
</file>

<file path=xl/charts/chart2.xml><?xml version="1.0" encoding="utf-8"?>
<c:chartSpace xmlns:c="http://schemas.openxmlformats.org/drawingml/2006/chart" xmlns:a="http://schemas.openxmlformats.org/drawingml/2006/main" xmlns:r="http://schemas.openxmlformats.org/officeDocument/2006/relationships" xmlns:c16r2="http://schemas.microsoft.com/office/drawing/2015/06/chart">
  <c:date1904 val="0"/>
  <c:lang val="ru-RU"/>
  <c:roundedCorners val="0"/>
  <mc:AlternateContent xmlns:mc="http://schemas.openxmlformats.org/markup-compatibility/2006">
    <mc:Choice xmlns:c14="http://schemas.microsoft.com/office/drawing/2007/8/2/chart" Requires="c14">
      <c14:style val="102"/>
    </mc:Choice>
    <mc:Fallback>
      <c:style val="2"/>
    </mc:Fallback>
  </mc:AlternateContent>
  <c:chart>
    <c:autoTitleDeleted val="1"/>
    <c:plotArea>
      <c:layout/>
      <c:scatterChart>
        <c:scatterStyle val="smoothMarker"/>
        <c:varyColors val="0"/>
        <c:ser>
          <c:idx val="0"/>
          <c:order val="0"/>
          <c:spPr>
            <a:ln w="19050" cap="rnd">
              <a:solidFill>
                <a:srgbClr val="FF0000"/>
              </a:solidFill>
              <a:round/>
            </a:ln>
            <a:effectLst/>
          </c:spPr>
          <c:marker>
            <c:symbol val="none"/>
          </c:marker>
          <c:xVal>
            <c:numRef>
              <c:f>'BC Line'!$A$13:$A$53</c:f>
              <c:numCache>
                <c:formatCode>0.0</c:formatCode>
                <c:ptCount val="38"/>
                <c:pt idx="0">
                  <c:v>0</c:v>
                </c:pt>
                <c:pt idx="1">
                  <c:v>0.1</c:v>
                </c:pt>
                <c:pt idx="2">
                  <c:v>0.2</c:v>
                </c:pt>
                <c:pt idx="3">
                  <c:v>0.30000000000000004</c:v>
                </c:pt>
                <c:pt idx="4">
                  <c:v>0.4</c:v>
                </c:pt>
                <c:pt idx="5">
                  <c:v>0.5</c:v>
                </c:pt>
                <c:pt idx="6">
                  <c:v>0.6</c:v>
                </c:pt>
                <c:pt idx="7">
                  <c:v>0.7</c:v>
                </c:pt>
                <c:pt idx="8">
                  <c:v>0.79999999999999993</c:v>
                </c:pt>
                <c:pt idx="9">
                  <c:v>0.89999999999999991</c:v>
                </c:pt>
                <c:pt idx="10">
                  <c:v>0.99999999999999989</c:v>
                </c:pt>
                <c:pt idx="11">
                  <c:v>1.0999999999999999</c:v>
                </c:pt>
                <c:pt idx="12">
                  <c:v>1.2</c:v>
                </c:pt>
                <c:pt idx="13">
                  <c:v>1.3</c:v>
                </c:pt>
                <c:pt idx="14">
                  <c:v>1.4000000000000001</c:v>
                </c:pt>
                <c:pt idx="15">
                  <c:v>1.5000000000000002</c:v>
                </c:pt>
                <c:pt idx="16">
                  <c:v>1.6000000000000003</c:v>
                </c:pt>
                <c:pt idx="17">
                  <c:v>1.7000000000000004</c:v>
                </c:pt>
                <c:pt idx="18">
                  <c:v>1.8000000000000005</c:v>
                </c:pt>
                <c:pt idx="19">
                  <c:v>1.9000000000000006</c:v>
                </c:pt>
                <c:pt idx="20">
                  <c:v>2.0000000000000004</c:v>
                </c:pt>
                <c:pt idx="21">
                  <c:v>2.1000000000000005</c:v>
                </c:pt>
                <c:pt idx="22">
                  <c:v>2.2000000000000006</c:v>
                </c:pt>
                <c:pt idx="23">
                  <c:v>2.3000000000000007</c:v>
                </c:pt>
                <c:pt idx="24">
                  <c:v>2.4000000000000008</c:v>
                </c:pt>
                <c:pt idx="25">
                  <c:v>2.5000000000000009</c:v>
                </c:pt>
                <c:pt idx="26">
                  <c:v>2.600000000000001</c:v>
                </c:pt>
                <c:pt idx="27">
                  <c:v>2.7000000000000011</c:v>
                </c:pt>
                <c:pt idx="28">
                  <c:v>2.8000000000000012</c:v>
                </c:pt>
                <c:pt idx="29">
                  <c:v>2.9000000000000012</c:v>
                </c:pt>
                <c:pt idx="30">
                  <c:v>3.0000000000000013</c:v>
                </c:pt>
                <c:pt idx="31">
                  <c:v>3.1000000000000014</c:v>
                </c:pt>
                <c:pt idx="32">
                  <c:v>3.2000000000000015</c:v>
                </c:pt>
                <c:pt idx="33">
                  <c:v>3.3000000000000016</c:v>
                </c:pt>
                <c:pt idx="34">
                  <c:v>3.4000000000000017</c:v>
                </c:pt>
                <c:pt idx="35">
                  <c:v>3.800000000000002</c:v>
                </c:pt>
                <c:pt idx="36">
                  <c:v>3.9000000000000021</c:v>
                </c:pt>
                <c:pt idx="37">
                  <c:v>4.0000000000000018</c:v>
                </c:pt>
              </c:numCache>
            </c:numRef>
          </c:xVal>
          <c:yVal>
            <c:numRef>
              <c:f>'BC Line'!$H$13:$H$53</c:f>
              <c:numCache>
                <c:formatCode>0.00</c:formatCode>
                <c:ptCount val="38"/>
                <c:pt idx="0">
                  <c:v>130.07457744843774</c:v>
                </c:pt>
                <c:pt idx="1">
                  <c:v>131.01448267413818</c:v>
                </c:pt>
                <c:pt idx="2">
                  <c:v>131.95551738824432</c:v>
                </c:pt>
                <c:pt idx="3">
                  <c:v>132.89768127974224</c:v>
                </c:pt>
                <c:pt idx="4">
                  <c:v>133.84097403761803</c:v>
                </c:pt>
                <c:pt idx="5">
                  <c:v>134.78539535085758</c:v>
                </c:pt>
                <c:pt idx="6">
                  <c:v>135.73094490844696</c:v>
                </c:pt>
                <c:pt idx="7">
                  <c:v>136.67762239937221</c:v>
                </c:pt>
                <c:pt idx="8">
                  <c:v>137.62542751261938</c:v>
                </c:pt>
                <c:pt idx="9">
                  <c:v>138.57435993717445</c:v>
                </c:pt>
                <c:pt idx="10">
                  <c:v>139.52441936202342</c:v>
                </c:pt>
                <c:pt idx="11">
                  <c:v>140.47560547615237</c:v>
                </c:pt>
                <c:pt idx="12">
                  <c:v>141.42791796854726</c:v>
                </c:pt>
                <c:pt idx="13">
                  <c:v>142.3813565281942</c:v>
                </c:pt>
                <c:pt idx="14">
                  <c:v>143.33592084407914</c:v>
                </c:pt>
                <c:pt idx="15">
                  <c:v>144.29161060518817</c:v>
                </c:pt>
                <c:pt idx="16">
                  <c:v>145.24842550050724</c:v>
                </c:pt>
                <c:pt idx="17">
                  <c:v>146.20636521902242</c:v>
                </c:pt>
                <c:pt idx="18">
                  <c:v>147.16542944971962</c:v>
                </c:pt>
                <c:pt idx="19">
                  <c:v>148.12561788158504</c:v>
                </c:pt>
                <c:pt idx="20">
                  <c:v>149.08693020360266</c:v>
                </c:pt>
                <c:pt idx="21">
                  <c:v>150.04936610476437</c:v>
                </c:pt>
                <c:pt idx="22">
                  <c:v>151.01292527404834</c:v>
                </c:pt>
                <c:pt idx="23">
                  <c:v>151.97760740044848</c:v>
                </c:pt>
                <c:pt idx="24">
                  <c:v>152.94341217294294</c:v>
                </c:pt>
                <c:pt idx="25">
                  <c:v>153.91033928052565</c:v>
                </c:pt>
                <c:pt idx="26">
                  <c:v>154.87838841217462</c:v>
                </c:pt>
                <c:pt idx="27">
                  <c:v>155.84755925688194</c:v>
                </c:pt>
                <c:pt idx="28">
                  <c:v>156.8178515036316</c:v>
                </c:pt>
                <c:pt idx="29">
                  <c:v>157.78926484140965</c:v>
                </c:pt>
                <c:pt idx="30">
                  <c:v>158.76179895920404</c:v>
                </c:pt>
                <c:pt idx="31">
                  <c:v>159.73545354599483</c:v>
                </c:pt>
                <c:pt idx="32">
                  <c:v>160.71022829077606</c:v>
                </c:pt>
                <c:pt idx="33">
                  <c:v>161.68612288252575</c:v>
                </c:pt>
                <c:pt idx="34">
                  <c:v>162.66313701023594</c:v>
                </c:pt>
                <c:pt idx="35">
                  <c:v>166.58238266038177</c:v>
                </c:pt>
                <c:pt idx="36">
                  <c:v>167.56498980267466</c:v>
                </c:pt>
                <c:pt idx="37">
                  <c:v>168.5487146148422</c:v>
                </c:pt>
              </c:numCache>
            </c:numRef>
          </c:yVal>
          <c:smooth val="1"/>
          <c:extLst>
            <c:ext xmlns:c16="http://schemas.microsoft.com/office/drawing/2014/chart" uri="{C3380CC4-5D6E-409C-BE32-E72D297353CC}">
              <c16:uniqueId val="{00000000-3220-40E7-8D90-31B4F379DF72}"/>
            </c:ext>
          </c:extLst>
        </c:ser>
        <c:dLbls>
          <c:showLegendKey val="0"/>
          <c:showVal val="0"/>
          <c:showCatName val="0"/>
          <c:showSerName val="0"/>
          <c:showPercent val="0"/>
          <c:showBubbleSize val="0"/>
        </c:dLbls>
        <c:axId val="147067312"/>
        <c:axId val="147067704"/>
      </c:scatterChart>
      <c:valAx>
        <c:axId val="147067312"/>
        <c:scaling>
          <c:orientation val="minMax"/>
          <c:max val="4"/>
          <c:min val="0"/>
        </c:scaling>
        <c:delete val="0"/>
        <c:axPos val="b"/>
        <c:majorGridlines>
          <c:spPr>
            <a:ln w="9525" cap="flat" cmpd="sng" algn="ctr">
              <a:solidFill>
                <a:schemeClr val="tx1">
                  <a:lumMod val="15000"/>
                  <a:lumOff val="85000"/>
                </a:schemeClr>
              </a:solidFill>
              <a:round/>
            </a:ln>
            <a:effectLst/>
          </c:spPr>
        </c:majorGridlines>
        <c:minorGridlines>
          <c:spPr>
            <a:ln w="9525" cap="flat" cmpd="sng" algn="ctr">
              <a:solidFill>
                <a:schemeClr val="tx1">
                  <a:lumMod val="5000"/>
                  <a:lumOff val="95000"/>
                </a:schemeClr>
              </a:solidFill>
              <a:round/>
            </a:ln>
            <a:effectLst/>
          </c:spPr>
        </c:minorGridlines>
        <c:title>
          <c:tx>
            <c:rich>
              <a:bodyPr rot="0" spcFirstLastPara="1" vertOverflow="ellipsis" vert="horz" wrap="square" anchor="ctr" anchorCtr="1"/>
              <a:lstStyle/>
              <a:p>
                <a:pPr>
                  <a:defRPr sz="1000" b="0" i="0" u="none" strike="noStrike" kern="1200" baseline="0">
                    <a:solidFill>
                      <a:schemeClr val="tx1">
                        <a:lumMod val="65000"/>
                        <a:lumOff val="35000"/>
                      </a:schemeClr>
                    </a:solidFill>
                    <a:latin typeface="+mn-lt"/>
                    <a:ea typeface="+mn-ea"/>
                    <a:cs typeface="+mn-cs"/>
                  </a:defRPr>
                </a:pPr>
                <a:r>
                  <a:rPr lang="en-US"/>
                  <a:t>Magnetic field</a:t>
                </a:r>
                <a:r>
                  <a:rPr lang="en-US" baseline="0"/>
                  <a:t> (</a:t>
                </a:r>
                <a:r>
                  <a:rPr lang="en-US"/>
                  <a:t>T)</a:t>
                </a:r>
                <a:endParaRPr lang="ru-RU"/>
              </a:p>
            </c:rich>
          </c:tx>
          <c:layout>
            <c:manualLayout>
              <c:xMode val="edge"/>
              <c:yMode val="edge"/>
              <c:x val="0.48227406961608976"/>
              <c:y val="0.86853161319067762"/>
            </c:manualLayout>
          </c:layout>
          <c:overlay val="0"/>
          <c:spPr>
            <a:noFill/>
            <a:ln>
              <a:noFill/>
            </a:ln>
            <a:effectLst/>
          </c:spPr>
          <c:txPr>
            <a:bodyPr rot="0" spcFirstLastPara="1" vertOverflow="ellipsis" vert="horz" wrap="square" anchor="ctr" anchorCtr="1"/>
            <a:lstStyle/>
            <a:p>
              <a:pPr>
                <a:defRPr sz="1000" b="0" i="0" u="none" strike="noStrike" kern="1200" baseline="0">
                  <a:solidFill>
                    <a:schemeClr val="tx1">
                      <a:lumMod val="65000"/>
                      <a:lumOff val="35000"/>
                    </a:schemeClr>
                  </a:solidFill>
                  <a:latin typeface="+mn-lt"/>
                  <a:ea typeface="+mn-ea"/>
                  <a:cs typeface="+mn-cs"/>
                </a:defRPr>
              </a:pPr>
              <a:endParaRPr lang="en-US"/>
            </a:p>
          </c:txPr>
        </c:title>
        <c:numFmt formatCode="#,##0.0" sourceLinked="0"/>
        <c:majorTickMark val="in"/>
        <c:minorTickMark val="in"/>
        <c:tickLblPos val="nextTo"/>
        <c:spPr>
          <a:noFill/>
          <a:ln w="9525" cap="flat" cmpd="sng" algn="ctr">
            <a:solidFill>
              <a:srgbClr val="FF0000"/>
            </a:solidFill>
            <a:round/>
          </a:ln>
          <a:effectLst/>
        </c:spPr>
        <c:txPr>
          <a:bodyPr rot="-60000000" spcFirstLastPara="1" vertOverflow="ellipsis" vert="horz" wrap="square" anchor="ctr" anchorCtr="1"/>
          <a:lstStyle/>
          <a:p>
            <a:pPr>
              <a:defRPr sz="900" b="0" i="0" u="none" strike="noStrike" kern="1200" baseline="0">
                <a:solidFill>
                  <a:schemeClr val="tx1">
                    <a:lumMod val="65000"/>
                    <a:lumOff val="35000"/>
                  </a:schemeClr>
                </a:solidFill>
                <a:latin typeface="+mn-lt"/>
                <a:ea typeface="+mn-ea"/>
                <a:cs typeface="+mn-cs"/>
              </a:defRPr>
            </a:pPr>
            <a:endParaRPr lang="en-US"/>
          </a:p>
        </c:txPr>
        <c:crossAx val="147067704"/>
        <c:crossesAt val="130"/>
        <c:crossBetween val="midCat"/>
      </c:valAx>
      <c:valAx>
        <c:axId val="147067704"/>
        <c:scaling>
          <c:orientation val="minMax"/>
          <c:max val="168.55"/>
          <c:min val="130"/>
        </c:scaling>
        <c:delete val="0"/>
        <c:axPos val="l"/>
        <c:majorGridlines>
          <c:spPr>
            <a:ln w="9525" cap="flat" cmpd="sng" algn="ctr">
              <a:solidFill>
                <a:schemeClr val="tx1">
                  <a:lumMod val="15000"/>
                  <a:lumOff val="85000"/>
                </a:schemeClr>
              </a:solidFill>
              <a:round/>
            </a:ln>
            <a:effectLst/>
          </c:spPr>
        </c:majorGridlines>
        <c:minorGridlines>
          <c:spPr>
            <a:ln w="9525" cap="flat" cmpd="sng" algn="ctr">
              <a:solidFill>
                <a:schemeClr val="tx1">
                  <a:lumMod val="5000"/>
                  <a:lumOff val="95000"/>
                </a:schemeClr>
              </a:solidFill>
              <a:round/>
            </a:ln>
            <a:effectLst/>
          </c:spPr>
        </c:minorGridlines>
        <c:title>
          <c:tx>
            <c:rich>
              <a:bodyPr rot="-5400000" spcFirstLastPara="1" vertOverflow="ellipsis" vert="horz" wrap="square" anchor="ctr" anchorCtr="1"/>
              <a:lstStyle/>
              <a:p>
                <a:pPr>
                  <a:defRPr sz="1000" b="0" i="0" u="none" strike="noStrike" kern="1200" baseline="0">
                    <a:solidFill>
                      <a:schemeClr val="tx1">
                        <a:lumMod val="65000"/>
                        <a:lumOff val="35000"/>
                      </a:schemeClr>
                    </a:solidFill>
                    <a:latin typeface="+mn-lt"/>
                    <a:ea typeface="+mn-ea"/>
                    <a:cs typeface="+mn-cs"/>
                  </a:defRPr>
                </a:pPr>
                <a:r>
                  <a:rPr lang="en-US" sz="1000" b="1" i="0" u="none" strike="noStrike" baseline="0">
                    <a:effectLst/>
                  </a:rPr>
                  <a:t>Curie point (K)</a:t>
                </a:r>
              </a:p>
            </c:rich>
          </c:tx>
          <c:layout>
            <c:manualLayout>
              <c:xMode val="edge"/>
              <c:yMode val="edge"/>
              <c:x val="2.9458873007933765E-2"/>
              <c:y val="0.23209514091524797"/>
            </c:manualLayout>
          </c:layout>
          <c:overlay val="0"/>
          <c:spPr>
            <a:noFill/>
            <a:ln>
              <a:noFill/>
            </a:ln>
            <a:effectLst/>
          </c:spPr>
          <c:txPr>
            <a:bodyPr rot="-5400000" spcFirstLastPara="1" vertOverflow="ellipsis" vert="horz" wrap="square" anchor="ctr" anchorCtr="1"/>
            <a:lstStyle/>
            <a:p>
              <a:pPr>
                <a:defRPr sz="1000" b="0" i="0" u="none" strike="noStrike" kern="1200" baseline="0">
                  <a:solidFill>
                    <a:schemeClr val="tx1">
                      <a:lumMod val="65000"/>
                      <a:lumOff val="35000"/>
                    </a:schemeClr>
                  </a:solidFill>
                  <a:latin typeface="+mn-lt"/>
                  <a:ea typeface="+mn-ea"/>
                  <a:cs typeface="+mn-cs"/>
                </a:defRPr>
              </a:pPr>
              <a:endParaRPr lang="en-US"/>
            </a:p>
          </c:txPr>
        </c:title>
        <c:numFmt formatCode="#,##0" sourceLinked="0"/>
        <c:majorTickMark val="in"/>
        <c:minorTickMark val="in"/>
        <c:tickLblPos val="nextTo"/>
        <c:spPr>
          <a:noFill/>
          <a:ln w="9525" cap="flat" cmpd="sng" algn="ctr">
            <a:solidFill>
              <a:srgbClr val="FF0000"/>
            </a:solidFill>
            <a:round/>
          </a:ln>
          <a:effectLst/>
        </c:spPr>
        <c:txPr>
          <a:bodyPr rot="-60000000" spcFirstLastPara="1" vertOverflow="ellipsis" vert="horz" wrap="square" anchor="ctr" anchorCtr="1"/>
          <a:lstStyle/>
          <a:p>
            <a:pPr>
              <a:defRPr sz="900" b="0" i="0" u="none" strike="noStrike" kern="1200" baseline="0">
                <a:solidFill>
                  <a:schemeClr val="tx1">
                    <a:lumMod val="65000"/>
                    <a:lumOff val="35000"/>
                  </a:schemeClr>
                </a:solidFill>
                <a:latin typeface="+mn-lt"/>
                <a:ea typeface="+mn-ea"/>
                <a:cs typeface="+mn-cs"/>
              </a:defRPr>
            </a:pPr>
            <a:endParaRPr lang="en-US"/>
          </a:p>
        </c:txPr>
        <c:crossAx val="147067312"/>
        <c:crosses val="autoZero"/>
        <c:crossBetween val="midCat"/>
        <c:majorUnit val="10"/>
      </c:valAx>
      <c:spPr>
        <a:noFill/>
        <a:ln>
          <a:noFill/>
        </a:ln>
        <a:effectLst/>
      </c:spPr>
    </c:plotArea>
    <c:plotVisOnly val="1"/>
    <c:dispBlanksAs val="gap"/>
    <c:showDLblsOverMax val="0"/>
  </c:chart>
  <c:spPr>
    <a:solidFill>
      <a:schemeClr val="accent5">
        <a:lumMod val="20000"/>
        <a:lumOff val="80000"/>
      </a:schemeClr>
    </a:solidFill>
    <a:ln w="25400" cap="flat" cmpd="sng" algn="ctr">
      <a:solidFill>
        <a:srgbClr val="7030A0"/>
      </a:solidFill>
      <a:round/>
    </a:ln>
    <a:effectLst/>
  </c:spPr>
  <c:txPr>
    <a:bodyPr/>
    <a:lstStyle/>
    <a:p>
      <a:pPr>
        <a:defRPr/>
      </a:pPr>
      <a:endParaRPr lang="en-US"/>
    </a:p>
  </c:txPr>
  <c:printSettings>
    <c:headerFooter/>
    <c:pageMargins b="0.75" l="0.7" r="0.7" t="0.75" header="0.3" footer="0.3"/>
    <c:pageSetup/>
  </c:printSettings>
</c:chartSpace>
</file>

<file path=xl/charts/chart3.xml><?xml version="1.0" encoding="utf-8"?>
<c:chartSpace xmlns:c="http://schemas.openxmlformats.org/drawingml/2006/chart" xmlns:a="http://schemas.openxmlformats.org/drawingml/2006/main" xmlns:r="http://schemas.openxmlformats.org/officeDocument/2006/relationships" xmlns:c16r2="http://schemas.microsoft.com/office/drawing/2015/06/chart">
  <c:date1904 val="0"/>
  <c:lang val="ru-RU"/>
  <c:roundedCorners val="0"/>
  <mc:AlternateContent xmlns:mc="http://schemas.openxmlformats.org/markup-compatibility/2006">
    <mc:Choice xmlns:c14="http://schemas.microsoft.com/office/drawing/2007/8/2/chart" Requires="c14">
      <c14:style val="102"/>
    </mc:Choice>
    <mc:Fallback>
      <c:style val="2"/>
    </mc:Fallback>
  </mc:AlternateContent>
  <c:chart>
    <c:autoTitleDeleted val="0"/>
    <c:plotArea>
      <c:layout>
        <c:manualLayout>
          <c:layoutTarget val="inner"/>
          <c:xMode val="edge"/>
          <c:yMode val="edge"/>
          <c:x val="5.1605757109563305E-2"/>
          <c:y val="0.13745816365987729"/>
          <c:w val="0.89481400019785984"/>
          <c:h val="0.86187298666563739"/>
        </c:manualLayout>
      </c:layout>
      <c:scatterChart>
        <c:scatterStyle val="smoothMarker"/>
        <c:varyColors val="0"/>
        <c:ser>
          <c:idx val="0"/>
          <c:order val="0"/>
          <c:spPr>
            <a:ln w="41275" cap="rnd">
              <a:solidFill>
                <a:srgbClr val="7030A0">
                  <a:alpha val="59000"/>
                </a:srgbClr>
              </a:solidFill>
              <a:prstDash val="solid"/>
              <a:round/>
            </a:ln>
            <a:effectLst/>
          </c:spPr>
          <c:marker>
            <c:symbol val="none"/>
          </c:marker>
          <c:xVal>
            <c:numRef>
              <c:f>'Tc(P)'!$A$10:$A$42</c:f>
              <c:numCache>
                <c:formatCode>#,##0.00</c:formatCode>
                <c:ptCount val="33"/>
                <c:pt idx="0">
                  <c:v>0.01</c:v>
                </c:pt>
                <c:pt idx="1">
                  <c:v>0.1</c:v>
                </c:pt>
                <c:pt idx="2">
                  <c:v>0.2</c:v>
                </c:pt>
                <c:pt idx="3">
                  <c:v>0.30000000000000004</c:v>
                </c:pt>
                <c:pt idx="4">
                  <c:v>0.4</c:v>
                </c:pt>
                <c:pt idx="5">
                  <c:v>0.5</c:v>
                </c:pt>
                <c:pt idx="6">
                  <c:v>0.6</c:v>
                </c:pt>
                <c:pt idx="7">
                  <c:v>0.7</c:v>
                </c:pt>
                <c:pt idx="8">
                  <c:v>0.79999999999999993</c:v>
                </c:pt>
                <c:pt idx="9">
                  <c:v>0.89999999999999991</c:v>
                </c:pt>
                <c:pt idx="10">
                  <c:v>0.99999999999999989</c:v>
                </c:pt>
                <c:pt idx="11">
                  <c:v>1.0999999999999999</c:v>
                </c:pt>
                <c:pt idx="12">
                  <c:v>1.2</c:v>
                </c:pt>
                <c:pt idx="13">
                  <c:v>1.3</c:v>
                </c:pt>
                <c:pt idx="14">
                  <c:v>1.4000000000000001</c:v>
                </c:pt>
                <c:pt idx="15">
                  <c:v>1.5000000000000002</c:v>
                </c:pt>
                <c:pt idx="16">
                  <c:v>1.6000000000000003</c:v>
                </c:pt>
                <c:pt idx="17">
                  <c:v>1.7000000000000004</c:v>
                </c:pt>
                <c:pt idx="18">
                  <c:v>1.8000000000000005</c:v>
                </c:pt>
                <c:pt idx="19">
                  <c:v>1.9000000000000006</c:v>
                </c:pt>
                <c:pt idx="20">
                  <c:v>2.0000000000000004</c:v>
                </c:pt>
                <c:pt idx="21">
                  <c:v>2.1000000000000005</c:v>
                </c:pt>
                <c:pt idx="22">
                  <c:v>2.2000000000000006</c:v>
                </c:pt>
                <c:pt idx="23">
                  <c:v>2.3000000000000007</c:v>
                </c:pt>
                <c:pt idx="24">
                  <c:v>2.4000000000000008</c:v>
                </c:pt>
                <c:pt idx="25">
                  <c:v>2.5000000000000009</c:v>
                </c:pt>
                <c:pt idx="26">
                  <c:v>2.600000000000001</c:v>
                </c:pt>
                <c:pt idx="27">
                  <c:v>2.7000000000000011</c:v>
                </c:pt>
                <c:pt idx="28">
                  <c:v>2.8000000000000012</c:v>
                </c:pt>
                <c:pt idx="29">
                  <c:v>2.9000000000000012</c:v>
                </c:pt>
                <c:pt idx="30">
                  <c:v>3.0000000000000013</c:v>
                </c:pt>
                <c:pt idx="31">
                  <c:v>3.1000000000000014</c:v>
                </c:pt>
                <c:pt idx="32">
                  <c:v>3.2000000000000015</c:v>
                </c:pt>
              </c:numCache>
            </c:numRef>
          </c:xVal>
          <c:yVal>
            <c:numRef>
              <c:f>'Tc(P)'!$E$10:$E$42</c:f>
              <c:numCache>
                <c:formatCode>0.0000</c:formatCode>
                <c:ptCount val="33"/>
                <c:pt idx="0">
                  <c:v>130.97193122866437</c:v>
                </c:pt>
                <c:pt idx="1">
                  <c:v>134.96575171515872</c:v>
                </c:pt>
                <c:pt idx="2">
                  <c:v>138.12083306918501</c:v>
                </c:pt>
                <c:pt idx="3">
                  <c:v>140.82776001440664</c:v>
                </c:pt>
                <c:pt idx="4">
                  <c:v>143.28202749534947</c:v>
                </c:pt>
                <c:pt idx="5">
                  <c:v>145.56611380040766</c:v>
                </c:pt>
                <c:pt idx="6">
                  <c:v>147.72470187544658</c:v>
                </c:pt>
                <c:pt idx="7">
                  <c:v>149.78543213975072</c:v>
                </c:pt>
                <c:pt idx="8">
                  <c:v>151.76689932813906</c:v>
                </c:pt>
                <c:pt idx="9">
                  <c:v>153.6823639757055</c:v>
                </c:pt>
                <c:pt idx="10">
                  <c:v>155.54169846664891</c:v>
                </c:pt>
                <c:pt idx="11">
                  <c:v>157.35250031663674</c:v>
                </c:pt>
                <c:pt idx="12">
                  <c:v>159.12077232225326</c:v>
                </c:pt>
                <c:pt idx="13">
                  <c:v>160.85136005837811</c:v>
                </c:pt>
                <c:pt idx="14">
                  <c:v>162.5482452285631</c:v>
                </c:pt>
                <c:pt idx="15">
                  <c:v>164.21474921545939</c:v>
                </c:pt>
                <c:pt idx="16">
                  <c:v>165.85367844006598</c:v>
                </c:pt>
                <c:pt idx="17">
                  <c:v>167.46743073903764</c:v>
                </c:pt>
                <c:pt idx="18">
                  <c:v>169.05807487586361</c:v>
                </c:pt>
                <c:pt idx="19">
                  <c:v>170.62741107531164</c:v>
                </c:pt>
                <c:pt idx="20">
                  <c:v>172.17701786260929</c:v>
                </c:pt>
                <c:pt idx="21">
                  <c:v>173.70828882983358</c:v>
                </c:pt>
                <c:pt idx="22">
                  <c:v>175.22246186796801</c:v>
                </c:pt>
                <c:pt idx="23">
                  <c:v>176.72064267778504</c:v>
                </c:pt>
                <c:pt idx="24">
                  <c:v>178.20382387702304</c:v>
                </c:pt>
                <c:pt idx="25">
                  <c:v>179.67290067606058</c:v>
                </c:pt>
                <c:pt idx="26">
                  <c:v>181.12868384962869</c:v>
                </c:pt>
                <c:pt idx="27">
                  <c:v>182.5719105560008</c:v>
                </c:pt>
                <c:pt idx="28">
                  <c:v>184.00325342653343</c:v>
                </c:pt>
                <c:pt idx="29">
                  <c:v>185.42332825333452</c:v>
                </c:pt>
                <c:pt idx="30">
                  <c:v>186.83270053164594</c:v>
                </c:pt>
                <c:pt idx="31">
                  <c:v>188.23189105964332</c:v>
                </c:pt>
                <c:pt idx="32">
                  <c:v>189.62138075715129</c:v>
                </c:pt>
              </c:numCache>
            </c:numRef>
          </c:yVal>
          <c:smooth val="1"/>
          <c:extLst>
            <c:ext xmlns:c16="http://schemas.microsoft.com/office/drawing/2014/chart" uri="{C3380CC4-5D6E-409C-BE32-E72D297353CC}">
              <c16:uniqueId val="{00000000-4AFD-4F3B-B039-773A23981249}"/>
            </c:ext>
          </c:extLst>
        </c:ser>
        <c:dLbls>
          <c:showLegendKey val="0"/>
          <c:showVal val="0"/>
          <c:showCatName val="0"/>
          <c:showSerName val="0"/>
          <c:showPercent val="0"/>
          <c:showBubbleSize val="0"/>
        </c:dLbls>
        <c:axId val="146857096"/>
        <c:axId val="148769856"/>
      </c:scatterChart>
      <c:valAx>
        <c:axId val="146857096"/>
        <c:scaling>
          <c:orientation val="minMax"/>
          <c:max val="6"/>
          <c:min val="0"/>
        </c:scaling>
        <c:delete val="1"/>
        <c:axPos val="b"/>
        <c:numFmt formatCode="#,##0.00" sourceLinked="1"/>
        <c:majorTickMark val="out"/>
        <c:minorTickMark val="none"/>
        <c:tickLblPos val="nextTo"/>
        <c:crossAx val="148769856"/>
        <c:crosses val="autoZero"/>
        <c:crossBetween val="midCat"/>
      </c:valAx>
      <c:valAx>
        <c:axId val="148769856"/>
        <c:scaling>
          <c:orientation val="minMax"/>
          <c:max val="220"/>
          <c:min val="130"/>
        </c:scaling>
        <c:delete val="1"/>
        <c:axPos val="l"/>
        <c:numFmt formatCode="0.0000" sourceLinked="1"/>
        <c:majorTickMark val="out"/>
        <c:minorTickMark val="none"/>
        <c:tickLblPos val="nextTo"/>
        <c:crossAx val="146857096"/>
        <c:crosses val="autoZero"/>
        <c:crossBetween val="midCat"/>
      </c:valAx>
      <c:spPr>
        <a:solidFill>
          <a:srgbClr val="92D050">
            <a:alpha val="31000"/>
          </a:srgbClr>
        </a:solidFill>
        <a:ln>
          <a:noFill/>
        </a:ln>
        <a:effectLst/>
      </c:spPr>
    </c:plotArea>
    <c:plotVisOnly val="1"/>
    <c:dispBlanksAs val="gap"/>
    <c:showDLblsOverMax val="0"/>
  </c:chart>
  <c:spPr>
    <a:noFill/>
    <a:ln w="9525" cap="flat" cmpd="sng" algn="ctr">
      <a:solidFill>
        <a:schemeClr val="tx1">
          <a:lumMod val="15000"/>
          <a:lumOff val="85000"/>
        </a:schemeClr>
      </a:solidFill>
      <a:round/>
    </a:ln>
    <a:effectLst/>
  </c:spPr>
  <c:txPr>
    <a:bodyPr/>
    <a:lstStyle/>
    <a:p>
      <a:pPr>
        <a:defRPr/>
      </a:pPr>
      <a:endParaRPr lang="en-US"/>
    </a:p>
  </c:txPr>
  <c:printSettings>
    <c:headerFooter/>
    <c:pageMargins b="0.75" l="0.7" r="0.7" t="0.75" header="0.3" footer="0.3"/>
    <c:pageSetup/>
  </c:printSettings>
</c:chartSpace>
</file>

<file path=xl/charts/colors1.xml><?xml version="1.0" encoding="utf-8"?>
<cs:colorStyle xmlns:cs="http://schemas.microsoft.com/office/drawing/2012/chartStyle" xmlns:a="http://schemas.openxmlformats.org/drawingml/2006/main" meth="cycle" id="10">
  <a:schemeClr val="accent1"/>
  <a:schemeClr val="accent2"/>
  <a:schemeClr val="accent3"/>
  <a:schemeClr val="accent4"/>
  <a:schemeClr val="accent5"/>
  <a:schemeClr val="accent6"/>
  <cs:variation/>
  <cs:variation>
    <a:lumMod val="60000"/>
  </cs:variation>
  <cs:variation>
    <a:lumMod val="80000"/>
    <a:lumOff val="20000"/>
  </cs:variation>
  <cs:variation>
    <a:lumMod val="80000"/>
  </cs:variation>
  <cs:variation>
    <a:lumMod val="60000"/>
    <a:lumOff val="40000"/>
  </cs:variation>
  <cs:variation>
    <a:lumMod val="50000"/>
  </cs:variation>
  <cs:variation>
    <a:lumMod val="70000"/>
    <a:lumOff val="30000"/>
  </cs:variation>
  <cs:variation>
    <a:lumMod val="70000"/>
  </cs:variation>
  <cs:variation>
    <a:lumMod val="50000"/>
    <a:lumOff val="50000"/>
  </cs:variation>
</cs:colorStyle>
</file>

<file path=xl/charts/colors2.xml><?xml version="1.0" encoding="utf-8"?>
<cs:colorStyle xmlns:cs="http://schemas.microsoft.com/office/drawing/2012/chartStyle" xmlns:a="http://schemas.openxmlformats.org/drawingml/2006/main" meth="cycle" id="10">
  <a:schemeClr val="accent1"/>
  <a:schemeClr val="accent2"/>
  <a:schemeClr val="accent3"/>
  <a:schemeClr val="accent4"/>
  <a:schemeClr val="accent5"/>
  <a:schemeClr val="accent6"/>
  <cs:variation/>
  <cs:variation>
    <a:lumMod val="60000"/>
  </cs:variation>
  <cs:variation>
    <a:lumMod val="80000"/>
    <a:lumOff val="20000"/>
  </cs:variation>
  <cs:variation>
    <a:lumMod val="80000"/>
  </cs:variation>
  <cs:variation>
    <a:lumMod val="60000"/>
    <a:lumOff val="40000"/>
  </cs:variation>
  <cs:variation>
    <a:lumMod val="50000"/>
  </cs:variation>
  <cs:variation>
    <a:lumMod val="70000"/>
    <a:lumOff val="30000"/>
  </cs:variation>
  <cs:variation>
    <a:lumMod val="70000"/>
  </cs:variation>
  <cs:variation>
    <a:lumMod val="50000"/>
    <a:lumOff val="50000"/>
  </cs:variation>
</cs:colorStyle>
</file>

<file path=xl/charts/colors3.xml><?xml version="1.0" encoding="utf-8"?>
<cs:colorStyle xmlns:cs="http://schemas.microsoft.com/office/drawing/2012/chartStyle" xmlns:a="http://schemas.openxmlformats.org/drawingml/2006/main" meth="cycle" id="10">
  <a:schemeClr val="accent1"/>
  <a:schemeClr val="accent2"/>
  <a:schemeClr val="accent3"/>
  <a:schemeClr val="accent4"/>
  <a:schemeClr val="accent5"/>
  <a:schemeClr val="accent6"/>
  <cs:variation/>
  <cs:variation>
    <a:lumMod val="60000"/>
  </cs:variation>
  <cs:variation>
    <a:lumMod val="80000"/>
    <a:lumOff val="20000"/>
  </cs:variation>
  <cs:variation>
    <a:lumMod val="80000"/>
  </cs:variation>
  <cs:variation>
    <a:lumMod val="60000"/>
    <a:lumOff val="40000"/>
  </cs:variation>
  <cs:variation>
    <a:lumMod val="50000"/>
  </cs:variation>
  <cs:variation>
    <a:lumMod val="70000"/>
    <a:lumOff val="30000"/>
  </cs:variation>
  <cs:variation>
    <a:lumMod val="70000"/>
  </cs:variation>
  <cs:variation>
    <a:lumMod val="50000"/>
    <a:lumOff val="50000"/>
  </cs:variation>
</cs:colorStyle>
</file>

<file path=xl/charts/style1.xml><?xml version="1.0" encoding="utf-8"?>
<cs:chartStyle xmlns:cs="http://schemas.microsoft.com/office/drawing/2012/chartStyle" xmlns:a="http://schemas.openxmlformats.org/drawingml/2006/main" id="240">
  <cs:axisTitle>
    <cs:lnRef idx="0"/>
    <cs:fillRef idx="0"/>
    <cs:effectRef idx="0"/>
    <cs:fontRef idx="minor">
      <a:schemeClr val="tx1">
        <a:lumMod val="65000"/>
        <a:lumOff val="35000"/>
      </a:schemeClr>
    </cs:fontRef>
    <cs:defRPr sz="1000" kern="1200"/>
  </cs:axisTitle>
  <cs:categoryAxis>
    <cs:lnRef idx="0"/>
    <cs:fillRef idx="0"/>
    <cs:effectRef idx="0"/>
    <cs:fontRef idx="minor">
      <a:schemeClr val="tx1">
        <a:lumMod val="65000"/>
        <a:lumOff val="35000"/>
      </a:schemeClr>
    </cs:fontRef>
    <cs:spPr>
      <a:ln w="9525" cap="flat" cmpd="sng" algn="ctr">
        <a:solidFill>
          <a:schemeClr val="tx1">
            <a:lumMod val="25000"/>
            <a:lumOff val="75000"/>
          </a:schemeClr>
        </a:solidFill>
        <a:round/>
      </a:ln>
    </cs:spPr>
    <cs:defRPr sz="900" kern="1200"/>
  </cs:categoryAxis>
  <cs:chartArea mods="allowNoFillOverride allowNoLineOverride">
    <cs:lnRef idx="0"/>
    <cs:fillRef idx="0"/>
    <cs:effectRef idx="0"/>
    <cs:fontRef idx="minor">
      <a:schemeClr val="tx1"/>
    </cs:fontRef>
    <cs:spPr>
      <a:solidFill>
        <a:schemeClr val="bg1"/>
      </a:solidFill>
      <a:ln w="9525" cap="flat" cmpd="sng" algn="ctr">
        <a:solidFill>
          <a:schemeClr val="tx1">
            <a:lumMod val="15000"/>
            <a:lumOff val="85000"/>
          </a:schemeClr>
        </a:solidFill>
        <a:round/>
      </a:ln>
    </cs:spPr>
    <cs:defRPr sz="1000" kern="1200"/>
  </cs:chartArea>
  <cs:dataLabel>
    <cs:lnRef idx="0"/>
    <cs:fillRef idx="0"/>
    <cs:effectRef idx="0"/>
    <cs:fontRef idx="minor">
      <a:schemeClr val="tx1">
        <a:lumMod val="75000"/>
        <a:lumOff val="25000"/>
      </a:schemeClr>
    </cs:fontRef>
    <cs:defRPr sz="900" kern="1200"/>
  </cs:dataLabel>
  <cs:dataLabelCallout>
    <cs:lnRef idx="0"/>
    <cs:fillRef idx="0"/>
    <cs:effectRef idx="0"/>
    <cs:fontRef idx="minor">
      <a:schemeClr val="dk1">
        <a:lumMod val="65000"/>
        <a:lumOff val="35000"/>
      </a:schemeClr>
    </cs:fontRef>
    <cs:spPr>
      <a:solidFill>
        <a:schemeClr val="lt1"/>
      </a:solidFill>
      <a:ln>
        <a:solidFill>
          <a:schemeClr val="dk1">
            <a:lumMod val="25000"/>
            <a:lumOff val="75000"/>
          </a:schemeClr>
        </a:solidFill>
      </a:ln>
    </cs:spPr>
    <cs:defRPr sz="900" kern="1200"/>
    <cs:bodyPr rot="0" spcFirstLastPara="1" vertOverflow="clip" horzOverflow="clip" vert="horz" wrap="square" lIns="36576" tIns="18288" rIns="36576" bIns="18288" anchor="ctr" anchorCtr="1">
      <a:spAutoFit/>
    </cs:bodyPr>
  </cs:dataLabelCallout>
  <cs:dataPoint>
    <cs:lnRef idx="0"/>
    <cs:fillRef idx="1">
      <cs:styleClr val="auto"/>
    </cs:fillRef>
    <cs:effectRef idx="0"/>
    <cs:fontRef idx="minor">
      <a:schemeClr val="tx1"/>
    </cs:fontRef>
  </cs:dataPoint>
  <cs:dataPoint3D>
    <cs:lnRef idx="0"/>
    <cs:fillRef idx="1">
      <cs:styleClr val="auto"/>
    </cs:fillRef>
    <cs:effectRef idx="0"/>
    <cs:fontRef idx="minor">
      <a:schemeClr val="tx1"/>
    </cs:fontRef>
  </cs:dataPoint3D>
  <cs:dataPointLine>
    <cs:lnRef idx="0">
      <cs:styleClr val="auto"/>
    </cs:lnRef>
    <cs:fillRef idx="1"/>
    <cs:effectRef idx="0"/>
    <cs:fontRef idx="minor">
      <a:schemeClr val="tx1"/>
    </cs:fontRef>
    <cs:spPr>
      <a:ln w="19050" cap="rnd">
        <a:solidFill>
          <a:schemeClr val="phClr"/>
        </a:solidFill>
        <a:round/>
      </a:ln>
    </cs:spPr>
  </cs:dataPointLine>
  <cs:dataPointMarker>
    <cs:lnRef idx="0">
      <cs:styleClr val="auto"/>
    </cs:lnRef>
    <cs:fillRef idx="1">
      <cs:styleClr val="auto"/>
    </cs:fillRef>
    <cs:effectRef idx="0"/>
    <cs:fontRef idx="minor">
      <a:schemeClr val="tx1"/>
    </cs:fontRef>
    <cs:spPr>
      <a:ln w="9525">
        <a:solidFill>
          <a:schemeClr val="phClr"/>
        </a:solidFill>
      </a:ln>
    </cs:spPr>
  </cs:dataPointMarker>
  <cs:dataPointMarkerLayout symbol="circle" size="5"/>
  <cs:dataPointWireframe>
    <cs:lnRef idx="0">
      <cs:styleClr val="auto"/>
    </cs:lnRef>
    <cs:fillRef idx="0"/>
    <cs:effectRef idx="0"/>
    <cs:fontRef idx="minor">
      <a:schemeClr val="dk1"/>
    </cs:fontRef>
    <cs:spPr>
      <a:ln w="9525" cap="rnd">
        <a:solidFill>
          <a:schemeClr val="phClr"/>
        </a:solidFill>
        <a:round/>
      </a:ln>
    </cs:spPr>
  </cs:dataPointWireframe>
  <cs:dataTable>
    <cs:lnRef idx="0"/>
    <cs:fillRef idx="0"/>
    <cs:effectRef idx="0"/>
    <cs:fontRef idx="minor">
      <a:schemeClr val="tx1">
        <a:lumMod val="65000"/>
        <a:lumOff val="35000"/>
      </a:schemeClr>
    </cs:fontRef>
    <cs:spPr>
      <a:noFill/>
      <a:ln w="9525" cap="flat" cmpd="sng" algn="ctr">
        <a:solidFill>
          <a:schemeClr val="tx1">
            <a:lumMod val="15000"/>
            <a:lumOff val="85000"/>
          </a:schemeClr>
        </a:solidFill>
        <a:round/>
      </a:ln>
    </cs:spPr>
    <cs:defRPr sz="900" kern="1200"/>
  </cs:dataTable>
  <cs:downBar>
    <cs:lnRef idx="0"/>
    <cs:fillRef idx="0"/>
    <cs:effectRef idx="0"/>
    <cs:fontRef idx="minor">
      <a:schemeClr val="tx1"/>
    </cs:fontRef>
    <cs:spPr>
      <a:solidFill>
        <a:schemeClr val="dk1">
          <a:lumMod val="75000"/>
          <a:lumOff val="25000"/>
        </a:schemeClr>
      </a:solidFill>
      <a:ln w="9525" cap="flat" cmpd="sng" algn="ctr">
        <a:solidFill>
          <a:schemeClr val="tx1">
            <a:lumMod val="65000"/>
            <a:lumOff val="35000"/>
          </a:schemeClr>
        </a:solidFill>
        <a:round/>
      </a:ln>
    </cs:spPr>
  </cs:downBar>
  <cs:dropLine>
    <cs:lnRef idx="0"/>
    <cs:fillRef idx="0"/>
    <cs:effectRef idx="0"/>
    <cs:fontRef idx="minor">
      <a:schemeClr val="tx1"/>
    </cs:fontRef>
    <cs:spPr>
      <a:ln w="9525" cap="flat" cmpd="sng" algn="ctr">
        <a:solidFill>
          <a:schemeClr val="tx1">
            <a:lumMod val="35000"/>
            <a:lumOff val="65000"/>
          </a:schemeClr>
        </a:solidFill>
        <a:round/>
      </a:ln>
    </cs:spPr>
  </cs:dropLine>
  <cs:errorBar>
    <cs:lnRef idx="0"/>
    <cs:fillRef idx="0"/>
    <cs:effectRef idx="0"/>
    <cs:fontRef idx="minor">
      <a:schemeClr val="tx1"/>
    </cs:fontRef>
    <cs:spPr>
      <a:ln w="9525" cap="flat" cmpd="sng" algn="ctr">
        <a:solidFill>
          <a:schemeClr val="tx1">
            <a:lumMod val="65000"/>
            <a:lumOff val="35000"/>
          </a:schemeClr>
        </a:solidFill>
        <a:round/>
      </a:ln>
    </cs:spPr>
  </cs:errorBar>
  <cs:floor>
    <cs:lnRef idx="0"/>
    <cs:fillRef idx="0"/>
    <cs:effectRef idx="0"/>
    <cs:fontRef idx="minor">
      <a:schemeClr val="tx1"/>
    </cs:fontRef>
    <cs:spPr>
      <a:noFill/>
      <a:ln>
        <a:noFill/>
      </a:ln>
    </cs:spPr>
  </cs:floor>
  <cs:gridlineMajor>
    <cs:lnRef idx="0"/>
    <cs:fillRef idx="0"/>
    <cs:effectRef idx="0"/>
    <cs:fontRef idx="minor">
      <a:schemeClr val="tx1"/>
    </cs:fontRef>
    <cs:spPr>
      <a:ln w="9525" cap="flat" cmpd="sng" algn="ctr">
        <a:solidFill>
          <a:schemeClr val="tx1">
            <a:lumMod val="15000"/>
            <a:lumOff val="85000"/>
          </a:schemeClr>
        </a:solidFill>
        <a:round/>
      </a:ln>
    </cs:spPr>
  </cs:gridlineMajor>
  <cs:gridlineMinor>
    <cs:lnRef idx="0"/>
    <cs:fillRef idx="0"/>
    <cs:effectRef idx="0"/>
    <cs:fontRef idx="minor">
      <a:schemeClr val="tx1"/>
    </cs:fontRef>
    <cs:spPr>
      <a:ln w="9525" cap="flat" cmpd="sng" algn="ctr">
        <a:solidFill>
          <a:schemeClr val="tx1">
            <a:lumMod val="5000"/>
            <a:lumOff val="95000"/>
          </a:schemeClr>
        </a:solidFill>
        <a:round/>
      </a:ln>
    </cs:spPr>
  </cs:gridlineMinor>
  <cs:hiLoLine>
    <cs:lnRef idx="0"/>
    <cs:fillRef idx="0"/>
    <cs:effectRef idx="0"/>
    <cs:fontRef idx="minor">
      <a:schemeClr val="tx1"/>
    </cs:fontRef>
    <cs:spPr>
      <a:ln w="9525" cap="flat" cmpd="sng" algn="ctr">
        <a:solidFill>
          <a:schemeClr val="tx1">
            <a:lumMod val="50000"/>
            <a:lumOff val="50000"/>
          </a:schemeClr>
        </a:solidFill>
        <a:round/>
      </a:ln>
    </cs:spPr>
  </cs:hiLoLine>
  <cs:leaderLine>
    <cs:lnRef idx="0"/>
    <cs:fillRef idx="0"/>
    <cs:effectRef idx="0"/>
    <cs:fontRef idx="minor">
      <a:schemeClr val="tx1"/>
    </cs:fontRef>
    <cs:spPr>
      <a:ln w="9525" cap="flat" cmpd="sng" algn="ctr">
        <a:solidFill>
          <a:schemeClr val="tx1">
            <a:lumMod val="35000"/>
            <a:lumOff val="65000"/>
          </a:schemeClr>
        </a:solidFill>
        <a:round/>
      </a:ln>
    </cs:spPr>
  </cs:leaderLine>
  <cs:legend>
    <cs:lnRef idx="0"/>
    <cs:fillRef idx="0"/>
    <cs:effectRef idx="0"/>
    <cs:fontRef idx="minor">
      <a:schemeClr val="tx1">
        <a:lumMod val="65000"/>
        <a:lumOff val="35000"/>
      </a:schemeClr>
    </cs:fontRef>
    <cs:defRPr sz="900" kern="1200"/>
  </cs:legend>
  <cs:plotArea mods="allowNoFillOverride allowNoLineOverride">
    <cs:lnRef idx="0"/>
    <cs:fillRef idx="0"/>
    <cs:effectRef idx="0"/>
    <cs:fontRef idx="minor">
      <a:schemeClr val="tx1"/>
    </cs:fontRef>
  </cs:plotArea>
  <cs:plotArea3D mods="allowNoFillOverride allowNoLineOverride">
    <cs:lnRef idx="0"/>
    <cs:fillRef idx="0"/>
    <cs:effectRef idx="0"/>
    <cs:fontRef idx="minor">
      <a:schemeClr val="tx1"/>
    </cs:fontRef>
  </cs:plotArea3D>
  <cs:seriesAxis>
    <cs:lnRef idx="0"/>
    <cs:fillRef idx="0"/>
    <cs:effectRef idx="0"/>
    <cs:fontRef idx="minor">
      <a:schemeClr val="tx1">
        <a:lumMod val="65000"/>
        <a:lumOff val="35000"/>
      </a:schemeClr>
    </cs:fontRef>
    <cs:defRPr sz="900" kern="1200"/>
  </cs:seriesAxis>
  <cs:seriesLine>
    <cs:lnRef idx="0"/>
    <cs:fillRef idx="0"/>
    <cs:effectRef idx="0"/>
    <cs:fontRef idx="minor">
      <a:schemeClr val="tx1"/>
    </cs:fontRef>
    <cs:spPr>
      <a:ln w="9525" cap="flat" cmpd="sng" algn="ctr">
        <a:solidFill>
          <a:schemeClr val="tx1">
            <a:lumMod val="35000"/>
            <a:lumOff val="65000"/>
          </a:schemeClr>
        </a:solidFill>
        <a:round/>
      </a:ln>
    </cs:spPr>
  </cs:seriesLine>
  <cs:title>
    <cs:lnRef idx="0"/>
    <cs:fillRef idx="0"/>
    <cs:effectRef idx="0"/>
    <cs:fontRef idx="minor">
      <a:schemeClr val="tx1">
        <a:lumMod val="65000"/>
        <a:lumOff val="35000"/>
      </a:schemeClr>
    </cs:fontRef>
    <cs:defRPr sz="1400" b="0" kern="1200" spc="0" baseline="0"/>
  </cs:title>
  <cs:trendline>
    <cs:lnRef idx="0">
      <cs:styleClr val="auto"/>
    </cs:lnRef>
    <cs:fillRef idx="0"/>
    <cs:effectRef idx="0"/>
    <cs:fontRef idx="minor">
      <a:schemeClr val="tx1"/>
    </cs:fontRef>
    <cs:spPr>
      <a:ln w="19050" cap="rnd">
        <a:solidFill>
          <a:schemeClr val="phClr"/>
        </a:solidFill>
        <a:prstDash val="sysDot"/>
      </a:ln>
    </cs:spPr>
  </cs:trendline>
  <cs:trendlineLabel>
    <cs:lnRef idx="0"/>
    <cs:fillRef idx="0"/>
    <cs:effectRef idx="0"/>
    <cs:fontRef idx="minor">
      <a:schemeClr val="tx1">
        <a:lumMod val="65000"/>
        <a:lumOff val="35000"/>
      </a:schemeClr>
    </cs:fontRef>
    <cs:defRPr sz="900" kern="1200"/>
  </cs:trendlineLabel>
  <cs:upBar>
    <cs:lnRef idx="0"/>
    <cs:fillRef idx="0"/>
    <cs:effectRef idx="0"/>
    <cs:fontRef idx="minor">
      <a:schemeClr val="tx1"/>
    </cs:fontRef>
    <cs:spPr>
      <a:solidFill>
        <a:schemeClr val="lt1"/>
      </a:solidFill>
      <a:ln w="9525" cap="flat" cmpd="sng" algn="ctr">
        <a:solidFill>
          <a:schemeClr val="tx1">
            <a:lumMod val="65000"/>
            <a:lumOff val="35000"/>
          </a:schemeClr>
        </a:solidFill>
        <a:round/>
      </a:ln>
    </cs:spPr>
  </cs:upBar>
  <cs:valueAxis>
    <cs:lnRef idx="0"/>
    <cs:fillRef idx="0"/>
    <cs:effectRef idx="0"/>
    <cs:fontRef idx="minor">
      <a:schemeClr val="tx1">
        <a:lumMod val="65000"/>
        <a:lumOff val="35000"/>
      </a:schemeClr>
    </cs:fontRef>
    <cs:spPr>
      <a:ln w="9525" cap="flat" cmpd="sng" algn="ctr">
        <a:solidFill>
          <a:schemeClr val="tx1">
            <a:lumMod val="25000"/>
            <a:lumOff val="75000"/>
          </a:schemeClr>
        </a:solidFill>
        <a:round/>
      </a:ln>
    </cs:spPr>
    <cs:defRPr sz="900" kern="1200"/>
  </cs:valueAxis>
  <cs:wall>
    <cs:lnRef idx="0"/>
    <cs:fillRef idx="0"/>
    <cs:effectRef idx="0"/>
    <cs:fontRef idx="minor">
      <a:schemeClr val="tx1"/>
    </cs:fontRef>
    <cs:spPr>
      <a:noFill/>
      <a:ln>
        <a:noFill/>
      </a:ln>
    </cs:spPr>
  </cs:wall>
</cs:chartStyle>
</file>

<file path=xl/charts/style2.xml><?xml version="1.0" encoding="utf-8"?>
<cs:chartStyle xmlns:cs="http://schemas.microsoft.com/office/drawing/2012/chartStyle" xmlns:a="http://schemas.openxmlformats.org/drawingml/2006/main" id="240">
  <cs:axisTitle>
    <cs:lnRef idx="0"/>
    <cs:fillRef idx="0"/>
    <cs:effectRef idx="0"/>
    <cs:fontRef idx="minor">
      <a:schemeClr val="tx1">
        <a:lumMod val="65000"/>
        <a:lumOff val="35000"/>
      </a:schemeClr>
    </cs:fontRef>
    <cs:defRPr sz="1000" kern="1200"/>
  </cs:axisTitle>
  <cs:categoryAxis>
    <cs:lnRef idx="0"/>
    <cs:fillRef idx="0"/>
    <cs:effectRef idx="0"/>
    <cs:fontRef idx="minor">
      <a:schemeClr val="tx1">
        <a:lumMod val="65000"/>
        <a:lumOff val="35000"/>
      </a:schemeClr>
    </cs:fontRef>
    <cs:spPr>
      <a:ln w="9525" cap="flat" cmpd="sng" algn="ctr">
        <a:solidFill>
          <a:schemeClr val="tx1">
            <a:lumMod val="25000"/>
            <a:lumOff val="75000"/>
          </a:schemeClr>
        </a:solidFill>
        <a:round/>
      </a:ln>
    </cs:spPr>
    <cs:defRPr sz="900" kern="1200"/>
  </cs:categoryAxis>
  <cs:chartArea mods="allowNoFillOverride allowNoLineOverride">
    <cs:lnRef idx="0"/>
    <cs:fillRef idx="0"/>
    <cs:effectRef idx="0"/>
    <cs:fontRef idx="minor">
      <a:schemeClr val="tx1"/>
    </cs:fontRef>
    <cs:spPr>
      <a:solidFill>
        <a:schemeClr val="bg1"/>
      </a:solidFill>
      <a:ln w="9525" cap="flat" cmpd="sng" algn="ctr">
        <a:solidFill>
          <a:schemeClr val="tx1">
            <a:lumMod val="15000"/>
            <a:lumOff val="85000"/>
          </a:schemeClr>
        </a:solidFill>
        <a:round/>
      </a:ln>
    </cs:spPr>
    <cs:defRPr sz="1000" kern="1200"/>
  </cs:chartArea>
  <cs:dataLabel>
    <cs:lnRef idx="0"/>
    <cs:fillRef idx="0"/>
    <cs:effectRef idx="0"/>
    <cs:fontRef idx="minor">
      <a:schemeClr val="tx1">
        <a:lumMod val="75000"/>
        <a:lumOff val="25000"/>
      </a:schemeClr>
    </cs:fontRef>
    <cs:defRPr sz="900" kern="1200"/>
  </cs:dataLabel>
  <cs:dataLabelCallout>
    <cs:lnRef idx="0"/>
    <cs:fillRef idx="0"/>
    <cs:effectRef idx="0"/>
    <cs:fontRef idx="minor">
      <a:schemeClr val="dk1">
        <a:lumMod val="65000"/>
        <a:lumOff val="35000"/>
      </a:schemeClr>
    </cs:fontRef>
    <cs:spPr>
      <a:solidFill>
        <a:schemeClr val="lt1"/>
      </a:solidFill>
      <a:ln>
        <a:solidFill>
          <a:schemeClr val="dk1">
            <a:lumMod val="25000"/>
            <a:lumOff val="75000"/>
          </a:schemeClr>
        </a:solidFill>
      </a:ln>
    </cs:spPr>
    <cs:defRPr sz="900" kern="1200"/>
    <cs:bodyPr rot="0" spcFirstLastPara="1" vertOverflow="clip" horzOverflow="clip" vert="horz" wrap="square" lIns="36576" tIns="18288" rIns="36576" bIns="18288" anchor="ctr" anchorCtr="1">
      <a:spAutoFit/>
    </cs:bodyPr>
  </cs:dataLabelCallout>
  <cs:dataPoint>
    <cs:lnRef idx="0"/>
    <cs:fillRef idx="1">
      <cs:styleClr val="auto"/>
    </cs:fillRef>
    <cs:effectRef idx="0"/>
    <cs:fontRef idx="minor">
      <a:schemeClr val="tx1"/>
    </cs:fontRef>
  </cs:dataPoint>
  <cs:dataPoint3D>
    <cs:lnRef idx="0"/>
    <cs:fillRef idx="1">
      <cs:styleClr val="auto"/>
    </cs:fillRef>
    <cs:effectRef idx="0"/>
    <cs:fontRef idx="minor">
      <a:schemeClr val="tx1"/>
    </cs:fontRef>
  </cs:dataPoint3D>
  <cs:dataPointLine>
    <cs:lnRef idx="0">
      <cs:styleClr val="auto"/>
    </cs:lnRef>
    <cs:fillRef idx="1"/>
    <cs:effectRef idx="0"/>
    <cs:fontRef idx="minor">
      <a:schemeClr val="tx1"/>
    </cs:fontRef>
    <cs:spPr>
      <a:ln w="19050" cap="rnd">
        <a:solidFill>
          <a:schemeClr val="phClr"/>
        </a:solidFill>
        <a:round/>
      </a:ln>
    </cs:spPr>
  </cs:dataPointLine>
  <cs:dataPointMarker>
    <cs:lnRef idx="0">
      <cs:styleClr val="auto"/>
    </cs:lnRef>
    <cs:fillRef idx="1">
      <cs:styleClr val="auto"/>
    </cs:fillRef>
    <cs:effectRef idx="0"/>
    <cs:fontRef idx="minor">
      <a:schemeClr val="tx1"/>
    </cs:fontRef>
    <cs:spPr>
      <a:ln w="9525">
        <a:solidFill>
          <a:schemeClr val="phClr"/>
        </a:solidFill>
      </a:ln>
    </cs:spPr>
  </cs:dataPointMarker>
  <cs:dataPointMarkerLayout symbol="circle" size="5"/>
  <cs:dataPointWireframe>
    <cs:lnRef idx="0">
      <cs:styleClr val="auto"/>
    </cs:lnRef>
    <cs:fillRef idx="0"/>
    <cs:effectRef idx="0"/>
    <cs:fontRef idx="minor">
      <a:schemeClr val="dk1"/>
    </cs:fontRef>
    <cs:spPr>
      <a:ln w="9525" cap="rnd">
        <a:solidFill>
          <a:schemeClr val="phClr"/>
        </a:solidFill>
        <a:round/>
      </a:ln>
    </cs:spPr>
  </cs:dataPointWireframe>
  <cs:dataTable>
    <cs:lnRef idx="0"/>
    <cs:fillRef idx="0"/>
    <cs:effectRef idx="0"/>
    <cs:fontRef idx="minor">
      <a:schemeClr val="tx1">
        <a:lumMod val="65000"/>
        <a:lumOff val="35000"/>
      </a:schemeClr>
    </cs:fontRef>
    <cs:spPr>
      <a:noFill/>
      <a:ln w="9525" cap="flat" cmpd="sng" algn="ctr">
        <a:solidFill>
          <a:schemeClr val="tx1">
            <a:lumMod val="15000"/>
            <a:lumOff val="85000"/>
          </a:schemeClr>
        </a:solidFill>
        <a:round/>
      </a:ln>
    </cs:spPr>
    <cs:defRPr sz="900" kern="1200"/>
  </cs:dataTable>
  <cs:downBar>
    <cs:lnRef idx="0"/>
    <cs:fillRef idx="0"/>
    <cs:effectRef idx="0"/>
    <cs:fontRef idx="minor">
      <a:schemeClr val="tx1"/>
    </cs:fontRef>
    <cs:spPr>
      <a:solidFill>
        <a:schemeClr val="dk1">
          <a:lumMod val="75000"/>
          <a:lumOff val="25000"/>
        </a:schemeClr>
      </a:solidFill>
      <a:ln w="9525" cap="flat" cmpd="sng" algn="ctr">
        <a:solidFill>
          <a:schemeClr val="tx1">
            <a:lumMod val="65000"/>
            <a:lumOff val="35000"/>
          </a:schemeClr>
        </a:solidFill>
        <a:round/>
      </a:ln>
    </cs:spPr>
  </cs:downBar>
  <cs:dropLine>
    <cs:lnRef idx="0"/>
    <cs:fillRef idx="0"/>
    <cs:effectRef idx="0"/>
    <cs:fontRef idx="minor">
      <a:schemeClr val="tx1"/>
    </cs:fontRef>
    <cs:spPr>
      <a:ln w="9525" cap="flat" cmpd="sng" algn="ctr">
        <a:solidFill>
          <a:schemeClr val="tx1">
            <a:lumMod val="35000"/>
            <a:lumOff val="65000"/>
          </a:schemeClr>
        </a:solidFill>
        <a:round/>
      </a:ln>
    </cs:spPr>
  </cs:dropLine>
  <cs:errorBar>
    <cs:lnRef idx="0"/>
    <cs:fillRef idx="0"/>
    <cs:effectRef idx="0"/>
    <cs:fontRef idx="minor">
      <a:schemeClr val="tx1"/>
    </cs:fontRef>
    <cs:spPr>
      <a:ln w="9525" cap="flat" cmpd="sng" algn="ctr">
        <a:solidFill>
          <a:schemeClr val="tx1">
            <a:lumMod val="65000"/>
            <a:lumOff val="35000"/>
          </a:schemeClr>
        </a:solidFill>
        <a:round/>
      </a:ln>
    </cs:spPr>
  </cs:errorBar>
  <cs:floor>
    <cs:lnRef idx="0"/>
    <cs:fillRef idx="0"/>
    <cs:effectRef idx="0"/>
    <cs:fontRef idx="minor">
      <a:schemeClr val="tx1"/>
    </cs:fontRef>
    <cs:spPr>
      <a:noFill/>
      <a:ln>
        <a:noFill/>
      </a:ln>
    </cs:spPr>
  </cs:floor>
  <cs:gridlineMajor>
    <cs:lnRef idx="0"/>
    <cs:fillRef idx="0"/>
    <cs:effectRef idx="0"/>
    <cs:fontRef idx="minor">
      <a:schemeClr val="tx1"/>
    </cs:fontRef>
    <cs:spPr>
      <a:ln w="9525" cap="flat" cmpd="sng" algn="ctr">
        <a:solidFill>
          <a:schemeClr val="tx1">
            <a:lumMod val="15000"/>
            <a:lumOff val="85000"/>
          </a:schemeClr>
        </a:solidFill>
        <a:round/>
      </a:ln>
    </cs:spPr>
  </cs:gridlineMajor>
  <cs:gridlineMinor>
    <cs:lnRef idx="0"/>
    <cs:fillRef idx="0"/>
    <cs:effectRef idx="0"/>
    <cs:fontRef idx="minor">
      <a:schemeClr val="tx1"/>
    </cs:fontRef>
    <cs:spPr>
      <a:ln w="9525" cap="flat" cmpd="sng" algn="ctr">
        <a:solidFill>
          <a:schemeClr val="tx1">
            <a:lumMod val="5000"/>
            <a:lumOff val="95000"/>
          </a:schemeClr>
        </a:solidFill>
        <a:round/>
      </a:ln>
    </cs:spPr>
  </cs:gridlineMinor>
  <cs:hiLoLine>
    <cs:lnRef idx="0"/>
    <cs:fillRef idx="0"/>
    <cs:effectRef idx="0"/>
    <cs:fontRef idx="minor">
      <a:schemeClr val="tx1"/>
    </cs:fontRef>
    <cs:spPr>
      <a:ln w="9525" cap="flat" cmpd="sng" algn="ctr">
        <a:solidFill>
          <a:schemeClr val="tx1">
            <a:lumMod val="50000"/>
            <a:lumOff val="50000"/>
          </a:schemeClr>
        </a:solidFill>
        <a:round/>
      </a:ln>
    </cs:spPr>
  </cs:hiLoLine>
  <cs:leaderLine>
    <cs:lnRef idx="0"/>
    <cs:fillRef idx="0"/>
    <cs:effectRef idx="0"/>
    <cs:fontRef idx="minor">
      <a:schemeClr val="tx1"/>
    </cs:fontRef>
    <cs:spPr>
      <a:ln w="9525" cap="flat" cmpd="sng" algn="ctr">
        <a:solidFill>
          <a:schemeClr val="tx1">
            <a:lumMod val="35000"/>
            <a:lumOff val="65000"/>
          </a:schemeClr>
        </a:solidFill>
        <a:round/>
      </a:ln>
    </cs:spPr>
  </cs:leaderLine>
  <cs:legend>
    <cs:lnRef idx="0"/>
    <cs:fillRef idx="0"/>
    <cs:effectRef idx="0"/>
    <cs:fontRef idx="minor">
      <a:schemeClr val="tx1">
        <a:lumMod val="65000"/>
        <a:lumOff val="35000"/>
      </a:schemeClr>
    </cs:fontRef>
    <cs:defRPr sz="900" kern="1200"/>
  </cs:legend>
  <cs:plotArea mods="allowNoFillOverride allowNoLineOverride">
    <cs:lnRef idx="0"/>
    <cs:fillRef idx="0"/>
    <cs:effectRef idx="0"/>
    <cs:fontRef idx="minor">
      <a:schemeClr val="tx1"/>
    </cs:fontRef>
  </cs:plotArea>
  <cs:plotArea3D mods="allowNoFillOverride allowNoLineOverride">
    <cs:lnRef idx="0"/>
    <cs:fillRef idx="0"/>
    <cs:effectRef idx="0"/>
    <cs:fontRef idx="minor">
      <a:schemeClr val="tx1"/>
    </cs:fontRef>
  </cs:plotArea3D>
  <cs:seriesAxis>
    <cs:lnRef idx="0"/>
    <cs:fillRef idx="0"/>
    <cs:effectRef idx="0"/>
    <cs:fontRef idx="minor">
      <a:schemeClr val="tx1">
        <a:lumMod val="65000"/>
        <a:lumOff val="35000"/>
      </a:schemeClr>
    </cs:fontRef>
    <cs:defRPr sz="900" kern="1200"/>
  </cs:seriesAxis>
  <cs:seriesLine>
    <cs:lnRef idx="0"/>
    <cs:fillRef idx="0"/>
    <cs:effectRef idx="0"/>
    <cs:fontRef idx="minor">
      <a:schemeClr val="tx1"/>
    </cs:fontRef>
    <cs:spPr>
      <a:ln w="9525" cap="flat" cmpd="sng" algn="ctr">
        <a:solidFill>
          <a:schemeClr val="tx1">
            <a:lumMod val="35000"/>
            <a:lumOff val="65000"/>
          </a:schemeClr>
        </a:solidFill>
        <a:round/>
      </a:ln>
    </cs:spPr>
  </cs:seriesLine>
  <cs:title>
    <cs:lnRef idx="0"/>
    <cs:fillRef idx="0"/>
    <cs:effectRef idx="0"/>
    <cs:fontRef idx="minor">
      <a:schemeClr val="tx1">
        <a:lumMod val="65000"/>
        <a:lumOff val="35000"/>
      </a:schemeClr>
    </cs:fontRef>
    <cs:defRPr sz="1400" b="0" kern="1200" spc="0" baseline="0"/>
  </cs:title>
  <cs:trendline>
    <cs:lnRef idx="0">
      <cs:styleClr val="auto"/>
    </cs:lnRef>
    <cs:fillRef idx="0"/>
    <cs:effectRef idx="0"/>
    <cs:fontRef idx="minor">
      <a:schemeClr val="tx1"/>
    </cs:fontRef>
    <cs:spPr>
      <a:ln w="19050" cap="rnd">
        <a:solidFill>
          <a:schemeClr val="phClr"/>
        </a:solidFill>
        <a:prstDash val="sysDot"/>
      </a:ln>
    </cs:spPr>
  </cs:trendline>
  <cs:trendlineLabel>
    <cs:lnRef idx="0"/>
    <cs:fillRef idx="0"/>
    <cs:effectRef idx="0"/>
    <cs:fontRef idx="minor">
      <a:schemeClr val="tx1">
        <a:lumMod val="65000"/>
        <a:lumOff val="35000"/>
      </a:schemeClr>
    </cs:fontRef>
    <cs:defRPr sz="900" kern="1200"/>
  </cs:trendlineLabel>
  <cs:upBar>
    <cs:lnRef idx="0"/>
    <cs:fillRef idx="0"/>
    <cs:effectRef idx="0"/>
    <cs:fontRef idx="minor">
      <a:schemeClr val="tx1"/>
    </cs:fontRef>
    <cs:spPr>
      <a:solidFill>
        <a:schemeClr val="lt1"/>
      </a:solidFill>
      <a:ln w="9525" cap="flat" cmpd="sng" algn="ctr">
        <a:solidFill>
          <a:schemeClr val="tx1">
            <a:lumMod val="65000"/>
            <a:lumOff val="35000"/>
          </a:schemeClr>
        </a:solidFill>
        <a:round/>
      </a:ln>
    </cs:spPr>
  </cs:upBar>
  <cs:valueAxis>
    <cs:lnRef idx="0"/>
    <cs:fillRef idx="0"/>
    <cs:effectRef idx="0"/>
    <cs:fontRef idx="minor">
      <a:schemeClr val="tx1">
        <a:lumMod val="65000"/>
        <a:lumOff val="35000"/>
      </a:schemeClr>
    </cs:fontRef>
    <cs:spPr>
      <a:ln w="9525" cap="flat" cmpd="sng" algn="ctr">
        <a:solidFill>
          <a:schemeClr val="tx1">
            <a:lumMod val="25000"/>
            <a:lumOff val="75000"/>
          </a:schemeClr>
        </a:solidFill>
        <a:round/>
      </a:ln>
    </cs:spPr>
    <cs:defRPr sz="900" kern="1200"/>
  </cs:valueAxis>
  <cs:wall>
    <cs:lnRef idx="0"/>
    <cs:fillRef idx="0"/>
    <cs:effectRef idx="0"/>
    <cs:fontRef idx="minor">
      <a:schemeClr val="tx1"/>
    </cs:fontRef>
    <cs:spPr>
      <a:noFill/>
      <a:ln>
        <a:noFill/>
      </a:ln>
    </cs:spPr>
  </cs:wall>
</cs:chartStyle>
</file>

<file path=xl/charts/style3.xml><?xml version="1.0" encoding="utf-8"?>
<cs:chartStyle xmlns:cs="http://schemas.microsoft.com/office/drawing/2012/chartStyle" xmlns:a="http://schemas.openxmlformats.org/drawingml/2006/main" id="240">
  <cs:axisTitle>
    <cs:lnRef idx="0"/>
    <cs:fillRef idx="0"/>
    <cs:effectRef idx="0"/>
    <cs:fontRef idx="minor">
      <a:schemeClr val="tx1">
        <a:lumMod val="65000"/>
        <a:lumOff val="35000"/>
      </a:schemeClr>
    </cs:fontRef>
    <cs:defRPr sz="1000" kern="1200"/>
  </cs:axisTitle>
  <cs:categoryAxis>
    <cs:lnRef idx="0"/>
    <cs:fillRef idx="0"/>
    <cs:effectRef idx="0"/>
    <cs:fontRef idx="minor">
      <a:schemeClr val="tx1">
        <a:lumMod val="65000"/>
        <a:lumOff val="35000"/>
      </a:schemeClr>
    </cs:fontRef>
    <cs:spPr>
      <a:ln w="9525" cap="flat" cmpd="sng" algn="ctr">
        <a:solidFill>
          <a:schemeClr val="tx1">
            <a:lumMod val="25000"/>
            <a:lumOff val="75000"/>
          </a:schemeClr>
        </a:solidFill>
        <a:round/>
      </a:ln>
    </cs:spPr>
    <cs:defRPr sz="900" kern="1200"/>
  </cs:categoryAxis>
  <cs:chartArea mods="allowNoFillOverride allowNoLineOverride">
    <cs:lnRef idx="0"/>
    <cs:fillRef idx="0"/>
    <cs:effectRef idx="0"/>
    <cs:fontRef idx="minor">
      <a:schemeClr val="tx1"/>
    </cs:fontRef>
    <cs:spPr>
      <a:solidFill>
        <a:schemeClr val="bg1"/>
      </a:solidFill>
      <a:ln w="9525" cap="flat" cmpd="sng" algn="ctr">
        <a:solidFill>
          <a:schemeClr val="tx1">
            <a:lumMod val="15000"/>
            <a:lumOff val="85000"/>
          </a:schemeClr>
        </a:solidFill>
        <a:round/>
      </a:ln>
    </cs:spPr>
    <cs:defRPr sz="1000" kern="1200"/>
  </cs:chartArea>
  <cs:dataLabel>
    <cs:lnRef idx="0"/>
    <cs:fillRef idx="0"/>
    <cs:effectRef idx="0"/>
    <cs:fontRef idx="minor">
      <a:schemeClr val="tx1">
        <a:lumMod val="75000"/>
        <a:lumOff val="25000"/>
      </a:schemeClr>
    </cs:fontRef>
    <cs:defRPr sz="900" kern="1200"/>
  </cs:dataLabel>
  <cs:dataLabelCallout>
    <cs:lnRef idx="0"/>
    <cs:fillRef idx="0"/>
    <cs:effectRef idx="0"/>
    <cs:fontRef idx="minor">
      <a:schemeClr val="dk1">
        <a:lumMod val="65000"/>
        <a:lumOff val="35000"/>
      </a:schemeClr>
    </cs:fontRef>
    <cs:spPr>
      <a:solidFill>
        <a:schemeClr val="lt1"/>
      </a:solidFill>
      <a:ln>
        <a:solidFill>
          <a:schemeClr val="dk1">
            <a:lumMod val="25000"/>
            <a:lumOff val="75000"/>
          </a:schemeClr>
        </a:solidFill>
      </a:ln>
    </cs:spPr>
    <cs:defRPr sz="900" kern="1200"/>
    <cs:bodyPr rot="0" spcFirstLastPara="1" vertOverflow="clip" horzOverflow="clip" vert="horz" wrap="square" lIns="36576" tIns="18288" rIns="36576" bIns="18288" anchor="ctr" anchorCtr="1">
      <a:spAutoFit/>
    </cs:bodyPr>
  </cs:dataLabelCallout>
  <cs:dataPoint>
    <cs:lnRef idx="0"/>
    <cs:fillRef idx="1">
      <cs:styleClr val="auto"/>
    </cs:fillRef>
    <cs:effectRef idx="0"/>
    <cs:fontRef idx="minor">
      <a:schemeClr val="tx1"/>
    </cs:fontRef>
  </cs:dataPoint>
  <cs:dataPoint3D>
    <cs:lnRef idx="0"/>
    <cs:fillRef idx="1">
      <cs:styleClr val="auto"/>
    </cs:fillRef>
    <cs:effectRef idx="0"/>
    <cs:fontRef idx="minor">
      <a:schemeClr val="tx1"/>
    </cs:fontRef>
  </cs:dataPoint3D>
  <cs:dataPointLine>
    <cs:lnRef idx="0">
      <cs:styleClr val="auto"/>
    </cs:lnRef>
    <cs:fillRef idx="1"/>
    <cs:effectRef idx="0"/>
    <cs:fontRef idx="minor">
      <a:schemeClr val="tx1"/>
    </cs:fontRef>
    <cs:spPr>
      <a:ln w="19050" cap="rnd">
        <a:solidFill>
          <a:schemeClr val="phClr"/>
        </a:solidFill>
        <a:round/>
      </a:ln>
    </cs:spPr>
  </cs:dataPointLine>
  <cs:dataPointMarker>
    <cs:lnRef idx="0">
      <cs:styleClr val="auto"/>
    </cs:lnRef>
    <cs:fillRef idx="1">
      <cs:styleClr val="auto"/>
    </cs:fillRef>
    <cs:effectRef idx="0"/>
    <cs:fontRef idx="minor">
      <a:schemeClr val="tx1"/>
    </cs:fontRef>
    <cs:spPr>
      <a:ln w="9525">
        <a:solidFill>
          <a:schemeClr val="phClr"/>
        </a:solidFill>
      </a:ln>
    </cs:spPr>
  </cs:dataPointMarker>
  <cs:dataPointMarkerLayout symbol="circle" size="5"/>
  <cs:dataPointWireframe>
    <cs:lnRef idx="0">
      <cs:styleClr val="auto"/>
    </cs:lnRef>
    <cs:fillRef idx="0"/>
    <cs:effectRef idx="0"/>
    <cs:fontRef idx="minor">
      <a:schemeClr val="dk1"/>
    </cs:fontRef>
    <cs:spPr>
      <a:ln w="9525" cap="rnd">
        <a:solidFill>
          <a:schemeClr val="phClr"/>
        </a:solidFill>
        <a:round/>
      </a:ln>
    </cs:spPr>
  </cs:dataPointWireframe>
  <cs:dataTable>
    <cs:lnRef idx="0"/>
    <cs:fillRef idx="0"/>
    <cs:effectRef idx="0"/>
    <cs:fontRef idx="minor">
      <a:schemeClr val="tx1">
        <a:lumMod val="65000"/>
        <a:lumOff val="35000"/>
      </a:schemeClr>
    </cs:fontRef>
    <cs:spPr>
      <a:noFill/>
      <a:ln w="9525" cap="flat" cmpd="sng" algn="ctr">
        <a:solidFill>
          <a:schemeClr val="tx1">
            <a:lumMod val="15000"/>
            <a:lumOff val="85000"/>
          </a:schemeClr>
        </a:solidFill>
        <a:round/>
      </a:ln>
    </cs:spPr>
    <cs:defRPr sz="900" kern="1200"/>
  </cs:dataTable>
  <cs:downBar>
    <cs:lnRef idx="0"/>
    <cs:fillRef idx="0"/>
    <cs:effectRef idx="0"/>
    <cs:fontRef idx="minor">
      <a:schemeClr val="tx1"/>
    </cs:fontRef>
    <cs:spPr>
      <a:solidFill>
        <a:schemeClr val="dk1">
          <a:lumMod val="75000"/>
          <a:lumOff val="25000"/>
        </a:schemeClr>
      </a:solidFill>
      <a:ln w="9525" cap="flat" cmpd="sng" algn="ctr">
        <a:solidFill>
          <a:schemeClr val="tx1">
            <a:lumMod val="65000"/>
            <a:lumOff val="35000"/>
          </a:schemeClr>
        </a:solidFill>
        <a:round/>
      </a:ln>
    </cs:spPr>
  </cs:downBar>
  <cs:dropLine>
    <cs:lnRef idx="0"/>
    <cs:fillRef idx="0"/>
    <cs:effectRef idx="0"/>
    <cs:fontRef idx="minor">
      <a:schemeClr val="tx1"/>
    </cs:fontRef>
    <cs:spPr>
      <a:ln w="9525" cap="flat" cmpd="sng" algn="ctr">
        <a:solidFill>
          <a:schemeClr val="tx1">
            <a:lumMod val="35000"/>
            <a:lumOff val="65000"/>
          </a:schemeClr>
        </a:solidFill>
        <a:round/>
      </a:ln>
    </cs:spPr>
  </cs:dropLine>
  <cs:errorBar>
    <cs:lnRef idx="0"/>
    <cs:fillRef idx="0"/>
    <cs:effectRef idx="0"/>
    <cs:fontRef idx="minor">
      <a:schemeClr val="tx1"/>
    </cs:fontRef>
    <cs:spPr>
      <a:ln w="9525" cap="flat" cmpd="sng" algn="ctr">
        <a:solidFill>
          <a:schemeClr val="tx1">
            <a:lumMod val="65000"/>
            <a:lumOff val="35000"/>
          </a:schemeClr>
        </a:solidFill>
        <a:round/>
      </a:ln>
    </cs:spPr>
  </cs:errorBar>
  <cs:floor>
    <cs:lnRef idx="0"/>
    <cs:fillRef idx="0"/>
    <cs:effectRef idx="0"/>
    <cs:fontRef idx="minor">
      <a:schemeClr val="tx1"/>
    </cs:fontRef>
    <cs:spPr>
      <a:noFill/>
      <a:ln>
        <a:noFill/>
      </a:ln>
    </cs:spPr>
  </cs:floor>
  <cs:gridlineMajor>
    <cs:lnRef idx="0"/>
    <cs:fillRef idx="0"/>
    <cs:effectRef idx="0"/>
    <cs:fontRef idx="minor">
      <a:schemeClr val="tx1"/>
    </cs:fontRef>
    <cs:spPr>
      <a:ln w="9525" cap="flat" cmpd="sng" algn="ctr">
        <a:solidFill>
          <a:schemeClr val="tx1">
            <a:lumMod val="15000"/>
            <a:lumOff val="85000"/>
          </a:schemeClr>
        </a:solidFill>
        <a:round/>
      </a:ln>
    </cs:spPr>
  </cs:gridlineMajor>
  <cs:gridlineMinor>
    <cs:lnRef idx="0"/>
    <cs:fillRef idx="0"/>
    <cs:effectRef idx="0"/>
    <cs:fontRef idx="minor">
      <a:schemeClr val="tx1"/>
    </cs:fontRef>
    <cs:spPr>
      <a:ln w="9525" cap="flat" cmpd="sng" algn="ctr">
        <a:solidFill>
          <a:schemeClr val="tx1">
            <a:lumMod val="5000"/>
            <a:lumOff val="95000"/>
          </a:schemeClr>
        </a:solidFill>
        <a:round/>
      </a:ln>
    </cs:spPr>
  </cs:gridlineMinor>
  <cs:hiLoLine>
    <cs:lnRef idx="0"/>
    <cs:fillRef idx="0"/>
    <cs:effectRef idx="0"/>
    <cs:fontRef idx="minor">
      <a:schemeClr val="tx1"/>
    </cs:fontRef>
    <cs:spPr>
      <a:ln w="9525" cap="flat" cmpd="sng" algn="ctr">
        <a:solidFill>
          <a:schemeClr val="tx1">
            <a:lumMod val="50000"/>
            <a:lumOff val="50000"/>
          </a:schemeClr>
        </a:solidFill>
        <a:round/>
      </a:ln>
    </cs:spPr>
  </cs:hiLoLine>
  <cs:leaderLine>
    <cs:lnRef idx="0"/>
    <cs:fillRef idx="0"/>
    <cs:effectRef idx="0"/>
    <cs:fontRef idx="minor">
      <a:schemeClr val="tx1"/>
    </cs:fontRef>
    <cs:spPr>
      <a:ln w="9525" cap="flat" cmpd="sng" algn="ctr">
        <a:solidFill>
          <a:schemeClr val="tx1">
            <a:lumMod val="35000"/>
            <a:lumOff val="65000"/>
          </a:schemeClr>
        </a:solidFill>
        <a:round/>
      </a:ln>
    </cs:spPr>
  </cs:leaderLine>
  <cs:legend>
    <cs:lnRef idx="0"/>
    <cs:fillRef idx="0"/>
    <cs:effectRef idx="0"/>
    <cs:fontRef idx="minor">
      <a:schemeClr val="tx1">
        <a:lumMod val="65000"/>
        <a:lumOff val="35000"/>
      </a:schemeClr>
    </cs:fontRef>
    <cs:defRPr sz="900" kern="1200"/>
  </cs:legend>
  <cs:plotArea mods="allowNoFillOverride allowNoLineOverride">
    <cs:lnRef idx="0"/>
    <cs:fillRef idx="0"/>
    <cs:effectRef idx="0"/>
    <cs:fontRef idx="minor">
      <a:schemeClr val="tx1"/>
    </cs:fontRef>
  </cs:plotArea>
  <cs:plotArea3D mods="allowNoFillOverride allowNoLineOverride">
    <cs:lnRef idx="0"/>
    <cs:fillRef idx="0"/>
    <cs:effectRef idx="0"/>
    <cs:fontRef idx="minor">
      <a:schemeClr val="tx1"/>
    </cs:fontRef>
  </cs:plotArea3D>
  <cs:seriesAxis>
    <cs:lnRef idx="0"/>
    <cs:fillRef idx="0"/>
    <cs:effectRef idx="0"/>
    <cs:fontRef idx="minor">
      <a:schemeClr val="tx1">
        <a:lumMod val="65000"/>
        <a:lumOff val="35000"/>
      </a:schemeClr>
    </cs:fontRef>
    <cs:defRPr sz="900" kern="1200"/>
  </cs:seriesAxis>
  <cs:seriesLine>
    <cs:lnRef idx="0"/>
    <cs:fillRef idx="0"/>
    <cs:effectRef idx="0"/>
    <cs:fontRef idx="minor">
      <a:schemeClr val="tx1"/>
    </cs:fontRef>
    <cs:spPr>
      <a:ln w="9525" cap="flat" cmpd="sng" algn="ctr">
        <a:solidFill>
          <a:schemeClr val="tx1">
            <a:lumMod val="35000"/>
            <a:lumOff val="65000"/>
          </a:schemeClr>
        </a:solidFill>
        <a:round/>
      </a:ln>
    </cs:spPr>
  </cs:seriesLine>
  <cs:title>
    <cs:lnRef idx="0"/>
    <cs:fillRef idx="0"/>
    <cs:effectRef idx="0"/>
    <cs:fontRef idx="minor">
      <a:schemeClr val="tx1">
        <a:lumMod val="65000"/>
        <a:lumOff val="35000"/>
      </a:schemeClr>
    </cs:fontRef>
    <cs:defRPr sz="1400" b="0" kern="1200" spc="0" baseline="0"/>
  </cs:title>
  <cs:trendline>
    <cs:lnRef idx="0">
      <cs:styleClr val="auto"/>
    </cs:lnRef>
    <cs:fillRef idx="0"/>
    <cs:effectRef idx="0"/>
    <cs:fontRef idx="minor">
      <a:schemeClr val="tx1"/>
    </cs:fontRef>
    <cs:spPr>
      <a:ln w="19050" cap="rnd">
        <a:solidFill>
          <a:schemeClr val="phClr"/>
        </a:solidFill>
        <a:prstDash val="sysDot"/>
      </a:ln>
    </cs:spPr>
  </cs:trendline>
  <cs:trendlineLabel>
    <cs:lnRef idx="0"/>
    <cs:fillRef idx="0"/>
    <cs:effectRef idx="0"/>
    <cs:fontRef idx="minor">
      <a:schemeClr val="tx1">
        <a:lumMod val="65000"/>
        <a:lumOff val="35000"/>
      </a:schemeClr>
    </cs:fontRef>
    <cs:defRPr sz="900" kern="1200"/>
  </cs:trendlineLabel>
  <cs:upBar>
    <cs:lnRef idx="0"/>
    <cs:fillRef idx="0"/>
    <cs:effectRef idx="0"/>
    <cs:fontRef idx="minor">
      <a:schemeClr val="tx1"/>
    </cs:fontRef>
    <cs:spPr>
      <a:solidFill>
        <a:schemeClr val="lt1"/>
      </a:solidFill>
      <a:ln w="9525" cap="flat" cmpd="sng" algn="ctr">
        <a:solidFill>
          <a:schemeClr val="tx1">
            <a:lumMod val="65000"/>
            <a:lumOff val="35000"/>
          </a:schemeClr>
        </a:solidFill>
        <a:round/>
      </a:ln>
    </cs:spPr>
  </cs:upBar>
  <cs:valueAxis>
    <cs:lnRef idx="0"/>
    <cs:fillRef idx="0"/>
    <cs:effectRef idx="0"/>
    <cs:fontRef idx="minor">
      <a:schemeClr val="tx1">
        <a:lumMod val="65000"/>
        <a:lumOff val="35000"/>
      </a:schemeClr>
    </cs:fontRef>
    <cs:spPr>
      <a:ln w="9525" cap="flat" cmpd="sng" algn="ctr">
        <a:solidFill>
          <a:schemeClr val="tx1">
            <a:lumMod val="25000"/>
            <a:lumOff val="75000"/>
          </a:schemeClr>
        </a:solidFill>
        <a:round/>
      </a:ln>
    </cs:spPr>
    <cs:defRPr sz="900" kern="1200"/>
  </cs:valueAxis>
  <cs:wall>
    <cs:lnRef idx="0"/>
    <cs:fillRef idx="0"/>
    <cs:effectRef idx="0"/>
    <cs:fontRef idx="minor">
      <a:schemeClr val="tx1"/>
    </cs:fontRef>
    <cs:spPr>
      <a:noFill/>
      <a:ln>
        <a:noFill/>
      </a:ln>
    </cs:spPr>
  </cs:wall>
</cs:chartStyle>
</file>

<file path=xl/ctrlProps/ctrlProp1.xml><?xml version="1.0" encoding="utf-8"?>
<formControlPr xmlns="http://schemas.microsoft.com/office/spreadsheetml/2009/9/main" objectType="Scroll" dx="20" fmlaLink="$N$3" max="1000" page="10" val="253"/>
</file>

<file path=xl/ctrlProps/ctrlProp2.xml><?xml version="1.0" encoding="utf-8"?>
<formControlPr xmlns="http://schemas.microsoft.com/office/spreadsheetml/2009/9/main" objectType="Scroll" dx="20" fmlaLink="$O$3" max="9" page="0"/>
</file>

<file path=xl/drawings/_rels/drawing1.xml.rels><?xml version="1.0" encoding="UTF-8" standalone="yes"?>
<Relationships xmlns="http://schemas.openxmlformats.org/package/2006/relationships"><Relationship Id="rId1" Type="http://schemas.openxmlformats.org/officeDocument/2006/relationships/chart" Target="../charts/chart1.xml"/></Relationships>
</file>

<file path=xl/drawings/_rels/drawing2.xml.rels><?xml version="1.0" encoding="UTF-8" standalone="yes"?>
<Relationships xmlns="http://schemas.openxmlformats.org/package/2006/relationships"><Relationship Id="rId1" Type="http://schemas.openxmlformats.org/officeDocument/2006/relationships/chart" Target="../charts/chart2.xml"/></Relationships>
</file>

<file path=xl/drawings/_rels/drawing3.xml.rels><?xml version="1.0" encoding="UTF-8" standalone="yes"?>
<Relationships xmlns="http://schemas.openxmlformats.org/package/2006/relationships"><Relationship Id="rId2" Type="http://schemas.openxmlformats.org/officeDocument/2006/relationships/chart" Target="../charts/chart3.xml"/><Relationship Id="rId1" Type="http://schemas.openxmlformats.org/officeDocument/2006/relationships/image" Target="../media/image1.emf"/></Relationships>
</file>

<file path=xl/drawings/drawing1.xml><?xml version="1.0" encoding="utf-8"?>
<xdr:wsDr xmlns:xdr="http://schemas.openxmlformats.org/drawingml/2006/spreadsheetDrawing" xmlns:a="http://schemas.openxmlformats.org/drawingml/2006/main">
  <xdr:twoCellAnchor>
    <xdr:from>
      <xdr:col>8</xdr:col>
      <xdr:colOff>54452</xdr:colOff>
      <xdr:row>11</xdr:row>
      <xdr:rowOff>134940</xdr:rowOff>
    </xdr:from>
    <xdr:to>
      <xdr:col>15</xdr:col>
      <xdr:colOff>150628</xdr:colOff>
      <xdr:row>23</xdr:row>
      <xdr:rowOff>162395</xdr:rowOff>
    </xdr:to>
    <xdr:graphicFrame macro="">
      <xdr:nvGraphicFramePr>
        <xdr:cNvPr id="2" name="Диаграмма 1"/>
        <xdr:cNvGraphicFramePr>
          <a:graphicFrameLocks/>
        </xdr:cNvGraphicFramePr>
      </xdr:nvGraphicFramePr>
      <xdr:xfrm>
        <a:off x="0" y="0"/>
        <a:ext cx="0" cy="0"/>
      </xdr:xfrm>
      <a:graphic>
        <a:graphicData uri="http://schemas.openxmlformats.org/drawingml/2006/chart">
          <c:chart xmlns:c="http://schemas.openxmlformats.org/drawingml/2006/chart" xmlns:r="http://schemas.openxmlformats.org/officeDocument/2006/relationships" r:id="rId1"/>
        </a:graphicData>
      </a:graphic>
    </xdr:graphicFrame>
    <xdr:clientData/>
  </xdr:twoCellAnchor>
  <mc:AlternateContent xmlns:mc="http://schemas.openxmlformats.org/markup-compatibility/2006">
    <mc:Choice xmlns:a14="http://schemas.microsoft.com/office/drawing/2010/main" Requires="a14">
      <xdr:twoCellAnchor editAs="oneCell">
        <xdr:from>
          <xdr:col>13</xdr:col>
          <xdr:colOff>160020</xdr:colOff>
          <xdr:row>2</xdr:row>
          <xdr:rowOff>259080</xdr:rowOff>
        </xdr:from>
        <xdr:to>
          <xdr:col>13</xdr:col>
          <xdr:colOff>510540</xdr:colOff>
          <xdr:row>7</xdr:row>
          <xdr:rowOff>160020</xdr:rowOff>
        </xdr:to>
        <xdr:sp macro="" textlink="">
          <xdr:nvSpPr>
            <xdr:cNvPr id="54273" name="Scroll Bar 1" hidden="1">
              <a:extLst>
                <a:ext uri="{63B3BB69-23CF-44E3-9099-C40C66FF867C}">
                  <a14:compatExt spid="_x0000_s54273"/>
                </a:ext>
              </a:extLst>
            </xdr:cNvPr>
            <xdr:cNvSpPr/>
          </xdr:nvSpPr>
          <xdr:spPr bwMode="auto">
            <a:xfrm>
              <a:off x="0" y="0"/>
              <a:ext cx="0" cy="0"/>
            </a:xfrm>
            <a:prstGeom prst="rect">
              <a:avLst/>
            </a:prstGeom>
            <a:noFill/>
            <a:ln w="9525">
              <a:miter lim="800000"/>
              <a:headEnd/>
              <a:tailEnd/>
            </a:ln>
          </xdr:spPr>
        </xdr:sp>
        <xdr:clientData fPrintsWithSheet="0"/>
      </xdr:twoCellAnchor>
    </mc:Choice>
    <mc:Fallback/>
  </mc:AlternateContent>
  <mc:AlternateContent xmlns:mc="http://schemas.openxmlformats.org/markup-compatibility/2006">
    <mc:Choice xmlns:a14="http://schemas.microsoft.com/office/drawing/2010/main" Requires="a14">
      <xdr:twoCellAnchor editAs="oneCell">
        <xdr:from>
          <xdr:col>14</xdr:col>
          <xdr:colOff>0</xdr:colOff>
          <xdr:row>3</xdr:row>
          <xdr:rowOff>7620</xdr:rowOff>
        </xdr:from>
        <xdr:to>
          <xdr:col>14</xdr:col>
          <xdr:colOff>358140</xdr:colOff>
          <xdr:row>8</xdr:row>
          <xdr:rowOff>60960</xdr:rowOff>
        </xdr:to>
        <xdr:sp macro="" textlink="">
          <xdr:nvSpPr>
            <xdr:cNvPr id="54285" name="Scroll Bar 13" hidden="1">
              <a:extLst>
                <a:ext uri="{63B3BB69-23CF-44E3-9099-C40C66FF867C}">
                  <a14:compatExt spid="_x0000_s54285"/>
                </a:ext>
              </a:extLst>
            </xdr:cNvPr>
            <xdr:cNvSpPr/>
          </xdr:nvSpPr>
          <xdr:spPr bwMode="auto">
            <a:xfrm>
              <a:off x="0" y="0"/>
              <a:ext cx="0" cy="0"/>
            </a:xfrm>
            <a:prstGeom prst="rect">
              <a:avLst/>
            </a:prstGeom>
            <a:noFill/>
            <a:ln w="9525">
              <a:miter lim="800000"/>
              <a:headEnd/>
              <a:tailEnd/>
            </a:ln>
          </xdr:spPr>
        </xdr:sp>
        <xdr:clientData fPrintsWithSheet="0"/>
      </xdr:twoCellAnchor>
    </mc:Choice>
    <mc:Fallback/>
  </mc:AlternateContent>
</xdr:wsDr>
</file>

<file path=xl/drawings/drawing2.xml><?xml version="1.0" encoding="utf-8"?>
<xdr:wsDr xmlns:xdr="http://schemas.openxmlformats.org/drawingml/2006/spreadsheetDrawing" xmlns:a="http://schemas.openxmlformats.org/drawingml/2006/main">
  <xdr:twoCellAnchor>
    <xdr:from>
      <xdr:col>9</xdr:col>
      <xdr:colOff>155883</xdr:colOff>
      <xdr:row>3</xdr:row>
      <xdr:rowOff>140764</xdr:rowOff>
    </xdr:from>
    <xdr:to>
      <xdr:col>16</xdr:col>
      <xdr:colOff>106180</xdr:colOff>
      <xdr:row>16</xdr:row>
      <xdr:rowOff>162394</xdr:rowOff>
    </xdr:to>
    <xdr:graphicFrame macro="">
      <xdr:nvGraphicFramePr>
        <xdr:cNvPr id="2" name="Диаграмма 1"/>
        <xdr:cNvGraphicFramePr>
          <a:graphicFrameLocks/>
        </xdr:cNvGraphicFramePr>
      </xdr:nvGraphicFramePr>
      <xdr:xfrm>
        <a:off x="0" y="0"/>
        <a:ext cx="0" cy="0"/>
      </xdr:xfrm>
      <a:graphic>
        <a:graphicData uri="http://schemas.openxmlformats.org/drawingml/2006/chart">
          <c:chart xmlns:c="http://schemas.openxmlformats.org/drawingml/2006/chart" xmlns:r="http://schemas.openxmlformats.org/officeDocument/2006/relationships" r:id="rId1"/>
        </a:graphicData>
      </a:graphic>
    </xdr:graphicFrame>
    <xdr:clientData/>
  </xdr:twoCellAnchor>
</xdr:wsDr>
</file>

<file path=xl/drawings/drawing3.xml><?xml version="1.0" encoding="utf-8"?>
<xdr:wsDr xmlns:xdr="http://schemas.openxmlformats.org/drawingml/2006/spreadsheetDrawing" xmlns:a="http://schemas.openxmlformats.org/drawingml/2006/main">
  <xdr:twoCellAnchor editAs="oneCell">
    <xdr:from>
      <xdr:col>10</xdr:col>
      <xdr:colOff>227777</xdr:colOff>
      <xdr:row>1</xdr:row>
      <xdr:rowOff>277092</xdr:rowOff>
    </xdr:from>
    <xdr:to>
      <xdr:col>17</xdr:col>
      <xdr:colOff>501079</xdr:colOff>
      <xdr:row>18</xdr:row>
      <xdr:rowOff>138546</xdr:rowOff>
    </xdr:to>
    <xdr:pic>
      <xdr:nvPicPr>
        <xdr:cNvPr id="2" name="Рисунок 1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557572" y="701387"/>
          <a:ext cx="4507598" cy="3697432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>
    <xdr:from>
      <xdr:col>10</xdr:col>
      <xdr:colOff>832433</xdr:colOff>
      <xdr:row>0</xdr:row>
      <xdr:rowOff>337705</xdr:rowOff>
    </xdr:from>
    <xdr:to>
      <xdr:col>18</xdr:col>
      <xdr:colOff>51955</xdr:colOff>
      <xdr:row>16</xdr:row>
      <xdr:rowOff>47789</xdr:rowOff>
    </xdr:to>
    <xdr:graphicFrame macro="">
      <xdr:nvGraphicFramePr>
        <xdr:cNvPr id="3" name="Диаграмма 2"/>
        <xdr:cNvGraphicFramePr>
          <a:graphicFrameLocks/>
        </xdr:cNvGraphicFramePr>
      </xdr:nvGraphicFramePr>
      <xdr:xfrm>
        <a:off x="0" y="0"/>
        <a:ext cx="0" cy="0"/>
      </xdr:xfrm>
      <a:graphic>
        <a:graphicData uri="http://schemas.openxmlformats.org/drawingml/2006/chart">
          <c:chart xmlns:c="http://schemas.openxmlformats.org/drawingml/2006/chart" xmlns:r="http://schemas.openxmlformats.org/officeDocument/2006/relationships" r:id="rId2"/>
        </a:graphicData>
      </a:graphic>
    </xdr:graphicFrame>
    <xdr:clientData/>
  </xdr:twoCellAnchor>
</xdr:wsDr>
</file>

<file path=xl/theme/theme1.xml><?xml version="1.0" encoding="utf-8"?>
<a:theme xmlns:a="http://schemas.openxmlformats.org/drawingml/2006/main" name="Тема Office">
  <a:themeElements>
    <a:clrScheme name="Стандартная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Стандартная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Стандартная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>
    <a:spDef>
      <a:spPr bwMode="auto">
        <a:xfrm>
          <a:off x="0" y="0"/>
          <a:ext cx="1" cy="1"/>
        </a:xfrm>
        <a:custGeom>
          <a:avLst/>
          <a:gdLst/>
          <a:ahLst/>
          <a:cxnLst/>
          <a:rect l="0" t="0" r="0" b="0"/>
          <a:pathLst/>
        </a:custGeom>
        <a:solidFill>
          <a:srgbClr xmlns:mc="http://schemas.openxmlformats.org/markup-compatibility/2006" xmlns:a14="http://schemas.microsoft.com/office/drawing/2010/main" val="090000" mc:Ignorable="a14" a14:legacySpreadsheetColorIndex="9"/>
        </a:solidFill>
        <a:ln w="9525" cap="flat" cmpd="sng" algn="ctr">
          <a:solidFill>
            <a:srgbClr xmlns:mc="http://schemas.openxmlformats.org/markup-compatibility/2006" xmlns:a14="http://schemas.microsoft.com/office/drawing/2010/main" val="000000" mc:Ignorable="a14" a14:legacySpreadsheetColorIndex="64"/>
          </a:solidFill>
          <a:prstDash val="solid"/>
          <a:round/>
          <a:headEnd type="none" w="med" len="med"/>
          <a:tailEnd type="none" w="med" len="med"/>
        </a:ln>
        <a:effectLst/>
        <a:extLst>
          <a:ext uri="{AF507438-7753-43E0-B8FC-AC1667EBCBE1}">
            <a14:hiddenEffects xmlns:a14="http://schemas.microsoft.com/office/drawing/2010/main">
              <a:effectLst>
                <a:outerShdw dist="35921" dir="2700000" algn="ctr" rotWithShape="0">
                  <a:srgbClr val="808080"/>
                </a:outerShdw>
              </a:effectLst>
            </a14:hiddenEffects>
          </a:ext>
        </a:extLst>
      </a:spPr>
      <a:bodyPr vertOverflow="clip" wrap="square" lIns="18288" tIns="0" rIns="0" bIns="0" upright="1"/>
      <a:lstStyle/>
    </a:spDef>
    <a:lnDef>
      <a:spPr bwMode="auto">
        <a:xfrm>
          <a:off x="0" y="0"/>
          <a:ext cx="1" cy="1"/>
        </a:xfrm>
        <a:custGeom>
          <a:avLst/>
          <a:gdLst/>
          <a:ahLst/>
          <a:cxnLst/>
          <a:rect l="0" t="0" r="0" b="0"/>
          <a:pathLst/>
        </a:custGeom>
        <a:solidFill>
          <a:srgbClr xmlns:mc="http://schemas.openxmlformats.org/markup-compatibility/2006" xmlns:a14="http://schemas.microsoft.com/office/drawing/2010/main" val="FFFFFF" mc:Ignorable="a14" a14:legacySpreadsheetColorIndex="9"/>
        </a:solidFill>
        <a:ln w="9525" cap="flat" cmpd="sng" algn="ctr">
          <a:solidFill>
            <a:srgbClr xmlns:mc="http://schemas.openxmlformats.org/markup-compatibility/2006" xmlns:a14="http://schemas.microsoft.com/office/drawing/2010/main" val="000000" mc:Ignorable="a14" a14:legacySpreadsheetColorIndex="64"/>
          </a:solidFill>
          <a:prstDash val="solid"/>
          <a:round/>
          <a:headEnd type="none" w="med" len="med"/>
          <a:tailEnd type="none" w="med" len="med"/>
        </a:ln>
        <a:effectLst/>
        <a:extLst>
          <a:ext uri="{AF507438-7753-43E0-B8FC-AC1667EBCBE1}">
            <a14:hiddenEffects xmlns:a14="http://schemas.microsoft.com/office/drawing/2010/main">
              <a:effectLst>
                <a:outerShdw dist="35921" dir="2700000" algn="ctr" rotWithShape="0">
                  <a:srgbClr val="808080"/>
                </a:outerShdw>
              </a:effectLst>
            </a14:hiddenEffects>
          </a:ext>
        </a:extLst>
      </a:spPr>
      <a:bodyPr vertOverflow="clip" wrap="square" lIns="18288" tIns="0" rIns="0" bIns="0" upright="1"/>
      <a:lstStyle/>
    </a:lnDef>
  </a:objectDefaults>
  <a:extraClrSchemeLst/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_rels/sheet2.xml.rels><?xml version="1.0" encoding="UTF-8" standalone="yes"?>
<Relationships xmlns="http://schemas.openxmlformats.org/package/2006/relationships"><Relationship Id="rId3" Type="http://schemas.openxmlformats.org/officeDocument/2006/relationships/vmlDrawing" Target="../drawings/vmlDrawing1.vml"/><Relationship Id="rId2" Type="http://schemas.openxmlformats.org/officeDocument/2006/relationships/drawing" Target="../drawings/drawing1.xml"/><Relationship Id="rId1" Type="http://schemas.openxmlformats.org/officeDocument/2006/relationships/printerSettings" Target="../printerSettings/printerSettings2.bin"/><Relationship Id="rId5" Type="http://schemas.openxmlformats.org/officeDocument/2006/relationships/ctrlProp" Target="../ctrlProps/ctrlProp2.xml"/><Relationship Id="rId4" Type="http://schemas.openxmlformats.org/officeDocument/2006/relationships/ctrlProp" Target="../ctrlProps/ctrlProp1.xml"/></Relationships>
</file>

<file path=xl/worksheets/_rels/sheet3.xml.rels><?xml version="1.0" encoding="UTF-8" standalone="yes"?>
<Relationships xmlns="http://schemas.openxmlformats.org/package/2006/relationships"><Relationship Id="rId2" Type="http://schemas.openxmlformats.org/officeDocument/2006/relationships/drawing" Target="../drawings/drawing2.xml"/><Relationship Id="rId1" Type="http://schemas.openxmlformats.org/officeDocument/2006/relationships/printerSettings" Target="../printerSettings/printerSettings3.bin"/></Relationships>
</file>

<file path=xl/worksheets/_rels/sheet4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4.bin"/></Relationships>
</file>

<file path=xl/worksheets/_rels/sheet5.xml.rels><?xml version="1.0" encoding="UTF-8" standalone="yes"?>
<Relationships xmlns="http://schemas.openxmlformats.org/package/2006/relationships"><Relationship Id="rId2" Type="http://schemas.openxmlformats.org/officeDocument/2006/relationships/drawing" Target="../drawings/drawing3.xml"/><Relationship Id="rId1" Type="http://schemas.openxmlformats.org/officeDocument/2006/relationships/printerSettings" Target="../printerSettings/printerSettings5.bin"/></Relationships>
</file>

<file path=xl/worksheets/_rels/sheet6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6.bin"/></Relationships>
</file>

<file path=xl/worksheets/_rels/sheet7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7.bin"/></Relationships>
</file>

<file path=xl/worksheets/_rels/sheet8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8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"/>
  <sheetViews>
    <sheetView tabSelected="1" workbookViewId="0"/>
  </sheetViews>
  <sheetFormatPr defaultRowHeight="13.2" x14ac:dyDescent="0.25"/>
  <cols>
    <col min="1" max="1" width="98" customWidth="1"/>
  </cols>
  <sheetData>
    <row r="1" spans="1:1" ht="144" customHeight="1" x14ac:dyDescent="0.3">
      <c r="A1" s="383" t="s">
        <v>234</v>
      </c>
    </row>
  </sheetData>
  <pageMargins left="0.7" right="0.7" top="0.75" bottom="0.75" header="0.3" footer="0.3"/>
  <pageSetup paperSize="9" orientation="portrait" r:id="rId1"/>
</worksheet>
</file>

<file path=xl/worksheets/sheet2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x14ac="http://schemas.microsoft.com/office/spreadsheetml/2009/9/ac" mc:Ignorable="x14ac">
  <sheetPr>
    <tabColor rgb="FF0070C0"/>
  </sheetPr>
  <dimension ref="A1:P79"/>
  <sheetViews>
    <sheetView view="pageBreakPreview" zoomScale="122" zoomScaleNormal="70" zoomScaleSheetLayoutView="122" workbookViewId="0">
      <selection activeCell="M28" sqref="M28"/>
    </sheetView>
  </sheetViews>
  <sheetFormatPr defaultRowHeight="13.2" x14ac:dyDescent="0.25"/>
  <cols>
    <col min="1" max="1" width="10.77734375" style="27" customWidth="1"/>
    <col min="2" max="2" width="9.21875" style="27" customWidth="1"/>
    <col min="3" max="3" width="7.88671875" style="27" customWidth="1"/>
    <col min="4" max="4" width="7.44140625" customWidth="1"/>
    <col min="5" max="5" width="8.109375" customWidth="1"/>
    <col min="6" max="6" width="9.33203125" style="1" customWidth="1"/>
    <col min="7" max="7" width="9" customWidth="1"/>
    <col min="8" max="8" width="0.88671875" customWidth="1"/>
    <col min="9" max="9" width="10.109375" customWidth="1"/>
    <col min="10" max="10" width="8.77734375" customWidth="1"/>
    <col min="11" max="11" width="5.33203125" customWidth="1"/>
    <col min="12" max="12" width="11" customWidth="1"/>
    <col min="13" max="13" width="5.33203125" customWidth="1"/>
    <col min="14" max="14" width="9.44140625" customWidth="1"/>
    <col min="15" max="15" width="5.5546875" customWidth="1"/>
    <col min="16" max="16" width="3.21875" customWidth="1"/>
  </cols>
  <sheetData>
    <row r="1" spans="1:16" s="17" customFormat="1" ht="28.8" customHeight="1" x14ac:dyDescent="0.25">
      <c r="A1" s="320" t="s">
        <v>128</v>
      </c>
      <c r="B1" s="320"/>
      <c r="C1" s="321" t="s">
        <v>200</v>
      </c>
      <c r="D1" s="321"/>
      <c r="E1" s="321"/>
      <c r="F1" s="321"/>
      <c r="G1" s="321"/>
      <c r="H1" s="70"/>
      <c r="I1" s="186" t="s">
        <v>95</v>
      </c>
      <c r="J1" s="188">
        <f>N3/10+O3/100</f>
        <v>25.310000000000002</v>
      </c>
      <c r="K1" s="187" t="s">
        <v>96</v>
      </c>
      <c r="L1" s="32">
        <f>1000000000*J1</f>
        <v>25310000000.000004</v>
      </c>
      <c r="M1" s="31" t="s">
        <v>93</v>
      </c>
      <c r="N1" s="61">
        <f>L1/10^20</f>
        <v>2.5310000000000004E-10</v>
      </c>
      <c r="O1" s="31" t="s">
        <v>103</v>
      </c>
      <c r="P1"/>
    </row>
    <row r="2" spans="1:16" ht="22.8" customHeight="1" x14ac:dyDescent="0.25">
      <c r="A2" s="320"/>
      <c r="B2" s="320"/>
      <c r="C2" s="163" t="s">
        <v>201</v>
      </c>
      <c r="D2" s="145"/>
      <c r="E2" s="146"/>
      <c r="F2" s="322" t="s">
        <v>212</v>
      </c>
      <c r="G2" s="322"/>
      <c r="H2" s="70"/>
      <c r="I2" s="33" t="s">
        <v>94</v>
      </c>
      <c r="J2" s="34">
        <v>5.4240000000000004</v>
      </c>
      <c r="K2" s="35" t="s">
        <v>91</v>
      </c>
      <c r="L2" s="36">
        <f>J2*$L$11</f>
        <v>5.4240000000000001E-10</v>
      </c>
      <c r="M2" s="37" t="s">
        <v>92</v>
      </c>
      <c r="N2" s="17"/>
      <c r="O2" s="56"/>
      <c r="P2" s="57"/>
    </row>
    <row r="3" spans="1:16" ht="13.8" customHeight="1" x14ac:dyDescent="0.35">
      <c r="A3" s="281" t="s">
        <v>204</v>
      </c>
      <c r="B3" s="207">
        <v>0</v>
      </c>
      <c r="C3" s="207">
        <v>0.6</v>
      </c>
      <c r="D3" s="207">
        <v>1.3</v>
      </c>
      <c r="E3" s="207">
        <v>2.6</v>
      </c>
      <c r="F3" s="207">
        <v>3.5</v>
      </c>
      <c r="G3" s="208">
        <v>4</v>
      </c>
      <c r="H3" s="70"/>
      <c r="I3" s="33" t="s">
        <v>3</v>
      </c>
      <c r="J3" s="38">
        <v>7.6779999999999999</v>
      </c>
      <c r="K3" s="35" t="s">
        <v>91</v>
      </c>
      <c r="L3" s="36">
        <f>J3*$L$11</f>
        <v>7.6779999999999997E-10</v>
      </c>
      <c r="M3" s="37" t="s">
        <v>92</v>
      </c>
      <c r="N3" s="77">
        <v>253</v>
      </c>
      <c r="O3" s="78">
        <v>1</v>
      </c>
      <c r="P3" s="17"/>
    </row>
    <row r="4" spans="1:16" s="17" customFormat="1" ht="15.6" customHeight="1" x14ac:dyDescent="0.25">
      <c r="A4" s="282" t="s">
        <v>202</v>
      </c>
      <c r="B4" s="312">
        <v>113.3</v>
      </c>
      <c r="C4" s="312">
        <v>128.90600000000001</v>
      </c>
      <c r="D4" s="312">
        <v>138.64699999999999</v>
      </c>
      <c r="E4" s="312">
        <v>152.4</v>
      </c>
      <c r="F4" s="312">
        <v>161.82</v>
      </c>
      <c r="G4" s="312">
        <v>166.87</v>
      </c>
      <c r="H4" s="71"/>
      <c r="I4" s="33" t="s">
        <v>90</v>
      </c>
      <c r="J4" s="34">
        <v>5.4340000000000002</v>
      </c>
      <c r="K4" s="35" t="s">
        <v>91</v>
      </c>
      <c r="L4" s="36">
        <f>J4*$L$11</f>
        <v>5.4340000000000001E-10</v>
      </c>
      <c r="M4" s="37" t="s">
        <v>92</v>
      </c>
      <c r="N4" s="54"/>
    </row>
    <row r="5" spans="1:16" s="17" customFormat="1" ht="16.8" x14ac:dyDescent="0.25">
      <c r="A5" s="283" t="s">
        <v>205</v>
      </c>
      <c r="B5" s="313">
        <f>G13</f>
        <v>113.06416715912366</v>
      </c>
      <c r="C5" s="313">
        <f>G39</f>
        <v>129.47465944128533</v>
      </c>
      <c r="D5" s="313">
        <f>G46</f>
        <v>139.15154980094479</v>
      </c>
      <c r="E5" s="313">
        <f>G59</f>
        <v>153.49374492773268</v>
      </c>
      <c r="F5" s="313">
        <f>G68</f>
        <v>162.2223158493432</v>
      </c>
      <c r="G5" s="314">
        <f>G73</f>
        <v>166.82091442106156</v>
      </c>
      <c r="H5" s="71"/>
      <c r="I5" s="79" t="s">
        <v>105</v>
      </c>
      <c r="J5" s="44">
        <f>J2*J3*J4</f>
        <v>226.30149484800003</v>
      </c>
      <c r="K5" s="40" t="s">
        <v>100</v>
      </c>
      <c r="L5" s="41">
        <f>J5*$L$11^3</f>
        <v>2.2630149484800007E-28</v>
      </c>
      <c r="M5" s="42" t="s">
        <v>101</v>
      </c>
      <c r="N5" s="54"/>
    </row>
    <row r="6" spans="1:16" s="17" customFormat="1" ht="14.4" x14ac:dyDescent="0.25">
      <c r="A6" s="284" t="s">
        <v>206</v>
      </c>
      <c r="B6" s="161">
        <f t="shared" ref="B6:G6" si="0">B5-B4</f>
        <v>-0.23583284087634127</v>
      </c>
      <c r="C6" s="161">
        <f t="shared" si="0"/>
        <v>0.56865944128531964</v>
      </c>
      <c r="D6" s="161">
        <f t="shared" si="0"/>
        <v>0.50454980094480106</v>
      </c>
      <c r="E6" s="161">
        <f t="shared" si="0"/>
        <v>1.0937449277326721</v>
      </c>
      <c r="F6" s="161">
        <f t="shared" si="0"/>
        <v>0.40231584934321063</v>
      </c>
      <c r="G6" s="161">
        <f t="shared" si="0"/>
        <v>-4.9085578938445451E-2</v>
      </c>
      <c r="H6" s="71"/>
      <c r="I6" s="79" t="s">
        <v>97</v>
      </c>
      <c r="J6" s="39">
        <v>1.9550000000000001</v>
      </c>
      <c r="K6" s="40" t="s">
        <v>91</v>
      </c>
      <c r="L6" s="41">
        <f>J6*$L$11</f>
        <v>1.9550000000000002E-10</v>
      </c>
      <c r="M6" s="42" t="s">
        <v>92</v>
      </c>
    </row>
    <row r="7" spans="1:16" s="17" customFormat="1" ht="15.6" x14ac:dyDescent="0.25">
      <c r="A7" s="284" t="s">
        <v>207</v>
      </c>
      <c r="B7" s="162">
        <f t="shared" ref="B7:G7" si="1">B6^2</f>
        <v>5.5617128835805697E-2</v>
      </c>
      <c r="C7" s="162">
        <f t="shared" si="1"/>
        <v>0.32337356016293189</v>
      </c>
      <c r="D7" s="162">
        <f t="shared" si="1"/>
        <v>0.25457050163343836</v>
      </c>
      <c r="E7" s="162">
        <f t="shared" si="1"/>
        <v>1.196277966940948</v>
      </c>
      <c r="F7" s="162">
        <f t="shared" si="1"/>
        <v>0.16185804263274894</v>
      </c>
      <c r="G7" s="162">
        <f t="shared" si="1"/>
        <v>2.4093940597223595E-3</v>
      </c>
      <c r="H7" s="71"/>
      <c r="I7" s="79" t="s">
        <v>98</v>
      </c>
      <c r="J7" s="43">
        <v>1.931</v>
      </c>
      <c r="K7" s="40" t="s">
        <v>91</v>
      </c>
      <c r="L7" s="41">
        <f>J7*$L$11</f>
        <v>1.9310000000000001E-10</v>
      </c>
      <c r="M7" s="42" t="s">
        <v>92</v>
      </c>
    </row>
    <row r="8" spans="1:16" s="17" customFormat="1" ht="14.4" x14ac:dyDescent="0.25">
      <c r="A8" s="326" t="s">
        <v>189</v>
      </c>
      <c r="B8" s="326"/>
      <c r="C8" s="326"/>
      <c r="D8" s="326"/>
      <c r="E8" s="326"/>
      <c r="F8" s="326"/>
      <c r="G8" s="325">
        <f>SQRT((B7+C7+D7+E7+F7+G7)/6)</f>
        <v>0.57649900177213309</v>
      </c>
      <c r="H8" s="71"/>
      <c r="I8" s="79" t="s">
        <v>99</v>
      </c>
      <c r="J8" s="39">
        <v>1.9530000000000001</v>
      </c>
      <c r="K8" s="40" t="s">
        <v>91</v>
      </c>
      <c r="L8" s="41">
        <f>J8*$L$11</f>
        <v>1.9530000000000001E-10</v>
      </c>
      <c r="M8" s="42" t="s">
        <v>92</v>
      </c>
    </row>
    <row r="9" spans="1:16" s="17" customFormat="1" x14ac:dyDescent="0.25">
      <c r="A9" s="326"/>
      <c r="B9" s="326"/>
      <c r="C9" s="326"/>
      <c r="D9" s="326"/>
      <c r="E9" s="326"/>
      <c r="F9" s="326"/>
      <c r="G9" s="325"/>
      <c r="H9" s="71"/>
      <c r="I9" s="45" t="s">
        <v>102</v>
      </c>
      <c r="J9" s="64">
        <f>'AB Hysteresis'!B4</f>
        <v>0.24437500000000001</v>
      </c>
      <c r="K9" s="46" t="s">
        <v>91</v>
      </c>
      <c r="L9" s="47">
        <f>J9*$L$11</f>
        <v>2.4437500000000003E-11</v>
      </c>
      <c r="M9" s="48" t="s">
        <v>92</v>
      </c>
      <c r="P9" s="23"/>
    </row>
    <row r="10" spans="1:16" s="17" customFormat="1" ht="18" x14ac:dyDescent="0.25">
      <c r="A10" s="27"/>
      <c r="B10" s="118" t="s">
        <v>208</v>
      </c>
      <c r="C10" s="286">
        <f>'AB Hysteresis'!B5</f>
        <v>9.85</v>
      </c>
      <c r="D10" s="287"/>
      <c r="E10" s="126" t="s">
        <v>210</v>
      </c>
      <c r="F10" s="127">
        <v>8.5</v>
      </c>
      <c r="G10" s="288"/>
      <c r="H10" s="72"/>
      <c r="I10" s="55" t="s">
        <v>113</v>
      </c>
      <c r="J10" s="63">
        <f>0.027147</f>
        <v>2.7147000000000001E-2</v>
      </c>
      <c r="K10" s="46" t="s">
        <v>91</v>
      </c>
      <c r="L10" s="53">
        <f>J10*L11</f>
        <v>2.7147000000000001E-12</v>
      </c>
      <c r="M10" s="48" t="s">
        <v>92</v>
      </c>
      <c r="P10" s="23"/>
    </row>
    <row r="11" spans="1:16" s="17" customFormat="1" ht="20.399999999999999" x14ac:dyDescent="0.25">
      <c r="A11" s="27"/>
      <c r="B11" s="118" t="s">
        <v>209</v>
      </c>
      <c r="C11" s="324">
        <f>COS(RADIANS(C10))</f>
        <v>0.9852589874779214</v>
      </c>
      <c r="D11" s="324"/>
      <c r="E11" s="126" t="s">
        <v>211</v>
      </c>
      <c r="F11" s="323">
        <f>COS(RADIANS(F10))</f>
        <v>0.98901586336191682</v>
      </c>
      <c r="G11" s="323"/>
      <c r="H11" s="72"/>
      <c r="J11" s="140" t="s">
        <v>153</v>
      </c>
      <c r="K11" s="201" t="s">
        <v>111</v>
      </c>
      <c r="L11" s="141">
        <v>1E-10</v>
      </c>
      <c r="M11" s="142" t="s">
        <v>92</v>
      </c>
    </row>
    <row r="12" spans="1:16" s="17" customFormat="1" ht="19.8" x14ac:dyDescent="0.25">
      <c r="A12" s="62" t="s">
        <v>88</v>
      </c>
      <c r="B12" s="152" t="s">
        <v>27</v>
      </c>
      <c r="C12" s="90" t="s">
        <v>119</v>
      </c>
      <c r="D12" s="218" t="s">
        <v>132</v>
      </c>
      <c r="E12" s="66" t="s">
        <v>214</v>
      </c>
      <c r="F12" s="151" t="s">
        <v>133</v>
      </c>
      <c r="G12" s="219" t="s">
        <v>134</v>
      </c>
      <c r="H12" s="72"/>
    </row>
    <row r="13" spans="1:16" ht="18" customHeight="1" x14ac:dyDescent="0.25">
      <c r="A13" s="202">
        <v>0</v>
      </c>
      <c r="B13" s="200">
        <f>$J$10+'AB Hysteresis'!$B$6*('Magnetic moments'!$C$17*'Fundamental constants'!$F$24*$A13/(2*$L$1*$L$5))^(1/2)</f>
        <v>2.7147000000000001E-2</v>
      </c>
      <c r="C13" s="199">
        <f t="shared" ref="C13:C44" si="2">2*PI()*B13^2*($J$9-B13/3)</f>
        <v>1.0896661679392439E-3</v>
      </c>
      <c r="D13" s="185">
        <f>'BC Line'!$J$1*C13</f>
        <v>113.06416715912366</v>
      </c>
      <c r="E13" s="203">
        <f t="shared" ref="E13:E44" si="3">$C$11+A13*($F$11-$C$11)/($A$73-$A$13)</f>
        <v>0.9852589874779214</v>
      </c>
      <c r="F13" s="185">
        <f>'Magnetic moments'!$C$17*'Fundamental constants'!$F$24*A13*E13/'Fundamental constants'!$F$18</f>
        <v>0</v>
      </c>
      <c r="G13" s="185">
        <f t="shared" ref="G13:G44" si="4">D13+F13</f>
        <v>113.06416715912366</v>
      </c>
      <c r="H13" s="70"/>
      <c r="J13" s="58"/>
      <c r="N13" s="49"/>
    </row>
    <row r="14" spans="1:16" ht="18" customHeight="1" x14ac:dyDescent="0.25">
      <c r="A14" s="202">
        <f>A13+0.02</f>
        <v>0.02</v>
      </c>
      <c r="B14" s="200">
        <f>$J$10+'AB Hysteresis'!$B$6*('Magnetic moments'!$C$17*'Fundamental constants'!$F$24*$A14/(2*$L$1*$L$5))^(1/2)</f>
        <v>2.7451674688165874E-2</v>
      </c>
      <c r="C14" s="199">
        <f t="shared" si="2"/>
        <v>1.1137815060965363E-3</v>
      </c>
      <c r="D14" s="185">
        <f>'BC Line'!$J$1*C14</f>
        <v>115.56638362205318</v>
      </c>
      <c r="E14" s="203">
        <f t="shared" si="3"/>
        <v>0.98527777185734133</v>
      </c>
      <c r="F14" s="185">
        <f>'Magnetic moments'!$C$17*'Fundamental constants'!$F$24*A14*E14/'Fundamental constants'!$F$18</f>
        <v>7.9418871668023486E-2</v>
      </c>
      <c r="G14" s="185">
        <f t="shared" si="4"/>
        <v>115.64580249372121</v>
      </c>
      <c r="H14" s="70"/>
      <c r="L14" s="26"/>
      <c r="M14" s="49"/>
    </row>
    <row r="15" spans="1:16" ht="22.8" customHeight="1" x14ac:dyDescent="0.25">
      <c r="A15" s="202">
        <f t="shared" ref="A15:A38" si="5">A14+0.02</f>
        <v>0.04</v>
      </c>
      <c r="B15" s="200">
        <f>$J$10+'AB Hysteresis'!$B$6*('Magnetic moments'!$C$17*'Fundamental constants'!$F$24*$A15/(2*$L$1*$L$5))^(1/2)</f>
        <v>2.7577875076115973E-2</v>
      </c>
      <c r="C15" s="199">
        <f t="shared" si="2"/>
        <v>1.1238445401952604E-3</v>
      </c>
      <c r="D15" s="185">
        <f>'BC Line'!$J$1*C15</f>
        <v>116.61052778559808</v>
      </c>
      <c r="E15" s="203">
        <f t="shared" si="3"/>
        <v>0.98529655623676138</v>
      </c>
      <c r="F15" s="185">
        <f>'Magnetic moments'!$C$17*'Fundamental constants'!$F$24*A15*E15/'Fundamental constants'!$F$18</f>
        <v>0.15884077158708668</v>
      </c>
      <c r="G15" s="185">
        <f t="shared" si="4"/>
        <v>116.76936855718516</v>
      </c>
      <c r="H15" s="70"/>
    </row>
    <row r="16" spans="1:16" ht="18.600000000000001" customHeight="1" x14ac:dyDescent="0.25">
      <c r="A16" s="202">
        <f t="shared" si="5"/>
        <v>0.06</v>
      </c>
      <c r="B16" s="200">
        <f>$J$10+'AB Hysteresis'!$B$6*('Magnetic moments'!$C$17*'Fundamental constants'!$F$24*$A16/(2*$L$1*$L$5))^(1/2)</f>
        <v>2.76747120396835E-2</v>
      </c>
      <c r="C16" s="199">
        <f t="shared" si="2"/>
        <v>1.1315955998106957E-3</v>
      </c>
      <c r="D16" s="185">
        <f>'BC Line'!$J$1*C16</f>
        <v>117.41478061624004</v>
      </c>
      <c r="E16" s="203">
        <f t="shared" si="3"/>
        <v>0.98531534061618131</v>
      </c>
      <c r="F16" s="185">
        <f>'Magnetic moments'!$C$17*'Fundamental constants'!$F$24*A16*E16/'Fundamental constants'!$F$18</f>
        <v>0.23826569975718959</v>
      </c>
      <c r="G16" s="185">
        <f t="shared" si="4"/>
        <v>117.65304631599723</v>
      </c>
      <c r="H16" s="70"/>
      <c r="J16" s="52"/>
      <c r="N16" s="52"/>
    </row>
    <row r="17" spans="1:16" ht="24.6" customHeight="1" x14ac:dyDescent="0.25">
      <c r="A17" s="202">
        <f t="shared" si="5"/>
        <v>0.08</v>
      </c>
      <c r="B17" s="200">
        <f>$J$10+'AB Hysteresis'!$B$6*('Magnetic moments'!$C$17*'Fundamental constants'!$F$24*$A17/(2*$L$1*$L$5))^(1/2)</f>
        <v>2.775634937633175E-2</v>
      </c>
      <c r="C17" s="199">
        <f t="shared" si="2"/>
        <v>1.1381498840726417E-3</v>
      </c>
      <c r="D17" s="185">
        <f>'BC Line'!$J$1*C17</f>
        <v>118.09485559076415</v>
      </c>
      <c r="E17" s="203">
        <f t="shared" si="3"/>
        <v>0.98533412499560136</v>
      </c>
      <c r="F17" s="185">
        <f>'Magnetic moments'!$C$17*'Fundamental constants'!$F$24*A17*E17/'Fundamental constants'!$F$18</f>
        <v>0.31769365617833223</v>
      </c>
      <c r="G17" s="185">
        <f t="shared" si="4"/>
        <v>118.41254924694249</v>
      </c>
      <c r="H17" s="70"/>
    </row>
    <row r="18" spans="1:16" ht="12.75" customHeight="1" x14ac:dyDescent="0.25">
      <c r="A18" s="202">
        <f t="shared" si="5"/>
        <v>0.1</v>
      </c>
      <c r="B18" s="200">
        <f>$J$10+'AB Hysteresis'!$B$6*('Magnetic moments'!$C$17*'Fundamental constants'!$F$24*$A18/(2*$L$1*$L$5))^(1/2)</f>
        <v>2.7828273313762447E-2</v>
      </c>
      <c r="C18" s="199">
        <f t="shared" si="2"/>
        <v>1.1439393571399776E-3</v>
      </c>
      <c r="D18" s="185">
        <f>'BC Line'!$J$1*C18</f>
        <v>118.69557347107281</v>
      </c>
      <c r="E18" s="203">
        <f t="shared" si="3"/>
        <v>0.98535290937502129</v>
      </c>
      <c r="F18" s="185">
        <f>'Magnetic moments'!$C$17*'Fundamental constants'!$F$24*A18*E18/'Fundamental constants'!$F$18</f>
        <v>0.39712464085051458</v>
      </c>
      <c r="G18" s="185">
        <f t="shared" si="4"/>
        <v>119.09269811192333</v>
      </c>
      <c r="H18" s="70"/>
      <c r="I18" s="29"/>
    </row>
    <row r="19" spans="1:16" ht="12.75" customHeight="1" x14ac:dyDescent="0.25">
      <c r="A19" s="202">
        <f t="shared" si="5"/>
        <v>0.12000000000000001</v>
      </c>
      <c r="B19" s="200">
        <f>$J$10+'AB Hysteresis'!$B$6*('Magnetic moments'!$C$17*'Fundamental constants'!$F$24*$A19/(2*$L$1*$L$5))^(1/2)</f>
        <v>2.7893297523547973E-2</v>
      </c>
      <c r="C19" s="199">
        <f t="shared" si="2"/>
        <v>1.149185557103488E-3</v>
      </c>
      <c r="D19" s="185">
        <f>'BC Line'!$J$1*C19</f>
        <v>119.23992113192226</v>
      </c>
      <c r="E19" s="203">
        <f t="shared" si="3"/>
        <v>0.98537169375444122</v>
      </c>
      <c r="F19" s="185">
        <f>'Magnetic moments'!$C$17*'Fundamental constants'!$F$24*A19*E19/'Fundamental constants'!$F$18</f>
        <v>0.47655865377373674</v>
      </c>
      <c r="G19" s="185">
        <f t="shared" si="4"/>
        <v>119.716479785696</v>
      </c>
      <c r="H19" s="70"/>
    </row>
    <row r="20" spans="1:16" s="17" customFormat="1" ht="17.399999999999999" customHeight="1" x14ac:dyDescent="0.25">
      <c r="A20" s="202">
        <f t="shared" si="5"/>
        <v>0.14000000000000001</v>
      </c>
      <c r="B20" s="200">
        <f>$J$10+'AB Hysteresis'!$B$6*('Magnetic moments'!$C$17*'Fundamental constants'!$F$24*$A20/(2*$L$1*$L$5))^(1/2)</f>
        <v>2.7953093455663058E-2</v>
      </c>
      <c r="C20" s="199">
        <f t="shared" si="2"/>
        <v>1.1540200880846977E-3</v>
      </c>
      <c r="D20" s="185">
        <f>'BC Line'!$J$1*C20</f>
        <v>119.74155386594502</v>
      </c>
      <c r="E20" s="203">
        <f t="shared" si="3"/>
        <v>0.98539047813386127</v>
      </c>
      <c r="F20" s="185">
        <f>'Magnetic moments'!$C$17*'Fundamental constants'!$F$24*A20*E20/'Fundamental constants'!$F$18</f>
        <v>0.55599569494799861</v>
      </c>
      <c r="G20" s="185">
        <f t="shared" si="4"/>
        <v>120.29754956089302</v>
      </c>
      <c r="H20" s="71"/>
      <c r="I20" s="30"/>
    </row>
    <row r="21" spans="1:16" ht="13.2" customHeight="1" x14ac:dyDescent="0.25">
      <c r="A21" s="202">
        <f t="shared" si="5"/>
        <v>0.16</v>
      </c>
      <c r="B21" s="200">
        <f>$J$10+'AB Hysteresis'!$B$6*('Magnetic moments'!$C$17*'Fundamental constants'!$F$24*$A21/(2*$L$1*$L$5))^(1/2)</f>
        <v>2.8008750152231945E-2</v>
      </c>
      <c r="C21" s="199">
        <f t="shared" si="2"/>
        <v>1.1585286976648389E-3</v>
      </c>
      <c r="D21" s="185">
        <f>'BC Line'!$J$1*C21</f>
        <v>120.20936887408496</v>
      </c>
      <c r="E21" s="203">
        <f t="shared" si="3"/>
        <v>0.9854092625132812</v>
      </c>
      <c r="F21" s="185">
        <f>'Magnetic moments'!$C$17*'Fundamental constants'!$F$24*A21*E21/'Fundamental constants'!$F$18</f>
        <v>0.63543576437329996</v>
      </c>
      <c r="G21" s="185">
        <f t="shared" si="4"/>
        <v>120.84480463845826</v>
      </c>
      <c r="H21" s="70"/>
    </row>
    <row r="22" spans="1:16" ht="13.2" customHeight="1" x14ac:dyDescent="0.25">
      <c r="A22" s="202">
        <f>A21+0.02</f>
        <v>0.18</v>
      </c>
      <c r="B22" s="200">
        <f>$J$10+'AB Hysteresis'!$B$6*('Magnetic moments'!$C$17*'Fundamental constants'!$F$24*$A22/(2*$L$1*$L$5))^(1/2)</f>
        <v>2.8061024064497623E-2</v>
      </c>
      <c r="C22" s="199">
        <f t="shared" si="2"/>
        <v>1.1627709464662763E-3</v>
      </c>
      <c r="D22" s="185">
        <f>'BC Line'!$J$1*C22</f>
        <v>120.6495461886871</v>
      </c>
      <c r="E22" s="203">
        <f t="shared" si="3"/>
        <v>0.98542804689270125</v>
      </c>
      <c r="F22" s="185">
        <f>'Magnetic moments'!$C$17*'Fundamental constants'!$F$24*A22*E22/'Fundamental constants'!$F$18</f>
        <v>0.71487886204964113</v>
      </c>
      <c r="G22" s="185">
        <f t="shared" si="4"/>
        <v>121.36442505073674</v>
      </c>
      <c r="H22" s="70"/>
    </row>
    <row r="23" spans="1:16" ht="13.2" customHeight="1" x14ac:dyDescent="0.25">
      <c r="A23" s="202">
        <f t="shared" si="5"/>
        <v>0.19999999999999998</v>
      </c>
      <c r="B23" s="200">
        <f>$J$10+'AB Hysteresis'!$B$6*('Magnetic moments'!$C$17*'Fundamental constants'!$F$24*$A23/(2*$L$1*$L$5))^(1/2)</f>
        <v>2.8110465960005711E-2</v>
      </c>
      <c r="C23" s="199">
        <f t="shared" si="2"/>
        <v>1.1667902003237769E-3</v>
      </c>
      <c r="D23" s="185">
        <f>'BC Line'!$J$1*C23</f>
        <v>121.06658546490765</v>
      </c>
      <c r="E23" s="203">
        <f t="shared" si="3"/>
        <v>0.98544683127212118</v>
      </c>
      <c r="F23" s="185">
        <f>'Magnetic moments'!$C$17*'Fundamental constants'!$F$24*A23*E23/'Fundamental constants'!$F$18</f>
        <v>0.794324987977022</v>
      </c>
      <c r="G23" s="185">
        <f t="shared" si="4"/>
        <v>121.86091045288467</v>
      </c>
      <c r="H23" s="70"/>
    </row>
    <row r="24" spans="1:16" ht="13.2" customHeight="1" x14ac:dyDescent="0.25">
      <c r="A24" s="202">
        <f t="shared" si="5"/>
        <v>0.21999999999999997</v>
      </c>
      <c r="B24" s="200">
        <f>$J$10+'AB Hysteresis'!$B$6*('Magnetic moments'!$C$17*'Fundamental constants'!$F$24*$A24/(2*$L$1*$L$5))^(1/2)</f>
        <v>2.8157491623764741E-2</v>
      </c>
      <c r="C24" s="199">
        <f t="shared" si="2"/>
        <v>1.1706191970211773E-3</v>
      </c>
      <c r="D24" s="185">
        <f>'BC Line'!$J$1*C24</f>
        <v>121.46388358738248</v>
      </c>
      <c r="E24" s="203">
        <f t="shared" si="3"/>
        <v>0.98546561565154112</v>
      </c>
      <c r="F24" s="185">
        <f>'Magnetic moments'!$C$17*'Fundamental constants'!$F$24*A24*E24/'Fundamental constants'!$F$18</f>
        <v>0.87377414215544258</v>
      </c>
      <c r="G24" s="185">
        <f t="shared" si="4"/>
        <v>122.33765772953792</v>
      </c>
      <c r="H24" s="73"/>
      <c r="I24" s="2"/>
    </row>
    <row r="25" spans="1:16" x14ac:dyDescent="0.25">
      <c r="A25" s="202">
        <f t="shared" si="5"/>
        <v>0.23999999999999996</v>
      </c>
      <c r="B25" s="200">
        <f>$J$10+'AB Hysteresis'!$B$6*('Magnetic moments'!$C$17*'Fundamental constants'!$F$24*$A25/(2*$L$1*$L$5))^(1/2)</f>
        <v>2.8202424079366996E-2</v>
      </c>
      <c r="C25" s="199">
        <f t="shared" si="2"/>
        <v>1.1742833706231972E-3</v>
      </c>
      <c r="D25" s="185">
        <f>'BC Line'!$J$1*C25</f>
        <v>121.84407960413348</v>
      </c>
      <c r="E25" s="203">
        <f t="shared" si="3"/>
        <v>0.98548440003096116</v>
      </c>
      <c r="F25" s="185">
        <f>'Magnetic moments'!$C$17*'Fundamental constants'!$F$24*A25*E25/'Fundamental constants'!$F$18</f>
        <v>0.95322632458490308</v>
      </c>
      <c r="G25" s="185">
        <f t="shared" si="4"/>
        <v>122.79730592871839</v>
      </c>
      <c r="H25" s="70"/>
    </row>
    <row r="26" spans="1:16" x14ac:dyDescent="0.25">
      <c r="A26" s="202">
        <f t="shared" si="5"/>
        <v>0.25999999999999995</v>
      </c>
      <c r="B26" s="200">
        <f>$J$10+'AB Hysteresis'!$B$6*('Magnetic moments'!$C$17*'Fundamental constants'!$F$24*$A26/(2*$L$1*$L$5))^(1/2)</f>
        <v>2.8245520210518061E-2</v>
      </c>
      <c r="C26" s="199">
        <f t="shared" si="2"/>
        <v>1.1778029475565329E-3</v>
      </c>
      <c r="D26" s="185">
        <f>'BC Line'!$J$1*C26</f>
        <v>122.20927221672294</v>
      </c>
      <c r="E26" s="203">
        <f t="shared" si="3"/>
        <v>0.98550318441038109</v>
      </c>
      <c r="F26" s="185">
        <f>'Magnetic moments'!$C$17*'Fundamental constants'!$F$24*A26*E26/'Fundamental constants'!$F$18</f>
        <v>1.0326815352654031</v>
      </c>
      <c r="G26" s="185">
        <f t="shared" si="4"/>
        <v>123.24195375198833</v>
      </c>
      <c r="H26" s="70"/>
    </row>
    <row r="27" spans="1:16" ht="17.399999999999999" customHeight="1" x14ac:dyDescent="0.25">
      <c r="A27" s="202">
        <f>A26+0.02</f>
        <v>0.27999999999999997</v>
      </c>
      <c r="B27" s="200">
        <f>$J$10+'AB Hysteresis'!$B$6*('Magnetic moments'!$C$17*'Fundamental constants'!$F$24*$A27/(2*$L$1*$L$5))^(1/2)</f>
        <v>2.8286988297538892E-2</v>
      </c>
      <c r="C27" s="199">
        <f t="shared" si="2"/>
        <v>1.1811943273708665E-3</v>
      </c>
      <c r="D27" s="185">
        <f>'BC Line'!$J$1*C27</f>
        <v>122.56116304852975</v>
      </c>
      <c r="E27" s="203">
        <f t="shared" si="3"/>
        <v>0.98552196878980103</v>
      </c>
      <c r="F27" s="185">
        <f>'Magnetic moments'!$C$17*'Fundamental constants'!$F$24*A27*E27/'Fundamental constants'!$F$18</f>
        <v>1.1121397741969428</v>
      </c>
      <c r="G27" s="185">
        <f t="shared" si="4"/>
        <v>123.6733028227267</v>
      </c>
      <c r="H27" s="70"/>
      <c r="I27" s="257"/>
      <c r="J27" s="257"/>
      <c r="K27" s="257"/>
      <c r="L27" s="257"/>
      <c r="M27" s="257"/>
      <c r="N27" s="257"/>
      <c r="O27" s="257"/>
      <c r="P27" s="257"/>
    </row>
    <row r="28" spans="1:16" ht="13.2" customHeight="1" x14ac:dyDescent="0.25">
      <c r="A28" s="202">
        <f t="shared" si="5"/>
        <v>0.3</v>
      </c>
      <c r="B28" s="200">
        <f>$J$10+'AB Hysteresis'!$B$6*('Magnetic moments'!$C$17*'Fundamental constants'!$F$24*$A28/(2*$L$1*$L$5))^(1/2)</f>
        <v>2.8326999993277369E-2</v>
      </c>
      <c r="C28" s="199">
        <f t="shared" si="2"/>
        <v>1.1844710256800131E-3</v>
      </c>
      <c r="D28" s="185">
        <f>'BC Line'!$J$1*C28</f>
        <v>122.90115448467391</v>
      </c>
      <c r="E28" s="203">
        <f t="shared" si="3"/>
        <v>0.98554075316922107</v>
      </c>
      <c r="F28" s="185">
        <f>'Magnetic moments'!$C$17*'Fundamental constants'!$F$24*A28*E28/'Fundamental constants'!$F$18</f>
        <v>1.1916010413795226</v>
      </c>
      <c r="G28" s="185">
        <f t="shared" si="4"/>
        <v>124.09275552605344</v>
      </c>
      <c r="H28" s="70"/>
      <c r="I28" s="257"/>
      <c r="J28" s="257"/>
      <c r="K28" s="257"/>
      <c r="L28" s="257"/>
      <c r="M28" s="257"/>
      <c r="N28" s="257"/>
      <c r="O28" s="257"/>
      <c r="P28" s="257"/>
    </row>
    <row r="29" spans="1:16" ht="13.2" customHeight="1" x14ac:dyDescent="0.25">
      <c r="A29" s="202">
        <f t="shared" si="5"/>
        <v>0.32</v>
      </c>
      <c r="B29" s="200">
        <f>$J$10+'AB Hysteresis'!$B$6*('Magnetic moments'!$C$17*'Fundamental constants'!$F$24*$A29/(2*$L$1*$L$5))^(1/2)</f>
        <v>2.8365698752663496E-2</v>
      </c>
      <c r="C29" s="199">
        <f t="shared" si="2"/>
        <v>1.1876443378761592E-3</v>
      </c>
      <c r="D29" s="185">
        <f>'BC Line'!$J$1*C29</f>
        <v>123.23041853925284</v>
      </c>
      <c r="E29" s="203">
        <f t="shared" si="3"/>
        <v>0.98555953754864101</v>
      </c>
      <c r="F29" s="185">
        <f>'Magnetic moments'!$C$17*'Fundamental constants'!$F$24*A29*E29/'Fundamental constants'!$F$18</f>
        <v>1.2710653368131417</v>
      </c>
      <c r="G29" s="185">
        <f t="shared" si="4"/>
        <v>124.50148387606598</v>
      </c>
      <c r="H29" s="70"/>
      <c r="I29" s="257"/>
      <c r="J29" s="257"/>
      <c r="K29" s="257"/>
      <c r="L29" s="257"/>
      <c r="M29" s="257"/>
      <c r="N29" s="257"/>
      <c r="O29" s="257"/>
      <c r="P29" s="257"/>
    </row>
    <row r="30" spans="1:16" ht="13.2" customHeight="1" x14ac:dyDescent="0.25">
      <c r="A30" s="202">
        <f t="shared" si="5"/>
        <v>0.34</v>
      </c>
      <c r="B30" s="200">
        <f>$J$10+'AB Hysteresis'!$B$6*('Magnetic moments'!$C$17*'Fundamental constants'!$F$24*$A30/(2*$L$1*$L$5))^(1/2)</f>
        <v>2.8403205920760021E-2</v>
      </c>
      <c r="C30" s="199">
        <f t="shared" si="2"/>
        <v>1.1907238184825785E-3</v>
      </c>
      <c r="D30" s="185">
        <f>'BC Line'!$J$1*C30</f>
        <v>123.54994659315757</v>
      </c>
      <c r="E30" s="203">
        <f t="shared" si="3"/>
        <v>0.98557832192806105</v>
      </c>
      <c r="F30" s="185">
        <f>'Magnetic moments'!$C$17*'Fundamental constants'!$F$24*A30*E30/'Fundamental constants'!$F$18</f>
        <v>1.3505326604978007</v>
      </c>
      <c r="G30" s="185">
        <f t="shared" si="4"/>
        <v>124.90047925365538</v>
      </c>
      <c r="H30" s="70"/>
      <c r="I30" s="257"/>
      <c r="J30" s="257"/>
      <c r="K30" s="257"/>
      <c r="L30" s="257"/>
      <c r="M30" s="257"/>
      <c r="N30" s="257"/>
      <c r="O30" s="257"/>
      <c r="P30" s="257"/>
    </row>
    <row r="31" spans="1:16" ht="13.2" customHeight="1" x14ac:dyDescent="0.25">
      <c r="A31" s="202">
        <f t="shared" si="5"/>
        <v>0.36000000000000004</v>
      </c>
      <c r="B31" s="200">
        <f>$J$10+'AB Hysteresis'!$B$6*('Magnetic moments'!$C$17*'Fundamental constants'!$F$24*$A31/(2*$L$1*$L$5))^(1/2)</f>
        <v>2.843962522834792E-2</v>
      </c>
      <c r="C31" s="199">
        <f t="shared" si="2"/>
        <v>1.1937176351213539E-3</v>
      </c>
      <c r="D31" s="185">
        <f>'BC Line'!$J$1*C31</f>
        <v>123.86058612189547</v>
      </c>
      <c r="E31" s="203">
        <f t="shared" si="3"/>
        <v>0.98559710630748099</v>
      </c>
      <c r="F31" s="185">
        <f>'Magnetic moments'!$C$17*'Fundamental constants'!$F$24*A31*E31/'Fundamental constants'!$F$18</f>
        <v>1.4300030124334995</v>
      </c>
      <c r="G31" s="185">
        <f t="shared" si="4"/>
        <v>125.29058913432897</v>
      </c>
      <c r="H31" s="70"/>
      <c r="I31" s="257"/>
      <c r="J31" s="257"/>
      <c r="K31" s="257"/>
      <c r="L31" s="257"/>
      <c r="M31" s="257"/>
      <c r="N31" s="257"/>
      <c r="O31" s="257"/>
      <c r="P31" s="257"/>
    </row>
    <row r="32" spans="1:16" ht="13.2" customHeight="1" x14ac:dyDescent="0.25">
      <c r="A32" s="202">
        <f t="shared" si="5"/>
        <v>0.38000000000000006</v>
      </c>
      <c r="B32" s="200">
        <f>$J$10+'AB Hysteresis'!$B$6*('Magnetic moments'!$C$17*'Fundamental constants'!$F$24*$A32/(2*$L$1*$L$5))^(1/2)</f>
        <v>2.8475046176369815E-2</v>
      </c>
      <c r="C32" s="199">
        <f t="shared" si="2"/>
        <v>1.1966328349936864E-3</v>
      </c>
      <c r="D32" s="185">
        <f>'BC Line'!$J$1*C32</f>
        <v>124.16306834568609</v>
      </c>
      <c r="E32" s="203">
        <f t="shared" si="3"/>
        <v>0.98561589068690092</v>
      </c>
      <c r="F32" s="185">
        <f>'Magnetic moments'!$C$17*'Fundamental constants'!$F$24*A32*E32/'Fundamental constants'!$F$18</f>
        <v>1.5094763926202379</v>
      </c>
      <c r="G32" s="185">
        <f t="shared" si="4"/>
        <v>125.67254473830633</v>
      </c>
      <c r="H32" s="70"/>
      <c r="I32" s="257"/>
      <c r="J32" s="257"/>
      <c r="K32" s="257"/>
      <c r="L32" s="257"/>
      <c r="M32" s="257"/>
      <c r="N32" s="257"/>
      <c r="O32" s="257"/>
      <c r="P32" s="257"/>
    </row>
    <row r="33" spans="1:16" ht="13.2" customHeight="1" x14ac:dyDescent="0.25">
      <c r="A33" s="202">
        <f t="shared" si="5"/>
        <v>0.40000000000000008</v>
      </c>
      <c r="B33" s="200">
        <f>$J$10+'AB Hysteresis'!$B$6*('Magnetic moments'!$C$17*'Fundamental constants'!$F$24*$A33/(2*$L$1*$L$5))^(1/2)</f>
        <v>2.850954662752489E-2</v>
      </c>
      <c r="C33" s="199">
        <f t="shared" si="2"/>
        <v>1.1994755489340529E-3</v>
      </c>
      <c r="D33" s="185">
        <f>'BC Line'!$J$1*C33</f>
        <v>124.45802940219664</v>
      </c>
      <c r="E33" s="203">
        <f t="shared" si="3"/>
        <v>0.98563467506632096</v>
      </c>
      <c r="F33" s="185">
        <f>'Magnetic moments'!$C$17*'Fundamental constants'!$F$24*A33*E33/'Fundamental constants'!$F$18</f>
        <v>1.5889528010580163</v>
      </c>
      <c r="G33" s="185">
        <f t="shared" si="4"/>
        <v>126.04698220325466</v>
      </c>
      <c r="H33" s="70"/>
      <c r="I33" s="257"/>
      <c r="J33" s="257"/>
      <c r="K33" s="257"/>
      <c r="L33" s="257"/>
      <c r="M33" s="257"/>
      <c r="N33" s="257"/>
      <c r="O33" s="257"/>
      <c r="P33" s="257"/>
    </row>
    <row r="34" spans="1:16" ht="13.2" customHeight="1" x14ac:dyDescent="0.25">
      <c r="A34" s="202">
        <f t="shared" si="5"/>
        <v>0.4200000000000001</v>
      </c>
      <c r="B34" s="200">
        <f>$J$10+'AB Hysteresis'!$B$6*('Magnetic moments'!$C$17*'Fundamental constants'!$F$24*$A34/(2*$L$1*$L$5))^(1/2)</f>
        <v>2.8543194820857185E-2</v>
      </c>
      <c r="C34" s="199">
        <f t="shared" si="2"/>
        <v>1.2022511500328163E-3</v>
      </c>
      <c r="D34" s="185">
        <f>'BC Line'!$J$1*C34</f>
        <v>124.74602680528307</v>
      </c>
      <c r="E34" s="203">
        <f t="shared" si="3"/>
        <v>0.9856534594457409</v>
      </c>
      <c r="F34" s="185">
        <f>'Magnetic moments'!$C$17*'Fundamental constants'!$F$24*A34*E34/'Fundamental constants'!$F$18</f>
        <v>1.6684322377468341</v>
      </c>
      <c r="G34" s="185">
        <f t="shared" si="4"/>
        <v>126.41445904302989</v>
      </c>
      <c r="H34" s="70"/>
      <c r="I34" s="257"/>
      <c r="J34" s="257"/>
      <c r="K34" s="257"/>
      <c r="L34" s="257"/>
      <c r="M34" s="257"/>
      <c r="N34" s="257"/>
      <c r="O34" s="257"/>
      <c r="P34" s="257"/>
    </row>
    <row r="35" spans="1:16" ht="13.2" customHeight="1" x14ac:dyDescent="0.25">
      <c r="A35" s="202">
        <f t="shared" si="5"/>
        <v>0.44000000000000011</v>
      </c>
      <c r="B35" s="200">
        <f>$J$10+'AB Hysteresis'!$B$6*('Magnetic moments'!$C$17*'Fundamental constants'!$F$24*$A35/(2*$L$1*$L$5))^(1/2)</f>
        <v>2.8576050958992506E-2</v>
      </c>
      <c r="C35" s="199">
        <f t="shared" si="2"/>
        <v>1.2049643786106103E-3</v>
      </c>
      <c r="D35" s="185">
        <f>'BC Line'!$J$1*C35</f>
        <v>125.02755241237864</v>
      </c>
      <c r="E35" s="203">
        <f t="shared" si="3"/>
        <v>0.98567224382516094</v>
      </c>
      <c r="F35" s="185">
        <f>'Magnetic moments'!$C$17*'Fundamental constants'!$F$24*A35*E35/'Fundamental constants'!$F$18</f>
        <v>1.7479147026866919</v>
      </c>
      <c r="G35" s="185">
        <f t="shared" si="4"/>
        <v>126.77546711506533</v>
      </c>
      <c r="H35" s="70"/>
      <c r="I35" s="257"/>
      <c r="J35" s="257"/>
      <c r="K35" s="257"/>
      <c r="L35" s="257"/>
      <c r="M35" s="257"/>
      <c r="N35" s="257"/>
      <c r="O35" s="257"/>
      <c r="P35" s="257"/>
    </row>
    <row r="36" spans="1:16" ht="13.2" customHeight="1" x14ac:dyDescent="0.25">
      <c r="A36" s="202">
        <f t="shared" si="5"/>
        <v>0.46000000000000013</v>
      </c>
      <c r="B36" s="200">
        <f>$J$10+'AB Hysteresis'!$B$6*('Magnetic moments'!$C$17*'Fundamental constants'!$F$24*$A36/(2*$L$1*$L$5))^(1/2)</f>
        <v>2.8608168473861374E-2</v>
      </c>
      <c r="C36" s="199">
        <f t="shared" si="2"/>
        <v>1.2076194418777623E-3</v>
      </c>
      <c r="D36" s="185">
        <f>'BC Line'!$J$1*C36</f>
        <v>125.30304276519288</v>
      </c>
      <c r="E36" s="203">
        <f t="shared" si="3"/>
        <v>0.98569102820458088</v>
      </c>
      <c r="F36" s="185">
        <f>'Magnetic moments'!$C$17*'Fundamental constants'!$F$24*A36*E36/'Fundamental constants'!$F$18</f>
        <v>1.8274001958775892</v>
      </c>
      <c r="G36" s="185">
        <f t="shared" si="4"/>
        <v>127.13044296107047</v>
      </c>
      <c r="H36" s="70"/>
      <c r="I36" s="257"/>
      <c r="J36" s="257"/>
      <c r="K36" s="257"/>
      <c r="L36" s="257"/>
      <c r="M36" s="257"/>
      <c r="N36" s="257"/>
      <c r="O36" s="257"/>
      <c r="P36" s="257"/>
    </row>
    <row r="37" spans="1:16" ht="13.2" customHeight="1" x14ac:dyDescent="0.25">
      <c r="A37" s="202">
        <f t="shared" si="5"/>
        <v>0.48000000000000015</v>
      </c>
      <c r="B37" s="200">
        <f>$J$10+'AB Hysteresis'!$B$6*('Magnetic moments'!$C$17*'Fundamental constants'!$F$24*$A37/(2*$L$1*$L$5))^(1/2)</f>
        <v>2.8639595047095946E-2</v>
      </c>
      <c r="C37" s="199">
        <f t="shared" si="2"/>
        <v>1.2102200942775284E-3</v>
      </c>
      <c r="D37" s="185">
        <f>'BC Line'!$J$1*C37</f>
        <v>125.57288742615543</v>
      </c>
      <c r="E37" s="203">
        <f t="shared" si="3"/>
        <v>0.98570981258400081</v>
      </c>
      <c r="F37" s="185">
        <f>'Magnetic moments'!$C$17*'Fundamental constants'!$F$24*A37*E37/'Fundamental constants'!$F$18</f>
        <v>1.9068887173195261</v>
      </c>
      <c r="G37" s="185">
        <f t="shared" si="4"/>
        <v>127.47977614347496</v>
      </c>
      <c r="H37" s="70"/>
      <c r="I37" s="257"/>
      <c r="J37" s="257"/>
      <c r="K37" s="257"/>
      <c r="L37" s="257"/>
      <c r="M37" s="257"/>
      <c r="N37" s="257"/>
      <c r="O37" s="257"/>
      <c r="P37" s="257"/>
    </row>
    <row r="38" spans="1:16" ht="13.2" customHeight="1" x14ac:dyDescent="0.25">
      <c r="A38" s="202">
        <f t="shared" si="5"/>
        <v>0.50000000000000011</v>
      </c>
      <c r="B38" s="200">
        <f>$J$10+'AB Hysteresis'!$B$6*('Magnetic moments'!$C$17*'Fundamental constants'!$F$24*$A38/(2*$L$1*$L$5))^(1/2)</f>
        <v>2.8670373440829372E-2</v>
      </c>
      <c r="C38" s="199">
        <f t="shared" si="2"/>
        <v>1.2127697029010091E-3</v>
      </c>
      <c r="D38" s="185">
        <f>'BC Line'!$J$1*C38</f>
        <v>125.83743576589212</v>
      </c>
      <c r="E38" s="203">
        <f t="shared" si="3"/>
        <v>0.98572859696342086</v>
      </c>
      <c r="F38" s="185">
        <f>'Magnetic moments'!$C$17*'Fundamental constants'!$F$24*A38*E38/'Fundamental constants'!$F$18</f>
        <v>1.9863802670125028</v>
      </c>
      <c r="G38" s="185">
        <f t="shared" si="4"/>
        <v>127.82381603290463</v>
      </c>
      <c r="H38" s="70"/>
      <c r="I38" s="257"/>
      <c r="J38" s="257"/>
      <c r="K38" s="257"/>
      <c r="L38" s="257"/>
      <c r="M38" s="257"/>
      <c r="N38" s="257"/>
      <c r="O38" s="257"/>
      <c r="P38" s="257"/>
    </row>
    <row r="39" spans="1:16" ht="13.2" customHeight="1" x14ac:dyDescent="0.25">
      <c r="A39" s="202">
        <f t="shared" ref="A39:A73" si="6">A38+0.1</f>
        <v>0.60000000000000009</v>
      </c>
      <c r="B39" s="200">
        <f>$J$10+'AB Hysteresis'!$B$6*('Magnetic moments'!$C$17*'Fundamental constants'!$F$24*$A39/(2*$L$1*$L$5))^(1/2)</f>
        <v>2.8815771994093017E-2</v>
      </c>
      <c r="C39" s="199">
        <f t="shared" si="2"/>
        <v>1.2248488831272941E-3</v>
      </c>
      <c r="D39" s="185">
        <f>'BC Line'!$J$1*C39</f>
        <v>127.09077600204233</v>
      </c>
      <c r="E39" s="203">
        <f t="shared" si="3"/>
        <v>0.98582251886052075</v>
      </c>
      <c r="F39" s="185">
        <f>'Magnetic moments'!$C$17*'Fundamental constants'!$F$24*A39*E39/'Fundamental constants'!$F$18</f>
        <v>2.383883439242982</v>
      </c>
      <c r="G39" s="185">
        <f t="shared" si="4"/>
        <v>129.47465944128533</v>
      </c>
      <c r="H39" s="70"/>
      <c r="I39" s="257"/>
      <c r="J39" s="257"/>
      <c r="K39" s="257"/>
      <c r="L39" s="257"/>
      <c r="M39" s="257"/>
      <c r="N39" s="257"/>
      <c r="O39" s="257"/>
      <c r="P39" s="257"/>
    </row>
    <row r="40" spans="1:16" ht="13.2" customHeight="1" x14ac:dyDescent="0.25">
      <c r="A40" s="202">
        <f t="shared" si="6"/>
        <v>0.70000000000000007</v>
      </c>
      <c r="B40" s="200">
        <f>$J$10+'AB Hysteresis'!$B$6*('Magnetic moments'!$C$17*'Fundamental constants'!$F$24*$A40/(2*$L$1*$L$5))^(1/2)</f>
        <v>2.8949479763080307E-2</v>
      </c>
      <c r="C40" s="199">
        <f t="shared" si="2"/>
        <v>1.2360073810232396E-3</v>
      </c>
      <c r="D40" s="185">
        <f>'BC Line'!$J$1*C40</f>
        <v>128.24858589691854</v>
      </c>
      <c r="E40" s="203">
        <f t="shared" si="3"/>
        <v>0.98591644075762064</v>
      </c>
      <c r="F40" s="185">
        <f>'Magnetic moments'!$C$17*'Fundamental constants'!$F$24*A40*E40/'Fundamental constants'!$F$18</f>
        <v>2.7814623177494542</v>
      </c>
      <c r="G40" s="185">
        <f t="shared" si="4"/>
        <v>131.030048214668</v>
      </c>
      <c r="H40" s="70"/>
      <c r="I40" s="257"/>
      <c r="J40" s="257"/>
      <c r="K40" s="257"/>
      <c r="L40" s="257"/>
      <c r="M40" s="257"/>
      <c r="N40" s="257"/>
      <c r="O40" s="257"/>
      <c r="P40" s="257"/>
    </row>
    <row r="41" spans="1:16" ht="13.2" customHeight="1" x14ac:dyDescent="0.25">
      <c r="A41" s="202">
        <f t="shared" si="6"/>
        <v>0.8</v>
      </c>
      <c r="B41" s="200">
        <f>$J$10+'AB Hysteresis'!$B$6*('Magnetic moments'!$C$17*'Fundamental constants'!$F$24*$A41/(2*$L$1*$L$5))^(1/2)</f>
        <v>2.9073931920011422E-2</v>
      </c>
      <c r="C41" s="199">
        <f t="shared" si="2"/>
        <v>1.2464369461339083E-3</v>
      </c>
      <c r="D41" s="185">
        <f>'BC Line'!$J$1*C41</f>
        <v>129.33076145468567</v>
      </c>
      <c r="E41" s="203">
        <f t="shared" si="3"/>
        <v>0.98601036265472053</v>
      </c>
      <c r="F41" s="185">
        <f>'Magnetic moments'!$C$17*'Fundamental constants'!$F$24*A41*E41/'Fundamental constants'!$F$18</f>
        <v>3.1791169025319186</v>
      </c>
      <c r="G41" s="185">
        <f t="shared" si="4"/>
        <v>132.50987835721759</v>
      </c>
      <c r="H41" s="70"/>
      <c r="I41" s="257"/>
      <c r="J41" s="257"/>
      <c r="K41" s="257"/>
      <c r="L41" s="257"/>
      <c r="M41" s="257"/>
      <c r="N41" s="257"/>
      <c r="O41" s="257"/>
      <c r="P41" s="257"/>
    </row>
    <row r="42" spans="1:16" ht="13.2" customHeight="1" x14ac:dyDescent="0.25">
      <c r="A42" s="202">
        <f t="shared" si="6"/>
        <v>0.9</v>
      </c>
      <c r="B42" s="200">
        <f>$J$10+'AB Hysteresis'!$B$6*('Magnetic moments'!$C$17*'Fundamental constants'!$F$24*$A42/(2*$L$1*$L$5))^(1/2)</f>
        <v>2.9190819941287336E-2</v>
      </c>
      <c r="C42" s="199">
        <f t="shared" si="2"/>
        <v>1.2562707698143419E-3</v>
      </c>
      <c r="D42" s="185">
        <f>'BC Line'!$J$1*C42</f>
        <v>130.35112265991663</v>
      </c>
      <c r="E42" s="203">
        <f t="shared" si="3"/>
        <v>0.98610428455182042</v>
      </c>
      <c r="F42" s="185">
        <f>'Magnetic moments'!$C$17*'Fundamental constants'!$F$24*A42*E42/'Fundamental constants'!$F$18</f>
        <v>3.5768471935903774</v>
      </c>
      <c r="G42" s="185">
        <f t="shared" si="4"/>
        <v>133.92796985350699</v>
      </c>
      <c r="H42" s="70"/>
      <c r="I42" s="257"/>
      <c r="J42" s="257"/>
      <c r="K42" s="257"/>
      <c r="L42" s="257"/>
      <c r="M42" s="257"/>
      <c r="N42" s="257"/>
      <c r="O42" s="257"/>
      <c r="P42" s="257"/>
    </row>
    <row r="43" spans="1:16" ht="13.2" customHeight="1" x14ac:dyDescent="0.25">
      <c r="A43" s="202">
        <f t="shared" si="6"/>
        <v>1</v>
      </c>
      <c r="B43" s="200">
        <f>$J$10+'AB Hysteresis'!$B$6*('Magnetic moments'!$C$17*'Fundamental constants'!$F$24*$A43/(2*$L$1*$L$5))^(1/2)</f>
        <v>2.9301375380579864E-2</v>
      </c>
      <c r="C43" s="199">
        <f t="shared" si="2"/>
        <v>1.2656058290886876E-3</v>
      </c>
      <c r="D43" s="185">
        <f>'BC Line'!$J$1*C43</f>
        <v>131.31973188473182</v>
      </c>
      <c r="E43" s="203">
        <f t="shared" si="3"/>
        <v>0.9861982064489202</v>
      </c>
      <c r="F43" s="185">
        <f>'Magnetic moments'!$C$17*'Fundamental constants'!$F$24*A43*E43/'Fundamental constants'!$F$18</f>
        <v>3.9746531909248271</v>
      </c>
      <c r="G43" s="185">
        <f t="shared" si="4"/>
        <v>135.29438507565666</v>
      </c>
      <c r="H43" s="70"/>
      <c r="I43" s="257"/>
      <c r="J43" s="257"/>
      <c r="K43" s="257"/>
      <c r="L43" s="257"/>
      <c r="M43" s="257"/>
      <c r="N43" s="257"/>
      <c r="O43" s="257"/>
      <c r="P43" s="257"/>
    </row>
    <row r="44" spans="1:16" ht="13.2" customHeight="1" x14ac:dyDescent="0.25">
      <c r="A44" s="202">
        <f t="shared" si="6"/>
        <v>1.1000000000000001</v>
      </c>
      <c r="B44" s="200">
        <f>$J$10+'AB Hysteresis'!$B$6*('Magnetic moments'!$C$17*'Fundamental constants'!$F$24*$A44/(2*$L$1*$L$5))^(1/2)</f>
        <v>2.9406527961432099E-2</v>
      </c>
      <c r="C44" s="199">
        <f t="shared" si="2"/>
        <v>1.274515334687751E-3</v>
      </c>
      <c r="D44" s="185">
        <f>'BC Line'!$J$1*C44</f>
        <v>132.2441855018086</v>
      </c>
      <c r="E44" s="203">
        <f t="shared" si="3"/>
        <v>0.98629212834602009</v>
      </c>
      <c r="F44" s="185">
        <f>'Magnetic moments'!$C$17*'Fundamental constants'!$F$24*A44*E44/'Fundamental constants'!$F$18</f>
        <v>4.3725348945352707</v>
      </c>
      <c r="G44" s="185">
        <f t="shared" si="4"/>
        <v>136.61672039634388</v>
      </c>
      <c r="H44" s="70"/>
      <c r="I44" s="257"/>
      <c r="J44" s="257"/>
      <c r="K44" s="257"/>
      <c r="L44" s="257"/>
      <c r="M44" s="257"/>
      <c r="N44" s="257"/>
      <c r="O44" s="257"/>
      <c r="P44" s="257"/>
    </row>
    <row r="45" spans="1:16" ht="13.2" customHeight="1" x14ac:dyDescent="0.25">
      <c r="A45" s="202">
        <f t="shared" si="6"/>
        <v>1.2000000000000002</v>
      </c>
      <c r="B45" s="200">
        <f>$J$10+'AB Hysteresis'!$B$6*('Magnetic moments'!$C$17*'Fundamental constants'!$F$24*$A45/(2*$L$1*$L$5))^(1/2)</f>
        <v>2.9506999986554736E-2</v>
      </c>
      <c r="C45" s="199">
        <f t="shared" ref="C45:C73" si="7">2*PI()*B45^2*($J$9-B45/3)</f>
        <v>1.2830561647735016E-3</v>
      </c>
      <c r="D45" s="185">
        <f>'BC Line'!$J$1*C45</f>
        <v>133.13038521040306</v>
      </c>
      <c r="E45" s="203">
        <f t="shared" ref="E45:E73" si="8">$C$11+A45*($F$11-$C$11)/($A$73-$A$13)</f>
        <v>0.98638605024311998</v>
      </c>
      <c r="F45" s="185">
        <f>'Magnetic moments'!$C$17*'Fundamental constants'!$F$24*A45*E45/'Fundamental constants'!$F$18</f>
        <v>4.7704923044217082</v>
      </c>
      <c r="G45" s="185">
        <f t="shared" ref="G45:G73" si="9">D45+F45</f>
        <v>137.90087751482477</v>
      </c>
      <c r="H45" s="70"/>
      <c r="I45" s="257"/>
      <c r="J45" s="257"/>
      <c r="K45" s="257"/>
      <c r="L45" s="257"/>
      <c r="M45" s="257"/>
      <c r="N45" s="257"/>
      <c r="O45" s="257"/>
      <c r="P45" s="257"/>
    </row>
    <row r="46" spans="1:16" ht="13.2" customHeight="1" x14ac:dyDescent="0.25">
      <c r="A46" s="202">
        <f t="shared" si="6"/>
        <v>1.3000000000000003</v>
      </c>
      <c r="B46" s="200">
        <f>$J$10+'AB Hysteresis'!$B$6*('Magnetic moments'!$C$17*'Fundamental constants'!$F$24*$A46/(2*$L$1*$L$5))^(1/2)</f>
        <v>2.9603365865375764E-2</v>
      </c>
      <c r="C46" s="199">
        <f t="shared" si="7"/>
        <v>1.2912735521235983E-3</v>
      </c>
      <c r="D46" s="185">
        <f>'BC Line'!$J$1*C46</f>
        <v>133.98302438036066</v>
      </c>
      <c r="E46" s="203">
        <f t="shared" si="8"/>
        <v>0.98647997214021987</v>
      </c>
      <c r="F46" s="185">
        <f>'Magnetic moments'!$C$17*'Fundamental constants'!$F$24*A46*E46/'Fundamental constants'!$F$18</f>
        <v>5.1685254205841389</v>
      </c>
      <c r="G46" s="185">
        <f t="shared" si="9"/>
        <v>139.15154980094479</v>
      </c>
      <c r="H46" s="70"/>
      <c r="I46" s="257"/>
      <c r="J46" s="257"/>
      <c r="K46" s="257"/>
      <c r="L46" s="257"/>
      <c r="M46" s="257"/>
      <c r="N46" s="257"/>
      <c r="O46" s="257"/>
      <c r="P46" s="257"/>
    </row>
    <row r="47" spans="1:16" ht="13.2" customHeight="1" x14ac:dyDescent="0.25">
      <c r="A47" s="202">
        <f t="shared" si="6"/>
        <v>1.4000000000000004</v>
      </c>
      <c r="B47" s="200">
        <f>$J$10+'AB Hysteresis'!$B$6*('Magnetic moments'!$C$17*'Fundamental constants'!$F$24*$A47/(2*$L$1*$L$5))^(1/2)</f>
        <v>2.9696091326851214E-2</v>
      </c>
      <c r="C47" s="199">
        <f t="shared" si="7"/>
        <v>1.2992041717549989E-3</v>
      </c>
      <c r="D47" s="185">
        <f>'BC Line'!$J$1*C47</f>
        <v>134.80590842509142</v>
      </c>
      <c r="E47" s="203">
        <f t="shared" si="8"/>
        <v>0.98657389403731977</v>
      </c>
      <c r="F47" s="185">
        <f>'Magnetic moments'!$C$17*'Fundamental constants'!$F$24*A47*E47/'Fundamental constants'!$F$18</f>
        <v>5.5666342430225626</v>
      </c>
      <c r="G47" s="185">
        <f t="shared" si="9"/>
        <v>140.37254266811397</v>
      </c>
      <c r="H47" s="70"/>
      <c r="I47" s="257"/>
      <c r="J47" s="257"/>
      <c r="K47" s="257"/>
      <c r="L47" s="257"/>
      <c r="M47" s="257"/>
      <c r="N47" s="257"/>
      <c r="O47" s="257"/>
      <c r="P47" s="257"/>
    </row>
    <row r="48" spans="1:16" ht="13.2" customHeight="1" x14ac:dyDescent="0.25">
      <c r="A48" s="202">
        <f t="shared" si="6"/>
        <v>1.5000000000000004</v>
      </c>
      <c r="B48" s="200">
        <f>$J$10+'AB Hysteresis'!$B$6*('Magnetic moments'!$C$17*'Fundamental constants'!$F$24*$A48/(2*$L$1*$L$5))^(1/2)</f>
        <v>2.978556019841749E-2</v>
      </c>
      <c r="C48" s="199">
        <f t="shared" si="7"/>
        <v>1.3068782495146813E-3</v>
      </c>
      <c r="D48" s="185">
        <f>'BC Line'!$J$1*C48</f>
        <v>135.60217358972781</v>
      </c>
      <c r="E48" s="203">
        <f t="shared" si="8"/>
        <v>0.98666781593441966</v>
      </c>
      <c r="F48" s="185">
        <f>'Magnetic moments'!$C$17*'Fundamental constants'!$F$24*A48*E48/'Fundamental constants'!$F$18</f>
        <v>5.9648187717369776</v>
      </c>
      <c r="G48" s="185">
        <f t="shared" si="9"/>
        <v>141.5669923614648</v>
      </c>
      <c r="H48" s="70"/>
      <c r="I48" s="257"/>
      <c r="J48" s="257"/>
      <c r="K48" s="257"/>
      <c r="L48" s="257"/>
      <c r="M48" s="257"/>
      <c r="N48" s="257"/>
      <c r="O48" s="257"/>
      <c r="P48" s="257"/>
    </row>
    <row r="49" spans="1:16" ht="13.2" customHeight="1" x14ac:dyDescent="0.25">
      <c r="A49" s="202">
        <f t="shared" si="6"/>
        <v>1.6000000000000005</v>
      </c>
      <c r="B49" s="200">
        <f>$J$10+'AB Hysteresis'!$B$6*('Magnetic moments'!$C$17*'Fundamental constants'!$F$24*$A49/(2*$L$1*$L$5))^(1/2)</f>
        <v>2.9872093255049782E-2</v>
      </c>
      <c r="C49" s="199">
        <f t="shared" si="7"/>
        <v>1.3143210462737167E-3</v>
      </c>
      <c r="D49" s="185">
        <f>'BC Line'!$J$1*C49</f>
        <v>136.37444095165426</v>
      </c>
      <c r="E49" s="203">
        <f t="shared" si="8"/>
        <v>0.98676173783151955</v>
      </c>
      <c r="F49" s="185">
        <f>'Magnetic moments'!$C$17*'Fundamental constants'!$F$24*A49*E49/'Fundamental constants'!$F$18</f>
        <v>6.3630790067273866</v>
      </c>
      <c r="G49" s="185">
        <f t="shared" si="9"/>
        <v>142.73751995838165</v>
      </c>
      <c r="H49" s="70"/>
      <c r="I49" s="257"/>
      <c r="J49" s="257"/>
      <c r="K49" s="257"/>
      <c r="L49" s="257"/>
      <c r="M49" s="257"/>
      <c r="N49" s="257"/>
      <c r="O49" s="257"/>
      <c r="P49" s="257"/>
    </row>
    <row r="50" spans="1:16" ht="13.2" customHeight="1" x14ac:dyDescent="0.25">
      <c r="A50" s="202">
        <f t="shared" si="6"/>
        <v>1.7000000000000006</v>
      </c>
      <c r="B50" s="200">
        <f>$J$10+'AB Hysteresis'!$B$6*('Magnetic moments'!$C$17*'Fundamental constants'!$F$24*$A50/(2*$L$1*$L$5))^(1/2)</f>
        <v>2.9955961832557124E-2</v>
      </c>
      <c r="C50" s="199">
        <f t="shared" si="7"/>
        <v>1.3215539298577267E-3</v>
      </c>
      <c r="D50" s="185">
        <f>'BC Line'!$J$1*C50</f>
        <v>137.12492764441041</v>
      </c>
      <c r="E50" s="203">
        <f t="shared" si="8"/>
        <v>0.98685565972861944</v>
      </c>
      <c r="F50" s="185">
        <f>'Magnetic moments'!$C$17*'Fundamental constants'!$F$24*A50*E50/'Fundamental constants'!$F$18</f>
        <v>6.7614149479937886</v>
      </c>
      <c r="G50" s="185">
        <f t="shared" si="9"/>
        <v>143.88634259240419</v>
      </c>
      <c r="H50" s="70"/>
      <c r="I50" s="257"/>
      <c r="J50" s="257"/>
      <c r="K50" s="257"/>
      <c r="L50" s="257"/>
      <c r="M50" s="257"/>
      <c r="N50" s="257"/>
      <c r="O50" s="257"/>
      <c r="P50" s="257"/>
    </row>
    <row r="51" spans="1:16" ht="13.2" customHeight="1" x14ac:dyDescent="0.25">
      <c r="A51" s="202">
        <f t="shared" si="6"/>
        <v>1.8000000000000007</v>
      </c>
      <c r="B51" s="200">
        <f>$J$10+'AB Hysteresis'!$B$6*('Magnetic moments'!$C$17*'Fundamental constants'!$F$24*$A51/(2*$L$1*$L$5))^(1/2)</f>
        <v>3.0037397880017132E-2</v>
      </c>
      <c r="C51" s="199">
        <f t="shared" si="7"/>
        <v>1.3285951665942962E-3</v>
      </c>
      <c r="D51" s="185">
        <f>'BC Line'!$J$1*C51</f>
        <v>137.85552898894517</v>
      </c>
      <c r="E51" s="203">
        <f t="shared" si="8"/>
        <v>0.98694958162571933</v>
      </c>
      <c r="F51" s="185">
        <f>'Magnetic moments'!$C$17*'Fundamental constants'!$F$24*A51*E51/'Fundamental constants'!$F$18</f>
        <v>7.1598265955361837</v>
      </c>
      <c r="G51" s="185">
        <f t="shared" si="9"/>
        <v>145.01535558448134</v>
      </c>
      <c r="H51" s="70"/>
      <c r="I51" s="257"/>
      <c r="J51" s="257"/>
      <c r="K51" s="257"/>
      <c r="L51" s="257"/>
      <c r="M51" s="257"/>
      <c r="N51" s="257"/>
      <c r="O51" s="257"/>
      <c r="P51" s="257"/>
    </row>
    <row r="52" spans="1:16" ht="13.2" customHeight="1" x14ac:dyDescent="0.25">
      <c r="A52" s="202">
        <f t="shared" si="6"/>
        <v>1.9000000000000008</v>
      </c>
      <c r="B52" s="200">
        <f>$J$10+'AB Hysteresis'!$B$6*('Magnetic moments'!$C$17*'Fundamental constants'!$F$24*$A52/(2*$L$1*$L$5))^(1/2)</f>
        <v>3.0116601527621578E-2</v>
      </c>
      <c r="C52" s="199">
        <f t="shared" si="7"/>
        <v>1.3354605172223853E-3</v>
      </c>
      <c r="D52" s="185">
        <f>'BC Line'!$J$1*C52</f>
        <v>138.56788032539922</v>
      </c>
      <c r="E52" s="203">
        <f t="shared" si="8"/>
        <v>0.98704350352281922</v>
      </c>
      <c r="F52" s="185">
        <f>'Magnetic moments'!$C$17*'Fundamental constants'!$F$24*A52*E52/'Fundamental constants'!$F$18</f>
        <v>7.558313949354571</v>
      </c>
      <c r="G52" s="185">
        <f t="shared" si="9"/>
        <v>146.1261942747538</v>
      </c>
      <c r="H52" s="70"/>
      <c r="I52" s="257"/>
      <c r="J52" s="257"/>
      <c r="K52" s="257"/>
      <c r="L52" s="257"/>
      <c r="M52" s="257"/>
      <c r="N52" s="257"/>
      <c r="O52" s="257"/>
      <c r="P52" s="257"/>
    </row>
    <row r="53" spans="1:16" ht="13.2" customHeight="1" x14ac:dyDescent="0.25">
      <c r="A53" s="202">
        <f t="shared" si="6"/>
        <v>2.0000000000000009</v>
      </c>
      <c r="B53" s="200">
        <f>$J$10+'AB Hysteresis'!$B$6*('Magnetic moments'!$C$17*'Fundamental constants'!$F$24*$A53/(2*$L$1*$L$5))^(1/2)</f>
        <v>3.019374688165874E-2</v>
      </c>
      <c r="C53" s="199">
        <f t="shared" si="7"/>
        <v>1.3421636932048856E-3</v>
      </c>
      <c r="D53" s="185">
        <f>'BC Line'!$J$1*C53</f>
        <v>139.26340436026553</v>
      </c>
      <c r="E53" s="203">
        <f t="shared" si="8"/>
        <v>0.98713742541991911</v>
      </c>
      <c r="F53" s="185">
        <f>'Magnetic moments'!$C$17*'Fundamental constants'!$F$24*A53*E53/'Fundamental constants'!$F$18</f>
        <v>7.9568770094489523</v>
      </c>
      <c r="G53" s="185">
        <f t="shared" si="9"/>
        <v>147.22028136971448</v>
      </c>
      <c r="H53" s="70"/>
      <c r="I53" s="257"/>
      <c r="J53" s="257"/>
      <c r="K53" s="257"/>
      <c r="L53" s="257"/>
      <c r="M53" s="257"/>
      <c r="N53" s="257"/>
      <c r="O53" s="257"/>
      <c r="P53" s="257"/>
    </row>
    <row r="54" spans="1:16" ht="13.2" customHeight="1" x14ac:dyDescent="0.25">
      <c r="A54" s="202">
        <f t="shared" si="6"/>
        <v>2.100000000000001</v>
      </c>
      <c r="B54" s="200">
        <f>$J$10+'AB Hysteresis'!$B$6*('Magnetic moments'!$C$17*'Fundamental constants'!$F$24*$A54/(2*$L$1*$L$5))^(1/2)</f>
        <v>3.0268986529269806E-2</v>
      </c>
      <c r="C54" s="199">
        <f t="shared" si="7"/>
        <v>1.3487167114471844E-3</v>
      </c>
      <c r="D54" s="185">
        <f>'BC Line'!$J$1*C54</f>
        <v>139.94334797211985</v>
      </c>
      <c r="E54" s="203">
        <f t="shared" si="8"/>
        <v>0.987231347317019</v>
      </c>
      <c r="F54" s="185">
        <f>'Magnetic moments'!$C$17*'Fundamental constants'!$F$24*A54*E54/'Fundamental constants'!$F$18</f>
        <v>8.3555157758193257</v>
      </c>
      <c r="G54" s="185">
        <f t="shared" si="9"/>
        <v>148.29886374793918</v>
      </c>
      <c r="H54" s="70"/>
      <c r="I54" s="257"/>
      <c r="J54" s="257"/>
      <c r="K54" s="257"/>
      <c r="L54" s="257"/>
      <c r="M54" s="257"/>
      <c r="N54" s="257"/>
      <c r="O54" s="257"/>
      <c r="P54" s="257"/>
    </row>
    <row r="55" spans="1:16" ht="13.2" customHeight="1" x14ac:dyDescent="0.25">
      <c r="A55" s="202">
        <f t="shared" si="6"/>
        <v>2.2000000000000011</v>
      </c>
      <c r="B55" s="200">
        <f>$J$10+'AB Hysteresis'!$B$6*('Magnetic moments'!$C$17*'Fundamental constants'!$F$24*$A55/(2*$L$1*$L$5))^(1/2)</f>
        <v>3.0342455087618507E-2</v>
      </c>
      <c r="C55" s="199">
        <f t="shared" si="7"/>
        <v>1.3551301737713363E-3</v>
      </c>
      <c r="D55" s="185">
        <f>'BC Line'!$J$1*C55</f>
        <v>140.60881120996453</v>
      </c>
      <c r="E55" s="203">
        <f t="shared" si="8"/>
        <v>0.98732526921411889</v>
      </c>
      <c r="F55" s="185">
        <f>'Magnetic moments'!$C$17*'Fundamental constants'!$F$24*A55*E55/'Fundamental constants'!$F$18</f>
        <v>8.7542302484656922</v>
      </c>
      <c r="G55" s="185">
        <f t="shared" si="9"/>
        <v>149.36304145843022</v>
      </c>
      <c r="H55" s="70"/>
      <c r="I55" s="257"/>
      <c r="J55" s="257"/>
      <c r="K55" s="257"/>
      <c r="L55" s="257"/>
      <c r="M55" s="257"/>
      <c r="N55" s="257"/>
      <c r="O55" s="257"/>
      <c r="P55" s="257"/>
    </row>
    <row r="56" spans="1:16" ht="13.2" customHeight="1" x14ac:dyDescent="0.25">
      <c r="A56" s="202">
        <f t="shared" si="6"/>
        <v>2.3000000000000012</v>
      </c>
      <c r="B56" s="200">
        <f>$J$10+'AB Hysteresis'!$B$6*('Magnetic moments'!$C$17*'Fundamental constants'!$F$24*$A56/(2*$L$1*$L$5))^(1/2)</f>
        <v>3.0414272034133653E-2</v>
      </c>
      <c r="C56" s="199">
        <f t="shared" si="7"/>
        <v>1.3614134897805578E-3</v>
      </c>
      <c r="D56" s="185">
        <f>'BC Line'!$J$1*C56</f>
        <v>141.26077041773158</v>
      </c>
      <c r="E56" s="203">
        <f t="shared" si="8"/>
        <v>0.98741919111121879</v>
      </c>
      <c r="F56" s="185">
        <f>'Magnetic moments'!$C$17*'Fundamental constants'!$F$24*A56*E56/'Fundamental constants'!$F$18</f>
        <v>9.1530204273880518</v>
      </c>
      <c r="G56" s="185">
        <f t="shared" si="9"/>
        <v>150.41379084511962</v>
      </c>
      <c r="H56" s="70"/>
      <c r="I56" s="257"/>
      <c r="J56" s="257"/>
      <c r="K56" s="257"/>
      <c r="L56" s="257"/>
      <c r="M56" s="257"/>
      <c r="N56" s="257"/>
      <c r="O56" s="257"/>
      <c r="P56" s="257"/>
    </row>
    <row r="57" spans="1:16" ht="13.2" customHeight="1" x14ac:dyDescent="0.25">
      <c r="A57" s="202">
        <f t="shared" si="6"/>
        <v>2.4000000000000012</v>
      </c>
      <c r="B57" s="200">
        <f>$J$10+'AB Hysteresis'!$B$6*('Magnetic moments'!$C$17*'Fundamental constants'!$F$24*$A57/(2*$L$1*$L$5))^(1/2)</f>
        <v>3.0484543988186032E-2</v>
      </c>
      <c r="C57" s="199">
        <f t="shared" si="7"/>
        <v>1.3675750565284442E-3</v>
      </c>
      <c r="D57" s="185">
        <f>'BC Line'!$J$1*C57</f>
        <v>141.9000968768274</v>
      </c>
      <c r="E57" s="203">
        <f t="shared" si="8"/>
        <v>0.98751311300831868</v>
      </c>
      <c r="F57" s="185">
        <f>'Magnetic moments'!$C$17*'Fundamental constants'!$F$24*A57*E57/'Fundamental constants'!$F$18</f>
        <v>9.5518863125864044</v>
      </c>
      <c r="G57" s="185">
        <f t="shared" si="9"/>
        <v>151.4519831894138</v>
      </c>
      <c r="H57" s="70"/>
      <c r="I57" s="257"/>
      <c r="J57" s="257"/>
      <c r="K57" s="257"/>
      <c r="L57" s="257"/>
      <c r="M57" s="257"/>
      <c r="N57" s="257"/>
      <c r="O57" s="257"/>
      <c r="P57" s="257"/>
    </row>
    <row r="58" spans="1:16" ht="13.2" customHeight="1" x14ac:dyDescent="0.25">
      <c r="A58" s="202">
        <f t="shared" si="6"/>
        <v>2.5000000000000013</v>
      </c>
      <c r="B58" s="200">
        <f>$J$10+'AB Hysteresis'!$B$6*('Magnetic moments'!$C$17*'Fundamental constants'!$F$24*$A58/(2*$L$1*$L$5))^(1/2)</f>
        <v>3.0553366568812225E-2</v>
      </c>
      <c r="C58" s="199">
        <f t="shared" si="7"/>
        <v>1.3736224048050483E-3</v>
      </c>
      <c r="D58" s="185">
        <f>'BC Line'!$J$1*C58</f>
        <v>142.52757198483087</v>
      </c>
      <c r="E58" s="203">
        <f t="shared" si="8"/>
        <v>0.98760703490541857</v>
      </c>
      <c r="F58" s="185">
        <f>'Magnetic moments'!$C$17*'Fundamental constants'!$F$24*A58*E58/'Fundamental constants'!$F$18</f>
        <v>9.9508279040607501</v>
      </c>
      <c r="G58" s="185">
        <f t="shared" si="9"/>
        <v>152.47839988889163</v>
      </c>
      <c r="H58" s="70"/>
      <c r="I58" s="257"/>
      <c r="J58" s="257"/>
      <c r="K58" s="257"/>
      <c r="L58" s="257"/>
      <c r="M58" s="257"/>
      <c r="N58" s="257"/>
      <c r="O58" s="257"/>
      <c r="P58" s="257"/>
    </row>
    <row r="59" spans="1:16" ht="13.2" customHeight="1" x14ac:dyDescent="0.25">
      <c r="A59" s="202">
        <f t="shared" si="6"/>
        <v>2.6000000000000014</v>
      </c>
      <c r="B59" s="200">
        <f>$J$10+'AB Hysteresis'!$B$6*('Magnetic moments'!$C$17*'Fundamental constants'!$F$24*$A59/(2*$L$1*$L$5))^(1/2)</f>
        <v>3.0620825920964729E-2</v>
      </c>
      <c r="C59" s="199">
        <f t="shared" si="7"/>
        <v>1.379562319321765E-3</v>
      </c>
      <c r="D59" s="185">
        <f>'BC Line'!$J$1*C59</f>
        <v>143.14389972592159</v>
      </c>
      <c r="E59" s="203">
        <f t="shared" si="8"/>
        <v>0.98770095680251846</v>
      </c>
      <c r="F59" s="185">
        <f>'Magnetic moments'!$C$17*'Fundamental constants'!$F$24*A59*E59/'Fundamental constants'!$F$18</f>
        <v>10.349845201811089</v>
      </c>
      <c r="G59" s="185">
        <f t="shared" si="9"/>
        <v>153.49374492773268</v>
      </c>
      <c r="H59" s="70"/>
      <c r="I59" s="257"/>
      <c r="J59" s="257"/>
      <c r="K59" s="257"/>
      <c r="L59" s="257"/>
      <c r="M59" s="257"/>
      <c r="N59" s="257"/>
      <c r="O59" s="257"/>
      <c r="P59" s="257"/>
    </row>
    <row r="60" spans="1:16" ht="13.2" customHeight="1" x14ac:dyDescent="0.25">
      <c r="A60" s="202">
        <f t="shared" si="6"/>
        <v>2.7000000000000015</v>
      </c>
      <c r="B60" s="200">
        <f>$J$10+'AB Hysteresis'!$B$6*('Magnetic moments'!$C$17*'Fundamental constants'!$F$24*$A60/(2*$L$1*$L$5))^(1/2)</f>
        <v>3.0686999979832107E-2</v>
      </c>
      <c r="C60" s="199">
        <f t="shared" si="7"/>
        <v>1.3854009382710188E-3</v>
      </c>
      <c r="D60" s="185">
        <f>'BC Line'!$J$1*C60</f>
        <v>143.74971700123012</v>
      </c>
      <c r="E60" s="203">
        <f t="shared" si="8"/>
        <v>0.98779487869961835</v>
      </c>
      <c r="F60" s="185">
        <f>'Magnetic moments'!$C$17*'Fundamental constants'!$F$24*A60*E60/'Fundamental constants'!$F$18</f>
        <v>10.748938205837419</v>
      </c>
      <c r="G60" s="185">
        <f t="shared" si="9"/>
        <v>154.49865520706754</v>
      </c>
      <c r="H60" s="70"/>
      <c r="I60" s="257"/>
      <c r="J60" s="257"/>
      <c r="K60" s="257"/>
      <c r="L60" s="257"/>
      <c r="M60" s="257"/>
      <c r="N60" s="257"/>
      <c r="O60" s="257"/>
      <c r="P60" s="257"/>
    </row>
    <row r="61" spans="1:16" ht="13.2" customHeight="1" x14ac:dyDescent="0.25">
      <c r="A61" s="202">
        <f t="shared" si="6"/>
        <v>2.8000000000000016</v>
      </c>
      <c r="B61" s="200">
        <f>$J$10+'AB Hysteresis'!$B$6*('Magnetic moments'!$C$17*'Fundamental constants'!$F$24*$A61/(2*$L$1*$L$5))^(1/2)</f>
        <v>3.0751959526160617E-2</v>
      </c>
      <c r="C61" s="199">
        <f t="shared" si="7"/>
        <v>1.3911438364286681E-3</v>
      </c>
      <c r="D61" s="185">
        <f>'BC Line'!$J$1*C61</f>
        <v>144.34560225157452</v>
      </c>
      <c r="E61" s="203">
        <f t="shared" si="8"/>
        <v>0.98788880059671824</v>
      </c>
      <c r="F61" s="185">
        <f>'Magnetic moments'!$C$17*'Fundamental constants'!$F$24*A61*E61/'Fundamental constants'!$F$18</f>
        <v>11.148106916139742</v>
      </c>
      <c r="G61" s="185">
        <f t="shared" si="9"/>
        <v>155.49370916771426</v>
      </c>
      <c r="H61" s="70"/>
      <c r="I61" s="257"/>
      <c r="J61" s="257"/>
      <c r="K61" s="257"/>
      <c r="L61" s="257"/>
      <c r="M61" s="257"/>
      <c r="N61" s="257"/>
      <c r="O61" s="257"/>
      <c r="P61" s="257"/>
    </row>
    <row r="62" spans="1:16" ht="13.2" customHeight="1" x14ac:dyDescent="0.25">
      <c r="A62" s="202">
        <f t="shared" si="6"/>
        <v>2.9000000000000017</v>
      </c>
      <c r="B62" s="200">
        <f>$J$10+'AB Hysteresis'!$B$6*('Magnetic moments'!$C$17*'Fundamental constants'!$F$24*$A62/(2*$L$1*$L$5))^(1/2)</f>
        <v>3.0815769073313425E-2</v>
      </c>
      <c r="C62" s="199">
        <f t="shared" si="7"/>
        <v>1.3967960950067809E-3</v>
      </c>
      <c r="D62" s="185">
        <f>'BC Line'!$J$1*C62</f>
        <v>144.93208270541015</v>
      </c>
      <c r="E62" s="203">
        <f t="shared" si="8"/>
        <v>0.98798272249381813</v>
      </c>
      <c r="F62" s="185">
        <f>'Magnetic moments'!$C$17*'Fundamental constants'!$F$24*A62*E62/'Fundamental constants'!$F$18</f>
        <v>11.54735133271806</v>
      </c>
      <c r="G62" s="185">
        <f t="shared" si="9"/>
        <v>156.4794340381282</v>
      </c>
      <c r="H62" s="70"/>
      <c r="I62" s="257"/>
      <c r="J62" s="257"/>
      <c r="K62" s="257"/>
      <c r="L62" s="257"/>
      <c r="M62" s="257"/>
      <c r="N62" s="257"/>
      <c r="O62" s="257"/>
      <c r="P62" s="257"/>
    </row>
    <row r="63" spans="1:16" ht="13.2" customHeight="1" x14ac:dyDescent="0.25">
      <c r="A63" s="202">
        <f t="shared" si="6"/>
        <v>3.0000000000000018</v>
      </c>
      <c r="B63" s="200">
        <f>$J$10+'AB Hysteresis'!$B$6*('Magnetic moments'!$C$17*'Fundamental constants'!$F$24*$A63/(2*$L$1*$L$5))^(1/2)</f>
        <v>3.0878487617739862E-2</v>
      </c>
      <c r="C63" s="199">
        <f t="shared" si="7"/>
        <v>1.4023623607507516E-3</v>
      </c>
      <c r="D63" s="185">
        <f>'BC Line'!$J$1*C63</f>
        <v>145.50964051076866</v>
      </c>
      <c r="E63" s="203">
        <f t="shared" si="8"/>
        <v>0.98807664439091791</v>
      </c>
      <c r="F63" s="185">
        <f>'Magnetic moments'!$C$17*'Fundamental constants'!$F$24*A63*E63/'Fundamental constants'!$F$18</f>
        <v>11.946671455572368</v>
      </c>
      <c r="G63" s="185">
        <f t="shared" si="9"/>
        <v>157.45631196634102</v>
      </c>
      <c r="H63" s="70"/>
      <c r="I63" s="257"/>
      <c r="J63" s="257"/>
      <c r="K63" s="257"/>
      <c r="L63" s="257"/>
      <c r="M63" s="257"/>
      <c r="N63" s="257"/>
      <c r="O63" s="257"/>
      <c r="P63" s="257"/>
    </row>
    <row r="64" spans="1:16" ht="13.2" customHeight="1" x14ac:dyDescent="0.25">
      <c r="A64" s="202">
        <f t="shared" si="6"/>
        <v>3.1000000000000019</v>
      </c>
      <c r="B64" s="200">
        <f>$J$10+'AB Hysteresis'!$B$6*('Magnetic moments'!$C$17*'Fundamental constants'!$F$24*$A64/(2*$L$1*$L$5))^(1/2)</f>
        <v>3.0940169277713661E-2</v>
      </c>
      <c r="C64" s="199">
        <f t="shared" si="7"/>
        <v>1.4078468962382092E-3</v>
      </c>
      <c r="D64" s="185">
        <f>'BC Line'!$J$1*C64</f>
        <v>146.07871795429136</v>
      </c>
      <c r="E64" s="203">
        <f t="shared" si="8"/>
        <v>0.9881705662880178</v>
      </c>
      <c r="F64" s="185">
        <f>'Magnetic moments'!$C$17*'Fundamental constants'!$F$24*A64*E64/'Fundamental constants'!$F$18</f>
        <v>12.346067284702672</v>
      </c>
      <c r="G64" s="185">
        <f t="shared" si="9"/>
        <v>158.42478523899405</v>
      </c>
      <c r="H64" s="70"/>
      <c r="I64" s="257"/>
      <c r="J64" s="257"/>
      <c r="K64" s="257"/>
      <c r="L64" s="257"/>
      <c r="M64" s="257"/>
      <c r="N64" s="257"/>
      <c r="O64" s="257"/>
      <c r="P64" s="257"/>
    </row>
    <row r="65" spans="1:16" ht="13.2" customHeight="1" x14ac:dyDescent="0.25">
      <c r="A65" s="202">
        <f t="shared" si="6"/>
        <v>3.200000000000002</v>
      </c>
      <c r="B65" s="200">
        <f>$J$10+'AB Hysteresis'!$B$6*('Magnetic moments'!$C$17*'Fundamental constants'!$F$24*$A65/(2*$L$1*$L$5))^(1/2)</f>
        <v>3.1000863840022843E-2</v>
      </c>
      <c r="C65" s="199">
        <f t="shared" si="7"/>
        <v>1.4132536229295989E-3</v>
      </c>
      <c r="D65" s="185">
        <f>'BC Line'!$J$1*C65</f>
        <v>146.63972192817363</v>
      </c>
      <c r="E65" s="203">
        <f t="shared" si="8"/>
        <v>0.9882644881851177</v>
      </c>
      <c r="F65" s="185">
        <f>'Magnetic moments'!$C$17*'Fundamental constants'!$F$24*A65*E65/'Fundamental constants'!$F$18</f>
        <v>12.745538820108965</v>
      </c>
      <c r="G65" s="185">
        <f t="shared" si="9"/>
        <v>159.3852607482826</v>
      </c>
      <c r="H65" s="70"/>
      <c r="I65" s="257"/>
      <c r="J65" s="257"/>
      <c r="K65" s="257"/>
      <c r="L65" s="257"/>
      <c r="M65" s="257"/>
      <c r="N65" s="257"/>
      <c r="O65" s="257"/>
      <c r="P65" s="257"/>
    </row>
    <row r="66" spans="1:16" ht="13.2" customHeight="1" x14ac:dyDescent="0.25">
      <c r="A66" s="202">
        <f t="shared" si="6"/>
        <v>3.300000000000002</v>
      </c>
      <c r="B66" s="200">
        <f>$J$10+'AB Hysteresis'!$B$6*('Magnetic moments'!$C$17*'Fundamental constants'!$F$24*$A66/(2*$L$1*$L$5))^(1/2)</f>
        <v>3.1060617230322926E-2</v>
      </c>
      <c r="C66" s="199">
        <f t="shared" si="7"/>
        <v>1.4185861582076201E-3</v>
      </c>
      <c r="D66" s="185">
        <f>'BC Line'!$J$1*C66</f>
        <v>147.19302777339075</v>
      </c>
      <c r="E66" s="203">
        <f t="shared" si="8"/>
        <v>0.98835841008221759</v>
      </c>
      <c r="F66" s="185">
        <f>'Magnetic moments'!$C$17*'Fundamental constants'!$F$24*A66*E66/'Fundamental constants'!$F$18</f>
        <v>13.145086061791256</v>
      </c>
      <c r="G66" s="185">
        <f t="shared" si="9"/>
        <v>160.33811383518201</v>
      </c>
      <c r="H66" s="70"/>
      <c r="I66" s="257"/>
      <c r="J66" s="257"/>
      <c r="K66" s="257"/>
      <c r="L66" s="257"/>
      <c r="M66" s="257"/>
      <c r="N66" s="257"/>
      <c r="O66" s="257"/>
      <c r="P66" s="257"/>
    </row>
    <row r="67" spans="1:16" ht="13.2" customHeight="1" x14ac:dyDescent="0.25">
      <c r="A67" s="202">
        <f t="shared" si="6"/>
        <v>3.4000000000000021</v>
      </c>
      <c r="B67" s="200">
        <f>$J$10+'AB Hysteresis'!$B$6*('Magnetic moments'!$C$17*'Fundamental constants'!$F$24*$A67/(2*$L$1*$L$5))^(1/2)</f>
        <v>3.111947191979067E-2</v>
      </c>
      <c r="C67" s="199">
        <f t="shared" si="7"/>
        <v>1.4238478474006195E-3</v>
      </c>
      <c r="D67" s="185">
        <f>'BC Line'!$J$1*C67</f>
        <v>147.73898260245707</v>
      </c>
      <c r="E67" s="203">
        <f t="shared" si="8"/>
        <v>0.98845233197931748</v>
      </c>
      <c r="F67" s="185">
        <f>'Magnetic moments'!$C$17*'Fundamental constants'!$F$24*A67*E67/'Fundamental constants'!$F$18</f>
        <v>13.544709009749539</v>
      </c>
      <c r="G67" s="185">
        <f t="shared" si="9"/>
        <v>161.28369161220661</v>
      </c>
      <c r="H67" s="70"/>
      <c r="I67" s="257"/>
      <c r="J67" s="257"/>
      <c r="K67" s="257"/>
      <c r="L67" s="257"/>
      <c r="M67" s="257"/>
      <c r="N67" s="257"/>
      <c r="O67" s="257"/>
      <c r="P67" s="257"/>
    </row>
    <row r="68" spans="1:16" ht="13.2" customHeight="1" x14ac:dyDescent="0.25">
      <c r="A68" s="202">
        <f t="shared" si="6"/>
        <v>3.5000000000000022</v>
      </c>
      <c r="B68" s="200">
        <f>$J$10+'AB Hysteresis'!$B$6*('Magnetic moments'!$C$17*'Fundamental constants'!$F$24*$A68/(2*$L$1*$L$5))^(1/2)</f>
        <v>3.1177467278315284E-2</v>
      </c>
      <c r="C68" s="199">
        <f t="shared" si="7"/>
        <v>1.4290417915960346E-3</v>
      </c>
      <c r="D68" s="185">
        <f>'BC Line'!$J$1*C68</f>
        <v>148.27790818535939</v>
      </c>
      <c r="E68" s="203">
        <f t="shared" si="8"/>
        <v>0.98854625387641737</v>
      </c>
      <c r="F68" s="185">
        <f>'Magnetic moments'!$C$17*'Fundamental constants'!$F$24*A68*E68/'Fundamental constants'!$F$18</f>
        <v>13.944407663983812</v>
      </c>
      <c r="G68" s="185">
        <f t="shared" si="9"/>
        <v>162.2223158493432</v>
      </c>
      <c r="H68" s="70"/>
      <c r="I68" s="257"/>
      <c r="J68" s="257"/>
      <c r="K68" s="257"/>
      <c r="L68" s="257"/>
      <c r="M68" s="257"/>
      <c r="N68" s="257"/>
      <c r="O68" s="257"/>
      <c r="P68" s="257"/>
    </row>
    <row r="69" spans="1:16" ht="13.2" customHeight="1" x14ac:dyDescent="0.25">
      <c r="A69" s="202">
        <f t="shared" si="6"/>
        <v>3.6000000000000023</v>
      </c>
      <c r="B69" s="200">
        <f>$J$10+'AB Hysteresis'!$B$6*('Magnetic moments'!$C$17*'Fundamental constants'!$F$24*$A69/(2*$L$1*$L$5))^(1/2)</f>
        <v>3.1234639882574671E-2</v>
      </c>
      <c r="C69" s="199">
        <f t="shared" si="7"/>
        <v>1.4341708719012092E-3</v>
      </c>
      <c r="D69" s="185">
        <f>'BC Line'!$J$1*C69</f>
        <v>148.81010346686799</v>
      </c>
      <c r="E69" s="203">
        <f t="shared" si="8"/>
        <v>0.98864017577351726</v>
      </c>
      <c r="F69" s="185">
        <f>'Magnetic moments'!$C$17*'Fundamental constants'!$F$24*A69*E69/'Fundamental constants'!$F$18</f>
        <v>14.34418202449408</v>
      </c>
      <c r="G69" s="185">
        <f t="shared" si="9"/>
        <v>163.15428549136206</v>
      </c>
      <c r="H69" s="70"/>
      <c r="I69" s="257"/>
      <c r="J69" s="257"/>
      <c r="K69" s="257"/>
      <c r="L69" s="257"/>
      <c r="M69" s="257"/>
      <c r="N69" s="257"/>
      <c r="O69" s="257"/>
      <c r="P69" s="257"/>
    </row>
    <row r="70" spans="1:16" ht="13.2" customHeight="1" x14ac:dyDescent="0.25">
      <c r="A70" s="202">
        <f t="shared" si="6"/>
        <v>3.7000000000000024</v>
      </c>
      <c r="B70" s="200">
        <f>$J$10+'AB Hysteresis'!$B$6*('Magnetic moments'!$C$17*'Fundamental constants'!$F$24*$A70/(2*$L$1*$L$5))^(1/2)</f>
        <v>3.1291023785846306E-2</v>
      </c>
      <c r="C70" s="199">
        <f t="shared" si="7"/>
        <v>1.4392377706909472E-3</v>
      </c>
      <c r="D70" s="185">
        <f>'BC Line'!$J$1*C70</f>
        <v>149.33584677119092</v>
      </c>
      <c r="E70" s="203">
        <f t="shared" si="8"/>
        <v>0.98873409767061715</v>
      </c>
      <c r="F70" s="185">
        <f>'Magnetic moments'!$C$17*'Fundamental constants'!$F$24*A70*E70/'Fundamental constants'!$F$18</f>
        <v>14.74403209128034</v>
      </c>
      <c r="G70" s="185">
        <f t="shared" si="9"/>
        <v>164.07987886247125</v>
      </c>
      <c r="H70" s="70"/>
      <c r="I70" s="257"/>
      <c r="J70" s="257"/>
      <c r="K70" s="257"/>
      <c r="L70" s="257"/>
      <c r="M70" s="257"/>
      <c r="N70" s="257"/>
      <c r="O70" s="257"/>
      <c r="P70" s="257"/>
    </row>
    <row r="71" spans="1:16" ht="13.2" customHeight="1" x14ac:dyDescent="0.25">
      <c r="A71" s="202">
        <f t="shared" si="6"/>
        <v>3.8000000000000025</v>
      </c>
      <c r="B71" s="200">
        <f>$J$10+'AB Hysteresis'!$B$6*('Magnetic moments'!$C$17*'Fundamental constants'!$F$24*$A71/(2*$L$1*$L$5))^(1/2)</f>
        <v>3.1346650755206297E-2</v>
      </c>
      <c r="C71" s="199">
        <f t="shared" si="7"/>
        <v>1.444244990286991E-3</v>
      </c>
      <c r="D71" s="185">
        <f>'BC Line'!$J$1*C71</f>
        <v>149.85539774016357</v>
      </c>
      <c r="E71" s="203">
        <f t="shared" si="8"/>
        <v>0.98882801956771704</v>
      </c>
      <c r="F71" s="185">
        <f>'Magnetic moments'!$C$17*'Fundamental constants'!$F$24*A71*E71/'Fundamental constants'!$F$18</f>
        <v>15.143957864342593</v>
      </c>
      <c r="G71" s="185">
        <f t="shared" si="9"/>
        <v>164.99935560450615</v>
      </c>
      <c r="H71" s="70"/>
      <c r="I71" s="257"/>
      <c r="J71" s="257"/>
      <c r="K71" s="257"/>
      <c r="L71" s="257"/>
      <c r="M71" s="257"/>
      <c r="N71" s="257"/>
      <c r="O71" s="257"/>
      <c r="P71" s="257"/>
    </row>
    <row r="72" spans="1:16" ht="13.2" customHeight="1" x14ac:dyDescent="0.25">
      <c r="A72" s="202">
        <f t="shared" si="6"/>
        <v>3.9000000000000026</v>
      </c>
      <c r="B72" s="200">
        <f>$J$10+'AB Hysteresis'!$B$6*('Magnetic moments'!$C$17*'Fundamental constants'!$F$24*$A72/(2*$L$1*$L$5))^(1/2)</f>
        <v>3.1401550480808713E-2</v>
      </c>
      <c r="C72" s="199">
        <f t="shared" si="7"/>
        <v>1.4491948694389009E-3</v>
      </c>
      <c r="D72" s="185">
        <f>'BC Line'!$J$1*C72</f>
        <v>150.36899904331077</v>
      </c>
      <c r="E72" s="203">
        <f t="shared" si="8"/>
        <v>0.98892194146481693</v>
      </c>
      <c r="F72" s="185">
        <f>'Magnetic moments'!$C$17*'Fundamental constants'!$F$24*A72*E72/'Fundamental constants'!$F$18</f>
        <v>15.543959343680839</v>
      </c>
      <c r="G72" s="185">
        <f t="shared" si="9"/>
        <v>165.91295838699159</v>
      </c>
      <c r="H72" s="70"/>
      <c r="I72" s="257"/>
      <c r="J72" s="257"/>
      <c r="K72" s="257"/>
      <c r="L72" s="257"/>
      <c r="M72" s="257"/>
      <c r="N72" s="257"/>
      <c r="O72" s="257"/>
      <c r="P72" s="257"/>
    </row>
    <row r="73" spans="1:16" ht="13.2" customHeight="1" x14ac:dyDescent="0.25">
      <c r="A73" s="202">
        <f t="shared" si="6"/>
        <v>4.0000000000000027</v>
      </c>
      <c r="B73" s="200">
        <f>$J$10+'AB Hysteresis'!$B$6*('Magnetic moments'!$C$17*'Fundamental constants'!$F$24*$A73/(2*$L$1*$L$5))^(1/2)</f>
        <v>3.145575076115973E-2</v>
      </c>
      <c r="C73" s="199">
        <f t="shared" si="7"/>
        <v>1.4540895979145926E-3</v>
      </c>
      <c r="D73" s="185">
        <f>'BC Line'!$J$1*C73</f>
        <v>150.87687789176647</v>
      </c>
      <c r="E73" s="203">
        <f t="shared" si="8"/>
        <v>0.98901586336191682</v>
      </c>
      <c r="F73" s="185">
        <f>'Magnetic moments'!$C$17*'Fundamental constants'!$F$24*A73*E73/'Fundamental constants'!$F$18</f>
        <v>15.944036529295081</v>
      </c>
      <c r="G73" s="185">
        <f t="shared" si="9"/>
        <v>166.82091442106156</v>
      </c>
      <c r="H73" s="70"/>
      <c r="I73" s="257"/>
      <c r="J73" s="257"/>
      <c r="K73" s="257"/>
      <c r="L73" s="257"/>
      <c r="M73" s="319" t="s">
        <v>223</v>
      </c>
      <c r="N73" s="319"/>
      <c r="O73" s="319"/>
      <c r="P73" s="319"/>
    </row>
    <row r="74" spans="1:16" ht="3.6" customHeight="1" x14ac:dyDescent="0.25">
      <c r="A74" s="74"/>
      <c r="B74" s="74"/>
      <c r="C74" s="74"/>
      <c r="D74" s="70"/>
      <c r="E74" s="70"/>
      <c r="F74" s="75"/>
      <c r="G74" s="70"/>
      <c r="H74" s="70"/>
    </row>
    <row r="75" spans="1:16" x14ac:dyDescent="0.25">
      <c r="A75"/>
      <c r="B75"/>
      <c r="C75"/>
      <c r="E75" s="49"/>
      <c r="F75" s="49"/>
      <c r="H75" s="303"/>
      <c r="I75" s="303"/>
    </row>
    <row r="77" spans="1:16" x14ac:dyDescent="0.25">
      <c r="G77" s="69"/>
    </row>
    <row r="78" spans="1:16" x14ac:dyDescent="0.25">
      <c r="G78" s="68"/>
    </row>
    <row r="79" spans="1:16" x14ac:dyDescent="0.25">
      <c r="G79" s="68"/>
    </row>
  </sheetData>
  <mergeCells count="8">
    <mergeCell ref="M73:P73"/>
    <mergeCell ref="A1:B2"/>
    <mergeCell ref="C1:G1"/>
    <mergeCell ref="F2:G2"/>
    <mergeCell ref="F11:G11"/>
    <mergeCell ref="C11:D11"/>
    <mergeCell ref="G8:G9"/>
    <mergeCell ref="A8:F9"/>
  </mergeCells>
  <pageMargins left="0.7" right="0.7" top="0.75" bottom="0.75" header="0.3" footer="0.3"/>
  <pageSetup paperSize="9" scale="75" orientation="portrait" r:id="rId1"/>
  <drawing r:id="rId2"/>
  <legacyDrawing r:id="rId3"/>
  <mc:AlternateContent xmlns:mc="http://schemas.openxmlformats.org/markup-compatibility/2006">
    <mc:Choice Requires="x14">
      <controls>
        <mc:AlternateContent xmlns:mc="http://schemas.openxmlformats.org/markup-compatibility/2006">
          <mc:Choice Requires="x14">
            <control shapeId="54273" r:id="rId4" name="Scroll Bar 1">
              <controlPr defaultSize="0" print="0" autoPict="0">
                <anchor moveWithCells="1">
                  <from>
                    <xdr:col>13</xdr:col>
                    <xdr:colOff>160020</xdr:colOff>
                    <xdr:row>2</xdr:row>
                    <xdr:rowOff>259080</xdr:rowOff>
                  </from>
                  <to>
                    <xdr:col>13</xdr:col>
                    <xdr:colOff>510540</xdr:colOff>
                    <xdr:row>7</xdr:row>
                    <xdr:rowOff>160020</xdr:rowOff>
                  </to>
                </anchor>
              </controlPr>
            </control>
          </mc:Choice>
        </mc:AlternateContent>
        <mc:AlternateContent xmlns:mc="http://schemas.openxmlformats.org/markup-compatibility/2006">
          <mc:Choice Requires="x14">
            <control shapeId="54285" r:id="rId5" name="Scroll Bar 13">
              <controlPr defaultSize="0" print="0" autoPict="0">
                <anchor moveWithCells="1">
                  <from>
                    <xdr:col>14</xdr:col>
                    <xdr:colOff>0</xdr:colOff>
                    <xdr:row>3</xdr:row>
                    <xdr:rowOff>7620</xdr:rowOff>
                  </from>
                  <to>
                    <xdr:col>14</xdr:col>
                    <xdr:colOff>358140</xdr:colOff>
                    <xdr:row>8</xdr:row>
                    <xdr:rowOff>60960</xdr:rowOff>
                  </to>
                </anchor>
              </controlPr>
            </control>
          </mc:Choice>
        </mc:AlternateContent>
      </controls>
    </mc:Choice>
  </mc:AlternateContent>
</worksheet>
</file>

<file path=xl/worksheets/sheet3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rgb="FFFF0000"/>
  </sheetPr>
  <dimension ref="A1:Q57"/>
  <sheetViews>
    <sheetView view="pageBreakPreview" zoomScale="122" zoomScaleNormal="120" zoomScaleSheetLayoutView="122" workbookViewId="0">
      <selection activeCell="K23" sqref="K23"/>
    </sheetView>
  </sheetViews>
  <sheetFormatPr defaultRowHeight="13.2" x14ac:dyDescent="0.25"/>
  <cols>
    <col min="1" max="1" width="4.77734375" customWidth="1"/>
    <col min="2" max="2" width="8.6640625" customWidth="1"/>
    <col min="3" max="3" width="7.77734375" customWidth="1"/>
    <col min="4" max="4" width="9.33203125" customWidth="1"/>
    <col min="5" max="5" width="8.109375" customWidth="1"/>
    <col min="6" max="6" width="7.33203125" customWidth="1"/>
    <col min="7" max="7" width="9" customWidth="1"/>
    <col min="8" max="8" width="8.88671875" customWidth="1"/>
    <col min="9" max="9" width="0.5546875" customWidth="1"/>
    <col min="10" max="10" width="12.77734375" customWidth="1"/>
    <col min="11" max="11" width="4.88671875" customWidth="1"/>
    <col min="12" max="12" width="11.77734375" customWidth="1"/>
    <col min="13" max="13" width="5.6640625" customWidth="1"/>
    <col min="14" max="14" width="10" customWidth="1"/>
    <col min="15" max="15" width="4.44140625" customWidth="1"/>
    <col min="16" max="16" width="5.88671875" customWidth="1"/>
    <col min="17" max="17" width="6.33203125" customWidth="1"/>
    <col min="18" max="18" width="13.109375" customWidth="1"/>
  </cols>
  <sheetData>
    <row r="1" spans="1:17" ht="25.8" customHeight="1" x14ac:dyDescent="0.25">
      <c r="A1" s="344" t="s">
        <v>130</v>
      </c>
      <c r="B1" s="344"/>
      <c r="C1" s="331" t="s">
        <v>183</v>
      </c>
      <c r="D1" s="331"/>
      <c r="E1" s="331"/>
      <c r="F1" s="331"/>
      <c r="G1" s="331"/>
      <c r="H1" s="331"/>
      <c r="I1" s="93"/>
      <c r="J1" s="189">
        <v>103760.3722</v>
      </c>
      <c r="K1" s="190" t="s">
        <v>148</v>
      </c>
      <c r="L1" s="192">
        <f>J1*10^30</f>
        <v>1.037603722E+35</v>
      </c>
      <c r="M1" s="193" t="s">
        <v>144</v>
      </c>
      <c r="N1" s="194">
        <f>'Fundamental constants'!$F$18*J1</f>
        <v>1.4325680975811611E-18</v>
      </c>
      <c r="O1" s="195" t="s">
        <v>150</v>
      </c>
      <c r="P1" s="196">
        <f>N1/'Fundamental constants'!F23</f>
        <v>8.9413873612364121</v>
      </c>
      <c r="Q1" s="193" t="s">
        <v>145</v>
      </c>
    </row>
    <row r="2" spans="1:17" ht="24" customHeight="1" x14ac:dyDescent="0.35">
      <c r="A2" s="344"/>
      <c r="B2" s="344"/>
      <c r="C2" s="149" t="s">
        <v>131</v>
      </c>
      <c r="D2" s="147"/>
      <c r="E2" s="148"/>
      <c r="F2" s="144"/>
      <c r="G2" s="343" t="s">
        <v>213</v>
      </c>
      <c r="H2" s="343"/>
      <c r="I2" s="93"/>
      <c r="J2" s="191">
        <f>1/J1</f>
        <v>9.6375907178945142E-6</v>
      </c>
      <c r="K2" s="190" t="s">
        <v>149</v>
      </c>
      <c r="L2" s="192">
        <f>1/L1</f>
        <v>9.6375907178945147E-36</v>
      </c>
      <c r="M2" s="193" t="s">
        <v>146</v>
      </c>
      <c r="N2" s="194">
        <f>1/N1</f>
        <v>6.9804709576351974E+17</v>
      </c>
      <c r="O2" s="195" t="s">
        <v>151</v>
      </c>
      <c r="P2" s="196">
        <f>N2*'Fundamental constants'!F23</f>
        <v>0.11183946736669738</v>
      </c>
      <c r="Q2" s="193" t="s">
        <v>147</v>
      </c>
    </row>
    <row r="3" spans="1:17" s="92" customFormat="1" ht="3" customHeight="1" x14ac:dyDescent="0.2">
      <c r="A3" s="114"/>
      <c r="B3" s="115"/>
      <c r="C3" s="114"/>
      <c r="D3" s="116"/>
      <c r="E3" s="116"/>
      <c r="F3" s="116"/>
      <c r="G3" s="114"/>
      <c r="H3" s="116"/>
      <c r="I3" s="93"/>
      <c r="J3" s="114"/>
      <c r="K3" s="114"/>
      <c r="L3" s="114"/>
      <c r="M3" s="114"/>
      <c r="N3" s="114"/>
      <c r="O3" s="114"/>
      <c r="P3" s="114"/>
      <c r="Q3" s="114"/>
    </row>
    <row r="4" spans="1:17" s="92" customFormat="1" ht="13.2" customHeight="1" x14ac:dyDescent="0.2">
      <c r="A4" s="341" t="s">
        <v>203</v>
      </c>
      <c r="B4" s="342"/>
      <c r="C4" s="207">
        <v>0</v>
      </c>
      <c r="D4" s="207">
        <v>0.6</v>
      </c>
      <c r="E4" s="207">
        <v>1.3</v>
      </c>
      <c r="F4" s="207">
        <v>2.6</v>
      </c>
      <c r="G4" s="207">
        <v>3.5</v>
      </c>
      <c r="H4" s="208">
        <v>4</v>
      </c>
      <c r="I4" s="93"/>
      <c r="J4" s="94"/>
      <c r="K4" s="95"/>
      <c r="L4" s="96"/>
      <c r="M4" s="97"/>
      <c r="O4" s="98"/>
      <c r="P4" s="99"/>
      <c r="Q4" s="100"/>
    </row>
    <row r="5" spans="1:17" s="92" customFormat="1" ht="17.399999999999999" customHeight="1" x14ac:dyDescent="0.2">
      <c r="A5" s="334" t="s">
        <v>232</v>
      </c>
      <c r="B5" s="335"/>
      <c r="C5" s="315">
        <v>128.6</v>
      </c>
      <c r="D5" s="315">
        <v>135.33699999999999</v>
      </c>
      <c r="E5" s="315">
        <v>141.399</v>
      </c>
      <c r="F5" s="315">
        <v>153.5</v>
      </c>
      <c r="G5" s="315">
        <v>161.82</v>
      </c>
      <c r="H5" s="316">
        <v>166.87</v>
      </c>
      <c r="I5" s="93"/>
      <c r="J5" s="102"/>
      <c r="K5" s="103"/>
      <c r="L5" s="104"/>
      <c r="M5" s="105"/>
      <c r="N5" s="101"/>
      <c r="Q5" s="106"/>
    </row>
    <row r="6" spans="1:17" s="92" customFormat="1" ht="18.600000000000001" customHeight="1" x14ac:dyDescent="0.2">
      <c r="A6" s="336" t="s">
        <v>194</v>
      </c>
      <c r="B6" s="337"/>
      <c r="C6" s="317">
        <f>H13</f>
        <v>130.07457744843774</v>
      </c>
      <c r="D6" s="317">
        <f>H19</f>
        <v>135.73094490844696</v>
      </c>
      <c r="E6" s="317">
        <f>H26</f>
        <v>142.3813565281942</v>
      </c>
      <c r="F6" s="317">
        <f>H39</f>
        <v>154.87838841217462</v>
      </c>
      <c r="G6" s="317">
        <f>H48</f>
        <v>163.64127036289057</v>
      </c>
      <c r="H6" s="318">
        <f>H53</f>
        <v>168.5487146148422</v>
      </c>
      <c r="I6" s="93"/>
      <c r="J6" s="107"/>
      <c r="K6" s="103"/>
      <c r="L6" s="104"/>
      <c r="M6" s="105"/>
    </row>
    <row r="7" spans="1:17" s="92" customFormat="1" ht="13.8" customHeight="1" x14ac:dyDescent="0.2">
      <c r="A7" s="338" t="s">
        <v>120</v>
      </c>
      <c r="B7" s="339"/>
      <c r="C7" s="161">
        <f t="shared" ref="C7:H7" si="0">C6-C5</f>
        <v>1.4745774484377421</v>
      </c>
      <c r="D7" s="161">
        <f t="shared" si="0"/>
        <v>0.39394490844696861</v>
      </c>
      <c r="E7" s="161">
        <f t="shared" si="0"/>
        <v>0.98235652819420238</v>
      </c>
      <c r="F7" s="161">
        <f t="shared" si="0"/>
        <v>1.3783884121746155</v>
      </c>
      <c r="G7" s="161">
        <f t="shared" si="0"/>
        <v>1.8212703628905729</v>
      </c>
      <c r="H7" s="161">
        <f t="shared" si="0"/>
        <v>1.6787146148421925</v>
      </c>
      <c r="I7" s="108"/>
      <c r="J7" s="102"/>
      <c r="K7" s="103"/>
      <c r="L7" s="104"/>
      <c r="M7" s="105"/>
      <c r="P7" s="109"/>
    </row>
    <row r="8" spans="1:17" s="92" customFormat="1" ht="14.4" customHeight="1" x14ac:dyDescent="0.2">
      <c r="A8" s="338" t="s">
        <v>121</v>
      </c>
      <c r="B8" s="340"/>
      <c r="C8" s="285">
        <f t="shared" ref="C8:E8" si="1">C7^2</f>
        <v>2.1743786514411618</v>
      </c>
      <c r="D8" s="285">
        <f t="shared" si="1"/>
        <v>0.15519259089129048</v>
      </c>
      <c r="E8" s="285">
        <f t="shared" si="1"/>
        <v>0.96502434848576679</v>
      </c>
      <c r="F8" s="285">
        <f>F7^2</f>
        <v>1.8999546148172577</v>
      </c>
      <c r="G8" s="285">
        <f>G7^2</f>
        <v>3.317025734743559</v>
      </c>
      <c r="H8" s="285">
        <f>H7^2</f>
        <v>2.8180827580847709</v>
      </c>
      <c r="I8" s="108"/>
      <c r="J8" s="110"/>
      <c r="K8" s="111"/>
      <c r="L8" s="112"/>
      <c r="M8" s="113"/>
      <c r="P8" s="109"/>
    </row>
    <row r="9" spans="1:17" s="92" customFormat="1" ht="21" customHeight="1" x14ac:dyDescent="0.2">
      <c r="A9" s="345" t="s">
        <v>189</v>
      </c>
      <c r="B9" s="345"/>
      <c r="C9" s="345"/>
      <c r="D9" s="345"/>
      <c r="E9" s="345"/>
      <c r="F9" s="345"/>
      <c r="G9" s="345"/>
      <c r="H9" s="280">
        <f>SQRT((C8+D8+E8+F8+G8+H8)/6)</f>
        <v>1.374145716343055</v>
      </c>
      <c r="I9" s="108"/>
    </row>
    <row r="10" spans="1:17" s="92" customFormat="1" ht="6" customHeight="1" thickBot="1" x14ac:dyDescent="0.25">
      <c r="A10" s="114"/>
      <c r="B10" s="115"/>
      <c r="C10" s="114"/>
      <c r="D10" s="116"/>
      <c r="E10" s="116"/>
      <c r="F10" s="116"/>
      <c r="G10" s="114"/>
      <c r="H10" s="116"/>
      <c r="I10" s="108"/>
      <c r="P10" s="109"/>
    </row>
    <row r="11" spans="1:17" ht="18" customHeight="1" thickBot="1" x14ac:dyDescent="0.3">
      <c r="A11" s="153" t="s">
        <v>182</v>
      </c>
      <c r="B11" s="209">
        <v>9.5</v>
      </c>
      <c r="C11" s="154" t="s">
        <v>181</v>
      </c>
      <c r="D11" s="261">
        <f>COS(RADIANS(B11))</f>
        <v>0.98628560153723144</v>
      </c>
      <c r="E11" s="155" t="s">
        <v>184</v>
      </c>
      <c r="F11" s="156">
        <v>8.5864499999999992</v>
      </c>
      <c r="G11" s="157" t="s">
        <v>185</v>
      </c>
      <c r="H11" s="262">
        <f>COS(RADIANS(F11))</f>
        <v>0.98879171732627158</v>
      </c>
      <c r="I11" s="108"/>
      <c r="M11" s="49"/>
      <c r="P11" s="50"/>
    </row>
    <row r="12" spans="1:17" ht="17.399999999999999" customHeight="1" x14ac:dyDescent="0.35">
      <c r="A12" s="24" t="s">
        <v>104</v>
      </c>
      <c r="B12" s="24" t="s">
        <v>180</v>
      </c>
      <c r="C12" s="139"/>
      <c r="D12" s="133" t="s">
        <v>27</v>
      </c>
      <c r="E12" s="24" t="s">
        <v>119</v>
      </c>
      <c r="F12" s="90" t="s">
        <v>118</v>
      </c>
      <c r="G12" s="143" t="s">
        <v>129</v>
      </c>
      <c r="H12" s="134" t="s">
        <v>117</v>
      </c>
      <c r="I12" s="108"/>
    </row>
    <row r="13" spans="1:17" ht="15" customHeight="1" x14ac:dyDescent="0.25">
      <c r="A13" s="132">
        <v>0</v>
      </c>
      <c r="B13" s="158">
        <f t="shared" ref="B13:B53" si="2">$D$11+A13*($H$11-$D$11)/($A$53-$A$13)</f>
        <v>0.98628560153723144</v>
      </c>
      <c r="C13" s="159">
        <f>DEGREES(ACOS(B13))</f>
        <v>9.4999999999999822</v>
      </c>
      <c r="D13" s="160">
        <f>'AB Hysteresis'!$F$6*(B13/$D$11-1)+'AB Hysteresis'!$B$8</f>
        <v>2.9159183511157538E-2</v>
      </c>
      <c r="E13" s="135">
        <f>2*PI()*D13^2*('AB Hysteresis'!$B$4-D13/3)</f>
        <v>1.2536055402511148E-3</v>
      </c>
      <c r="F13" s="28">
        <f>$J$1*E13</f>
        <v>130.07457744843774</v>
      </c>
      <c r="G13" s="28">
        <f>'Magnetic moments'!$C$17*'Fundamental constants'!$F$24*A13*B13/'Fundamental constants'!$F$18</f>
        <v>0</v>
      </c>
      <c r="H13" s="28">
        <f>F13+G13</f>
        <v>130.07457744843774</v>
      </c>
      <c r="I13" s="108"/>
      <c r="K13" s="25"/>
      <c r="L13" s="25"/>
      <c r="M13" s="25"/>
      <c r="N13" s="25"/>
    </row>
    <row r="14" spans="1:17" ht="12" customHeight="1" x14ac:dyDescent="0.25">
      <c r="A14" s="132">
        <f>A13+0.1</f>
        <v>0.1</v>
      </c>
      <c r="B14" s="158">
        <f t="shared" si="2"/>
        <v>0.98634825443195739</v>
      </c>
      <c r="C14" s="159">
        <f>DEGREES(ACOS(B14))</f>
        <v>9.4782255106550384</v>
      </c>
      <c r="D14" s="160">
        <f>'AB Hysteresis'!$F$6*(B14/$D$11-1)+'AB Hysteresis'!$B$8</f>
        <v>2.9221200809156994E-2</v>
      </c>
      <c r="E14" s="135">
        <f>2*PI()*D14^2*('AB Hysteresis'!$B$4-D14/3)</f>
        <v>1.2588327712410932E-3</v>
      </c>
      <c r="F14" s="28">
        <f t="shared" ref="F14:F53" si="3">$J$1*E14</f>
        <v>130.6169568815333</v>
      </c>
      <c r="G14" s="28">
        <f>'Magnetic moments'!$C$17*'Fundamental constants'!$F$24*A14*B14/'Fundamental constants'!$F$18</f>
        <v>0.39752579260487314</v>
      </c>
      <c r="H14" s="28">
        <f t="shared" ref="H14:H53" si="4">F14+G14</f>
        <v>131.01448267413818</v>
      </c>
      <c r="I14" s="108"/>
      <c r="K14" s="25"/>
    </row>
    <row r="15" spans="1:17" ht="16.2" customHeight="1" x14ac:dyDescent="0.25">
      <c r="A15" s="132">
        <f t="shared" ref="A15:A53" si="5">A14+0.1</f>
        <v>0.2</v>
      </c>
      <c r="B15" s="158">
        <f t="shared" si="2"/>
        <v>0.98641090732668346</v>
      </c>
      <c r="C15" s="159">
        <f t="shared" ref="C15:C53" si="6">DEGREES(ACOS(B15))</f>
        <v>9.4564013423273519</v>
      </c>
      <c r="D15" s="160">
        <f>'AB Hysteresis'!$F$6*(B15/$D$11-1)+'AB Hysteresis'!$B$8</f>
        <v>2.928321810715645E-2</v>
      </c>
      <c r="E15" s="135">
        <f>2*PI()*D15^2*('AB Hysteresis'!$B$4-D15/3)</f>
        <v>1.2640704010631399E-3</v>
      </c>
      <c r="F15" s="28">
        <f t="shared" si="3"/>
        <v>131.16041530131466</v>
      </c>
      <c r="G15" s="28">
        <f>'Magnetic moments'!$C$17*'Fundamental constants'!$F$24*A15*B15/'Fundamental constants'!$F$18</f>
        <v>0.79510208692964701</v>
      </c>
      <c r="H15" s="28">
        <f t="shared" si="4"/>
        <v>131.95551738824432</v>
      </c>
      <c r="I15" s="108"/>
    </row>
    <row r="16" spans="1:17" x14ac:dyDescent="0.25">
      <c r="A16" s="132">
        <f t="shared" si="5"/>
        <v>0.30000000000000004</v>
      </c>
      <c r="B16" s="158">
        <f t="shared" si="2"/>
        <v>0.98647356022140942</v>
      </c>
      <c r="C16" s="159">
        <f t="shared" si="6"/>
        <v>9.4345271502380523</v>
      </c>
      <c r="D16" s="160">
        <f>'AB Hysteresis'!$F$6*(B16/$D$11-1)+'AB Hysteresis'!$B$8</f>
        <v>2.9345235405155906E-2</v>
      </c>
      <c r="E16" s="135">
        <f>2*PI()*D16^2*('AB Hysteresis'!$B$4-D16/3)</f>
        <v>1.2693184267198296E-3</v>
      </c>
      <c r="F16" s="28">
        <f t="shared" si="3"/>
        <v>131.70495239676794</v>
      </c>
      <c r="G16" s="28">
        <f>'Magnetic moments'!$C$17*'Fundamental constants'!$F$24*A16*B16/'Fundamental constants'!$F$18</f>
        <v>1.1927288829743217</v>
      </c>
      <c r="H16" s="28">
        <f t="shared" si="4"/>
        <v>132.89768127974224</v>
      </c>
      <c r="I16" s="108"/>
    </row>
    <row r="17" spans="1:16" x14ac:dyDescent="0.25">
      <c r="A17" s="132">
        <f t="shared" si="5"/>
        <v>0.4</v>
      </c>
      <c r="B17" s="158">
        <f t="shared" si="2"/>
        <v>0.98653621311613549</v>
      </c>
      <c r="C17" s="159">
        <f t="shared" si="6"/>
        <v>9.4126025856092319</v>
      </c>
      <c r="D17" s="160">
        <f>'AB Hysteresis'!$F$6*(B17/$D$11-1)+'AB Hysteresis'!$B$8</f>
        <v>2.9407252703155362E-2</v>
      </c>
      <c r="E17" s="135">
        <f>2*PI()*D17^2*('AB Hysteresis'!$B$4-D17/3)</f>
        <v>1.2745768452137368E-3</v>
      </c>
      <c r="F17" s="28">
        <f t="shared" si="3"/>
        <v>132.25056785687912</v>
      </c>
      <c r="G17" s="28">
        <f>'Magnetic moments'!$C$17*'Fundamental constants'!$F$24*A17*B17/'Fundamental constants'!$F$18</f>
        <v>1.5904061807388969</v>
      </c>
      <c r="H17" s="28">
        <f t="shared" si="4"/>
        <v>133.84097403761803</v>
      </c>
      <c r="I17" s="108"/>
      <c r="K17" s="17"/>
    </row>
    <row r="18" spans="1:16" x14ac:dyDescent="0.25">
      <c r="A18" s="132">
        <f t="shared" si="5"/>
        <v>0.5</v>
      </c>
      <c r="B18" s="158">
        <f t="shared" si="2"/>
        <v>0.98659886601086144</v>
      </c>
      <c r="C18" s="159">
        <f t="shared" si="6"/>
        <v>9.3906272955990211</v>
      </c>
      <c r="D18" s="160">
        <f>'AB Hysteresis'!$F$6*(B18/$D$11-1)+'AB Hysteresis'!$B$8</f>
        <v>2.9469270001154818E-2</v>
      </c>
      <c r="E18" s="135">
        <f>2*PI()*D18^2*('AB Hysteresis'!$B$4-D18/3)</f>
        <v>1.2798456535474359E-3</v>
      </c>
      <c r="F18" s="28">
        <f t="shared" si="3"/>
        <v>132.7972613706342</v>
      </c>
      <c r="G18" s="28">
        <f>'Magnetic moments'!$C$17*'Fundamental constants'!$F$24*A18*B18/'Fundamental constants'!$F$18</f>
        <v>1.9881339802233728</v>
      </c>
      <c r="H18" s="28">
        <f t="shared" si="4"/>
        <v>134.78539535085758</v>
      </c>
      <c r="I18" s="108"/>
      <c r="K18" s="17"/>
    </row>
    <row r="19" spans="1:16" x14ac:dyDescent="0.25">
      <c r="A19" s="132">
        <f t="shared" si="5"/>
        <v>0.6</v>
      </c>
      <c r="B19" s="158">
        <f t="shared" si="2"/>
        <v>0.98666151890558751</v>
      </c>
      <c r="C19" s="159">
        <f t="shared" si="6"/>
        <v>9.3686009232347605</v>
      </c>
      <c r="D19" s="160">
        <f>'AB Hysteresis'!$F$6*(B19/$D$11-1)+'AB Hysteresis'!$B$8</f>
        <v>2.9531287299154274E-2</v>
      </c>
      <c r="E19" s="135">
        <f>2*PI()*D19^2*('AB Hysteresis'!$B$4-D19/3)</f>
        <v>1.2851248487235015E-3</v>
      </c>
      <c r="F19" s="28">
        <f t="shared" si="3"/>
        <v>133.34503262701921</v>
      </c>
      <c r="G19" s="28">
        <f>'Magnetic moments'!$C$17*'Fundamental constants'!$F$24*A19*B19/'Fundamental constants'!$F$18</f>
        <v>2.3859122814277494</v>
      </c>
      <c r="H19" s="28">
        <f t="shared" si="4"/>
        <v>135.73094490844696</v>
      </c>
      <c r="I19" s="108"/>
    </row>
    <row r="20" spans="1:16" s="17" customFormat="1" ht="13.8" customHeight="1" x14ac:dyDescent="0.25">
      <c r="A20" s="132">
        <f t="shared" si="5"/>
        <v>0.7</v>
      </c>
      <c r="B20" s="158">
        <f t="shared" si="2"/>
        <v>0.98672417180031347</v>
      </c>
      <c r="C20" s="159">
        <f t="shared" si="6"/>
        <v>9.3465231073452308</v>
      </c>
      <c r="D20" s="160">
        <f>'AB Hysteresis'!$F$6*(B20/$D$11-1)+'AB Hysteresis'!$B$8</f>
        <v>2.959330459715373E-2</v>
      </c>
      <c r="E20" s="135">
        <f>2*PI()*D20^2*('AB Hysteresis'!$B$4-D20/3)</f>
        <v>1.2904144277445084E-3</v>
      </c>
      <c r="F20" s="28">
        <f t="shared" si="3"/>
        <v>133.8938813150202</v>
      </c>
      <c r="G20" s="28">
        <f>'Magnetic moments'!$C$17*'Fundamental constants'!$F$24*A20*B20/'Fundamental constants'!$F$18</f>
        <v>2.7837410843520267</v>
      </c>
      <c r="H20" s="28">
        <f t="shared" si="4"/>
        <v>136.67762239937221</v>
      </c>
      <c r="I20" s="108"/>
      <c r="K20"/>
      <c r="L20"/>
      <c r="N20"/>
      <c r="O20"/>
      <c r="P20"/>
    </row>
    <row r="21" spans="1:16" x14ac:dyDescent="0.25">
      <c r="A21" s="132">
        <f t="shared" si="5"/>
        <v>0.79999999999999993</v>
      </c>
      <c r="B21" s="158">
        <f t="shared" si="2"/>
        <v>0.98678682469503942</v>
      </c>
      <c r="C21" s="159">
        <f t="shared" si="6"/>
        <v>9.3243934824909438</v>
      </c>
      <c r="D21" s="160">
        <f>'AB Hysteresis'!$F$6*(B21/$D$11-1)+'AB Hysteresis'!$B$8</f>
        <v>2.9655321895153186E-2</v>
      </c>
      <c r="E21" s="135">
        <f>2*PI()*D21^2*('AB Hysteresis'!$B$4-D21/3)</f>
        <v>1.295714387613031E-3</v>
      </c>
      <c r="F21" s="28">
        <f t="shared" si="3"/>
        <v>134.44380712362317</v>
      </c>
      <c r="G21" s="28">
        <f>'Magnetic moments'!$C$17*'Fundamental constants'!$F$24*A21*B21/'Fundamental constants'!$F$18</f>
        <v>3.1816203889962047</v>
      </c>
      <c r="H21" s="28">
        <f t="shared" si="4"/>
        <v>137.62542751261938</v>
      </c>
      <c r="I21" s="108"/>
    </row>
    <row r="22" spans="1:16" x14ac:dyDescent="0.25">
      <c r="A22" s="132">
        <f t="shared" si="5"/>
        <v>0.89999999999999991</v>
      </c>
      <c r="B22" s="158">
        <f t="shared" si="2"/>
        <v>0.98684947758976549</v>
      </c>
      <c r="C22" s="159">
        <f t="shared" si="6"/>
        <v>9.3022116788933999</v>
      </c>
      <c r="D22" s="160">
        <f>'AB Hysteresis'!$F$6*(B22/$D$11-1)+'AB Hysteresis'!$B$8</f>
        <v>2.9717339193152642E-2</v>
      </c>
      <c r="E22" s="135">
        <f>2*PI()*D22^2*('AB Hysteresis'!$B$4-D22/3)</f>
        <v>1.3010247253316439E-3</v>
      </c>
      <c r="F22" s="28">
        <f t="shared" si="3"/>
        <v>134.99480974181415</v>
      </c>
      <c r="G22" s="28">
        <f>'Magnetic moments'!$C$17*'Fundamental constants'!$F$24*A22*B22/'Fundamental constants'!$F$18</f>
        <v>3.5795501953602842</v>
      </c>
      <c r="H22" s="28">
        <f t="shared" si="4"/>
        <v>138.57435993717445</v>
      </c>
      <c r="I22" s="108"/>
      <c r="J22" s="117"/>
    </row>
    <row r="23" spans="1:16" x14ac:dyDescent="0.25">
      <c r="A23" s="132">
        <f t="shared" si="5"/>
        <v>0.99999999999999989</v>
      </c>
      <c r="B23" s="158">
        <f t="shared" si="2"/>
        <v>0.98691213048449145</v>
      </c>
      <c r="C23" s="159">
        <f t="shared" si="6"/>
        <v>9.2799773223626456</v>
      </c>
      <c r="D23" s="160">
        <f>'AB Hysteresis'!$F$6*(B23/$D$11-1)+'AB Hysteresis'!$B$8</f>
        <v>2.9779356491152098E-2</v>
      </c>
      <c r="E23" s="135">
        <f>2*PI()*D23^2*('AB Hysteresis'!$B$4-D23/3)</f>
        <v>1.306345437902922E-3</v>
      </c>
      <c r="F23" s="28">
        <f t="shared" si="3"/>
        <v>135.54688885857917</v>
      </c>
      <c r="G23" s="28">
        <f>'Magnetic moments'!$C$17*'Fundamental constants'!$F$24*A23*B23/'Fundamental constants'!$F$18</f>
        <v>3.977530503444263</v>
      </c>
      <c r="H23" s="28">
        <f t="shared" si="4"/>
        <v>139.52441936202342</v>
      </c>
      <c r="I23" s="108"/>
    </row>
    <row r="24" spans="1:16" x14ac:dyDescent="0.25">
      <c r="A24" s="132">
        <f t="shared" si="5"/>
        <v>1.0999999999999999</v>
      </c>
      <c r="B24" s="158">
        <f t="shared" si="2"/>
        <v>0.98697478337921751</v>
      </c>
      <c r="C24" s="159">
        <f t="shared" si="6"/>
        <v>9.2576900342230584</v>
      </c>
      <c r="D24" s="160">
        <f>'AB Hysteresis'!$F$6*(B24/$D$11-1)+'AB Hysteresis'!$B$8</f>
        <v>2.9841373789151554E-2</v>
      </c>
      <c r="E24" s="135">
        <f>2*PI()*D24^2*('AB Hysteresis'!$B$4-D24/3)</f>
        <v>1.3116765223294394E-3</v>
      </c>
      <c r="F24" s="28">
        <f t="shared" si="3"/>
        <v>136.10004416290423</v>
      </c>
      <c r="G24" s="28">
        <f>'Magnetic moments'!$C$17*'Fundamental constants'!$F$24*A24*B24/'Fundamental constants'!$F$18</f>
        <v>4.3755613132481441</v>
      </c>
      <c r="H24" s="28">
        <f t="shared" si="4"/>
        <v>140.47560547615237</v>
      </c>
      <c r="I24" s="108"/>
      <c r="K24" s="49"/>
    </row>
    <row r="25" spans="1:16" x14ac:dyDescent="0.25">
      <c r="A25" s="132">
        <f t="shared" si="5"/>
        <v>1.2</v>
      </c>
      <c r="B25" s="158">
        <f t="shared" si="2"/>
        <v>0.98703743627394347</v>
      </c>
      <c r="C25" s="159">
        <f t="shared" si="6"/>
        <v>9.2353494312380171</v>
      </c>
      <c r="D25" s="160">
        <f>'AB Hysteresis'!$F$6*(B25/$D$11-1)+'AB Hysteresis'!$B$8</f>
        <v>2.9903391087151007E-2</v>
      </c>
      <c r="E25" s="135">
        <f>2*PI()*D25^2*('AB Hysteresis'!$B$4-D25/3)</f>
        <v>1.3170179756137705E-3</v>
      </c>
      <c r="F25" s="28">
        <f t="shared" si="3"/>
        <v>136.65427534377534</v>
      </c>
      <c r="G25" s="28">
        <f>'Magnetic moments'!$C$17*'Fundamental constants'!$F$24*A25*B25/'Fundamental constants'!$F$18</f>
        <v>4.7736426247719255</v>
      </c>
      <c r="H25" s="28">
        <f t="shared" si="4"/>
        <v>141.42791796854726</v>
      </c>
      <c r="I25" s="108"/>
    </row>
    <row r="26" spans="1:16" x14ac:dyDescent="0.25">
      <c r="A26" s="132">
        <f t="shared" si="5"/>
        <v>1.3</v>
      </c>
      <c r="B26" s="158">
        <f t="shared" si="2"/>
        <v>0.98710008916866954</v>
      </c>
      <c r="C26" s="159">
        <f t="shared" si="6"/>
        <v>9.2129551255322877</v>
      </c>
      <c r="D26" s="160">
        <f>'AB Hysteresis'!$F$6*(B26/$D$11-1)+'AB Hysteresis'!$B$8</f>
        <v>2.9965408385150463E-2</v>
      </c>
      <c r="E26" s="135">
        <f>2*PI()*D26^2*('AB Hysteresis'!$B$4-D26/3)</f>
        <v>1.3223697947584907E-3</v>
      </c>
      <c r="F26" s="28">
        <f t="shared" si="3"/>
        <v>137.2095820901786</v>
      </c>
      <c r="G26" s="28">
        <f>'Magnetic moments'!$C$17*'Fundamental constants'!$F$24*A26*B26/'Fundamental constants'!$F$18</f>
        <v>5.1717744380156079</v>
      </c>
      <c r="H26" s="28">
        <f t="shared" si="4"/>
        <v>142.3813565281942</v>
      </c>
      <c r="I26" s="108"/>
    </row>
    <row r="27" spans="1:16" x14ac:dyDescent="0.25">
      <c r="A27" s="132">
        <f t="shared" si="5"/>
        <v>1.4000000000000001</v>
      </c>
      <c r="B27" s="158">
        <f t="shared" si="2"/>
        <v>0.98716274206339549</v>
      </c>
      <c r="C27" s="159">
        <f t="shared" si="6"/>
        <v>9.190506724513428</v>
      </c>
      <c r="D27" s="160">
        <f>'AB Hysteresis'!$F$6*(B27/$D$11-1)+'AB Hysteresis'!$B$8</f>
        <v>3.0027425683149919E-2</v>
      </c>
      <c r="E27" s="135">
        <f>2*PI()*D27^2*('AB Hysteresis'!$B$4-D27/3)</f>
        <v>1.327731976766174E-3</v>
      </c>
      <c r="F27" s="28">
        <f t="shared" si="3"/>
        <v>137.76596409109996</v>
      </c>
      <c r="G27" s="28">
        <f>'Magnetic moments'!$C$17*'Fundamental constants'!$F$24*A27*B27/'Fundamental constants'!$F$18</f>
        <v>5.5699567529791905</v>
      </c>
      <c r="H27" s="28">
        <f t="shared" si="4"/>
        <v>143.33592084407914</v>
      </c>
      <c r="I27" s="108"/>
    </row>
    <row r="28" spans="1:16" x14ac:dyDescent="0.25">
      <c r="A28" s="132">
        <f t="shared" si="5"/>
        <v>1.5000000000000002</v>
      </c>
      <c r="B28" s="158">
        <f t="shared" si="2"/>
        <v>0.98722539495812145</v>
      </c>
      <c r="C28" s="159">
        <f t="shared" si="6"/>
        <v>9.1680038307907985</v>
      </c>
      <c r="D28" s="160">
        <f>'AB Hysteresis'!$F$6*(B28/$D$11-1)+'AB Hysteresis'!$B$8</f>
        <v>3.0089442981149375E-2</v>
      </c>
      <c r="E28" s="135">
        <f>2*PI()*D28^2*('AB Hysteresis'!$B$4-D28/3)</f>
        <v>1.3331045186393952E-3</v>
      </c>
      <c r="F28" s="28">
        <f t="shared" si="3"/>
        <v>138.32342103552548</v>
      </c>
      <c r="G28" s="28">
        <f>'Magnetic moments'!$C$17*'Fundamental constants'!$F$24*A28*B28/'Fundamental constants'!$F$18</f>
        <v>5.9681895696626741</v>
      </c>
      <c r="H28" s="28">
        <f t="shared" si="4"/>
        <v>144.29161060518817</v>
      </c>
      <c r="I28" s="108"/>
    </row>
    <row r="29" spans="1:16" x14ac:dyDescent="0.25">
      <c r="A29" s="132">
        <f t="shared" si="5"/>
        <v>1.6000000000000003</v>
      </c>
      <c r="B29" s="158">
        <f t="shared" si="2"/>
        <v>0.98728804785284752</v>
      </c>
      <c r="C29" s="159">
        <f t="shared" si="6"/>
        <v>9.1454460420931518</v>
      </c>
      <c r="D29" s="160">
        <f>'AB Hysteresis'!$F$6*(B29/$D$11-1)+'AB Hysteresis'!$B$8</f>
        <v>3.0151460279148831E-2</v>
      </c>
      <c r="E29" s="135">
        <f>2*PI()*D29^2*('AB Hysteresis'!$B$4-D29/3)</f>
        <v>1.3384874173807289E-3</v>
      </c>
      <c r="F29" s="28">
        <f t="shared" si="3"/>
        <v>138.88195261244118</v>
      </c>
      <c r="G29" s="28">
        <f>'Magnetic moments'!$C$17*'Fundamental constants'!$F$24*A29*B29/'Fundamental constants'!$F$18</f>
        <v>6.3664728880660579</v>
      </c>
      <c r="H29" s="28">
        <f t="shared" si="4"/>
        <v>145.24842550050724</v>
      </c>
      <c r="I29" s="108"/>
    </row>
    <row r="30" spans="1:16" x14ac:dyDescent="0.25">
      <c r="A30" s="132">
        <f t="shared" si="5"/>
        <v>1.7000000000000004</v>
      </c>
      <c r="B30" s="158">
        <f t="shared" si="2"/>
        <v>0.98735070074757347</v>
      </c>
      <c r="C30" s="159">
        <f t="shared" si="6"/>
        <v>9.1228329511845274</v>
      </c>
      <c r="D30" s="160">
        <f>'AB Hysteresis'!$F$6*(B30/$D$11-1)+'AB Hysteresis'!$B$8</f>
        <v>3.0213477577148286E-2</v>
      </c>
      <c r="E30" s="135">
        <f>2*PI()*D30^2*('AB Hysteresis'!$B$4-D30/3)</f>
        <v>1.3438806699927494E-3</v>
      </c>
      <c r="F30" s="28">
        <f t="shared" si="3"/>
        <v>139.44155851083306</v>
      </c>
      <c r="G30" s="28">
        <f>'Magnetic moments'!$C$17*'Fundamental constants'!$F$24*A30*B30/'Fundamental constants'!$F$18</f>
        <v>6.7648067081893428</v>
      </c>
      <c r="H30" s="28">
        <f t="shared" si="4"/>
        <v>146.20636521902242</v>
      </c>
      <c r="I30" s="108"/>
    </row>
    <row r="31" spans="1:16" x14ac:dyDescent="0.25">
      <c r="A31" s="132">
        <f t="shared" si="5"/>
        <v>1.8000000000000005</v>
      </c>
      <c r="B31" s="158">
        <f t="shared" si="2"/>
        <v>0.98741335364229954</v>
      </c>
      <c r="C31" s="159">
        <f t="shared" si="6"/>
        <v>9.1001641457777147</v>
      </c>
      <c r="D31" s="160">
        <f>'AB Hysteresis'!$F$6*(B31/$D$11-1)+'AB Hysteresis'!$B$8</f>
        <v>3.0275494875147742E-2</v>
      </c>
      <c r="E31" s="135">
        <f>2*PI()*D31^2*('AB Hysteresis'!$B$4-D31/3)</f>
        <v>1.3492842734780313E-3</v>
      </c>
      <c r="F31" s="28">
        <f t="shared" si="3"/>
        <v>140.0022384196871</v>
      </c>
      <c r="G31" s="28">
        <f>'Magnetic moments'!$C$17*'Fundamental constants'!$F$24*A31*B31/'Fundamental constants'!$F$18</f>
        <v>7.1631910300325297</v>
      </c>
      <c r="H31" s="28">
        <f t="shared" si="4"/>
        <v>147.16542944971962</v>
      </c>
      <c r="I31" s="108"/>
    </row>
    <row r="32" spans="1:16" x14ac:dyDescent="0.25">
      <c r="A32" s="132">
        <f t="shared" si="5"/>
        <v>1.9000000000000006</v>
      </c>
      <c r="B32" s="158">
        <f t="shared" si="2"/>
        <v>0.9874760065370255</v>
      </c>
      <c r="C32" s="159">
        <f t="shared" si="6"/>
        <v>9.0774392084464761</v>
      </c>
      <c r="D32" s="160">
        <f>'AB Hysteresis'!$F$6*(B32/$D$11-1)+'AB Hysteresis'!$B$8</f>
        <v>3.0337512173147198E-2</v>
      </c>
      <c r="E32" s="135">
        <f>2*PI()*D32^2*('AB Hysteresis'!$B$4-D32/3)</f>
        <v>1.3546982248391496E-3</v>
      </c>
      <c r="F32" s="28">
        <f t="shared" si="3"/>
        <v>140.56399202798943</v>
      </c>
      <c r="G32" s="28">
        <f>'Magnetic moments'!$C$17*'Fundamental constants'!$F$24*A32*B32/'Fundamental constants'!$F$18</f>
        <v>7.5616258535956149</v>
      </c>
      <c r="H32" s="28">
        <f t="shared" si="4"/>
        <v>148.12561788158504</v>
      </c>
      <c r="I32" s="108"/>
    </row>
    <row r="33" spans="1:9" x14ac:dyDescent="0.25">
      <c r="A33" s="132">
        <f t="shared" si="5"/>
        <v>2.0000000000000004</v>
      </c>
      <c r="B33" s="158">
        <f t="shared" si="2"/>
        <v>0.98753865943175145</v>
      </c>
      <c r="C33" s="159">
        <f t="shared" si="6"/>
        <v>9.0546577165351181</v>
      </c>
      <c r="D33" s="160">
        <f>'AB Hysteresis'!$F$6*(B33/$D$11-1)+'AB Hysteresis'!$B$8</f>
        <v>3.0399529471146439E-2</v>
      </c>
      <c r="E33" s="135">
        <f>2*PI()*D33^2*('AB Hysteresis'!$B$4-D33/3)</f>
        <v>1.3601225210786597E-3</v>
      </c>
      <c r="F33" s="28">
        <f t="shared" si="3"/>
        <v>141.12681902472406</v>
      </c>
      <c r="G33" s="28">
        <f>'Magnetic moments'!$C$17*'Fundamental constants'!$F$24*A33*B33/'Fundamental constants'!$F$18</f>
        <v>7.9601111788786012</v>
      </c>
      <c r="H33" s="28">
        <f t="shared" si="4"/>
        <v>149.08693020360266</v>
      </c>
      <c r="I33" s="108"/>
    </row>
    <row r="34" spans="1:9" x14ac:dyDescent="0.25">
      <c r="A34" s="132">
        <f t="shared" si="5"/>
        <v>2.1000000000000005</v>
      </c>
      <c r="B34" s="158">
        <f t="shared" si="2"/>
        <v>0.98760131232647752</v>
      </c>
      <c r="C34" s="159">
        <f t="shared" si="6"/>
        <v>9.0318192420665113</v>
      </c>
      <c r="D34" s="160">
        <f>'AB Hysteresis'!$F$6*(B34/$D$11-1)+'AB Hysteresis'!$B$8</f>
        <v>3.046154676914611E-2</v>
      </c>
      <c r="E34" s="135">
        <f>2*PI()*D34^2*('AB Hysteresis'!$B$4-D34/3)</f>
        <v>1.3655571591991928E-3</v>
      </c>
      <c r="F34" s="28">
        <f t="shared" si="3"/>
        <v>141.69071909888288</v>
      </c>
      <c r="G34" s="28">
        <f>'Magnetic moments'!$C$17*'Fundamental constants'!$F$24*A34*B34/'Fundamental constants'!$F$18</f>
        <v>8.3586470058814903</v>
      </c>
      <c r="H34" s="28">
        <f t="shared" si="4"/>
        <v>150.04936610476437</v>
      </c>
      <c r="I34" s="108"/>
    </row>
    <row r="35" spans="1:9" x14ac:dyDescent="0.25">
      <c r="A35" s="132">
        <f t="shared" si="5"/>
        <v>2.2000000000000006</v>
      </c>
      <c r="B35" s="158">
        <f t="shared" si="2"/>
        <v>0.98766396522120348</v>
      </c>
      <c r="C35" s="159">
        <f t="shared" si="6"/>
        <v>9.0089233516479172</v>
      </c>
      <c r="D35" s="160">
        <f>'AB Hysteresis'!$F$6*(B35/$D$11-1)+'AB Hysteresis'!$B$8</f>
        <v>3.0523564067145348E-2</v>
      </c>
      <c r="E35" s="135">
        <f>2*PI()*D35^2*('AB Hysteresis'!$B$4-D35/3)</f>
        <v>1.3710021362032475E-3</v>
      </c>
      <c r="F35" s="28">
        <f t="shared" si="3"/>
        <v>142.25569193944406</v>
      </c>
      <c r="G35" s="28">
        <f>'Magnetic moments'!$C$17*'Fundamental constants'!$F$24*A35*B35/'Fundamental constants'!$F$18</f>
        <v>8.7572333346042779</v>
      </c>
      <c r="H35" s="28">
        <f t="shared" si="4"/>
        <v>151.01292527404834</v>
      </c>
      <c r="I35" s="108"/>
    </row>
    <row r="36" spans="1:9" x14ac:dyDescent="0.25">
      <c r="A36" s="132">
        <f t="shared" si="5"/>
        <v>2.3000000000000007</v>
      </c>
      <c r="B36" s="158">
        <f t="shared" si="2"/>
        <v>0.98772661811592954</v>
      </c>
      <c r="C36" s="159">
        <f t="shared" si="6"/>
        <v>8.985969606374292</v>
      </c>
      <c r="D36" s="160">
        <f>'AB Hysteresis'!$F$6*(B36/$D$11-1)+'AB Hysteresis'!$B$8</f>
        <v>3.0585581365145022E-2</v>
      </c>
      <c r="E36" s="135">
        <f>2*PI()*D36^2*('AB Hysteresis'!$B$4-D36/3)</f>
        <v>1.3764574490934751E-3</v>
      </c>
      <c r="F36" s="28">
        <f t="shared" si="3"/>
        <v>142.82173723540151</v>
      </c>
      <c r="G36" s="28">
        <f>'Magnetic moments'!$C$17*'Fundamental constants'!$F$24*A36*B36/'Fundamental constants'!$F$18</f>
        <v>9.1558701650469683</v>
      </c>
      <c r="H36" s="28">
        <f t="shared" si="4"/>
        <v>151.97760740044848</v>
      </c>
      <c r="I36" s="108"/>
    </row>
    <row r="37" spans="1:9" x14ac:dyDescent="0.25">
      <c r="A37" s="132">
        <f t="shared" si="5"/>
        <v>2.4000000000000008</v>
      </c>
      <c r="B37" s="158">
        <f t="shared" si="2"/>
        <v>0.9877892710106555</v>
      </c>
      <c r="C37" s="159">
        <f t="shared" si="6"/>
        <v>8.9629575617300166</v>
      </c>
      <c r="D37" s="160">
        <f>'AB Hysteresis'!$F$6*(B37/$D$11-1)+'AB Hysteresis'!$B$8</f>
        <v>3.064759866314426E-2</v>
      </c>
      <c r="E37" s="135">
        <f>2*PI()*D37^2*('AB Hysteresis'!$B$4-D37/3)</f>
        <v>1.3819230948723736E-3</v>
      </c>
      <c r="F37" s="28">
        <f t="shared" si="3"/>
        <v>143.3888546757334</v>
      </c>
      <c r="G37" s="28">
        <f>'Magnetic moments'!$C$17*'Fundamental constants'!$F$24*A37*B37/'Fundamental constants'!$F$18</f>
        <v>9.5545574972095579</v>
      </c>
      <c r="H37" s="28">
        <f t="shared" si="4"/>
        <v>152.94341217294294</v>
      </c>
      <c r="I37" s="108"/>
    </row>
    <row r="38" spans="1:9" x14ac:dyDescent="0.25">
      <c r="A38" s="132">
        <f t="shared" si="5"/>
        <v>2.5000000000000009</v>
      </c>
      <c r="B38" s="158">
        <f t="shared" si="2"/>
        <v>0.98785192390538157</v>
      </c>
      <c r="C38" s="159">
        <f t="shared" si="6"/>
        <v>8.9398867674876126</v>
      </c>
      <c r="D38" s="160">
        <f>'AB Hysteresis'!$F$6*(B38/$D$11-1)+'AB Hysteresis'!$B$8</f>
        <v>3.0709615961143934E-2</v>
      </c>
      <c r="E38" s="135">
        <f>2*PI()*D38^2*('AB Hysteresis'!$B$4-D38/3)</f>
        <v>1.3873990705425938E-3</v>
      </c>
      <c r="F38" s="28">
        <f t="shared" si="3"/>
        <v>143.9570439494336</v>
      </c>
      <c r="G38" s="28">
        <f>'Magnetic moments'!$C$17*'Fundamental constants'!$F$24*A38*B38/'Fundamental constants'!$F$18</f>
        <v>9.9532953310920487</v>
      </c>
      <c r="H38" s="28">
        <f t="shared" si="4"/>
        <v>153.91033928052565</v>
      </c>
      <c r="I38" s="108"/>
    </row>
    <row r="39" spans="1:9" x14ac:dyDescent="0.25">
      <c r="A39" s="132">
        <f t="shared" si="5"/>
        <v>2.600000000000001</v>
      </c>
      <c r="B39" s="158">
        <f t="shared" si="2"/>
        <v>0.98791457680010752</v>
      </c>
      <c r="C39" s="159">
        <f t="shared" si="6"/>
        <v>8.9167567676048787</v>
      </c>
      <c r="D39" s="160">
        <f>'AB Hysteresis'!$F$6*(B39/$D$11-1)+'AB Hysteresis'!$B$8</f>
        <v>3.0771633259143172E-2</v>
      </c>
      <c r="E39" s="135">
        <f>2*PI()*D39^2*('AB Hysteresis'!$B$4-D39/3)</f>
        <v>1.3928853731066339E-3</v>
      </c>
      <c r="F39" s="28">
        <f t="shared" si="3"/>
        <v>144.52630474548019</v>
      </c>
      <c r="G39" s="28">
        <f>'Magnetic moments'!$C$17*'Fundamental constants'!$F$24*A39*B39/'Fundamental constants'!$F$18</f>
        <v>10.35208366669444</v>
      </c>
      <c r="H39" s="28">
        <f t="shared" si="4"/>
        <v>154.87838841217462</v>
      </c>
      <c r="I39" s="108"/>
    </row>
    <row r="40" spans="1:9" x14ac:dyDescent="0.25">
      <c r="A40" s="132">
        <f t="shared" si="5"/>
        <v>2.7000000000000011</v>
      </c>
      <c r="B40" s="158">
        <f t="shared" si="2"/>
        <v>0.98797722969483348</v>
      </c>
      <c r="C40" s="159">
        <f t="shared" si="6"/>
        <v>8.8935671001188759</v>
      </c>
      <c r="D40" s="160">
        <f>'AB Hysteresis'!$F$6*(B40/$D$11-1)+'AB Hysteresis'!$B$8</f>
        <v>3.0833650557142628E-2</v>
      </c>
      <c r="E40" s="135">
        <f>2*PI()*D40^2*('AB Hysteresis'!$B$4-D40/3)</f>
        <v>1.3983819995671259E-3</v>
      </c>
      <c r="F40" s="28">
        <f t="shared" si="3"/>
        <v>145.09663675286521</v>
      </c>
      <c r="G40" s="28">
        <f>'Magnetic moments'!$C$17*'Fundamental constants'!$F$24*A40*B40/'Fundamental constants'!$F$18</f>
        <v>10.750922504016732</v>
      </c>
      <c r="H40" s="28">
        <f t="shared" si="4"/>
        <v>155.84755925688194</v>
      </c>
      <c r="I40" s="108"/>
    </row>
    <row r="41" spans="1:9" x14ac:dyDescent="0.25">
      <c r="A41" s="132">
        <f t="shared" si="5"/>
        <v>2.8000000000000012</v>
      </c>
      <c r="B41" s="158">
        <f t="shared" si="2"/>
        <v>0.98803988258955955</v>
      </c>
      <c r="C41" s="159">
        <f t="shared" si="6"/>
        <v>8.8703172970379445</v>
      </c>
      <c r="D41" s="160">
        <f>'AB Hysteresis'!$F$6*(B41/$D$11-1)+'AB Hysteresis'!$B$8</f>
        <v>3.0895667855142084E-2</v>
      </c>
      <c r="E41" s="135">
        <f>2*PI()*D41^2*('AB Hysteresis'!$B$4-D41/3)</f>
        <v>1.4038889469266253E-3</v>
      </c>
      <c r="F41" s="28">
        <f t="shared" si="3"/>
        <v>145.66803966057267</v>
      </c>
      <c r="G41" s="28">
        <f>'Magnetic moments'!$C$17*'Fundamental constants'!$F$24*A41*B41/'Fundamental constants'!$F$18</f>
        <v>11.149811843058925</v>
      </c>
      <c r="H41" s="28">
        <f t="shared" si="4"/>
        <v>156.8178515036316</v>
      </c>
      <c r="I41" s="108"/>
    </row>
    <row r="42" spans="1:9" x14ac:dyDescent="0.25">
      <c r="A42" s="132">
        <f t="shared" si="5"/>
        <v>2.9000000000000012</v>
      </c>
      <c r="B42" s="158">
        <f t="shared" si="2"/>
        <v>0.9881025354842855</v>
      </c>
      <c r="C42" s="159">
        <f t="shared" si="6"/>
        <v>8.8470068842311118</v>
      </c>
      <c r="D42" s="160">
        <f>'AB Hysteresis'!$F$6*(B42/$D$11-1)+'AB Hysteresis'!$B$8</f>
        <v>3.095768515314154E-2</v>
      </c>
      <c r="E42" s="135">
        <f>2*PI()*D42^2*('AB Hysteresis'!$B$4-D42/3)</f>
        <v>1.4094062121877066E-3</v>
      </c>
      <c r="F42" s="28">
        <f t="shared" si="3"/>
        <v>146.24051315758862</v>
      </c>
      <c r="G42" s="28">
        <f>'Magnetic moments'!$C$17*'Fundamental constants'!$F$24*A42*B42/'Fundamental constants'!$F$18</f>
        <v>11.54875168382102</v>
      </c>
      <c r="H42" s="28">
        <f t="shared" si="4"/>
        <v>157.78926484140965</v>
      </c>
      <c r="I42" s="108"/>
    </row>
    <row r="43" spans="1:9" x14ac:dyDescent="0.25">
      <c r="A43" s="132">
        <f t="shared" si="5"/>
        <v>3.0000000000000013</v>
      </c>
      <c r="B43" s="158">
        <f t="shared" si="2"/>
        <v>0.98816518837901157</v>
      </c>
      <c r="C43" s="159">
        <f t="shared" si="6"/>
        <v>8.8236353813144568</v>
      </c>
      <c r="D43" s="160">
        <f>'AB Hysteresis'!$F$6*(B43/$D$11-1)+'AB Hysteresis'!$B$8</f>
        <v>3.1019702451141214E-2</v>
      </c>
      <c r="E43" s="135">
        <f>2*PI()*D43^2*('AB Hysteresis'!$B$4-D43/3)</f>
        <v>1.4149337923529638E-3</v>
      </c>
      <c r="F43" s="28">
        <f t="shared" si="3"/>
        <v>146.81405693290102</v>
      </c>
      <c r="G43" s="28">
        <f>'Magnetic moments'!$C$17*'Fundamental constants'!$F$24*A43*B43/'Fundamental constants'!$F$18</f>
        <v>11.947742026303015</v>
      </c>
      <c r="H43" s="28">
        <f t="shared" si="4"/>
        <v>158.76179895920404</v>
      </c>
      <c r="I43" s="108"/>
    </row>
    <row r="44" spans="1:9" x14ac:dyDescent="0.25">
      <c r="A44" s="132">
        <f t="shared" si="5"/>
        <v>3.1000000000000014</v>
      </c>
      <c r="B44" s="158">
        <f t="shared" si="2"/>
        <v>0.98822784127373753</v>
      </c>
      <c r="C44" s="159">
        <f t="shared" si="6"/>
        <v>8.8002023015354478</v>
      </c>
      <c r="D44" s="160">
        <f>'AB Hysteresis'!$F$6*(B44/$D$11-1)+'AB Hysteresis'!$B$8</f>
        <v>3.1081719749140452E-2</v>
      </c>
      <c r="E44" s="135">
        <f>2*PI()*D44^2*('AB Hysteresis'!$B$4-D44/3)</f>
        <v>1.420471684424913E-3</v>
      </c>
      <c r="F44" s="28">
        <f t="shared" si="3"/>
        <v>147.38867067548992</v>
      </c>
      <c r="G44" s="28">
        <f>'Magnetic moments'!$C$17*'Fundamental constants'!$F$24*A44*B44/'Fundamental constants'!$F$18</f>
        <v>12.346782870504908</v>
      </c>
      <c r="H44" s="28">
        <f t="shared" si="4"/>
        <v>159.73545354599483</v>
      </c>
      <c r="I44" s="108"/>
    </row>
    <row r="45" spans="1:9" x14ac:dyDescent="0.25">
      <c r="A45" s="132">
        <f t="shared" si="5"/>
        <v>3.2000000000000015</v>
      </c>
      <c r="B45" s="158">
        <f t="shared" si="2"/>
        <v>0.9882904941684636</v>
      </c>
      <c r="C45" s="159">
        <f t="shared" si="6"/>
        <v>8.7767071516537651</v>
      </c>
      <c r="D45" s="160">
        <f>'AB Hysteresis'!$F$6*(B45/$D$11-1)+'AB Hysteresis'!$B$8</f>
        <v>3.1143737047140123E-2</v>
      </c>
      <c r="E45" s="135">
        <f>2*PI()*D45^2*('AB Hysteresis'!$B$4-D45/3)</f>
        <v>1.4260198854062066E-3</v>
      </c>
      <c r="F45" s="28">
        <f t="shared" si="3"/>
        <v>147.96435407434936</v>
      </c>
      <c r="G45" s="28">
        <f>'Magnetic moments'!$C$17*'Fundamental constants'!$F$24*A45*B45/'Fundamental constants'!$F$18</f>
        <v>12.745874216426705</v>
      </c>
      <c r="H45" s="28">
        <f t="shared" si="4"/>
        <v>160.71022829077606</v>
      </c>
      <c r="I45" s="108"/>
    </row>
    <row r="46" spans="1:9" x14ac:dyDescent="0.25">
      <c r="A46" s="132">
        <f t="shared" si="5"/>
        <v>3.3000000000000016</v>
      </c>
      <c r="B46" s="158">
        <f t="shared" si="2"/>
        <v>0.98835314706318955</v>
      </c>
      <c r="C46" s="159">
        <f t="shared" si="6"/>
        <v>8.7531494318199901</v>
      </c>
      <c r="D46" s="160">
        <f>'AB Hysteresis'!$F$6*(B46/$D$11-1)+'AB Hysteresis'!$B$8</f>
        <v>3.1205754345139364E-2</v>
      </c>
      <c r="E46" s="135">
        <f>2*PI()*D46^2*('AB Hysteresis'!$B$4-D46/3)</f>
        <v>1.4315783922993421E-3</v>
      </c>
      <c r="F46" s="28">
        <f t="shared" si="3"/>
        <v>148.54110681845734</v>
      </c>
      <c r="G46" s="28">
        <f>'Magnetic moments'!$C$17*'Fundamental constants'!$F$24*A46*B46/'Fundamental constants'!$F$18</f>
        <v>13.1450160640684</v>
      </c>
      <c r="H46" s="28">
        <f t="shared" si="4"/>
        <v>161.68612288252575</v>
      </c>
      <c r="I46" s="108"/>
    </row>
    <row r="47" spans="1:9" x14ac:dyDescent="0.25">
      <c r="A47" s="132">
        <f t="shared" si="5"/>
        <v>3.4000000000000017</v>
      </c>
      <c r="B47" s="158">
        <f t="shared" si="2"/>
        <v>0.98841579995791551</v>
      </c>
      <c r="C47" s="159">
        <f t="shared" si="6"/>
        <v>8.7295286354506096</v>
      </c>
      <c r="D47" s="160">
        <f>'AB Hysteresis'!$F$6*(B47/$D$11-1)+'AB Hysteresis'!$B$8</f>
        <v>3.126777164313882E-2</v>
      </c>
      <c r="E47" s="135">
        <f>2*PI()*D47^2*('AB Hysteresis'!$B$4-D47/3)</f>
        <v>1.4371472021069518E-3</v>
      </c>
      <c r="F47" s="28">
        <f t="shared" si="3"/>
        <v>149.11892859680594</v>
      </c>
      <c r="G47" s="28">
        <f>'Magnetic moments'!$C$17*'Fundamental constants'!$F$24*A47*B47/'Fundamental constants'!$F$18</f>
        <v>13.544208413429997</v>
      </c>
      <c r="H47" s="28">
        <f t="shared" si="4"/>
        <v>162.66313701023594</v>
      </c>
      <c r="I47" s="108"/>
    </row>
    <row r="48" spans="1:9" hidden="1" x14ac:dyDescent="0.25">
      <c r="A48" s="132">
        <f t="shared" si="5"/>
        <v>3.5000000000000018</v>
      </c>
      <c r="B48" s="158">
        <f t="shared" si="2"/>
        <v>0.98847845285264158</v>
      </c>
      <c r="C48" s="159">
        <f t="shared" si="6"/>
        <v>8.7058442491005934</v>
      </c>
      <c r="D48" s="160">
        <f>'AB Hysteresis'!$F$6*(B48/$D$11-1)+'AB Hysteresis'!$B$8</f>
        <v>3.1329788941138276E-2</v>
      </c>
      <c r="E48" s="135">
        <f>2*PI()*D48^2*('AB Hysteresis'!$B$4-D48/3)</f>
        <v>1.4427263118315904E-3</v>
      </c>
      <c r="F48" s="28">
        <f t="shared" si="3"/>
        <v>149.69781909837909</v>
      </c>
      <c r="G48" s="28">
        <f>'Magnetic moments'!$C$17*'Fundamental constants'!$F$24*A48*B48/'Fundamental constants'!$F$18</f>
        <v>13.943451264511495</v>
      </c>
      <c r="H48" s="28">
        <f t="shared" si="4"/>
        <v>163.64127036289057</v>
      </c>
      <c r="I48" s="108"/>
    </row>
    <row r="49" spans="1:17" hidden="1" x14ac:dyDescent="0.25">
      <c r="A49" s="132">
        <f t="shared" si="5"/>
        <v>3.6000000000000019</v>
      </c>
      <c r="B49" s="158">
        <f t="shared" si="2"/>
        <v>0.98854110574736753</v>
      </c>
      <c r="C49" s="159">
        <f t="shared" si="6"/>
        <v>8.6820957523325859</v>
      </c>
      <c r="D49" s="160">
        <f>'AB Hysteresis'!$F$6*(B49/$D$11-1)+'AB Hysteresis'!$B$8</f>
        <v>3.1391806239137732E-2</v>
      </c>
      <c r="E49" s="135">
        <f>2*PI()*D49^2*('AB Hysteresis'!$B$4-D49/3)</f>
        <v>1.4483157184758334E-3</v>
      </c>
      <c r="F49" s="28">
        <f t="shared" si="3"/>
        <v>150.27777801216288</v>
      </c>
      <c r="G49" s="28">
        <f>'Magnetic moments'!$C$17*'Fundamental constants'!$F$24*A49*B49/'Fundamental constants'!$F$18</f>
        <v>14.342744617312894</v>
      </c>
      <c r="H49" s="28">
        <f t="shared" si="4"/>
        <v>164.62052262947577</v>
      </c>
      <c r="I49" s="108"/>
    </row>
    <row r="50" spans="1:17" hidden="1" x14ac:dyDescent="0.25">
      <c r="A50" s="132">
        <f t="shared" si="5"/>
        <v>3.700000000000002</v>
      </c>
      <c r="B50" s="158">
        <f t="shared" si="2"/>
        <v>0.9886037586420936</v>
      </c>
      <c r="C50" s="159">
        <f t="shared" si="6"/>
        <v>8.6582826175827137</v>
      </c>
      <c r="D50" s="160">
        <f>'AB Hysteresis'!$F$6*(B50/$D$11-1)+'AB Hysteresis'!$B$8</f>
        <v>3.1453823537137188E-2</v>
      </c>
      <c r="E50" s="135">
        <f>2*PI()*D50^2*('AB Hysteresis'!$B$4-D50/3)</f>
        <v>1.4539154190422545E-3</v>
      </c>
      <c r="F50" s="28">
        <f t="shared" si="3"/>
        <v>150.85880502714329</v>
      </c>
      <c r="G50" s="28">
        <f>'Magnetic moments'!$C$17*'Fundamental constants'!$F$24*A50*B50/'Fundamental constants'!$F$18</f>
        <v>14.742088471834194</v>
      </c>
      <c r="H50" s="28">
        <f t="shared" si="4"/>
        <v>165.60089349897748</v>
      </c>
      <c r="I50" s="108"/>
    </row>
    <row r="51" spans="1:17" x14ac:dyDescent="0.25">
      <c r="A51" s="132">
        <f t="shared" si="5"/>
        <v>3.800000000000002</v>
      </c>
      <c r="B51" s="158">
        <f t="shared" si="2"/>
        <v>0.98866641153681956</v>
      </c>
      <c r="C51" s="159">
        <f t="shared" si="6"/>
        <v>8.6344043100235179</v>
      </c>
      <c r="D51" s="160">
        <f>'AB Hysteresis'!$F$6*(B51/$D$11-1)+'AB Hysteresis'!$B$8</f>
        <v>3.1515840835136644E-2</v>
      </c>
      <c r="E51" s="135">
        <f>2*PI()*D51^2*('AB Hysteresis'!$B$4-D51/3)</f>
        <v>1.4595254105334288E-3</v>
      </c>
      <c r="F51" s="28">
        <f t="shared" si="3"/>
        <v>151.44089983230637</v>
      </c>
      <c r="G51" s="28">
        <f>'Magnetic moments'!$C$17*'Fundamental constants'!$F$24*A51*B51/'Fundamental constants'!$F$18</f>
        <v>15.141482828075393</v>
      </c>
      <c r="H51" s="28">
        <f t="shared" si="4"/>
        <v>166.58238266038177</v>
      </c>
      <c r="I51" s="108"/>
    </row>
    <row r="52" spans="1:17" x14ac:dyDescent="0.25">
      <c r="A52" s="132">
        <f t="shared" si="5"/>
        <v>3.9000000000000021</v>
      </c>
      <c r="B52" s="158">
        <f t="shared" si="2"/>
        <v>0.98872906443154562</v>
      </c>
      <c r="C52" s="159">
        <f t="shared" si="6"/>
        <v>8.6104602874228569</v>
      </c>
      <c r="D52" s="160">
        <f>'AB Hysteresis'!$F$6*(B52/$D$11-1)+'AB Hysteresis'!$B$8</f>
        <v>3.15778581331361E-2</v>
      </c>
      <c r="E52" s="135">
        <f>2*PI()*D52^2*('AB Hysteresis'!$B$4-D52/3)</f>
        <v>1.465145689951931E-3</v>
      </c>
      <c r="F52" s="28">
        <f t="shared" si="3"/>
        <v>152.02406211663816</v>
      </c>
      <c r="G52" s="28">
        <f>'Magnetic moments'!$C$17*'Fundamental constants'!$F$24*A52*B52/'Fundamental constants'!$F$18</f>
        <v>15.540927686036497</v>
      </c>
      <c r="H52" s="28">
        <f t="shared" si="4"/>
        <v>167.56498980267466</v>
      </c>
      <c r="I52" s="108"/>
    </row>
    <row r="53" spans="1:17" x14ac:dyDescent="0.25">
      <c r="A53" s="132">
        <f t="shared" si="5"/>
        <v>4.0000000000000018</v>
      </c>
      <c r="B53" s="158">
        <f t="shared" si="2"/>
        <v>0.98879171732627158</v>
      </c>
      <c r="C53" s="159">
        <f t="shared" si="6"/>
        <v>8.5864499999999957</v>
      </c>
      <c r="D53" s="160">
        <f>'AB Hysteresis'!$F$6*(B53/$D$11-1)+'AB Hysteresis'!$B$8</f>
        <v>3.1639875431135556E-2</v>
      </c>
      <c r="E53" s="135">
        <f>2*PI()*D53^2*('AB Hysteresis'!$B$4-D53/3)</f>
        <v>1.4707762543003358E-3</v>
      </c>
      <c r="F53" s="28">
        <f t="shared" si="3"/>
        <v>152.6082915691247</v>
      </c>
      <c r="G53" s="28">
        <f>'Magnetic moments'!$C$17*'Fundamental constants'!$F$24*A53*B53/'Fundamental constants'!$F$18</f>
        <v>15.940423045717495</v>
      </c>
      <c r="H53" s="28">
        <f t="shared" si="4"/>
        <v>168.5487146148422</v>
      </c>
      <c r="I53" s="108"/>
      <c r="N53" s="319" t="s">
        <v>223</v>
      </c>
      <c r="O53" s="319"/>
      <c r="P53" s="319"/>
      <c r="Q53" s="319"/>
    </row>
    <row r="54" spans="1:17" ht="3" customHeight="1" x14ac:dyDescent="0.25">
      <c r="A54" s="108"/>
      <c r="B54" s="108"/>
      <c r="C54" s="108"/>
      <c r="D54" s="108"/>
      <c r="E54" s="108"/>
      <c r="F54" s="108"/>
      <c r="G54" s="108"/>
      <c r="H54" s="108"/>
      <c r="I54" s="108"/>
    </row>
    <row r="55" spans="1:17" ht="10.199999999999999" customHeight="1" x14ac:dyDescent="0.25">
      <c r="E55" s="49"/>
      <c r="F55" s="49"/>
      <c r="H55" s="303"/>
      <c r="I55" s="303"/>
    </row>
    <row r="56" spans="1:17" x14ac:dyDescent="0.25">
      <c r="D56" s="49"/>
      <c r="E56" s="49"/>
      <c r="F56" s="333"/>
      <c r="G56" s="333"/>
      <c r="H56" s="333"/>
      <c r="I56" s="60"/>
      <c r="J56" s="332"/>
      <c r="K56" s="332"/>
      <c r="L56" s="332"/>
    </row>
    <row r="57" spans="1:17" x14ac:dyDescent="0.25">
      <c r="D57" s="49"/>
      <c r="E57" s="50"/>
      <c r="F57" s="50"/>
    </row>
  </sheetData>
  <mergeCells count="12">
    <mergeCell ref="N53:Q53"/>
    <mergeCell ref="C1:H1"/>
    <mergeCell ref="J56:L56"/>
    <mergeCell ref="F56:H56"/>
    <mergeCell ref="A5:B5"/>
    <mergeCell ref="A6:B6"/>
    <mergeCell ref="A7:B7"/>
    <mergeCell ref="A8:B8"/>
    <mergeCell ref="A4:B4"/>
    <mergeCell ref="G2:H2"/>
    <mergeCell ref="A1:B2"/>
    <mergeCell ref="A9:G9"/>
  </mergeCells>
  <pageMargins left="0.7" right="0.7" top="0.75" bottom="0.75" header="0.3" footer="0.3"/>
  <pageSetup paperSize="9" scale="74" orientation="portrait" r:id="rId1"/>
  <drawing r:id="rId2"/>
</worksheet>
</file>

<file path=xl/worksheets/sheet4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rgb="FFFF0000"/>
  </sheetPr>
  <dimension ref="A1:P10"/>
  <sheetViews>
    <sheetView view="pageBreakPreview" zoomScale="141" zoomScaleNormal="100" zoomScaleSheetLayoutView="141" workbookViewId="0">
      <selection activeCell="A10" sqref="A10"/>
    </sheetView>
  </sheetViews>
  <sheetFormatPr defaultRowHeight="13.2" x14ac:dyDescent="0.25"/>
  <cols>
    <col min="1" max="1" width="9.77734375" customWidth="1"/>
    <col min="2" max="2" width="11.44140625" customWidth="1"/>
    <col min="3" max="3" width="8.6640625" customWidth="1"/>
    <col min="4" max="4" width="9" customWidth="1"/>
    <col min="5" max="5" width="9.21875" customWidth="1"/>
    <col min="6" max="6" width="7.44140625" customWidth="1"/>
    <col min="7" max="7" width="8" customWidth="1"/>
    <col min="8" max="8" width="9.44140625" customWidth="1"/>
    <col min="9" max="9" width="6.21875" customWidth="1"/>
    <col min="10" max="10" width="0.33203125" customWidth="1"/>
    <col min="11" max="11" width="14.88671875" customWidth="1"/>
    <col min="12" max="12" width="6.6640625" customWidth="1"/>
    <col min="13" max="13" width="9.44140625" customWidth="1"/>
    <col min="14" max="14" width="8.44140625" customWidth="1"/>
    <col min="15" max="15" width="9.44140625" customWidth="1"/>
    <col min="16" max="16" width="7.88671875" customWidth="1"/>
  </cols>
  <sheetData>
    <row r="1" spans="1:16" ht="22.8" customHeight="1" x14ac:dyDescent="0.25">
      <c r="A1" s="328" t="s">
        <v>227</v>
      </c>
      <c r="B1" s="328"/>
      <c r="C1" s="328"/>
      <c r="D1" s="279"/>
      <c r="E1" s="150" t="s">
        <v>126</v>
      </c>
      <c r="F1" s="147"/>
      <c r="G1" s="147"/>
      <c r="H1" s="147"/>
      <c r="I1" s="147"/>
      <c r="J1" s="131"/>
      <c r="K1" s="256"/>
      <c r="L1" s="256"/>
      <c r="M1" s="256"/>
      <c r="N1" s="256"/>
      <c r="O1" s="256"/>
      <c r="P1" s="256"/>
    </row>
    <row r="2" spans="1:16" ht="19.8" customHeight="1" x14ac:dyDescent="0.25">
      <c r="A2" s="328"/>
      <c r="B2" s="328"/>
      <c r="C2" s="328"/>
      <c r="D2" s="327" t="s">
        <v>199</v>
      </c>
      <c r="E2" s="327"/>
      <c r="F2" s="327"/>
      <c r="G2" s="327"/>
      <c r="H2" s="327"/>
      <c r="I2" s="327"/>
      <c r="J2" s="131"/>
      <c r="K2" s="256"/>
      <c r="L2" s="256"/>
      <c r="M2" s="256"/>
      <c r="N2" s="256"/>
      <c r="O2" s="256"/>
      <c r="P2" s="256"/>
    </row>
    <row r="3" spans="1:16" ht="19.8" customHeight="1" x14ac:dyDescent="0.25">
      <c r="A3" s="328"/>
      <c r="B3" s="328"/>
      <c r="C3" s="328"/>
      <c r="D3" s="327" t="s">
        <v>197</v>
      </c>
      <c r="E3" s="327"/>
      <c r="F3" s="327"/>
      <c r="G3" s="327"/>
      <c r="H3" s="327"/>
      <c r="I3" s="327"/>
      <c r="J3" s="131"/>
      <c r="K3" s="256"/>
      <c r="L3" s="256"/>
      <c r="M3" s="256"/>
      <c r="N3" s="256"/>
      <c r="O3" s="256"/>
      <c r="P3" s="256"/>
    </row>
    <row r="4" spans="1:16" ht="22.8" x14ac:dyDescent="0.25">
      <c r="A4" s="130" t="s">
        <v>198</v>
      </c>
      <c r="B4" s="250">
        <f>B6/4</f>
        <v>0.24437500000000001</v>
      </c>
      <c r="C4" s="310" t="s">
        <v>91</v>
      </c>
      <c r="D4" s="89"/>
      <c r="E4" s="309" t="s">
        <v>231</v>
      </c>
      <c r="F4" s="330">
        <f>(B6-B4+B7)/D5</f>
        <v>0.77164685596642368</v>
      </c>
      <c r="G4" s="330"/>
      <c r="H4" s="330"/>
      <c r="I4" s="311" t="s">
        <v>91</v>
      </c>
      <c r="J4" s="131"/>
      <c r="K4" s="256"/>
      <c r="L4" s="256"/>
      <c r="M4" s="256"/>
      <c r="N4" s="256"/>
      <c r="O4" s="256"/>
      <c r="P4" s="256"/>
    </row>
    <row r="5" spans="1:16" ht="17.399999999999999" x14ac:dyDescent="0.25">
      <c r="A5" s="123" t="s">
        <v>190</v>
      </c>
      <c r="B5" s="260">
        <v>9.85</v>
      </c>
      <c r="C5" s="123" t="s">
        <v>191</v>
      </c>
      <c r="D5" s="124">
        <f>COS(RADIANS(B5))</f>
        <v>0.9852589874779214</v>
      </c>
      <c r="E5" s="121" t="s">
        <v>192</v>
      </c>
      <c r="F5" s="206">
        <v>9.5</v>
      </c>
      <c r="G5" s="121" t="s">
        <v>193</v>
      </c>
      <c r="H5" s="122">
        <f>COS(RADIANS(F5))</f>
        <v>0.98628560153723144</v>
      </c>
      <c r="I5" s="122"/>
      <c r="J5" s="131"/>
      <c r="K5" s="256"/>
      <c r="L5" s="256"/>
      <c r="M5" s="256"/>
      <c r="N5" s="256"/>
      <c r="O5" s="256"/>
      <c r="P5" s="256"/>
    </row>
    <row r="6" spans="1:16" ht="17.399999999999999" x14ac:dyDescent="0.25">
      <c r="A6" s="123" t="s">
        <v>196</v>
      </c>
      <c r="B6" s="129">
        <v>0.97750000000000004</v>
      </c>
      <c r="C6" s="80" t="s">
        <v>91</v>
      </c>
      <c r="E6" s="121" t="s">
        <v>195</v>
      </c>
      <c r="F6" s="258">
        <v>0.97628000000000004</v>
      </c>
      <c r="G6" s="128" t="s">
        <v>91</v>
      </c>
      <c r="I6" s="128"/>
      <c r="J6" s="131"/>
      <c r="K6" s="256"/>
      <c r="L6" s="256"/>
      <c r="M6" s="256"/>
      <c r="N6" s="256"/>
      <c r="O6" s="256"/>
      <c r="P6" s="256"/>
    </row>
    <row r="7" spans="1:16" ht="18.600000000000001" x14ac:dyDescent="0.25">
      <c r="A7" s="118" t="s">
        <v>124</v>
      </c>
      <c r="B7" s="124">
        <f>'AC Curve'!J10</f>
        <v>2.7147000000000001E-2</v>
      </c>
      <c r="C7" s="80" t="s">
        <v>91</v>
      </c>
      <c r="D7" s="118" t="s">
        <v>123</v>
      </c>
      <c r="E7" s="254">
        <f>2*PI()*B7^2*($B$4-B7/3)</f>
        <v>1.0896661679392439E-3</v>
      </c>
      <c r="F7" s="80" t="s">
        <v>106</v>
      </c>
      <c r="G7" s="119" t="s">
        <v>114</v>
      </c>
      <c r="H7" s="125">
        <f>'BC Line'!$J$1*E7</f>
        <v>113.06416715912366</v>
      </c>
      <c r="I7" s="125" t="s">
        <v>76</v>
      </c>
      <c r="J7" s="131"/>
      <c r="K7" s="256"/>
      <c r="L7" s="256"/>
      <c r="M7" s="256"/>
      <c r="N7" s="256"/>
      <c r="O7" s="256"/>
      <c r="P7" s="256"/>
    </row>
    <row r="8" spans="1:16" ht="18.600000000000001" x14ac:dyDescent="0.25">
      <c r="A8" s="126" t="s">
        <v>125</v>
      </c>
      <c r="B8" s="259">
        <f>F4*H5-F6+B4</f>
        <v>2.9159183511157538E-2</v>
      </c>
      <c r="C8" s="128" t="s">
        <v>91</v>
      </c>
      <c r="D8" s="126" t="s">
        <v>122</v>
      </c>
      <c r="E8" s="255">
        <f>2*PI()*B8^2*($B$4-B8/3)</f>
        <v>1.2536055402511148E-3</v>
      </c>
      <c r="F8" s="128" t="s">
        <v>116</v>
      </c>
      <c r="G8" s="120" t="s">
        <v>115</v>
      </c>
      <c r="H8" s="127">
        <f>'BC Line'!$J$1*E8</f>
        <v>130.07457744843774</v>
      </c>
      <c r="I8" s="127" t="s">
        <v>76</v>
      </c>
      <c r="J8" s="131"/>
      <c r="K8" s="256"/>
      <c r="L8" s="256"/>
      <c r="M8" s="256"/>
      <c r="N8" s="256"/>
      <c r="O8" s="256"/>
      <c r="P8" s="256"/>
    </row>
    <row r="9" spans="1:16" ht="30.6" customHeight="1" x14ac:dyDescent="0.25">
      <c r="A9" s="329" t="s">
        <v>233</v>
      </c>
      <c r="B9" s="329"/>
      <c r="C9" s="329"/>
      <c r="D9" s="329"/>
      <c r="E9" s="305" t="s">
        <v>228</v>
      </c>
      <c r="F9" s="306" t="s">
        <v>229</v>
      </c>
      <c r="G9" s="307" t="s">
        <v>230</v>
      </c>
      <c r="H9" s="308">
        <f>H8-H7</f>
        <v>17.010410289314081</v>
      </c>
      <c r="I9" s="308" t="s">
        <v>76</v>
      </c>
      <c r="J9" s="131"/>
      <c r="K9" s="256"/>
      <c r="L9" s="256"/>
      <c r="M9" s="256"/>
      <c r="N9" s="256"/>
      <c r="O9" s="256"/>
      <c r="P9" s="256"/>
    </row>
    <row r="10" spans="1:16" ht="10.199999999999999" customHeight="1" x14ac:dyDescent="0.25">
      <c r="E10" s="49"/>
      <c r="F10" s="49"/>
      <c r="G10" s="319" t="s">
        <v>223</v>
      </c>
      <c r="H10" s="319"/>
      <c r="I10" s="319"/>
    </row>
  </sheetData>
  <mergeCells count="6">
    <mergeCell ref="D2:I2"/>
    <mergeCell ref="D3:I3"/>
    <mergeCell ref="A1:C3"/>
    <mergeCell ref="G10:I10"/>
    <mergeCell ref="A9:D9"/>
    <mergeCell ref="F4:H4"/>
  </mergeCells>
  <pageMargins left="0.7" right="0.7" top="0.75" bottom="0.75" header="0.3" footer="0.3"/>
  <pageSetup paperSize="9" orientation="landscape" r:id="rId1"/>
</worksheet>
</file>

<file path=xl/worksheets/sheet5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theme="9" tint="-0.249977111117893"/>
  </sheetPr>
  <dimension ref="A1:S70"/>
  <sheetViews>
    <sheetView view="pageBreakPreview" zoomScale="88" zoomScaleNormal="102" zoomScaleSheetLayoutView="88" workbookViewId="0">
      <selection activeCell="D10" sqref="D10"/>
    </sheetView>
  </sheetViews>
  <sheetFormatPr defaultRowHeight="13.2" x14ac:dyDescent="0.25"/>
  <cols>
    <col min="1" max="1" width="10.77734375" style="27" customWidth="1"/>
    <col min="2" max="2" width="11.109375" style="27" customWidth="1"/>
    <col min="3" max="3" width="8.5546875" style="27" customWidth="1"/>
    <col min="4" max="4" width="9.44140625" customWidth="1"/>
    <col min="5" max="5" width="8.5546875" customWidth="1"/>
    <col min="6" max="6" width="11.109375" customWidth="1"/>
    <col min="7" max="7" width="11.109375" style="1" customWidth="1"/>
    <col min="8" max="8" width="8.88671875" style="1" customWidth="1"/>
    <col min="9" max="9" width="11.88671875" style="1" customWidth="1"/>
    <col min="10" max="10" width="0.88671875" customWidth="1"/>
    <col min="11" max="11" width="13" customWidth="1"/>
    <col min="12" max="12" width="8.77734375" customWidth="1"/>
    <col min="13" max="13" width="5.33203125" customWidth="1"/>
    <col min="14" max="14" width="11" customWidth="1"/>
    <col min="15" max="15" width="5.33203125" customWidth="1"/>
    <col min="16" max="16" width="9.44140625" customWidth="1"/>
  </cols>
  <sheetData>
    <row r="1" spans="1:17" ht="33.6" customHeight="1" x14ac:dyDescent="0.55000000000000004">
      <c r="A1" s="346" t="s">
        <v>135</v>
      </c>
      <c r="B1" s="346"/>
      <c r="C1" s="346"/>
      <c r="D1" s="346"/>
      <c r="E1" s="346"/>
      <c r="F1" s="348" t="s">
        <v>143</v>
      </c>
      <c r="G1" s="348"/>
      <c r="H1" s="348"/>
      <c r="I1" s="348"/>
      <c r="J1" s="70"/>
      <c r="K1" s="172"/>
      <c r="L1" s="173"/>
      <c r="M1" s="174"/>
      <c r="N1" s="175"/>
      <c r="O1" s="176"/>
      <c r="P1" s="61"/>
    </row>
    <row r="2" spans="1:17" ht="28.2" customHeight="1" x14ac:dyDescent="0.5">
      <c r="A2" s="347"/>
      <c r="B2" s="347"/>
      <c r="C2" s="347"/>
      <c r="D2" s="347"/>
      <c r="E2" s="347"/>
      <c r="F2" s="349" t="s">
        <v>136</v>
      </c>
      <c r="G2" s="349"/>
      <c r="H2" s="349"/>
      <c r="I2" s="349"/>
      <c r="J2" s="70"/>
      <c r="K2" s="172"/>
      <c r="L2" s="177"/>
      <c r="M2" s="174"/>
      <c r="N2" s="175"/>
      <c r="O2" s="176"/>
      <c r="P2" s="61"/>
    </row>
    <row r="3" spans="1:17" s="17" customFormat="1" ht="15.6" customHeight="1" x14ac:dyDescent="0.25">
      <c r="A3" s="197" t="s">
        <v>107</v>
      </c>
      <c r="B3" s="83">
        <v>0.1</v>
      </c>
      <c r="C3" s="84">
        <v>6</v>
      </c>
      <c r="D3" s="84">
        <v>9</v>
      </c>
      <c r="E3" s="84">
        <v>12</v>
      </c>
      <c r="F3" s="84">
        <v>15</v>
      </c>
      <c r="G3" s="85">
        <v>21</v>
      </c>
      <c r="H3" s="85">
        <v>24</v>
      </c>
      <c r="I3" s="85">
        <v>30</v>
      </c>
      <c r="J3" s="71"/>
      <c r="K3" s="172"/>
      <c r="L3" s="173"/>
      <c r="M3" s="174"/>
      <c r="N3" s="175"/>
      <c r="O3" s="176"/>
    </row>
    <row r="4" spans="1:17" s="17" customFormat="1" ht="20.399999999999999" x14ac:dyDescent="0.25">
      <c r="A4" s="197" t="s">
        <v>152</v>
      </c>
      <c r="B4" s="138">
        <f t="shared" ref="B4:I4" si="0">B3*10^8</f>
        <v>10000000</v>
      </c>
      <c r="C4" s="138">
        <f t="shared" si="0"/>
        <v>600000000</v>
      </c>
      <c r="D4" s="138">
        <f t="shared" si="0"/>
        <v>900000000</v>
      </c>
      <c r="E4" s="138">
        <f t="shared" si="0"/>
        <v>1200000000</v>
      </c>
      <c r="F4" s="138">
        <f t="shared" si="0"/>
        <v>1500000000</v>
      </c>
      <c r="G4" s="138">
        <f t="shared" si="0"/>
        <v>2100000000</v>
      </c>
      <c r="H4" s="138">
        <f t="shared" si="0"/>
        <v>2400000000</v>
      </c>
      <c r="I4" s="138">
        <f t="shared" si="0"/>
        <v>3000000000</v>
      </c>
      <c r="J4" s="71"/>
      <c r="K4" s="178"/>
      <c r="L4" s="179"/>
      <c r="M4" s="180"/>
      <c r="N4" s="181"/>
      <c r="O4" s="182"/>
      <c r="P4" s="77"/>
    </row>
    <row r="5" spans="1:17" s="17" customFormat="1" ht="15.6" x14ac:dyDescent="0.25">
      <c r="A5" s="197" t="s">
        <v>108</v>
      </c>
      <c r="B5" s="86">
        <f t="shared" ref="B5:I5" si="1">B4/10^9</f>
        <v>0.01</v>
      </c>
      <c r="C5" s="87">
        <f t="shared" si="1"/>
        <v>0.6</v>
      </c>
      <c r="D5" s="87">
        <f t="shared" si="1"/>
        <v>0.9</v>
      </c>
      <c r="E5" s="87">
        <f t="shared" si="1"/>
        <v>1.2</v>
      </c>
      <c r="F5" s="87">
        <f t="shared" si="1"/>
        <v>1.5</v>
      </c>
      <c r="G5" s="87">
        <f t="shared" si="1"/>
        <v>2.1</v>
      </c>
      <c r="H5" s="87">
        <f t="shared" si="1"/>
        <v>2.4</v>
      </c>
      <c r="I5" s="88">
        <f t="shared" si="1"/>
        <v>3</v>
      </c>
      <c r="J5" s="71"/>
      <c r="K5" s="178"/>
      <c r="L5" s="183"/>
      <c r="M5" s="180"/>
      <c r="N5" s="181"/>
      <c r="O5" s="182"/>
      <c r="P5" s="54"/>
    </row>
    <row r="6" spans="1:17" s="17" customFormat="1" ht="15.6" x14ac:dyDescent="0.25">
      <c r="A6" s="290"/>
      <c r="B6" s="289"/>
      <c r="C6" s="289"/>
      <c r="D6" s="289"/>
      <c r="E6" s="289"/>
      <c r="F6" s="289"/>
      <c r="G6" s="289"/>
      <c r="H6" s="289"/>
      <c r="I6" s="289"/>
      <c r="J6" s="71"/>
      <c r="K6" s="178"/>
      <c r="L6" s="184"/>
      <c r="M6" s="180"/>
      <c r="N6" s="181"/>
      <c r="O6" s="182"/>
      <c r="P6" s="54"/>
    </row>
    <row r="7" spans="1:17" s="17" customFormat="1" ht="15.6" x14ac:dyDescent="0.25">
      <c r="A7" s="290"/>
      <c r="B7" s="291"/>
      <c r="C7" s="291"/>
      <c r="D7" s="291"/>
      <c r="E7" s="291"/>
      <c r="F7" s="291"/>
      <c r="G7" s="291"/>
      <c r="H7" s="291"/>
      <c r="I7" s="291"/>
      <c r="J7" s="71"/>
      <c r="K7" s="178"/>
      <c r="L7" s="183"/>
      <c r="M7" s="180"/>
      <c r="N7" s="181"/>
      <c r="O7" s="182"/>
    </row>
    <row r="8" spans="1:17" s="17" customFormat="1" ht="15.6" x14ac:dyDescent="0.25">
      <c r="A8" s="290"/>
      <c r="B8" s="291"/>
      <c r="C8" s="291"/>
      <c r="D8" s="291"/>
      <c r="E8" s="291"/>
      <c r="F8" s="291"/>
      <c r="G8" s="291"/>
      <c r="H8" s="291"/>
      <c r="I8" s="291"/>
      <c r="J8" s="71"/>
      <c r="K8" s="178"/>
      <c r="L8" s="179"/>
      <c r="M8" s="180"/>
      <c r="N8" s="181"/>
      <c r="O8" s="182"/>
    </row>
    <row r="9" spans="1:17" ht="18" customHeight="1" x14ac:dyDescent="0.4">
      <c r="A9" s="136" t="s">
        <v>108</v>
      </c>
      <c r="B9" s="137" t="s">
        <v>112</v>
      </c>
      <c r="C9" s="165" t="s">
        <v>137</v>
      </c>
      <c r="D9" s="165" t="s">
        <v>138</v>
      </c>
      <c r="E9" s="164" t="s">
        <v>139</v>
      </c>
      <c r="F9" s="65"/>
      <c r="G9" s="57"/>
      <c r="H9" s="57"/>
      <c r="I9" s="57"/>
      <c r="J9" s="70"/>
      <c r="N9" s="26"/>
      <c r="O9" s="49"/>
    </row>
    <row r="10" spans="1:17" ht="24" customHeight="1" x14ac:dyDescent="0.25">
      <c r="A10" s="198">
        <f>B5</f>
        <v>0.01</v>
      </c>
      <c r="B10" s="185">
        <f t="shared" ref="B10:B41" si="2">$I$11*A10^$I$12+$I$13</f>
        <v>95.329127426036251</v>
      </c>
      <c r="C10" s="199">
        <f>'AB Hysteresis'!$B$8+'AB Hysteresis'!$B$6*A10/B10</f>
        <v>2.9261723000020314E-2</v>
      </c>
      <c r="D10" s="200">
        <f>2*PI()*C10^2*('AB Hysteresis'!$B$4-C10/3)</f>
        <v>1.2622538687140944E-3</v>
      </c>
      <c r="E10" s="199">
        <f>'BC Line'!$J$1*D10</f>
        <v>130.97193122866437</v>
      </c>
      <c r="F10" s="65"/>
      <c r="G10" s="168"/>
      <c r="H10" s="168"/>
      <c r="I10" s="166" t="s">
        <v>140</v>
      </c>
      <c r="J10" s="70"/>
      <c r="N10" s="26"/>
      <c r="O10" s="49"/>
    </row>
    <row r="11" spans="1:17" s="17" customFormat="1" ht="22.8" customHeight="1" x14ac:dyDescent="0.4">
      <c r="A11" s="198">
        <f>0.1</f>
        <v>0.1</v>
      </c>
      <c r="B11" s="185">
        <f t="shared" si="2"/>
        <v>176.16163709241533</v>
      </c>
      <c r="C11" s="199">
        <f>'AB Hysteresis'!$B$8+'AB Hysteresis'!$B$6*A11/B11</f>
        <v>2.9714071633301406E-2</v>
      </c>
      <c r="D11" s="200">
        <f>2*PI()*C11^2*('AB Hysteresis'!$B$4-C11/3)</f>
        <v>1.3007446759636693E-3</v>
      </c>
      <c r="E11" s="199">
        <f>'BC Line'!$J$1*D11</f>
        <v>134.96575171515872</v>
      </c>
      <c r="G11" s="169"/>
      <c r="H11" s="167" t="s">
        <v>2</v>
      </c>
      <c r="I11" s="252">
        <v>325</v>
      </c>
      <c r="J11" s="70"/>
      <c r="Q11"/>
    </row>
    <row r="12" spans="1:17" ht="22.5" customHeight="1" x14ac:dyDescent="0.4">
      <c r="A12" s="198">
        <f t="shared" ref="A12:A43" si="3">A11+0.1</f>
        <v>0.2</v>
      </c>
      <c r="B12" s="185">
        <f t="shared" si="2"/>
        <v>215.37115298383631</v>
      </c>
      <c r="C12" s="199">
        <f>'AB Hysteresis'!$B$8+'AB Hysteresis'!$B$6*A12/B12</f>
        <v>3.0066918819677116E-2</v>
      </c>
      <c r="D12" s="200">
        <f>2*PI()*C12^2*('AB Hysteresis'!$B$4-C12/3)</f>
        <v>1.3311520587354351E-3</v>
      </c>
      <c r="E12" s="199">
        <f>'BC Line'!$J$1*D12</f>
        <v>138.12083306918501</v>
      </c>
      <c r="F12" s="66"/>
      <c r="G12" s="170"/>
      <c r="H12" s="167" t="s">
        <v>141</v>
      </c>
      <c r="I12" s="253">
        <v>0.33333333333333331</v>
      </c>
      <c r="J12" s="70"/>
    </row>
    <row r="13" spans="1:17" ht="20.399999999999999" customHeight="1" x14ac:dyDescent="0.4">
      <c r="A13" s="198">
        <f t="shared" si="3"/>
        <v>0.30000000000000004</v>
      </c>
      <c r="B13" s="185">
        <f t="shared" si="2"/>
        <v>242.8757087767051</v>
      </c>
      <c r="C13" s="199">
        <f>'AB Hysteresis'!$B$8+'AB Hysteresis'!$B$6*A13/B13</f>
        <v>3.0366591207369793E-2</v>
      </c>
      <c r="D13" s="200">
        <f>2*PI()*C13^2*('AB Hysteresis'!$B$4-C13/3)</f>
        <v>1.3572403127367217E-3</v>
      </c>
      <c r="E13" s="199">
        <f>'BC Line'!$J$1*D13</f>
        <v>140.82776001440664</v>
      </c>
      <c r="F13" s="66"/>
      <c r="G13" s="170"/>
      <c r="H13" s="167" t="s">
        <v>142</v>
      </c>
      <c r="I13" s="171">
        <f>'AC Curve'!J1</f>
        <v>25.310000000000002</v>
      </c>
      <c r="J13" s="70"/>
      <c r="P13" s="52"/>
    </row>
    <row r="14" spans="1:17" ht="13.2" customHeight="1" x14ac:dyDescent="0.25">
      <c r="A14" s="198">
        <f t="shared" si="3"/>
        <v>0.4</v>
      </c>
      <c r="B14" s="185">
        <f t="shared" si="2"/>
        <v>264.77204741162512</v>
      </c>
      <c r="C14" s="199">
        <f>'AB Hysteresis'!$B$8+'AB Hysteresis'!$B$6*A14/B14</f>
        <v>3.0635925500436097E-2</v>
      </c>
      <c r="D14" s="200">
        <f>2*PI()*C14^2*('AB Hysteresis'!$B$4-C14/3)</f>
        <v>1.3808935382302865E-3</v>
      </c>
      <c r="E14" s="199">
        <f>'BC Line'!$J$1*D14</f>
        <v>143.28202749534947</v>
      </c>
      <c r="F14" s="66"/>
      <c r="J14" s="70"/>
    </row>
    <row r="15" spans="1:17" ht="12.75" customHeight="1" x14ac:dyDescent="0.25">
      <c r="A15" s="198">
        <f t="shared" si="3"/>
        <v>0.5</v>
      </c>
      <c r="B15" s="185">
        <f t="shared" si="2"/>
        <v>283.26267094483245</v>
      </c>
      <c r="C15" s="199">
        <f>'AB Hysteresis'!$B$8+'AB Hysteresis'!$B$6*A15/B15</f>
        <v>3.0884613827724693E-2</v>
      </c>
      <c r="D15" s="200">
        <f>2*PI()*C15^2*('AB Hysteresis'!$B$4-C15/3)</f>
        <v>1.4029066272027854E-3</v>
      </c>
      <c r="E15" s="199">
        <f>'BC Line'!$J$1*D15</f>
        <v>145.56611380040766</v>
      </c>
      <c r="F15" s="67"/>
      <c r="J15" s="70"/>
      <c r="K15" s="29"/>
      <c r="M15" s="52"/>
    </row>
    <row r="16" spans="1:17" ht="12.75" customHeight="1" x14ac:dyDescent="0.25">
      <c r="A16" s="198">
        <f t="shared" si="3"/>
        <v>0.6</v>
      </c>
      <c r="B16" s="185">
        <f t="shared" si="2"/>
        <v>299.42561622306852</v>
      </c>
      <c r="C16" s="199">
        <f>'AB Hysteresis'!$B$8+'AB Hysteresis'!$B$6*A16/B16</f>
        <v>3.1117933759042357E-2</v>
      </c>
      <c r="D16" s="200">
        <f>2*PI()*C16^2*('AB Hysteresis'!$B$4-C16/3)</f>
        <v>1.4237102155985385E-3</v>
      </c>
      <c r="E16" s="199">
        <f>'BC Line'!$J$1*D16</f>
        <v>147.72470187544658</v>
      </c>
      <c r="F16" s="67"/>
      <c r="J16" s="70"/>
    </row>
    <row r="17" spans="1:11" s="17" customFormat="1" ht="17.399999999999999" customHeight="1" x14ac:dyDescent="0.25">
      <c r="A17" s="198">
        <f t="shared" si="3"/>
        <v>0.7</v>
      </c>
      <c r="B17" s="185">
        <f t="shared" si="2"/>
        <v>313.87880056634521</v>
      </c>
      <c r="C17" s="199">
        <f>'AB Hysteresis'!$B$8+'AB Hysteresis'!$B$6*A17/B17</f>
        <v>3.1339165079729156E-2</v>
      </c>
      <c r="D17" s="200">
        <f>2*PI()*C17^2*('AB Hysteresis'!$B$4-C17/3)</f>
        <v>1.4435706904658801E-3</v>
      </c>
      <c r="E17" s="199">
        <f>'BC Line'!$J$1*D17</f>
        <v>149.78543213975072</v>
      </c>
      <c r="F17" s="67"/>
      <c r="J17" s="71"/>
      <c r="K17" s="30"/>
    </row>
    <row r="18" spans="1:11" ht="13.2" customHeight="1" x14ac:dyDescent="0.25">
      <c r="A18" s="198">
        <f t="shared" si="3"/>
        <v>0.79999999999999993</v>
      </c>
      <c r="B18" s="185">
        <f t="shared" si="2"/>
        <v>327.01327418483061</v>
      </c>
      <c r="C18" s="199">
        <f>'AB Hysteresis'!$B$8+'AB Hysteresis'!$B$6*A18/B18</f>
        <v>3.1550523746349361E-2</v>
      </c>
      <c r="D18" s="200">
        <f>2*PI()*C18^2*('AB Hysteresis'!$B$4-C18/3)</f>
        <v>1.4626672602485041E-3</v>
      </c>
      <c r="E18" s="199">
        <f>'BC Line'!$J$1*D18</f>
        <v>151.76689932813906</v>
      </c>
      <c r="F18" s="67"/>
      <c r="J18" s="70"/>
    </row>
    <row r="19" spans="1:11" ht="18.600000000000001" customHeight="1" x14ac:dyDescent="0.25">
      <c r="A19" s="198">
        <f t="shared" si="3"/>
        <v>0.89999999999999991</v>
      </c>
      <c r="B19" s="185">
        <f t="shared" si="2"/>
        <v>339.09404999682965</v>
      </c>
      <c r="C19" s="199">
        <f>'AB Hysteresis'!$B$8+'AB Hysteresis'!$B$6*A19/B19</f>
        <v>3.1753596477142126E-2</v>
      </c>
      <c r="D19" s="200">
        <f>2*PI()*C19^2*('AB Hysteresis'!$B$4-C19/3)</f>
        <v>1.4811277245563455E-3</v>
      </c>
      <c r="E19" s="199">
        <f>'BC Line'!$J$1*D19</f>
        <v>153.6823639757055</v>
      </c>
      <c r="F19" s="67"/>
      <c r="J19" s="70"/>
    </row>
    <row r="20" spans="1:11" ht="13.2" customHeight="1" x14ac:dyDescent="0.25">
      <c r="A20" s="198">
        <f t="shared" si="3"/>
        <v>0.99999999999999989</v>
      </c>
      <c r="B20" s="185">
        <f t="shared" si="2"/>
        <v>350.31</v>
      </c>
      <c r="C20" s="199">
        <f>'AB Hysteresis'!$B$8+'AB Hysteresis'!$B$6*A20/B20</f>
        <v>3.1949569169574366E-2</v>
      </c>
      <c r="D20" s="200">
        <f>2*PI()*C20^2*('AB Hysteresis'!$B$4-C20/3)</f>
        <v>1.4990472293877229E-3</v>
      </c>
      <c r="E20" s="199">
        <f>'BC Line'!$J$1*D20</f>
        <v>155.54169846664891</v>
      </c>
      <c r="F20" s="67"/>
      <c r="J20" s="70"/>
    </row>
    <row r="21" spans="1:11" ht="13.2" customHeight="1" x14ac:dyDescent="0.25">
      <c r="A21" s="198">
        <f t="shared" si="3"/>
        <v>1.0999999999999999</v>
      </c>
      <c r="B21" s="185">
        <f t="shared" si="2"/>
        <v>360.80103752331934</v>
      </c>
      <c r="C21" s="199">
        <f>'AB Hysteresis'!$B$8+'AB Hysteresis'!$B$6*A21/B21</f>
        <v>3.2139357868140934E-2</v>
      </c>
      <c r="D21" s="200">
        <f>2*PI()*C21^2*('AB Hysteresis'!$B$4-C21/3)</f>
        <v>1.516498996489112E-3</v>
      </c>
      <c r="E21" s="199">
        <f>'BC Line'!$J$1*D21</f>
        <v>157.35250031663674</v>
      </c>
      <c r="F21" s="67"/>
      <c r="J21" s="73"/>
      <c r="K21" s="2"/>
    </row>
    <row r="22" spans="1:11" x14ac:dyDescent="0.25">
      <c r="A22" s="198">
        <f t="shared" si="3"/>
        <v>1.2</v>
      </c>
      <c r="B22" s="185">
        <f t="shared" si="2"/>
        <v>370.67403498434862</v>
      </c>
      <c r="C22" s="199">
        <f>'AB Hysteresis'!$B$8+'AB Hysteresis'!$B$6*A22/B22</f>
        <v>3.2323688950686179E-2</v>
      </c>
      <c r="D22" s="200">
        <f>2*PI()*C22^2*('AB Hysteresis'!$B$4-C22/3)</f>
        <v>1.5335408783571543E-3</v>
      </c>
      <c r="E22" s="199">
        <f>'BC Line'!$J$1*D22</f>
        <v>159.12077232225326</v>
      </c>
      <c r="F22" s="67"/>
      <c r="G22" s="67"/>
      <c r="H22" s="59"/>
      <c r="I22" s="59"/>
      <c r="J22" s="70"/>
    </row>
    <row r="23" spans="1:11" x14ac:dyDescent="0.25">
      <c r="A23" s="198">
        <f t="shared" si="3"/>
        <v>1.3</v>
      </c>
      <c r="B23" s="185">
        <f t="shared" si="2"/>
        <v>380.01268699485945</v>
      </c>
      <c r="C23" s="199">
        <f>'AB Hysteresis'!$B$8+'AB Hysteresis'!$B$6*A23/B23</f>
        <v>3.2503150814062846E-2</v>
      </c>
      <c r="D23" s="200">
        <f>2*PI()*C23^2*('AB Hysteresis'!$B$4-C23/3)</f>
        <v>1.5502195746593332E-3</v>
      </c>
      <c r="E23" s="199">
        <f>'BC Line'!$J$1*D23</f>
        <v>160.85136005837811</v>
      </c>
      <c r="F23" s="67"/>
      <c r="G23" s="67"/>
      <c r="H23" s="67"/>
      <c r="J23" s="70"/>
    </row>
    <row r="24" spans="1:11" x14ac:dyDescent="0.25">
      <c r="A24" s="198">
        <f t="shared" si="3"/>
        <v>1.4000000000000001</v>
      </c>
      <c r="B24" s="185">
        <f t="shared" si="2"/>
        <v>388.88390617645393</v>
      </c>
      <c r="C24" s="199">
        <f>'AB Hysteresis'!$B$8+'AB Hysteresis'!$B$6*A24/B24</f>
        <v>3.2678228599588251E-2</v>
      </c>
      <c r="D24" s="200">
        <f>2*PI()*C24^2*('AB Hysteresis'!$B$4-C24/3)</f>
        <v>1.5665734594248412E-3</v>
      </c>
      <c r="E24" s="199">
        <f>'BC Line'!$J$1*D24</f>
        <v>162.5482452285631</v>
      </c>
      <c r="F24" s="67"/>
      <c r="G24" s="67"/>
      <c r="H24" s="67"/>
      <c r="I24" s="67"/>
      <c r="J24" s="70"/>
    </row>
    <row r="25" spans="1:11" x14ac:dyDescent="0.25">
      <c r="A25" s="198">
        <f t="shared" si="3"/>
        <v>1.5000000000000002</v>
      </c>
      <c r="B25" s="185">
        <f t="shared" si="2"/>
        <v>397.34212882983286</v>
      </c>
      <c r="C25" s="199">
        <f>'AB Hysteresis'!$B$8+'AB Hysteresis'!$B$6*A25/B25</f>
        <v>3.284932833501019E-2</v>
      </c>
      <c r="D25" s="200">
        <f>2*PI()*C25^2*('AB Hysteresis'!$B$4-C25/3)</f>
        <v>1.5826345427802869E-3</v>
      </c>
      <c r="E25" s="199">
        <f>'BC Line'!$J$1*D25</f>
        <v>164.21474921545939</v>
      </c>
      <c r="F25" s="67"/>
      <c r="G25" s="67"/>
      <c r="I25" s="67"/>
      <c r="J25" s="70"/>
    </row>
    <row r="26" spans="1:11" x14ac:dyDescent="0.25">
      <c r="A26" s="198">
        <f t="shared" si="3"/>
        <v>1.6000000000000003</v>
      </c>
      <c r="B26" s="185">
        <f t="shared" si="2"/>
        <v>405.43230596767262</v>
      </c>
      <c r="C26" s="199">
        <f>'AB Hysteresis'!$B$8+'AB Hysteresis'!$B$6*A26/B26</f>
        <v>3.3016794207145601E-2</v>
      </c>
      <c r="D26" s="200">
        <f>2*PI()*C26^2*('AB Hysteresis'!$B$4-C26/3)</f>
        <v>1.5984298718626413E-3</v>
      </c>
      <c r="E26" s="199">
        <f>'BC Line'!$J$1*D26</f>
        <v>165.85367844006598</v>
      </c>
      <c r="F26" s="67"/>
      <c r="G26" s="67"/>
      <c r="H26" s="67"/>
      <c r="I26" s="67"/>
      <c r="J26" s="70"/>
    </row>
    <row r="27" spans="1:11" ht="13.2" customHeight="1" x14ac:dyDescent="0.25">
      <c r="A27" s="198">
        <f t="shared" si="3"/>
        <v>1.7000000000000004</v>
      </c>
      <c r="B27" s="185">
        <f t="shared" si="2"/>
        <v>413.19203737638452</v>
      </c>
      <c r="C27" s="199">
        <f>'AB Hysteresis'!$B$8+'AB Hysteresis'!$B$6*A27/B27</f>
        <v>3.3180921225542101E-2</v>
      </c>
      <c r="D27" s="200">
        <f>2*PI()*C27^2*('AB Hysteresis'!$B$4-C27/3)</f>
        <v>1.6139825560401917E-3</v>
      </c>
      <c r="E27" s="199">
        <f>'BC Line'!$J$1*D27</f>
        <v>167.46743073903764</v>
      </c>
      <c r="F27" s="67"/>
      <c r="G27" s="67"/>
      <c r="H27" s="67"/>
      <c r="I27" s="67"/>
      <c r="J27" s="70"/>
    </row>
    <row r="28" spans="1:11" ht="18" customHeight="1" x14ac:dyDescent="0.25">
      <c r="A28" s="198">
        <f t="shared" si="3"/>
        <v>1.8000000000000005</v>
      </c>
      <c r="B28" s="185">
        <f t="shared" si="2"/>
        <v>420.65312971227104</v>
      </c>
      <c r="C28" s="199">
        <f>'AB Hysteresis'!$B$8+'AB Hysteresis'!$B$6*A28/B28</f>
        <v>3.3341964704782574E-2</v>
      </c>
      <c r="D28" s="200">
        <f>2*PI()*C28^2*('AB Hysteresis'!$B$4-C28/3)</f>
        <v>1.629312533208739E-3</v>
      </c>
      <c r="E28" s="199">
        <f>'BC Line'!$J$1*D28</f>
        <v>169.05807487586361</v>
      </c>
      <c r="F28" s="67"/>
      <c r="G28" s="67"/>
      <c r="H28" s="67"/>
      <c r="I28" s="67"/>
      <c r="J28" s="70"/>
    </row>
    <row r="29" spans="1:11" ht="13.2" customHeight="1" x14ac:dyDescent="0.25">
      <c r="A29" s="198">
        <f t="shared" si="3"/>
        <v>1.9000000000000006</v>
      </c>
      <c r="B29" s="185">
        <f t="shared" si="2"/>
        <v>427.84275712980553</v>
      </c>
      <c r="C29" s="199">
        <f>'AB Hysteresis'!$B$8+'AB Hysteresis'!$B$6*A29/B29</f>
        <v>3.3500147496289392E-2</v>
      </c>
      <c r="D29" s="200">
        <f>2*PI()*C29^2*('AB Hysteresis'!$B$4-C29/3)</f>
        <v>1.6444371531977951E-3</v>
      </c>
      <c r="E29" s="199">
        <f>'BC Line'!$J$1*D29</f>
        <v>170.62741107531164</v>
      </c>
      <c r="F29" s="67"/>
      <c r="G29" s="67"/>
      <c r="H29" s="67"/>
      <c r="I29" s="67"/>
      <c r="J29" s="70"/>
    </row>
    <row r="30" spans="1:11" ht="13.2" customHeight="1" x14ac:dyDescent="0.25">
      <c r="A30" s="198">
        <f t="shared" si="3"/>
        <v>2.0000000000000004</v>
      </c>
      <c r="B30" s="185">
        <f t="shared" si="2"/>
        <v>434.78434121583376</v>
      </c>
      <c r="C30" s="199">
        <f>'AB Hysteresis'!$B$8+'AB Hysteresis'!$B$6*A30/B30</f>
        <v>3.3655665593591844E-2</v>
      </c>
      <c r="D30" s="200">
        <f>2*PI()*C30^2*('AB Hysteresis'!$B$4-C30/3)</f>
        <v>1.6593716291874413E-3</v>
      </c>
      <c r="E30" s="199">
        <f>'BC Line'!$J$1*D30</f>
        <v>172.17701786260929</v>
      </c>
      <c r="F30" s="67"/>
      <c r="G30" s="67"/>
      <c r="H30" s="67"/>
      <c r="I30" s="67"/>
      <c r="J30" s="70"/>
    </row>
    <row r="31" spans="1:11" ht="13.2" customHeight="1" x14ac:dyDescent="0.25">
      <c r="A31" s="198">
        <f t="shared" si="3"/>
        <v>2.1000000000000005</v>
      </c>
      <c r="B31" s="185">
        <f t="shared" si="2"/>
        <v>441.49822862093561</v>
      </c>
      <c r="C31" s="199">
        <f>'AB Hysteresis'!$B$8+'AB Hysteresis'!$B$6*A31/B31</f>
        <v>3.3808692539567399E-2</v>
      </c>
      <c r="D31" s="200">
        <f>2*PI()*C31^2*('AB Hysteresis'!$B$4-C31/3)</f>
        <v>1.6741293920477433E-3</v>
      </c>
      <c r="E31" s="199">
        <f>'BC Line'!$J$1*D31</f>
        <v>173.70828882983358</v>
      </c>
      <c r="F31" s="67"/>
      <c r="G31" s="67"/>
      <c r="H31" s="67"/>
      <c r="I31" s="67"/>
      <c r="J31" s="70"/>
    </row>
    <row r="32" spans="1:11" ht="13.2" customHeight="1" x14ac:dyDescent="0.25">
      <c r="A32" s="198">
        <f t="shared" si="3"/>
        <v>2.2000000000000006</v>
      </c>
      <c r="B32" s="185">
        <f t="shared" si="2"/>
        <v>448.00222022670079</v>
      </c>
      <c r="C32" s="199">
        <f>'AB Hysteresis'!$B$8+'AB Hysteresis'!$B$6*A32/B32</f>
        <v>3.3959382936311705E-2</v>
      </c>
      <c r="D32" s="200">
        <f>2*PI()*C32^2*('AB Hysteresis'!$B$4-C32/3)</f>
        <v>1.6887223720653539E-3</v>
      </c>
      <c r="E32" s="199">
        <f>'BC Line'!$J$1*D32</f>
        <v>175.22246186796801</v>
      </c>
      <c r="F32" s="67"/>
      <c r="G32" s="67"/>
      <c r="H32" s="67"/>
      <c r="I32" s="67"/>
      <c r="J32" s="70"/>
    </row>
    <row r="33" spans="1:19" ht="13.2" customHeight="1" x14ac:dyDescent="0.25">
      <c r="A33" s="198">
        <f t="shared" si="3"/>
        <v>2.3000000000000007</v>
      </c>
      <c r="B33" s="185">
        <f t="shared" si="2"/>
        <v>454.31198958367156</v>
      </c>
      <c r="C33" s="199">
        <f>'AB Hysteresis'!$B$8+'AB Hysteresis'!$B$6*A33/B33</f>
        <v>3.4107875272650079E-2</v>
      </c>
      <c r="D33" s="200">
        <f>2*PI()*C33^2*('AB Hysteresis'!$B$4-C33/3)</f>
        <v>1.7031612255317744E-3</v>
      </c>
      <c r="E33" s="199">
        <f>'BC Line'!$J$1*D33</f>
        <v>176.72064267778504</v>
      </c>
      <c r="F33" s="67"/>
      <c r="G33" s="67"/>
      <c r="H33" s="67"/>
      <c r="I33" s="67"/>
      <c r="J33" s="70"/>
    </row>
    <row r="34" spans="1:19" ht="18" customHeight="1" x14ac:dyDescent="0.25">
      <c r="A34" s="198">
        <f t="shared" si="3"/>
        <v>2.4000000000000008</v>
      </c>
      <c r="B34" s="185">
        <f t="shared" si="2"/>
        <v>460.44141755341025</v>
      </c>
      <c r="C34" s="199">
        <f>'AB Hysteresis'!$B$8+'AB Hysteresis'!$B$6*A34/B34</f>
        <v>3.4254294225709775E-2</v>
      </c>
      <c r="D34" s="200">
        <f>2*PI()*C34^2*('AB Hysteresis'!$B$4-C34/3)</f>
        <v>1.717455518890506E-3</v>
      </c>
      <c r="E34" s="199">
        <f>'BC Line'!$J$1*D34</f>
        <v>178.20382387702304</v>
      </c>
      <c r="F34" s="67"/>
      <c r="G34" s="67"/>
      <c r="H34" s="67"/>
      <c r="I34" s="67"/>
      <c r="J34" s="70"/>
    </row>
    <row r="35" spans="1:19" ht="13.2" customHeight="1" x14ac:dyDescent="0.25">
      <c r="A35" s="198">
        <f t="shared" si="3"/>
        <v>2.5000000000000009</v>
      </c>
      <c r="B35" s="185">
        <f t="shared" si="2"/>
        <v>466.40286269667234</v>
      </c>
      <c r="C35" s="199">
        <f>'AB Hysteresis'!$B$8+'AB Hysteresis'!$B$6*A35/B35</f>
        <v>3.4398752552116246E-2</v>
      </c>
      <c r="D35" s="200">
        <f>2*PI()*C35^2*('AB Hysteresis'!$B$4-C35/3)</f>
        <v>1.7316138798127844E-3</v>
      </c>
      <c r="E35" s="199">
        <f>'BC Line'!$J$1*D35</f>
        <v>179.67290067606058</v>
      </c>
      <c r="F35" s="67"/>
      <c r="G35" s="67"/>
      <c r="H35" s="67"/>
      <c r="I35" s="67"/>
      <c r="J35" s="70"/>
    </row>
    <row r="36" spans="1:19" ht="13.2" customHeight="1" x14ac:dyDescent="0.25">
      <c r="A36" s="198">
        <f t="shared" si="3"/>
        <v>2.600000000000001</v>
      </c>
      <c r="B36" s="185">
        <f t="shared" si="2"/>
        <v>472.20738179909586</v>
      </c>
      <c r="C36" s="199">
        <f>'AB Hysteresis'!$B$8+'AB Hysteresis'!$B$6*A36/B36</f>
        <v>3.4541352655394465E-2</v>
      </c>
      <c r="D36" s="200">
        <f>2*PI()*C36^2*('AB Hysteresis'!$B$4-C36/3)</f>
        <v>1.7456441222136315E-3</v>
      </c>
      <c r="E36" s="199">
        <f>'BC Line'!$J$1*D36</f>
        <v>181.12868384962869</v>
      </c>
      <c r="F36" s="67"/>
      <c r="G36" s="67"/>
      <c r="H36" s="67"/>
      <c r="I36" s="67"/>
      <c r="J36" s="70"/>
    </row>
    <row r="37" spans="1:19" ht="18.600000000000001" customHeight="1" x14ac:dyDescent="0.25">
      <c r="A37" s="198">
        <f t="shared" si="3"/>
        <v>2.7000000000000011</v>
      </c>
      <c r="B37" s="185">
        <f t="shared" si="2"/>
        <v>477.86491127724605</v>
      </c>
      <c r="C37" s="199">
        <f>'AB Hysteresis'!$B$8+'AB Hysteresis'!$B$6*A37/B37</f>
        <v>3.4682187895274726E-2</v>
      </c>
      <c r="D37" s="200">
        <f>2*PI()*C37^2*('AB Hysteresis'!$B$4-C37/3)</f>
        <v>1.7595533505227808E-3</v>
      </c>
      <c r="E37" s="199">
        <f>'BC Line'!$J$1*D37</f>
        <v>182.5719105560008</v>
      </c>
      <c r="F37" s="67"/>
      <c r="G37" s="67"/>
      <c r="H37" s="67"/>
      <c r="I37" s="67"/>
      <c r="J37" s="70"/>
    </row>
    <row r="38" spans="1:19" x14ac:dyDescent="0.25">
      <c r="A38" s="198">
        <f t="shared" si="3"/>
        <v>2.8000000000000012</v>
      </c>
      <c r="B38" s="185">
        <f t="shared" si="2"/>
        <v>483.38441758421806</v>
      </c>
      <c r="C38" s="199">
        <f>'AB Hysteresis'!$B$8+'AB Hysteresis'!$B$6*A38/B38</f>
        <v>3.4821343689341491E-2</v>
      </c>
      <c r="D38" s="200">
        <f>2*PI()*C38^2*('AB Hysteresis'!$B$4-C38/3)</f>
        <v>1.7733480472859507E-3</v>
      </c>
      <c r="E38" s="199">
        <f>'BC Line'!$J$1*D38</f>
        <v>184.00325342653343</v>
      </c>
      <c r="F38" s="67"/>
      <c r="G38" s="67"/>
      <c r="H38" s="67"/>
      <c r="I38" s="67"/>
      <c r="J38" s="70"/>
    </row>
    <row r="39" spans="1:19" x14ac:dyDescent="0.25">
      <c r="A39" s="198">
        <f t="shared" si="3"/>
        <v>2.9000000000000012</v>
      </c>
      <c r="B39" s="185">
        <f t="shared" si="2"/>
        <v>488.77402282128287</v>
      </c>
      <c r="C39" s="199">
        <f>'AB Hysteresis'!$B$8+'AB Hysteresis'!$B$6*A39/B39</f>
        <v>3.4958898446164448E-2</v>
      </c>
      <c r="D39" s="200">
        <f>2*PI()*C39^2*('AB Hysteresis'!$B$4-C39/3)</f>
        <v>1.7870341472554444E-3</v>
      </c>
      <c r="E39" s="199">
        <f>'BC Line'!$J$1*D39</f>
        <v>185.42332825333452</v>
      </c>
      <c r="F39" s="67"/>
      <c r="G39" s="67"/>
      <c r="H39" s="67"/>
      <c r="I39" s="67"/>
      <c r="J39" s="70"/>
    </row>
    <row r="40" spans="1:19" x14ac:dyDescent="0.25">
      <c r="A40" s="198">
        <f t="shared" si="3"/>
        <v>3.0000000000000013</v>
      </c>
      <c r="B40" s="185">
        <f t="shared" si="2"/>
        <v>494.0411103499078</v>
      </c>
      <c r="C40" s="199">
        <f>'AB Hysteresis'!$B$8+'AB Hysteresis'!$B$6*A40/B40</f>
        <v>3.5094924360584097E-2</v>
      </c>
      <c r="D40" s="200">
        <f>2*PI()*C40^2*('AB Hysteresis'!$B$4-C40/3)</f>
        <v>1.8006171004429565E-3</v>
      </c>
      <c r="E40" s="199">
        <f>'BC Line'!$J$1*D40</f>
        <v>186.83270053164594</v>
      </c>
      <c r="F40" s="67"/>
      <c r="G40" s="67"/>
      <c r="H40" s="67"/>
      <c r="I40" s="67"/>
      <c r="J40" s="70"/>
    </row>
    <row r="41" spans="1:19" x14ac:dyDescent="0.25">
      <c r="A41" s="198">
        <f t="shared" si="3"/>
        <v>3.1000000000000014</v>
      </c>
      <c r="B41" s="185">
        <f t="shared" si="2"/>
        <v>499.19241414368133</v>
      </c>
      <c r="C41" s="199">
        <f>'AB Hysteresis'!$B$8+'AB Hysteresis'!$B$6*A41/B41</f>
        <v>3.5229488095409114E-2</v>
      </c>
      <c r="D41" s="200">
        <f>2*PI()*C41^2*('AB Hysteresis'!$B$4-C41/3)</f>
        <v>1.81410192608815E-3</v>
      </c>
      <c r="E41" s="199">
        <f>'BC Line'!$J$1*D41</f>
        <v>188.23189105964332</v>
      </c>
      <c r="F41" s="67"/>
      <c r="G41" s="67"/>
      <c r="H41" s="67"/>
      <c r="I41" s="67"/>
      <c r="J41" s="70"/>
    </row>
    <row r="42" spans="1:19" x14ac:dyDescent="0.25">
      <c r="A42" s="198">
        <f t="shared" si="3"/>
        <v>3.2000000000000015</v>
      </c>
      <c r="B42" s="185">
        <f t="shared" ref="B42:B70" si="4">$I$11*A42^$I$12+$I$13</f>
        <v>504.23409482325036</v>
      </c>
      <c r="C42" s="199">
        <f>'AB Hysteresis'!$B$8+'AB Hysteresis'!$B$6*A42/B42</f>
        <v>3.5362651368872441E-2</v>
      </c>
      <c r="D42" s="200">
        <f>2*PI()*C42^2*('AB Hysteresis'!$B$4-C42/3)</f>
        <v>1.8274932590994627E-3</v>
      </c>
      <c r="E42" s="199">
        <f>'BC Line'!$J$1*D42</f>
        <v>189.62138075715129</v>
      </c>
      <c r="F42" s="67"/>
      <c r="G42" s="67"/>
      <c r="H42" s="67"/>
      <c r="I42" s="67"/>
      <c r="J42" s="70"/>
      <c r="P42" s="319" t="s">
        <v>223</v>
      </c>
      <c r="Q42" s="319"/>
      <c r="R42" s="319"/>
      <c r="S42" s="319"/>
    </row>
    <row r="43" spans="1:19" hidden="1" x14ac:dyDescent="0.25">
      <c r="A43" s="82">
        <f t="shared" si="3"/>
        <v>3.3000000000000016</v>
      </c>
      <c r="B43" s="51">
        <f t="shared" si="4"/>
        <v>509.17180470999403</v>
      </c>
      <c r="C43" s="81">
        <f>'AB Hysteresis'!$B$8+'AB Hysteresis'!$B$6*A43/B43</f>
        <v>3.5494471463398479E-2</v>
      </c>
      <c r="D43" s="76">
        <f>2*PI()*C43^2*('AB Hysteresis'!$B$4-C43/3)</f>
        <v>1.8407953902169914E-3</v>
      </c>
      <c r="E43" s="81">
        <f>'BC Line'!$J$1*D43</f>
        <v>191.00161483295926</v>
      </c>
      <c r="F43" s="67"/>
      <c r="G43" s="67"/>
      <c r="H43" s="67"/>
      <c r="I43" s="67"/>
    </row>
    <row r="44" spans="1:19" ht="16.8" hidden="1" customHeight="1" x14ac:dyDescent="0.25">
      <c r="A44" s="82">
        <f t="shared" ref="A44:A70" si="5">A43+0.1</f>
        <v>3.4000000000000017</v>
      </c>
      <c r="B44" s="51">
        <f t="shared" si="4"/>
        <v>514.01074376661677</v>
      </c>
      <c r="C44" s="81">
        <f>'AB Hysteresis'!$B$8+'AB Hysteresis'!$B$6*A44/B44</f>
        <v>3.5625001668275702E-2</v>
      </c>
      <c r="D44" s="76">
        <f>2*PI()*C44^2*('AB Hysteresis'!$B$4-C44/3)</f>
        <v>1.8540123009085324E-3</v>
      </c>
      <c r="E44" s="81">
        <f>'BC Line'!$J$1*D44</f>
        <v>192.37300640564771</v>
      </c>
    </row>
    <row r="45" spans="1:19" hidden="1" x14ac:dyDescent="0.25">
      <c r="A45" s="82">
        <f t="shared" si="5"/>
        <v>3.5000000000000018</v>
      </c>
      <c r="B45" s="51">
        <f t="shared" si="4"/>
        <v>518.75570792979534</v>
      </c>
      <c r="C45" s="81">
        <f>'AB Hysteresis'!$B$8+'AB Hysteresis'!$B$6*A45/B45</f>
        <v>3.5754291666503388E-2</v>
      </c>
      <c r="D45" s="76">
        <f>2*PI()*C45^2*('AB Hysteresis'!$B$4-C45/3)</f>
        <v>1.8671476938222995E-3</v>
      </c>
      <c r="E45" s="81">
        <f>'BC Line'!$J$1*D45</f>
        <v>193.73593966337344</v>
      </c>
      <c r="G45" s="59"/>
      <c r="H45" s="59"/>
      <c r="I45" s="59"/>
    </row>
    <row r="46" spans="1:19" hidden="1" x14ac:dyDescent="0.25">
      <c r="A46" s="82">
        <f t="shared" si="5"/>
        <v>3.6000000000000019</v>
      </c>
      <c r="B46" s="51">
        <f t="shared" si="4"/>
        <v>523.41113105580962</v>
      </c>
      <c r="C46" s="81">
        <f>'AB Hysteresis'!$B$8+'AB Hysteresis'!$B$6*A46/B46</f>
        <v>3.5882387874239342E-2</v>
      </c>
      <c r="D46" s="76">
        <f>2*PI()*C46^2*('AB Hysteresis'!$B$4-C46/3)</f>
        <v>1.8802050194714405E-3</v>
      </c>
      <c r="E46" s="81">
        <f>'BC Line'!$J$1*D46</f>
        <v>195.09077263266491</v>
      </c>
    </row>
    <row r="47" spans="1:19" hidden="1" x14ac:dyDescent="0.25">
      <c r="A47" s="82">
        <f t="shared" si="5"/>
        <v>3.700000000000002</v>
      </c>
      <c r="B47" s="51">
        <f t="shared" si="4"/>
        <v>527.98112147591166</v>
      </c>
      <c r="C47" s="81">
        <f>'AB Hysteresis'!$B$8+'AB Hysteresis'!$B$6*A47/B47</f>
        <v>3.6009333739805457E-2</v>
      </c>
      <c r="D47" s="76">
        <f>2*PI()*C47^2*('AB Hysteresis'!$B$4-C47/3)</f>
        <v>1.8931874997071367E-3</v>
      </c>
      <c r="E47" s="81">
        <f>'BC Line'!$J$1*D47</f>
        <v>196.4378396139999</v>
      </c>
    </row>
    <row r="48" spans="1:19" hidden="1" x14ac:dyDescent="0.25">
      <c r="A48" s="82">
        <f t="shared" si="5"/>
        <v>3.800000000000002</v>
      </c>
      <c r="B48" s="51">
        <f t="shared" si="4"/>
        <v>532.46949398006268</v>
      </c>
      <c r="C48" s="81">
        <f>'AB Hysteresis'!$B$8+'AB Hysteresis'!$B$6*A48/B48</f>
        <v>3.6135170008027316E-2</v>
      </c>
      <c r="D48" s="76">
        <f>2*PI()*C48^2*('AB Hysteresis'!$B$4-C48/3)</f>
        <v>1.9060981484421134E-3</v>
      </c>
      <c r="E48" s="81">
        <f>'BC Line'!$J$1*D48</f>
        <v>197.77745333208452</v>
      </c>
    </row>
    <row r="49" spans="1:5" hidden="1" x14ac:dyDescent="0.25">
      <c r="A49" s="82">
        <f t="shared" si="5"/>
        <v>3.9000000000000021</v>
      </c>
      <c r="B49" s="51">
        <f t="shared" si="4"/>
        <v>536.87979790521922</v>
      </c>
      <c r="C49" s="81">
        <f>'AB Hysteresis'!$B$8+'AB Hysteresis'!$B$6*A49/B49</f>
        <v>3.6259934954729303E-2</v>
      </c>
      <c r="D49" s="76">
        <f>2*PI()*C49^2*('AB Hysteresis'!$B$4-C49/3)</f>
        <v>1.9189397900096757E-3</v>
      </c>
      <c r="E49" s="81">
        <f>'BC Line'!$J$1*D49</f>
        <v>199.1099068407938</v>
      </c>
    </row>
    <row r="50" spans="1:5" hidden="1" x14ac:dyDescent="0.25">
      <c r="A50" s="82">
        <f t="shared" si="5"/>
        <v>4.0000000000000018</v>
      </c>
      <c r="B50" s="51">
        <f t="shared" si="4"/>
        <v>541.21534188966484</v>
      </c>
      <c r="C50" s="81">
        <f>'AB Hysteresis'!$B$8+'AB Hysteresis'!$B$6*A50/B50</f>
        <v>3.6383664595430118E-2</v>
      </c>
      <c r="D50" s="76">
        <f>2*PI()*C50^2*('AB Hysteresis'!$B$4-C50/3)</f>
        <v>1.931715075481026E-3</v>
      </c>
      <c r="E50" s="81">
        <f>'BC Line'!$J$1*D50</f>
        <v>200.43547521626235</v>
      </c>
    </row>
    <row r="51" spans="1:5" hidden="1" x14ac:dyDescent="0.25">
      <c r="A51" s="82">
        <f t="shared" si="5"/>
        <v>4.1000000000000014</v>
      </c>
      <c r="B51" s="51">
        <f t="shared" si="4"/>
        <v>545.47921576202543</v>
      </c>
      <c r="C51" s="81">
        <f>'AB Hysteresis'!$B$8+'AB Hysteresis'!$B$6*A51/B51</f>
        <v>3.650639287164846E-2</v>
      </c>
      <c r="D51" s="76">
        <f>2*PI()*C51^2*('AB Hysteresis'!$B$4-C51/3)</f>
        <v>1.9444264972126946E-3</v>
      </c>
      <c r="E51" s="81">
        <f>'BC Line'!$J$1*D51</f>
        <v>201.75441706633146</v>
      </c>
    </row>
    <row r="52" spans="1:5" hidden="1" x14ac:dyDescent="0.25">
      <c r="A52" s="82">
        <f t="shared" si="5"/>
        <v>4.2000000000000011</v>
      </c>
      <c r="B52" s="51">
        <f t="shared" si="4"/>
        <v>549.67430995797667</v>
      </c>
      <c r="C52" s="81">
        <f>'AB Hysteresis'!$B$8+'AB Hysteresis'!$B$6*A52/B52</f>
        <v>3.6628151817705956E-2</v>
      </c>
      <c r="D52" s="76">
        <f>2*PI()*C52^2*('AB Hysteresis'!$B$4-C52/3)</f>
        <v>1.9570764018539961E-3</v>
      </c>
      <c r="E52" s="81">
        <f>'BC Line'!$J$1*D52</f>
        <v>203.06697588020739</v>
      </c>
    </row>
    <row r="53" spans="1:5" hidden="1" x14ac:dyDescent="0.25">
      <c r="A53" s="82">
        <f t="shared" si="5"/>
        <v>4.3000000000000007</v>
      </c>
      <c r="B53" s="51">
        <f t="shared" si="4"/>
        <v>553.80333279572983</v>
      </c>
      <c r="C53" s="81">
        <f>'AB Hysteresis'!$B$8+'AB Hysteresis'!$B$6*A53/B53</f>
        <v>3.6748971710482747E-2</v>
      </c>
      <c r="D53" s="76">
        <f>2*PI()*C53^2*('AB Hysteresis'!$B$4-C53/3)</f>
        <v>1.9696670020098871E-3</v>
      </c>
      <c r="E53" s="81">
        <f>'BC Line'!$J$1*D53</f>
        <v>204.37338123860403</v>
      </c>
    </row>
    <row r="54" spans="1:5" hidden="1" x14ac:dyDescent="0.25">
      <c r="A54" s="82">
        <f t="shared" si="5"/>
        <v>4.4000000000000004</v>
      </c>
      <c r="B54" s="51">
        <f t="shared" si="4"/>
        <v>557.86882589041988</v>
      </c>
      <c r="C54" s="81">
        <f>'AB Hysteresis'!$B$8+'AB Hysteresis'!$B$6*A54/B54</f>
        <v>3.686888120422209E-2</v>
      </c>
      <c r="D54" s="76">
        <f>2*PI()*C54^2*('AB Hysteresis'!$B$4-C54/3)</f>
        <v>1.9822003867258496E-3</v>
      </c>
      <c r="E54" s="81">
        <f>'BC Line'!$J$1*D54</f>
        <v>205.67384990165809</v>
      </c>
    </row>
    <row r="55" spans="1:5" hidden="1" x14ac:dyDescent="0.25">
      <c r="A55" s="82">
        <f t="shared" si="5"/>
        <v>4.5</v>
      </c>
      <c r="B55" s="51">
        <f t="shared" si="4"/>
        <v>561.87317794537694</v>
      </c>
      <c r="C55" s="81">
        <f>'AB Hysteresis'!$B$8+'AB Hysteresis'!$B$6*A55/B55</f>
        <v>3.6987907452181161E-2</v>
      </c>
      <c r="D55" s="76">
        <f>2*PI()*C55^2*('AB Hysteresis'!$B$4-C55/3)</f>
        <v>1.9946785309375293E-3</v>
      </c>
      <c r="E55" s="81">
        <f>'BC Line'!$J$1*D55</f>
        <v>206.96858678942726</v>
      </c>
    </row>
    <row r="56" spans="1:5" hidden="1" x14ac:dyDescent="0.25">
      <c r="A56" s="82">
        <f t="shared" si="5"/>
        <v>4.5999999999999996</v>
      </c>
      <c r="B56" s="51">
        <f t="shared" si="4"/>
        <v>565.81863712324889</v>
      </c>
      <c r="C56" s="81">
        <f>'AB Hysteresis'!$B$8+'AB Hysteresis'!$B$6*A56/B56</f>
        <v>3.7106076216673979E-2</v>
      </c>
      <c r="D56" s="76">
        <f>2*PI()*C56^2*('AB Hysteresis'!$B$4-C56/3)</f>
        <v>2.0071033040077722E-3</v>
      </c>
      <c r="E56" s="81">
        <f>'BC Line'!$J$1*D56</f>
        <v>208.25778586769619</v>
      </c>
    </row>
    <row r="57" spans="1:5" hidden="1" x14ac:dyDescent="0.25">
      <c r="A57" s="82">
        <f t="shared" si="5"/>
        <v>4.6999999999999993</v>
      </c>
      <c r="B57" s="51">
        <f t="shared" si="4"/>
        <v>569.707322170726</v>
      </c>
      <c r="C57" s="81">
        <f>'AB Hysteresis'!$B$8+'AB Hysteresis'!$B$6*A57/B57</f>
        <v>3.7223411968841338E-2</v>
      </c>
      <c r="D57" s="76">
        <f>2*PI()*C57^2*('AB Hysteresis'!$B$4-C57/3)</f>
        <v>2.0194764774568736E-3</v>
      </c>
      <c r="E57" s="81">
        <f>'BC Line'!$J$1*D57</f>
        <v>209.5416309500701</v>
      </c>
    </row>
    <row r="58" spans="1:5" hidden="1" x14ac:dyDescent="0.25">
      <c r="A58" s="82">
        <f t="shared" si="5"/>
        <v>4.7999999999999989</v>
      </c>
      <c r="B58" s="51">
        <f t="shared" si="4"/>
        <v>573.54123244613697</v>
      </c>
      <c r="C58" s="81">
        <f>'AB Hysteresis'!$B$8+'AB Hysteresis'!$B$6*A58/B58</f>
        <v>3.7339937979304058E-2</v>
      </c>
      <c r="D58" s="76">
        <f>2*PI()*C58^2*('AB Hysteresis'!$B$4-C58/3)</f>
        <v>2.0317997319776013E-3</v>
      </c>
      <c r="E58" s="81">
        <f>'BC Line'!$J$1*D58</f>
        <v>210.82029642585616</v>
      </c>
    </row>
    <row r="59" spans="1:5" hidden="1" x14ac:dyDescent="0.25">
      <c r="A59" s="82">
        <f t="shared" si="5"/>
        <v>4.8999999999999986</v>
      </c>
      <c r="B59" s="51">
        <f t="shared" si="4"/>
        <v>577.32225697858826</v>
      </c>
      <c r="C59" s="81">
        <f>'AB Hysteresis'!$B$8+'AB Hysteresis'!$B$6*A59/B59</f>
        <v>3.7455676400704394E-2</v>
      </c>
      <c r="D59" s="76">
        <f>2*PI()*C59^2*('AB Hysteresis'!$B$4-C59/3)</f>
        <v>2.0440746638145128E-3</v>
      </c>
      <c r="E59" s="81">
        <f>'BC Line'!$J$1*D59</f>
        <v>212.09394792198373</v>
      </c>
    </row>
    <row r="60" spans="1:5" hidden="1" x14ac:dyDescent="0.25">
      <c r="A60" s="82">
        <f t="shared" si="5"/>
        <v>4.9999999999999982</v>
      </c>
      <c r="B60" s="51">
        <f t="shared" si="4"/>
        <v>581.05218266992642</v>
      </c>
      <c r="C60" s="81">
        <f>'AB Hysteresis'!$B$8+'AB Hysteresis'!$B$6*A60/B60</f>
        <v>3.7570648343011374E-2</v>
      </c>
      <c r="D60" s="76">
        <f>2*PI()*C60^2*('AB Hysteresis'!$B$4-C60/3)</f>
        <v>2.056302790576761E-3</v>
      </c>
      <c r="E60" s="81">
        <f>'BC Line'!$J$1*D60</f>
        <v>213.36274290614338</v>
      </c>
    </row>
    <row r="61" spans="1:5" hidden="1" x14ac:dyDescent="0.25">
      <c r="A61" s="82">
        <f t="shared" si="5"/>
        <v>5.0999999999999979</v>
      </c>
      <c r="B61" s="51">
        <f t="shared" si="4"/>
        <v>584.7327017360526</v>
      </c>
      <c r="C61" s="81">
        <f>'AB Hysteresis'!$B$8+'AB Hysteresis'!$B$6*A61/B61</f>
        <v>3.7684873942356187E-2</v>
      </c>
      <c r="D61" s="76">
        <f>2*PI()*C61^2*('AB Hysteresis'!$B$4-C61/3)</f>
        <v>2.0684855565449309E-3</v>
      </c>
      <c r="E61" s="81">
        <f>'BC Line'!$J$1*D61</f>
        <v>214.62683123742616</v>
      </c>
    </row>
    <row r="62" spans="1:5" hidden="1" x14ac:dyDescent="0.25">
      <c r="A62" s="82">
        <f t="shared" si="5"/>
        <v>5.1999999999999975</v>
      </c>
      <c r="B62" s="51">
        <f t="shared" si="4"/>
        <v>588.36541847158674</v>
      </c>
      <c r="C62" s="81">
        <f>'AB Hysteresis'!$B$8+'AB Hysteresis'!$B$6*A62/B62</f>
        <v>3.7798372424068583E-2</v>
      </c>
      <c r="D62" s="76">
        <f>2*PI()*C62^2*('AB Hysteresis'!$B$4-C62/3)</f>
        <v>2.0806243375248142E-3</v>
      </c>
      <c r="E62" s="81">
        <f>'BC Line'!$J$1*D62</f>
        <v>215.88635566995313</v>
      </c>
    </row>
    <row r="63" spans="1:5" hidden="1" x14ac:dyDescent="0.25">
      <c r="A63" s="82">
        <f t="shared" si="5"/>
        <v>5.2999999999999972</v>
      </c>
      <c r="B63" s="51">
        <f t="shared" si="4"/>
        <v>591.95185541116666</v>
      </c>
      <c r="C63" s="81">
        <f>'AB Hysteresis'!$B$8+'AB Hysteresis'!$B$6*A63/B63</f>
        <v>3.7911162160504747E-2</v>
      </c>
      <c r="D63" s="76">
        <f>2*PI()*C63^2*('AB Hysteresis'!$B$4-C63/3)</f>
        <v>2.0927204452946928E-3</v>
      </c>
      <c r="E63" s="81">
        <f>'BC Line'!$J$1*D63</f>
        <v>217.14145231432707</v>
      </c>
    </row>
    <row r="64" spans="1:5" hidden="1" x14ac:dyDescent="0.25">
      <c r="A64" s="82">
        <f t="shared" si="5"/>
        <v>5.3999999999999968</v>
      </c>
      <c r="B64" s="51">
        <f t="shared" si="4"/>
        <v>595.49345895150873</v>
      </c>
      <c r="C64" s="81">
        <f>'AB Hysteresis'!$B$8+'AB Hysteresis'!$B$6*A64/B64</f>
        <v>3.8023260724186721E-2</v>
      </c>
      <c r="D64" s="76">
        <f>2*PI()*C64^2*('AB Hysteresis'!$B$4-C64/3)</f>
        <v>2.1047751316870819E-3</v>
      </c>
      <c r="E64" s="81">
        <f>'BC Line'!$J$1*D64</f>
        <v>218.39225106115563</v>
      </c>
    </row>
    <row r="65" spans="1:5" hidden="1" x14ac:dyDescent="0.25">
      <c r="A65" s="82">
        <f t="shared" si="5"/>
        <v>5.4999999999999964</v>
      </c>
      <c r="B65" s="51">
        <f t="shared" si="4"/>
        <v>598.99160449048509</v>
      </c>
      <c r="C65" s="81">
        <f>'AB Hysteresis'!$B$8+'AB Hysteresis'!$B$6*A65/B65</f>
        <v>3.813468493671282E-2</v>
      </c>
      <c r="D65" s="76">
        <f>2*PI()*C65^2*('AB Hysteresis'!$B$4-C65/3)</f>
        <v>2.1167895923410937E-3</v>
      </c>
      <c r="E65" s="81">
        <f>'BC Line'!$J$1*D65</f>
        <v>219.63887597039815</v>
      </c>
    </row>
    <row r="66" spans="1:5" hidden="1" x14ac:dyDescent="0.25">
      <c r="A66" s="82">
        <f t="shared" si="5"/>
        <v>5.5999999999999961</v>
      </c>
      <c r="B66" s="51">
        <f t="shared" si="4"/>
        <v>602.44760113269035</v>
      </c>
      <c r="C66" s="81">
        <f>'AB Hysteresis'!$B$8+'AB Hysteresis'!$B$6*A66/B66</f>
        <v>3.8245450913846284E-2</v>
      </c>
      <c r="D66" s="76">
        <f>2*PI()*C66^2*('AB Hysteresis'!$B$4-C66/3)</f>
        <v>2.1287649701574344E-3</v>
      </c>
      <c r="E66" s="81">
        <f>'BC Line'!$J$1*D66</f>
        <v>220.8814456298573</v>
      </c>
    </row>
    <row r="67" spans="1:5" hidden="1" x14ac:dyDescent="0.25">
      <c r="A67" s="82">
        <f t="shared" si="5"/>
        <v>5.6999999999999957</v>
      </c>
      <c r="B67" s="51">
        <f t="shared" si="4"/>
        <v>605.8626960051181</v>
      </c>
      <c r="C67" s="81">
        <f>'AB Hysteresis'!$B$8+'AB Hysteresis'!$B$6*A67/B67</f>
        <v>3.8355574107143214E-2</v>
      </c>
      <c r="D67" s="76">
        <f>2*PI()*C67^2*('AB Hysteresis'!$B$4-C67/3)</f>
        <v>2.140702358484404E-3</v>
      </c>
      <c r="E67" s="81">
        <f>'BC Line'!$J$1*D67</f>
        <v>222.12007348575958</v>
      </c>
    </row>
    <row r="68" spans="1:5" hidden="1" x14ac:dyDescent="0.25">
      <c r="A68" s="82">
        <f t="shared" si="5"/>
        <v>5.7999999999999954</v>
      </c>
      <c r="B68" s="51">
        <f t="shared" si="4"/>
        <v>609.23807822149206</v>
      </c>
      <c r="C68" s="81">
        <f>'AB Hysteresis'!$B$8+'AB Hysteresis'!$B$6*A68/B68</f>
        <v>3.8465069342441406E-2</v>
      </c>
      <c r="D68" s="76">
        <f>2*PI()*C68^2*('AB Hysteresis'!$B$4-C68/3)</f>
        <v>2.1526028040601379E-3</v>
      </c>
      <c r="E68" s="81">
        <f>'BC Line'!$J$1*D68</f>
        <v>223.35486814804358</v>
      </c>
    </row>
    <row r="69" spans="1:5" hidden="1" x14ac:dyDescent="0.25">
      <c r="A69" s="82">
        <f t="shared" si="5"/>
        <v>5.899999999999995</v>
      </c>
      <c r="B69" s="51">
        <f t="shared" si="4"/>
        <v>612.57488252938651</v>
      </c>
      <c r="C69" s="81">
        <f>'AB Hysteresis'!$B$8+'AB Hysteresis'!$B$6*A69/B69</f>
        <v>3.8573950855496586E-2</v>
      </c>
      <c r="D69" s="76">
        <f>2*PI()*C69^2*('AB Hysteresis'!$B$4-C69/3)</f>
        <v>2.1644673097335585E-3</v>
      </c>
      <c r="E69" s="81">
        <f>'BC Line'!$J$1*D69</f>
        <v>224.58593367268671</v>
      </c>
    </row>
    <row r="70" spans="1:5" hidden="1" x14ac:dyDescent="0.25">
      <c r="A70" s="82">
        <f t="shared" si="5"/>
        <v>5.9999999999999947</v>
      </c>
      <c r="B70" s="51">
        <f t="shared" si="4"/>
        <v>615.87419267044515</v>
      </c>
      <c r="C70" s="81">
        <f>'AB Hysteresis'!$B$8+'AB Hysteresis'!$B$6*A70/B70</f>
        <v>3.8682232325021965E-2</v>
      </c>
      <c r="D70" s="76">
        <f>2*PI()*C70^2*('AB Hysteresis'!$B$4-C70/3)</f>
        <v>2.1762968369840813E-3</v>
      </c>
      <c r="E70" s="81">
        <f>'BC Line'!$J$1*D70</f>
        <v>225.81336982315099</v>
      </c>
    </row>
  </sheetData>
  <mergeCells count="4">
    <mergeCell ref="A1:E2"/>
    <mergeCell ref="F1:I1"/>
    <mergeCell ref="F2:I2"/>
    <mergeCell ref="P42:S42"/>
  </mergeCells>
  <pageMargins left="0.7" right="0.7" top="0.75" bottom="0.75" header="0.3" footer="0.3"/>
  <pageSetup paperSize="9" scale="85" orientation="landscape" r:id="rId1"/>
  <drawing r:id="rId2"/>
</worksheet>
</file>

<file path=xl/worksheets/sheet6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rgb="FF7030A0"/>
  </sheetPr>
  <dimension ref="A1:M17"/>
  <sheetViews>
    <sheetView view="pageBreakPreview" zoomScale="120" zoomScaleNormal="136" zoomScaleSheetLayoutView="120" workbookViewId="0">
      <selection activeCell="H9" sqref="H9"/>
    </sheetView>
  </sheetViews>
  <sheetFormatPr defaultRowHeight="13.2" x14ac:dyDescent="0.25"/>
  <cols>
    <col min="1" max="1" width="10" customWidth="1"/>
    <col min="2" max="2" width="12.21875" customWidth="1"/>
    <col min="3" max="3" width="12.5546875" customWidth="1"/>
    <col min="4" max="4" width="16.5546875" customWidth="1"/>
    <col min="5" max="5" width="8.5546875" customWidth="1"/>
    <col min="6" max="6" width="5.21875" customWidth="1"/>
    <col min="7" max="7" width="4.77734375" customWidth="1"/>
    <col min="8" max="8" width="4.5546875" customWidth="1"/>
    <col min="9" max="10" width="5.6640625" customWidth="1"/>
  </cols>
  <sheetData>
    <row r="1" spans="1:13" ht="22.8" x14ac:dyDescent="0.25">
      <c r="A1" s="357" t="s">
        <v>127</v>
      </c>
      <c r="B1" s="357"/>
      <c r="C1" s="357"/>
      <c r="D1" s="357"/>
      <c r="E1" s="357"/>
      <c r="F1" s="357"/>
      <c r="G1" s="357"/>
      <c r="H1" s="357"/>
      <c r="I1" s="357"/>
      <c r="J1" s="357"/>
    </row>
    <row r="2" spans="1:13" ht="19.2" customHeight="1" x14ac:dyDescent="0.25">
      <c r="A2" s="356" t="s">
        <v>168</v>
      </c>
      <c r="B2" s="356"/>
      <c r="C2" s="236"/>
      <c r="D2" s="236"/>
      <c r="E2" s="236"/>
      <c r="F2" s="236"/>
      <c r="G2" s="361" t="s">
        <v>172</v>
      </c>
      <c r="H2" s="361"/>
      <c r="I2" s="361"/>
      <c r="J2" s="361"/>
    </row>
    <row r="3" spans="1:13" ht="23.4" customHeight="1" x14ac:dyDescent="0.25">
      <c r="A3" s="359" t="s">
        <v>110</v>
      </c>
      <c r="B3" s="359"/>
      <c r="C3" s="359"/>
      <c r="D3" s="237" t="s">
        <v>175</v>
      </c>
      <c r="E3" s="211">
        <v>1.544</v>
      </c>
      <c r="F3" s="231" t="s">
        <v>91</v>
      </c>
      <c r="G3" s="361"/>
      <c r="H3" s="361"/>
      <c r="I3" s="361"/>
      <c r="J3" s="361"/>
    </row>
    <row r="4" spans="1:13" ht="21.6" customHeight="1" x14ac:dyDescent="0.25">
      <c r="A4" s="359" t="s">
        <v>156</v>
      </c>
      <c r="B4" s="359"/>
      <c r="C4" s="359"/>
      <c r="D4" s="216" t="s">
        <v>177</v>
      </c>
      <c r="E4" s="249">
        <v>1.087</v>
      </c>
      <c r="F4" s="231" t="s">
        <v>91</v>
      </c>
      <c r="G4" s="89"/>
      <c r="H4" s="212"/>
      <c r="I4" s="212"/>
      <c r="J4" s="212"/>
    </row>
    <row r="5" spans="1:13" ht="21.6" customHeight="1" x14ac:dyDescent="0.25">
      <c r="A5" s="360" t="s">
        <v>178</v>
      </c>
      <c r="B5" s="360"/>
      <c r="C5" s="360"/>
      <c r="D5" s="216" t="s">
        <v>187</v>
      </c>
      <c r="E5" s="351">
        <v>0.52917721090299996</v>
      </c>
      <c r="F5" s="351"/>
      <c r="G5" s="351"/>
      <c r="H5" s="351"/>
      <c r="I5" s="251" t="s">
        <v>91</v>
      </c>
      <c r="J5" s="212"/>
    </row>
    <row r="6" spans="1:13" ht="21.6" customHeight="1" x14ac:dyDescent="0.25">
      <c r="A6" s="360" t="s">
        <v>163</v>
      </c>
      <c r="B6" s="360"/>
      <c r="C6" s="360"/>
      <c r="D6" s="216" t="s">
        <v>176</v>
      </c>
      <c r="E6" s="227">
        <v>0.31</v>
      </c>
      <c r="F6" s="231" t="s">
        <v>91</v>
      </c>
      <c r="G6" s="89"/>
      <c r="H6" s="212"/>
      <c r="I6" s="212"/>
      <c r="J6" s="212"/>
    </row>
    <row r="7" spans="1:13" ht="2.4" customHeight="1" x14ac:dyDescent="0.25">
      <c r="A7" s="232"/>
      <c r="B7" s="232"/>
      <c r="C7" s="232"/>
      <c r="D7" s="233"/>
      <c r="E7" s="234"/>
      <c r="F7" s="235"/>
      <c r="G7" s="235"/>
      <c r="H7" s="235"/>
      <c r="I7" s="235"/>
      <c r="J7" s="235"/>
    </row>
    <row r="8" spans="1:13" ht="19.2" customHeight="1" x14ac:dyDescent="0.25">
      <c r="A8" s="355" t="s">
        <v>169</v>
      </c>
      <c r="B8" s="355"/>
      <c r="C8" s="220"/>
      <c r="D8" s="216"/>
      <c r="E8" s="227"/>
      <c r="F8" s="231"/>
      <c r="G8" s="89"/>
      <c r="H8" s="212"/>
      <c r="I8" s="212"/>
      <c r="J8" s="212"/>
    </row>
    <row r="9" spans="1:13" ht="23.4" customHeight="1" x14ac:dyDescent="0.25">
      <c r="A9" s="352" t="s">
        <v>165</v>
      </c>
      <c r="B9" s="352"/>
      <c r="C9" s="217"/>
      <c r="D9" s="210" t="s">
        <v>166</v>
      </c>
      <c r="E9" s="211">
        <f>E3/2</f>
        <v>0.77200000000000002</v>
      </c>
      <c r="F9" s="231" t="s">
        <v>91</v>
      </c>
      <c r="G9" s="89"/>
      <c r="H9" s="212"/>
      <c r="I9" s="212"/>
      <c r="J9" s="212"/>
      <c r="K9" s="350"/>
      <c r="L9" s="350"/>
    </row>
    <row r="10" spans="1:13" ht="24" customHeight="1" x14ac:dyDescent="0.25">
      <c r="A10" s="358" t="s">
        <v>171</v>
      </c>
      <c r="B10" s="358"/>
      <c r="C10" s="230"/>
      <c r="D10" s="210" t="s">
        <v>188</v>
      </c>
      <c r="E10" s="226">
        <f>$E$4+$E$6-$E$5</f>
        <v>0.86782278909700006</v>
      </c>
      <c r="F10" s="231" t="s">
        <v>91</v>
      </c>
      <c r="G10" s="89"/>
      <c r="H10" s="212"/>
      <c r="I10" s="212"/>
      <c r="J10" s="212"/>
      <c r="K10" s="350"/>
      <c r="L10" s="350"/>
      <c r="M10" s="350"/>
    </row>
    <row r="11" spans="1:13" ht="21.6" customHeight="1" x14ac:dyDescent="0.25">
      <c r="A11" s="354" t="s">
        <v>154</v>
      </c>
      <c r="B11" s="354"/>
      <c r="C11" s="354"/>
      <c r="D11" s="213" t="s">
        <v>179</v>
      </c>
      <c r="E11" s="226">
        <f>E10-E9</f>
        <v>9.5822789097000038E-2</v>
      </c>
      <c r="F11" s="231" t="s">
        <v>91</v>
      </c>
      <c r="G11" s="229"/>
      <c r="I11" s="204"/>
    </row>
    <row r="12" spans="1:13" ht="21.6" customHeight="1" x14ac:dyDescent="0.25">
      <c r="D12" s="215" t="s">
        <v>160</v>
      </c>
      <c r="E12" s="226">
        <f>E10/4</f>
        <v>0.21695569727425001</v>
      </c>
      <c r="F12" s="231" t="s">
        <v>91</v>
      </c>
      <c r="G12" s="214"/>
      <c r="H12" s="91"/>
      <c r="I12" s="204"/>
      <c r="J12" s="205"/>
    </row>
    <row r="13" spans="1:13" ht="18" customHeight="1" x14ac:dyDescent="0.4">
      <c r="A13" s="239" t="s">
        <v>167</v>
      </c>
      <c r="B13" s="240" t="s">
        <v>170</v>
      </c>
      <c r="C13" s="241" t="s">
        <v>173</v>
      </c>
      <c r="D13" s="362" t="s">
        <v>155</v>
      </c>
      <c r="E13" s="363"/>
      <c r="F13" s="363"/>
      <c r="G13" s="364"/>
      <c r="H13" s="245" t="s">
        <v>158</v>
      </c>
      <c r="I13" s="246"/>
      <c r="J13" s="247"/>
    </row>
    <row r="14" spans="1:13" ht="15.6" customHeight="1" x14ac:dyDescent="0.3">
      <c r="A14" s="242">
        <f>2*PI()*E11^2*($E$12-E11/3)</f>
        <v>1.067391839289477E-2</v>
      </c>
      <c r="B14" s="243">
        <f>A14*'BC Line'!P1</f>
        <v>9.5439639013098168E-2</v>
      </c>
      <c r="C14" s="244">
        <f>B14*'Fundamental constants'!F23/'Fundamental constants'!F18*4-273.15</f>
        <v>4156.9689811167491</v>
      </c>
      <c r="D14" s="222">
        <v>3550</v>
      </c>
      <c r="E14" s="223" t="s">
        <v>89</v>
      </c>
      <c r="F14" s="221">
        <v>4000</v>
      </c>
      <c r="G14" s="224" t="s">
        <v>159</v>
      </c>
      <c r="H14" s="238">
        <f>C14-F14</f>
        <v>156.96898111674909</v>
      </c>
      <c r="I14" s="225" t="s">
        <v>174</v>
      </c>
      <c r="J14" s="248">
        <f>H14/C14</f>
        <v>3.7760440799483701E-2</v>
      </c>
    </row>
    <row r="15" spans="1:13" ht="24" hidden="1" customHeight="1" x14ac:dyDescent="0.25">
      <c r="A15" s="352" t="s">
        <v>157</v>
      </c>
      <c r="B15" s="352"/>
      <c r="C15" s="91"/>
      <c r="D15" s="213" t="s">
        <v>162</v>
      </c>
      <c r="E15" s="228">
        <f>E6-E5/2</f>
        <v>4.5411394548500017E-2</v>
      </c>
      <c r="F15" s="231" t="s">
        <v>91</v>
      </c>
      <c r="G15" s="91"/>
    </row>
    <row r="16" spans="1:13" ht="22.8" hidden="1" customHeight="1" x14ac:dyDescent="0.25">
      <c r="A16" s="352" t="s">
        <v>164</v>
      </c>
      <c r="B16" s="352"/>
      <c r="C16" s="353" t="s">
        <v>161</v>
      </c>
      <c r="D16" s="353"/>
      <c r="E16" s="226">
        <f>$E$4-$E$6+2*$E$15</f>
        <v>0.86782278909699995</v>
      </c>
      <c r="F16" s="231" t="s">
        <v>91</v>
      </c>
      <c r="G16" s="91"/>
    </row>
    <row r="17" spans="5:10" ht="10.199999999999999" customHeight="1" x14ac:dyDescent="0.25">
      <c r="E17" s="49"/>
      <c r="F17" s="319" t="s">
        <v>223</v>
      </c>
      <c r="G17" s="319"/>
      <c r="H17" s="319"/>
      <c r="I17" s="319"/>
      <c r="J17" s="319"/>
    </row>
  </sheetData>
  <mergeCells count="19">
    <mergeCell ref="F17:J17"/>
    <mergeCell ref="A2:B2"/>
    <mergeCell ref="A1:J1"/>
    <mergeCell ref="A9:B9"/>
    <mergeCell ref="A10:B10"/>
    <mergeCell ref="A3:C3"/>
    <mergeCell ref="A4:C4"/>
    <mergeCell ref="A5:C5"/>
    <mergeCell ref="A6:C6"/>
    <mergeCell ref="G2:J3"/>
    <mergeCell ref="D13:G13"/>
    <mergeCell ref="K9:L9"/>
    <mergeCell ref="K10:M10"/>
    <mergeCell ref="E5:H5"/>
    <mergeCell ref="A16:B16"/>
    <mergeCell ref="C16:D16"/>
    <mergeCell ref="A15:B15"/>
    <mergeCell ref="A11:C11"/>
    <mergeCell ref="A8:B8"/>
  </mergeCells>
  <pageMargins left="0.7" right="0.7" top="0.75" bottom="0.75" header="0.3" footer="0.3"/>
  <pageSetup paperSize="9" scale="92" orientation="portrait" r:id="rId1"/>
  <rowBreaks count="1" manualBreakCount="1">
    <brk id="17" max="16383" man="1"/>
  </rowBreaks>
  <colBreaks count="1" manualBreakCount="1">
    <brk id="10" max="1048575" man="1"/>
  </colBreaks>
</worksheet>
</file>

<file path=xl/worksheets/sheet7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D17"/>
  <sheetViews>
    <sheetView view="pageBreakPreview" zoomScale="134" zoomScaleNormal="79" zoomScaleSheetLayoutView="134" workbookViewId="0">
      <selection activeCell="F4" sqref="F4"/>
    </sheetView>
  </sheetViews>
  <sheetFormatPr defaultColWidth="8.77734375" defaultRowHeight="13.2" x14ac:dyDescent="0.25"/>
  <cols>
    <col min="1" max="1" width="21.33203125" style="17" customWidth="1"/>
    <col min="2" max="2" width="13.77734375" style="17" customWidth="1"/>
    <col min="3" max="3" width="5.6640625" style="17" customWidth="1"/>
    <col min="4" max="4" width="11.5546875" style="17" customWidth="1"/>
    <col min="5" max="16384" width="8.77734375" style="17"/>
  </cols>
  <sheetData>
    <row r="1" spans="1:4" ht="24.75" customHeight="1" x14ac:dyDescent="0.25">
      <c r="A1" s="367" t="s">
        <v>224</v>
      </c>
      <c r="B1" s="368"/>
      <c r="C1" s="368"/>
      <c r="D1" s="368"/>
    </row>
    <row r="2" spans="1:4" ht="24.75" customHeight="1" x14ac:dyDescent="0.25">
      <c r="A2" s="369" t="s">
        <v>225</v>
      </c>
      <c r="B2" s="370"/>
      <c r="C2" s="370"/>
      <c r="D2" s="304" t="s">
        <v>226</v>
      </c>
    </row>
    <row r="3" spans="1:4" ht="15.6" customHeight="1" x14ac:dyDescent="0.25">
      <c r="A3" s="371" t="s">
        <v>219</v>
      </c>
      <c r="B3" s="18" t="s">
        <v>79</v>
      </c>
      <c r="C3" s="21">
        <v>2</v>
      </c>
      <c r="D3" s="298"/>
    </row>
    <row r="4" spans="1:4" ht="13.2" customHeight="1" x14ac:dyDescent="0.25">
      <c r="A4" s="372"/>
      <c r="B4" s="18" t="s">
        <v>80</v>
      </c>
      <c r="C4" s="21">
        <v>2</v>
      </c>
      <c r="D4" s="298"/>
    </row>
    <row r="5" spans="1:4" ht="13.2" customHeight="1" x14ac:dyDescent="0.25">
      <c r="A5" s="372"/>
      <c r="B5" s="18" t="s">
        <v>78</v>
      </c>
      <c r="C5" s="21">
        <f>C3+C4</f>
        <v>4</v>
      </c>
      <c r="D5" s="298"/>
    </row>
    <row r="6" spans="1:4" ht="15.6" customHeight="1" x14ac:dyDescent="0.3">
      <c r="A6" s="372"/>
      <c r="B6" s="18" t="s">
        <v>86</v>
      </c>
      <c r="C6" s="21">
        <f>1+(C5*(C5+1)+C3*(C3+1)-C4*(C4+1))/(2*C5*(C5+1))</f>
        <v>1.5</v>
      </c>
      <c r="D6" s="298"/>
    </row>
    <row r="7" spans="1:4" ht="15.6" customHeight="1" x14ac:dyDescent="0.3">
      <c r="A7" s="372"/>
      <c r="B7" s="18" t="s">
        <v>84</v>
      </c>
      <c r="C7" s="21">
        <f>C5</f>
        <v>4</v>
      </c>
      <c r="D7" s="298"/>
    </row>
    <row r="8" spans="1:4" ht="17.399999999999999" customHeight="1" x14ac:dyDescent="0.3">
      <c r="A8" s="373"/>
      <c r="B8" s="297" t="s">
        <v>215</v>
      </c>
      <c r="C8" s="292">
        <f>C6*C7</f>
        <v>6</v>
      </c>
      <c r="D8" s="293" t="s">
        <v>216</v>
      </c>
    </row>
    <row r="9" spans="1:4" ht="2.4" customHeight="1" x14ac:dyDescent="0.25">
      <c r="A9" s="22"/>
      <c r="B9" s="22"/>
      <c r="C9" s="22"/>
      <c r="D9" s="299"/>
    </row>
    <row r="10" spans="1:4" ht="13.2" customHeight="1" x14ac:dyDescent="0.25">
      <c r="A10" s="374" t="s">
        <v>220</v>
      </c>
      <c r="B10" s="18" t="s">
        <v>79</v>
      </c>
      <c r="C10" s="21">
        <v>1.5</v>
      </c>
      <c r="D10" s="298"/>
    </row>
    <row r="11" spans="1:4" ht="13.2" customHeight="1" x14ac:dyDescent="0.25">
      <c r="A11" s="375"/>
      <c r="B11" s="18" t="s">
        <v>80</v>
      </c>
      <c r="C11" s="21">
        <v>3</v>
      </c>
      <c r="D11" s="298"/>
    </row>
    <row r="12" spans="1:4" ht="13.2" customHeight="1" x14ac:dyDescent="0.25">
      <c r="A12" s="375"/>
      <c r="B12" s="18" t="s">
        <v>78</v>
      </c>
      <c r="C12" s="21">
        <f>C10+C11</f>
        <v>4.5</v>
      </c>
      <c r="D12" s="298"/>
    </row>
    <row r="13" spans="1:4" ht="14.4" customHeight="1" x14ac:dyDescent="0.3">
      <c r="A13" s="375"/>
      <c r="B13" s="18" t="s">
        <v>87</v>
      </c>
      <c r="C13" s="21">
        <f>1+(C12*(C12+1)+C10*(C10+1)-C11*(C11+1))/(2*C12*(C12+1))</f>
        <v>1.3333333333333333</v>
      </c>
      <c r="D13" s="298"/>
    </row>
    <row r="14" spans="1:4" ht="14.4" customHeight="1" x14ac:dyDescent="0.3">
      <c r="A14" s="375"/>
      <c r="B14" s="18" t="s">
        <v>84</v>
      </c>
      <c r="C14" s="21">
        <f>C12</f>
        <v>4.5</v>
      </c>
      <c r="D14" s="298"/>
    </row>
    <row r="15" spans="1:4" ht="18" x14ac:dyDescent="0.3">
      <c r="A15" s="376"/>
      <c r="B15" s="294" t="s">
        <v>217</v>
      </c>
      <c r="C15" s="295">
        <f>C13*C14</f>
        <v>6</v>
      </c>
      <c r="D15" s="296" t="s">
        <v>218</v>
      </c>
    </row>
    <row r="16" spans="1:4" ht="3.6" customHeight="1" x14ac:dyDescent="0.25">
      <c r="A16" s="19"/>
      <c r="B16" s="19"/>
      <c r="C16" s="20"/>
      <c r="D16" s="300"/>
    </row>
    <row r="17" spans="1:4" ht="41.4" customHeight="1" x14ac:dyDescent="0.25">
      <c r="A17" s="365" t="s">
        <v>222</v>
      </c>
      <c r="B17" s="366"/>
      <c r="C17" s="301">
        <v>6</v>
      </c>
      <c r="D17" s="302" t="s">
        <v>221</v>
      </c>
    </row>
  </sheetData>
  <mergeCells count="5">
    <mergeCell ref="A17:B17"/>
    <mergeCell ref="A1:D1"/>
    <mergeCell ref="A2:C2"/>
    <mergeCell ref="A3:A8"/>
    <mergeCell ref="A10:A15"/>
  </mergeCells>
  <pageMargins left="0.7" right="0.7" top="0.75" bottom="0.75" header="0.3" footer="0.3"/>
  <pageSetup paperSize="9" orientation="portrait" r:id="rId1"/>
</worksheet>
</file>

<file path=xl/worksheets/sheet8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H26"/>
  <sheetViews>
    <sheetView view="pageBreakPreview" zoomScaleNormal="100" zoomScaleSheetLayoutView="100" workbookViewId="0">
      <selection activeCell="J24" sqref="J24"/>
    </sheetView>
  </sheetViews>
  <sheetFormatPr defaultRowHeight="13.2" x14ac:dyDescent="0.25"/>
  <cols>
    <col min="3" max="3" width="17.77734375" customWidth="1"/>
    <col min="5" max="5" width="31.77734375" customWidth="1"/>
    <col min="6" max="6" width="18" customWidth="1"/>
    <col min="8" max="8" width="4.5546875" customWidth="1"/>
  </cols>
  <sheetData>
    <row r="1" spans="1:8" ht="18" x14ac:dyDescent="0.35">
      <c r="A1" s="264" t="s">
        <v>85</v>
      </c>
      <c r="B1" s="265"/>
      <c r="C1" s="266"/>
      <c r="D1" s="263"/>
      <c r="E1" s="381" t="s">
        <v>186</v>
      </c>
      <c r="F1" s="381"/>
      <c r="G1" s="381"/>
      <c r="H1" s="381"/>
    </row>
    <row r="2" spans="1:8" x14ac:dyDescent="0.25">
      <c r="A2" s="382"/>
      <c r="B2" s="382"/>
      <c r="C2" s="382"/>
      <c r="D2" s="7"/>
      <c r="E2" s="7"/>
    </row>
    <row r="3" spans="1:8" x14ac:dyDescent="0.25">
      <c r="A3" s="377" t="s">
        <v>49</v>
      </c>
      <c r="B3" s="377"/>
      <c r="C3" s="377"/>
      <c r="D3" s="8" t="s">
        <v>50</v>
      </c>
      <c r="E3" s="3" t="s">
        <v>51</v>
      </c>
      <c r="F3" s="3"/>
      <c r="G3" s="3" t="s">
        <v>11</v>
      </c>
    </row>
    <row r="4" spans="1:8" ht="16.2" thickBot="1" x14ac:dyDescent="0.3">
      <c r="A4" s="377" t="s">
        <v>21</v>
      </c>
      <c r="B4" s="377"/>
      <c r="C4" s="377"/>
      <c r="D4" s="9" t="s">
        <v>4</v>
      </c>
      <c r="E4" s="10" t="s">
        <v>22</v>
      </c>
      <c r="F4" s="267" t="str">
        <f>E4</f>
        <v>299 792 458</v>
      </c>
      <c r="G4" s="268" t="s">
        <v>12</v>
      </c>
      <c r="H4" s="269"/>
    </row>
    <row r="5" spans="1:8" ht="16.2" thickBot="1" x14ac:dyDescent="0.3">
      <c r="A5" s="377" t="s">
        <v>23</v>
      </c>
      <c r="B5" s="377"/>
      <c r="C5" s="377"/>
      <c r="D5" s="11" t="s">
        <v>52</v>
      </c>
      <c r="E5" s="5" t="s">
        <v>83</v>
      </c>
      <c r="F5" s="270">
        <v>1.2566370613999999E-6</v>
      </c>
      <c r="G5" s="271" t="s">
        <v>13</v>
      </c>
      <c r="H5" s="269"/>
    </row>
    <row r="6" spans="1:8" ht="16.2" thickBot="1" x14ac:dyDescent="0.3">
      <c r="A6" s="377" t="s">
        <v>53</v>
      </c>
      <c r="B6" s="377"/>
      <c r="C6" s="377"/>
      <c r="D6" s="11" t="s">
        <v>54</v>
      </c>
      <c r="E6" s="5" t="s">
        <v>55</v>
      </c>
      <c r="F6" s="272"/>
      <c r="G6" s="271" t="s">
        <v>14</v>
      </c>
      <c r="H6" s="269"/>
    </row>
    <row r="7" spans="1:8" ht="16.2" thickBot="1" x14ac:dyDescent="0.3">
      <c r="A7" s="378" t="s">
        <v>24</v>
      </c>
      <c r="B7" s="378"/>
      <c r="C7" s="378"/>
      <c r="D7" s="11" t="s">
        <v>56</v>
      </c>
      <c r="E7" s="5" t="s">
        <v>25</v>
      </c>
      <c r="F7" s="272"/>
      <c r="G7" s="271" t="s">
        <v>5</v>
      </c>
      <c r="H7" s="269"/>
    </row>
    <row r="8" spans="1:8" ht="16.2" thickBot="1" x14ac:dyDescent="0.3">
      <c r="A8" s="377" t="s">
        <v>26</v>
      </c>
      <c r="B8" s="377"/>
      <c r="C8" s="377"/>
      <c r="D8" s="12" t="s">
        <v>27</v>
      </c>
      <c r="E8" s="6" t="s">
        <v>57</v>
      </c>
      <c r="F8" s="272">
        <v>6.6260693000000002E-34</v>
      </c>
      <c r="G8" s="273" t="s">
        <v>6</v>
      </c>
      <c r="H8" s="269"/>
    </row>
    <row r="9" spans="1:8" ht="16.2" thickBot="1" x14ac:dyDescent="0.3">
      <c r="A9" s="379" t="s">
        <v>28</v>
      </c>
      <c r="B9" s="379"/>
      <c r="C9" s="379"/>
      <c r="D9" s="13"/>
      <c r="E9" s="3" t="s">
        <v>58</v>
      </c>
      <c r="F9" s="272"/>
      <c r="G9" s="274" t="s">
        <v>7</v>
      </c>
      <c r="H9" s="269"/>
    </row>
    <row r="10" spans="1:8" ht="16.2" thickBot="1" x14ac:dyDescent="0.3">
      <c r="A10" s="377" t="s">
        <v>29</v>
      </c>
      <c r="B10" s="377"/>
      <c r="C10" s="377"/>
      <c r="D10" s="13" t="s">
        <v>27</v>
      </c>
      <c r="E10" s="3" t="s">
        <v>59</v>
      </c>
      <c r="F10" s="272">
        <v>1.0545716818000001E-34</v>
      </c>
      <c r="G10" s="274" t="s">
        <v>6</v>
      </c>
      <c r="H10" s="269"/>
    </row>
    <row r="11" spans="1:8" ht="16.2" thickBot="1" x14ac:dyDescent="0.3">
      <c r="A11" s="379" t="s">
        <v>28</v>
      </c>
      <c r="B11" s="379"/>
      <c r="C11" s="379"/>
      <c r="D11" s="9"/>
      <c r="E11" s="4" t="s">
        <v>60</v>
      </c>
      <c r="F11" s="272"/>
      <c r="G11" s="268" t="s">
        <v>7</v>
      </c>
      <c r="H11" s="269"/>
    </row>
    <row r="12" spans="1:8" ht="16.2" thickBot="1" x14ac:dyDescent="0.3">
      <c r="A12" s="377" t="s">
        <v>30</v>
      </c>
      <c r="B12" s="377"/>
      <c r="C12" s="377"/>
      <c r="D12" s="11" t="s">
        <v>31</v>
      </c>
      <c r="E12" s="5" t="s">
        <v>61</v>
      </c>
      <c r="F12" s="272"/>
      <c r="G12" s="271" t="s">
        <v>8</v>
      </c>
      <c r="H12" s="269"/>
    </row>
    <row r="13" spans="1:8" ht="16.2" thickBot="1" x14ac:dyDescent="0.3">
      <c r="A13" s="377" t="s">
        <v>32</v>
      </c>
      <c r="B13" s="377"/>
      <c r="C13" s="377"/>
      <c r="D13" s="11" t="s">
        <v>33</v>
      </c>
      <c r="E13" s="5" t="s">
        <v>62</v>
      </c>
      <c r="F13" s="272"/>
      <c r="G13" s="271" t="s">
        <v>9</v>
      </c>
      <c r="H13" s="269"/>
    </row>
    <row r="14" spans="1:8" ht="16.2" thickBot="1" x14ac:dyDescent="0.3">
      <c r="A14" s="377" t="s">
        <v>34</v>
      </c>
      <c r="B14" s="377"/>
      <c r="C14" s="377"/>
      <c r="D14" s="11" t="s">
        <v>109</v>
      </c>
      <c r="E14" s="5" t="s">
        <v>63</v>
      </c>
      <c r="F14" s="278">
        <v>6.0221415000000003E+23</v>
      </c>
      <c r="G14" s="271" t="s">
        <v>15</v>
      </c>
      <c r="H14" s="269"/>
    </row>
    <row r="15" spans="1:8" ht="16.2" thickBot="1" x14ac:dyDescent="0.3">
      <c r="A15" s="377" t="s">
        <v>64</v>
      </c>
      <c r="B15" s="377"/>
      <c r="C15" s="377"/>
      <c r="D15" s="14" t="s">
        <v>35</v>
      </c>
      <c r="E15" s="5" t="s">
        <v>65</v>
      </c>
      <c r="F15" s="272"/>
      <c r="G15" s="275" t="s">
        <v>10</v>
      </c>
      <c r="H15" s="269"/>
    </row>
    <row r="16" spans="1:8" ht="16.2" thickBot="1" x14ac:dyDescent="0.3">
      <c r="A16" s="377" t="s">
        <v>66</v>
      </c>
      <c r="B16" s="377"/>
      <c r="C16" s="377"/>
      <c r="D16" s="11" t="s">
        <v>36</v>
      </c>
      <c r="E16" s="5" t="s">
        <v>37</v>
      </c>
      <c r="F16" s="272"/>
      <c r="G16" s="271" t="s">
        <v>16</v>
      </c>
      <c r="H16" s="269"/>
    </row>
    <row r="17" spans="1:8" ht="16.2" thickBot="1" x14ac:dyDescent="0.3">
      <c r="A17" s="377" t="s">
        <v>38</v>
      </c>
      <c r="B17" s="377"/>
      <c r="C17" s="377"/>
      <c r="D17" s="11" t="s">
        <v>39</v>
      </c>
      <c r="E17" s="5" t="s">
        <v>40</v>
      </c>
      <c r="F17" s="272"/>
      <c r="G17" s="271" t="s">
        <v>17</v>
      </c>
      <c r="H17" s="269"/>
    </row>
    <row r="18" spans="1:8" ht="16.2" thickBot="1" x14ac:dyDescent="0.3">
      <c r="A18" s="377" t="s">
        <v>41</v>
      </c>
      <c r="B18" s="377"/>
      <c r="C18" s="377"/>
      <c r="D18" s="11" t="s">
        <v>42</v>
      </c>
      <c r="E18" s="5" t="s">
        <v>67</v>
      </c>
      <c r="F18" s="272">
        <v>1.3806505000000001E-23</v>
      </c>
      <c r="G18" s="271" t="s">
        <v>18</v>
      </c>
      <c r="H18" s="269"/>
    </row>
    <row r="19" spans="1:8" ht="13.8" thickBot="1" x14ac:dyDescent="0.3">
      <c r="A19" s="377" t="s">
        <v>43</v>
      </c>
      <c r="B19" s="377"/>
      <c r="C19" s="377"/>
      <c r="D19" s="12"/>
      <c r="E19" s="6"/>
      <c r="F19" s="272"/>
      <c r="G19" s="273"/>
      <c r="H19" s="269"/>
    </row>
    <row r="20" spans="1:8" ht="16.2" thickBot="1" x14ac:dyDescent="0.3">
      <c r="A20" s="377" t="s">
        <v>44</v>
      </c>
      <c r="B20" s="377"/>
      <c r="C20" s="377"/>
      <c r="D20" s="15" t="s">
        <v>45</v>
      </c>
      <c r="E20" s="3" t="s">
        <v>68</v>
      </c>
      <c r="F20" s="272"/>
      <c r="G20" s="274" t="s">
        <v>19</v>
      </c>
      <c r="H20" s="269"/>
    </row>
    <row r="21" spans="1:8" ht="16.2" thickBot="1" x14ac:dyDescent="0.3">
      <c r="A21" s="377" t="s">
        <v>46</v>
      </c>
      <c r="B21" s="377"/>
      <c r="C21" s="377"/>
      <c r="D21" s="16" t="s">
        <v>45</v>
      </c>
      <c r="E21" s="4" t="s">
        <v>69</v>
      </c>
      <c r="F21" s="272"/>
      <c r="G21" s="268" t="s">
        <v>19</v>
      </c>
      <c r="H21" s="269"/>
    </row>
    <row r="22" spans="1:8" ht="16.2" thickBot="1" x14ac:dyDescent="0.3">
      <c r="A22" s="377" t="s">
        <v>70</v>
      </c>
      <c r="B22" s="377"/>
      <c r="C22" s="377"/>
      <c r="D22" s="11" t="s">
        <v>47</v>
      </c>
      <c r="E22" s="5" t="s">
        <v>71</v>
      </c>
      <c r="F22" s="272"/>
      <c r="G22" s="271" t="s">
        <v>20</v>
      </c>
      <c r="H22" s="269"/>
    </row>
    <row r="23" spans="1:8" ht="16.2" thickBot="1" x14ac:dyDescent="0.3">
      <c r="A23" s="377" t="s">
        <v>48</v>
      </c>
      <c r="B23" s="377"/>
      <c r="C23" s="377"/>
      <c r="D23" s="11" t="s">
        <v>1</v>
      </c>
      <c r="E23" s="5" t="s">
        <v>61</v>
      </c>
      <c r="F23" s="276">
        <v>1.60217653E-19</v>
      </c>
      <c r="G23" s="271" t="s">
        <v>0</v>
      </c>
      <c r="H23" s="269"/>
    </row>
    <row r="24" spans="1:8" ht="15.6" x14ac:dyDescent="0.25">
      <c r="A24" s="377" t="s">
        <v>72</v>
      </c>
      <c r="B24" s="377"/>
      <c r="C24" s="377"/>
      <c r="D24" s="12" t="s">
        <v>75</v>
      </c>
      <c r="E24" s="6" t="s">
        <v>73</v>
      </c>
      <c r="F24" s="276">
        <v>9.2740094900000003E-24</v>
      </c>
      <c r="G24" s="273" t="s">
        <v>81</v>
      </c>
      <c r="H24" s="269"/>
    </row>
    <row r="25" spans="1:8" ht="16.2" thickBot="1" x14ac:dyDescent="0.3">
      <c r="A25" s="380" t="s">
        <v>77</v>
      </c>
      <c r="B25" s="380"/>
      <c r="C25" s="380"/>
      <c r="D25" s="9"/>
      <c r="E25" s="4" t="s">
        <v>74</v>
      </c>
      <c r="F25" s="277">
        <v>5.7883818039999998E-5</v>
      </c>
      <c r="G25" s="268" t="s">
        <v>82</v>
      </c>
      <c r="H25" s="269"/>
    </row>
    <row r="26" spans="1:8" ht="9.6" customHeight="1" x14ac:dyDescent="0.25">
      <c r="A26" s="7"/>
      <c r="B26" s="7"/>
      <c r="C26" s="7"/>
      <c r="D26" s="7"/>
      <c r="E26" s="7"/>
    </row>
  </sheetData>
  <mergeCells count="25">
    <mergeCell ref="A6:C6"/>
    <mergeCell ref="E1:H1"/>
    <mergeCell ref="A2:C2"/>
    <mergeCell ref="A3:C3"/>
    <mergeCell ref="A4:C4"/>
    <mergeCell ref="A5:C5"/>
    <mergeCell ref="A25:C25"/>
    <mergeCell ref="A19:C19"/>
    <mergeCell ref="A20:C20"/>
    <mergeCell ref="A21:C21"/>
    <mergeCell ref="A22:C22"/>
    <mergeCell ref="A23:C23"/>
    <mergeCell ref="A24:C24"/>
    <mergeCell ref="A18:C18"/>
    <mergeCell ref="A7:C7"/>
    <mergeCell ref="A8:C8"/>
    <mergeCell ref="A9:C9"/>
    <mergeCell ref="A10:C10"/>
    <mergeCell ref="A11:C11"/>
    <mergeCell ref="A12:C12"/>
    <mergeCell ref="A13:C13"/>
    <mergeCell ref="A15:C15"/>
    <mergeCell ref="A16:C16"/>
    <mergeCell ref="A17:C17"/>
    <mergeCell ref="A14:C14"/>
  </mergeCells>
  <pageMargins left="0.7" right="0.7" top="0.75" bottom="0.75" header="0.3" footer="0.3"/>
  <pageSetup paperSize="9" scale="90" orientation="portrait" r:id="rId1"/>
  <rowBreaks count="1" manualBreakCount="1">
    <brk id="25" max="16383" man="1"/>
  </rowBreaks>
  <colBreaks count="1" manualBreakCount="1">
    <brk id="8" max="1048575" man="1"/>
  </colBreaks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4" baseType="variant">
      <vt:variant>
        <vt:lpstr>Листы</vt:lpstr>
      </vt:variant>
      <vt:variant>
        <vt:i4>8</vt:i4>
      </vt:variant>
      <vt:variant>
        <vt:lpstr>Именованные диапазоны</vt:lpstr>
      </vt:variant>
      <vt:variant>
        <vt:i4>7</vt:i4>
      </vt:variant>
    </vt:vector>
  </HeadingPairs>
  <TitlesOfParts>
    <vt:vector size="15" baseType="lpstr">
      <vt:lpstr>The Legend</vt:lpstr>
      <vt:lpstr>AC Curve</vt:lpstr>
      <vt:lpstr>BC Line</vt:lpstr>
      <vt:lpstr>AB Hysteresis</vt:lpstr>
      <vt:lpstr>Tc(P)</vt:lpstr>
      <vt:lpstr>Diamond Melting Point</vt:lpstr>
      <vt:lpstr>Magnetic moments</vt:lpstr>
      <vt:lpstr>Fundamental constants</vt:lpstr>
      <vt:lpstr>'AB Hysteresis'!Область_печати</vt:lpstr>
      <vt:lpstr>'AC Curve'!Область_печати</vt:lpstr>
      <vt:lpstr>'BC Line'!Область_печати</vt:lpstr>
      <vt:lpstr>'Diamond Melting Point'!Область_печати</vt:lpstr>
      <vt:lpstr>'Fundamental constants'!Область_печати</vt:lpstr>
      <vt:lpstr>'Magnetic moments'!Область_печати</vt:lpstr>
      <vt:lpstr>'Tc(P)'!Область_печати</vt:lpstr>
    </vt:vector>
  </TitlesOfParts>
  <Company>IP</Company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Abdulvagidov</dc:creator>
  <cp:lastModifiedBy>Abdulvagidov</cp:lastModifiedBy>
  <cp:lastPrinted>2021-04-09T14:20:36Z</cp:lastPrinted>
  <dcterms:created xsi:type="dcterms:W3CDTF">2000-06-08T09:04:56Z</dcterms:created>
  <dcterms:modified xsi:type="dcterms:W3CDTF">2021-11-14T13:44:45Z</dcterms:modified>
</cp:coreProperties>
</file>